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undp-my.sharepoint.com/personal/patrice_nijebariko_undp_org/Documents/Desktop/"/>
    </mc:Choice>
  </mc:AlternateContent>
  <xr:revisionPtr revIDLastSave="0" documentId="8_{F90FEC8F-FBE9-4FFF-A3FA-58CD4DD5BBB6}" xr6:coauthVersionLast="47" xr6:coauthVersionMax="47" xr10:uidLastSave="{00000000-0000-0000-0000-000000000000}"/>
  <workbookProtection workbookPassword="BF22" lockStructure="1"/>
  <bookViews>
    <workbookView xWindow="-120" yWindow="-120" windowWidth="24240" windowHeight="13140" tabRatio="836" firstSheet="8" activeTab="8" xr2:uid="{00000000-000D-0000-FFFF-FFFF00000000}"/>
  </bookViews>
  <sheets>
    <sheet name="CoverSheet" sheetId="1" r:id="rId1"/>
    <sheet name="Version history" sheetId="64" state="veryHidden" r:id="rId2"/>
    <sheet name="Coversheet Import-Export" sheetId="24" state="veryHidden" r:id="rId3"/>
    <sheet name="Admin Sheet" sheetId="59" state="veryHidden" r:id="rId4"/>
    <sheet name="Impact Outcome Indicators_1A" sheetId="2" r:id="rId5"/>
    <sheet name="ImpactOutcome_Import-Export" sheetId="25" state="veryHidden" r:id="rId6"/>
    <sheet name="Disaggregation_1A" sheetId="26" r:id="rId7"/>
    <sheet name="Disagg.1A_import-export" sheetId="29" state="veryHidden" r:id="rId8"/>
    <sheet name="Coverage Indicators_1B" sheetId="27" r:id="rId9"/>
    <sheet name="Coverage Indicator_Import-Expor" sheetId="28" state="veryHidden" r:id="rId10"/>
    <sheet name="Disaggregation_1B" sheetId="49" r:id="rId11"/>
    <sheet name="Disaggregation1B_Import-Export" sheetId="50" state="veryHidden" r:id="rId12"/>
    <sheet name="WPTM_1C" sheetId="51" r:id="rId13"/>
    <sheet name="WPTM_1C  Import-Export" sheetId="52" state="veryHidden" r:id="rId14"/>
    <sheet name="PR Cash Reconciliation_2A,B,C,D" sheetId="31" r:id="rId15"/>
    <sheet name="Commitments_Obligations" sheetId="40" r:id="rId16"/>
    <sheet name="PR Cash Recon Import-Export" sheetId="45" state="veryHidden" r:id="rId17"/>
    <sheet name="SR_Cash Reconciliation_2E" sheetId="32" r:id="rId18"/>
    <sheet name="SR Cash Recon Import Export" sheetId="46" state="veryHidden" r:id="rId19"/>
    <sheet name="Budget Variance_2F" sheetId="33" r:id="rId20"/>
    <sheet name="Budget Variance Import-Export" sheetId="47" state="veryHidden" r:id="rId21"/>
    <sheet name="Procurement_3" sheetId="34" r:id="rId22"/>
    <sheet name="Grant Management_4" sheetId="11" r:id="rId23"/>
    <sheet name="Grant Management_4 imp-exp" sheetId="62" state="veryHidden" r:id="rId24"/>
    <sheet name="MitigationAction" sheetId="60" state="veryHidden" r:id="rId25"/>
    <sheet name="RiskData" sheetId="61" state="veryHidden" r:id="rId26"/>
    <sheet name="PR-LFA Evaluation_5" sheetId="35" r:id="rId27"/>
    <sheet name="LFA_Findings&amp;Recommendations_6" sheetId="13" r:id="rId28"/>
    <sheet name="LFA_Findings&amp;Recom export" sheetId="63" state="veryHidden" r:id="rId29"/>
    <sheet name="PR Expenditure_7A" sheetId="36" r:id="rId30"/>
    <sheet name="PR Expenditure_7A import-export" sheetId="55" state="veryHidden" r:id="rId31"/>
    <sheet name="LFA Expenditure_7B" sheetId="37" r:id="rId32"/>
    <sheet name="LFA Expenditure_7B imp-exp" sheetId="56" state="veryHidden" r:id="rId33"/>
    <sheet name="Cash Forecast_8A" sheetId="38" r:id="rId34"/>
    <sheet name="Cash Forecast_8A import-export" sheetId="57" state="veryHidden" r:id="rId35"/>
    <sheet name="Translations" sheetId="23" state="veryHidden" r:id="rId36"/>
    <sheet name="Request and Recommendation_8B" sheetId="65" r:id="rId37"/>
    <sheet name="Reference Records" sheetId="58" state="veryHidden" r:id="rId38"/>
    <sheet name="PR Authorization_9A" sheetId="41" r:id="rId39"/>
    <sheet name="LFA Authorization_9B" sheetId="42" r:id="rId40"/>
    <sheet name="Financial Triggers_10" sheetId="43" state="veryHidden" r:id="rId41"/>
    <sheet name="Free Sheet 1" sheetId="66" r:id="rId42"/>
    <sheet name="Free Sheet 2" sheetId="67" r:id="rId43"/>
    <sheet name="Free Sheet 3" sheetId="68" r:id="rId44"/>
    <sheet name="apttusmetadata" sheetId="44" state="veryHidden" r:id="rId45"/>
  </sheets>
  <externalReferences>
    <externalReference r:id="rId46"/>
    <externalReference r:id="rId47"/>
    <externalReference r:id="rId48"/>
  </externalReferences>
  <definedNames>
    <definedName name="_00656359_ada8_4ce2_bf51_035d16c6fd90">'Grant Management_4 imp-exp'!$F$19</definedName>
    <definedName name="_01406ff2_e16d_4932_b832_47b799fc9507">'PR Expenditure_7A import-export'!$B$109</definedName>
    <definedName name="_0141f30a_1bda_4e7b_b23f_c11e4c3878c3">'Reference Records'!$B$54</definedName>
    <definedName name="_01553cd3_5252_416c_9953_74831d317aba">MitigationAction!$E$3</definedName>
    <definedName name="_02912521_0b43_4c3c_866b_1c6adb0b8370">'Cash Forecast_8A import-export'!$C$167</definedName>
    <definedName name="_0327b588_8b5b_4e58_80b5_9e06554c358d">'SR Cash Recon Import Export'!$I$5</definedName>
    <definedName name="_05475789_7f63_4b42_a8d3_754d059fae13">'Cash Forecast_8A import-export'!$F$107</definedName>
    <definedName name="_05ae6b4c_8a79_4f2a_940b_52b038610abe">'Disagg.1A_import-export'!$T$7</definedName>
    <definedName name="_05b2cca9_362f_4656_b85e_11308018b8f0">'Disaggregation1B_Import-Export'!$E$8</definedName>
    <definedName name="_070fb797_aed2_4d65_84a1_3ac9a17705f9">'Coverage Indicator_Import-Expor'!$J$7</definedName>
    <definedName name="_074406a6_9f65_42b3_92f4_c246c46f1d4e">'LFA_Findings&amp;Recom export'!$V$3</definedName>
    <definedName name="_07d07788_53f3_42dc_af09_f4c1e70f8cbf">'Grant Management_4 imp-exp'!$M$19</definedName>
    <definedName name="_08359863_1c72_4d85_a5ab_d76abcad95d0">'WPTM_1C  Import-Export'!$P$8</definedName>
    <definedName name="_0835ad97_6a0b_4345_ac61_6a18a8e139d3">MitigationAction!$F$3</definedName>
    <definedName name="_086bc63a_2324_47c8_ba52_4a284374a625">'Disagg.1A_import-export'!$K$11</definedName>
    <definedName name="_08e720bb_96ae_4d23_aca2_de6c0f6242bd">'Budget Variance Import-Export'!$E$9</definedName>
    <definedName name="_0956def0_73b0_45de_9c9b_2f9ca2a18d44">'PR Cash Recon Import-Export'!$H$4</definedName>
    <definedName name="_095c4b1e_22fd_4092_b7d6_a885a91a1fd1">'LFA Expenditure_7B imp-exp'!$C$109</definedName>
    <definedName name="_09956017_c61b_4783_be1a_51f1305e5106">'Coverage Indicator_Import-Expor'!$AS$7</definedName>
    <definedName name="_0a0ef441_fa06_421d_a362_f3c5a1d7c3d1">'ImpactOutcome_Import-Export'!$Z$7</definedName>
    <definedName name="_0a21be75_005f_49bf_8dc2_7541a5f57183">'Coverage Indicator_Import-Expor'!$N$7</definedName>
    <definedName name="_0b112b2b_8a4f_483f_a4e4_b3610e3b717b">'LFA Expenditure_7B imp-exp'!$A$109</definedName>
    <definedName name="_0b135c67_1c6a_4fdb_baea_37434c368f84">'Disagg.1A_import-export'!$AI$7</definedName>
    <definedName name="_0b6ee104_083c_458c_a9b9_d1e97e312d5e">RiskData!$D$14</definedName>
    <definedName name="_0bec7603_fdb2_42b1_9783_4021d95c09c6">'ImpactOutcome_Import-Export'!$A$7</definedName>
    <definedName name="_0c44e245_383f_41d7_b7d3_24a364f41102">RiskData!$I$14</definedName>
    <definedName name="_0c88e02d_cbc7_4489_aa7c_39232da45873">'LFA Expenditure_7B imp-exp'!$J$62</definedName>
    <definedName name="_0caf6ba5_f725_440a_bfe8_b3724603a6f7" comment="Save Map">'LFA_Findings&amp;Recom export'!$A$2:$Y$33</definedName>
    <definedName name="_0d1ecc22_3e57_433c_a39f_965e120e07ae">'ImpactOutcome_Import-Export'!$AF$7</definedName>
    <definedName name="_0d7b8060_6b1d_4b61_bc35_56a8d0029564">RiskData!$C$6</definedName>
    <definedName name="_0d8c55aa_0232_4040_bf6b_1677c5968d72">'Reference Records'!$D$13:$D$48</definedName>
    <definedName name="_0daf50ff_cea5_4ae9_9e94_8eb2d1ef3290">'Cash Forecast_8A import-export'!$H$76</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9b3032_1824_47f9_aad3_aef42f932e3d">'Admin Sheet'!$B$55</definedName>
    <definedName name="_1029a232_1fbe_4092_a9bc_318f9dbeaf0b">'Disagg.1A_import-export'!$P$7</definedName>
    <definedName name="_105125ca_2e55_46e3_9190_da75b122365c">'Disagg.1A_import-export'!$K$7</definedName>
    <definedName name="_11223981_3d98_4014_9318_23d602404e72" comment="Display Map">'PR Expenditure_7A import-export'!$A$126:$O$131</definedName>
    <definedName name="_1135407e_3848_4333_8536_2d1fda7b9c28">'Cash Forecast_8A import-export'!$A$76</definedName>
    <definedName name="_12334347_765e_43ae_9b91_78d55f334f56">'LFA Expenditure_7B imp-exp'!$E$109</definedName>
    <definedName name="_129ed1db_6eb8_4725_b4c4_6fad16af7eb4">'Budget Variance Import-Export'!$E$11</definedName>
    <definedName name="_13607070_e3d1_4770_a7bb_df7432a88972">'LFA Expenditure_7B imp-exp'!$J$127</definedName>
    <definedName name="_13623d36_4ea1_4a14_9c22_7b18c761ad1e">'WPTM_1C  Import-Export'!$T$8</definedName>
    <definedName name="_143f9b9f_23de_4865_8cd8_817b7bcc5e64">'Cash Forecast_8A import-export'!$N$76</definedName>
    <definedName name="_14441241_0a61_4072_a184_3ef9135ffcbd">'Disaggregation1B_Import-Export'!$J$8</definedName>
    <definedName name="_14847a21_6b94_4ff7_9bad_9e587be6968c">'ImpactOutcome_Import-Export'!$Z$14</definedName>
    <definedName name="_14fbf9ac_cb0e_4e14_ba59_f2adf5041008">'Coverage Indicator_Import-Expor'!$AQ$7</definedName>
    <definedName name="_1626435f_f8f3_4e34_8828_9cb3387d4e54">'Disaggregation1B_Import-Export'!$AC$8</definedName>
    <definedName name="_170fbd6d_9ba5_4aad_8548_b3f0139cfea8">'PR Expenditure_7A import-export'!$J$62</definedName>
    <definedName name="_1718b805_29b9_4728_b82f_46c70c29c038">'Admin Sheet'!$A$5</definedName>
    <definedName name="_171940e8_2f8c_42bc_8327_eda88166f808" comment="Display Map">'WPTM_1C  Import-Export'!$A$7:$AJ$9</definedName>
    <definedName name="_17950811_8f21_4fbf_a246_b3e20c374635">'Coversheet Import-Export'!$B$27</definedName>
    <definedName name="_185822bb_dd30_4a31_b325_a7bf1838a27b">'Disaggregation1B_Import-Export'!$Q$8</definedName>
    <definedName name="_18a06664_422a_4afd_8776_c9cd2f3a8102">'ImpactOutcome_Import-Export'!$S$14</definedName>
    <definedName name="_18b57c31_f947_492d_9f7f_a627afd2c154">'LFA_Findings&amp;Recom export'!$I$3</definedName>
    <definedName name="_195f7ba2_8968_4d6e_a1b8_ee9325ccce1a">'SR Cash Recon Import Export'!$G$5</definedName>
    <definedName name="_1a328457_5024_47f5_b1f5_b97cfe9f64a0">'LFA Expenditure_7B imp-exp'!$C$127</definedName>
    <definedName name="_1ac3c7d2_806e_4c97_8424_99bba43d19c1">'PR Expenditure_7A import-export'!$I$62</definedName>
    <definedName name="_1b1ac468_cdc2_4a65_8e7a_c32632f19e95">'Coverage Indicator_Import-Expor'!$U$7</definedName>
    <definedName name="_1b687059_c6f5_4c5e_b04e_29b4b6ea8f69">'PR Expenditure_7A import-export'!$A$109</definedName>
    <definedName name="_1b9029a9_74ec_4182_88cb_4b64a38e6bee">'Cash Forecast_8A import-export'!$C$123</definedName>
    <definedName name="_1b9bea90_ee83_40ec_b916_b0edf4a2377b">'LFA Expenditure_7B imp-exp'!$O$2</definedName>
    <definedName name="_1c12bfc2_41c8_4c56_8c9f_396f5701dc1c">'Budget Variance Import-Export'!$G$11</definedName>
    <definedName name="_1c4cb1f5_d705_4e51_a6e6_4039dab7da50">'PR-LFA Evaluation_5'!$B$76</definedName>
    <definedName name="_1cd791f8_3a8d_42f3_9590_05eeb856d94e">'ImpactOutcome_Import-Export'!$G$14</definedName>
    <definedName name="_1dbe0d83_14a6_46d6_90f4_c43e8d4682fe">'Disagg.1A_import-export'!$AH$7</definedName>
    <definedName name="_1dcfda05_d441_4ab9_9932_0c95814531aa">'WPTM_1C  Import-Export'!$D$8</definedName>
    <definedName name="_1ef01e70_f2f4_41f6_a0a3_3c5ddf646171">'WPTM_1C  Import-Export'!$G$8</definedName>
    <definedName name="_1fcd9b57_761d_4ab7_9f05_36647a9c35a0">'Cash Forecast_8A import-export'!$E$133</definedName>
    <definedName name="_201b1312_52af_4ba3_94ed_10acbd9db3df">'ImpactOutcome_Import-Export'!$J$7</definedName>
    <definedName name="_20222c2a_abb7_4305_9e48_140775b91fe4">'Disaggregation1B_Import-Export'!$P$8</definedName>
    <definedName name="_2074f1a6_5f45_432c_9efa_e96a9f7f55c6">'PR Expenditure_7A import-export'!$D$49</definedName>
    <definedName name="_20a104cf_6657_4cb6_b893_d2aace223d23">'SR Cash Recon Import Export'!$A$5</definedName>
    <definedName name="_20bb13c0_da12_45ad_81e3_33df6711de12">'Reference Records'!$B$13</definedName>
    <definedName name="_2121eb47_16f0_4b47_aaa7_284b45596274">'PR Expenditure_7A import-export'!$I$127</definedName>
    <definedName name="_21333751_d338_4344_a072_e14d2e2e9102">'Cash Forecast_8A import-export'!$D$76</definedName>
    <definedName name="_214c5a75_5671_4063_9662_ea86abeb5df7">'WPTM_1C  Import-Export'!$S$8</definedName>
    <definedName name="_21b23461_406a_48ed_8518_8e08b427ade2">RiskData!$B$6</definedName>
    <definedName name="_21d92fbb_4471_48d2_8351_b7c85bacdd13" comment="Display Map">'Reference Records'!$B$5:$D$8</definedName>
    <definedName name="_21e8dd9c_1182_4d8a_95c8_480e6057fedf">'Grant Management_4 imp-exp'!$Q$19</definedName>
    <definedName name="_225a89c6_e451_428b_a723_b309c9dc807f">'PR-LFA Evaluation_5'!$B$74</definedName>
    <definedName name="_2409e943_3a2a_4b6e_959e_084f142e2999">'Cash Forecast_8A import-export'!$D$123</definedName>
    <definedName name="_24836fcd_dd9a_4dfd_b3c1_9e742ab8b176">'WPTM_1C  Import-Export'!$M$8</definedName>
    <definedName name="_24954601_8e6c_4e6b_aa13_a5012957ffdf">Procurement_3!$N$77</definedName>
    <definedName name="_2545b19c_cee8_4d82_80b0_5c1c0ca8f522">'Cash Forecast_8A import-export'!$B$170</definedName>
    <definedName name="_2551a12e_ad59_4cb2_b9f2_8371c7fca93e">RiskData!$G$40</definedName>
    <definedName name="_26128106_a245_468c_800b_6839140b17d4">RiskData!$D$6</definedName>
    <definedName name="_268e643c_67e6_419c_b49f_c914eb64c9a4">'SR Cash Recon Import Export'!$M$5</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'ImpactOutcome_Import-Export'!$AL$14</definedName>
    <definedName name="_27fc07ef_9568_4392_b7cc_0a4fcecb32c0" comment="Display Map">'Cash Forecast_8A import-export'!$A$28:$P$74</definedName>
    <definedName name="_2854b75f_de22_4f75_a225_deb5ebacc2aa">'ImpactOutcome_Import-Export'!$M$14</definedName>
    <definedName name="_2891a3cb_3306_43d9_81d9_657e089ae725">'Disagg.1A_import-export'!$A$11</definedName>
    <definedName name="_28c573da_f5e1_4a40_957b_1efa6a406ef7">'ImpactOutcome_Import-Export'!$X$14</definedName>
    <definedName name="_28f46fc6_3776_4d20_bdfe_84abbf039dc2">'LFA Expenditure_7B imp-exp'!$K$109</definedName>
    <definedName name="_293f38f1_c088_4a23_962a_1bd45db5bc6f">'LFA Expenditure_7B imp-exp'!$E$4</definedName>
    <definedName name="_29e662c7_9b05_470b_8f4a_a5a649012a52">'WPTM_1C  Import-Export'!$AF$8</definedName>
    <definedName name="_2a5297bd_0cee_445b_9389_6a43dfa4d07a">'Cash Forecast_8A import-export'!$K$76</definedName>
    <definedName name="_2ab217bd_27c1_4438_bcf7_eddd201bd6a2">'Cash Forecast_8A import-export'!$P$9</definedName>
    <definedName name="_2ad6cae4_3ca1_4d56_8254_5383fef09c2c">'Disagg.1A_import-export'!$AC$7</definedName>
    <definedName name="_2b209038_1439_4aeb_851f_f9c243d33972">'Admin Sheet'!$B$41</definedName>
    <definedName name="_2b9f3dc5_febe_4ad2_a38f_1ec6199abe74">'ImpactOutcome_Import-Export'!$AE$7</definedName>
    <definedName name="_2bb82f93_a867_4bd0_a226_d2fb33a8fd9d">'Disagg.1A_import-export'!$F$11</definedName>
    <definedName name="_2c8e9b40_6677_4f03_871e_7506c67a3653">'ImpactOutcome_Import-Export'!$O$7</definedName>
    <definedName name="_2c9a24d0_c2a5_4238_957d_1c80a08a89a6">'Grant Management_4 imp-exp'!$I$2</definedName>
    <definedName name="_2cff41ba_bbe6_4f63_9bba_1bdc47c05fe8">'PR Expenditure_7A import-export'!$I$109</definedName>
    <definedName name="_2d56be7b_70a6_416b_869a_437b58f62220">'Disaggregation1B_Import-Export'!$K$8</definedName>
    <definedName name="_2d8843e9_caa9_45c8_ad6b_e3cbea8aaace">'Disagg.1A_import-export'!$L$11</definedName>
    <definedName name="_2e1eeb6d_1773_49b0_968f_226093e22e23">'Coverage Indicator_Import-Expor'!$BA$7</definedName>
    <definedName name="_2e235cee_5610_49dd_8d7e_928b9ed81fbb">'Cash Forecast_8A import-export'!$H$107</definedName>
    <definedName name="_2e36653e_265b_4f9f_9280_ded56491cef2">'WPTM_1C  Import-Export'!$AH$8</definedName>
    <definedName name="_2f02ad9e_eed1_4325_8c86_b1b0d521ea83">'Disagg.1A_import-export'!$T$11</definedName>
    <definedName name="_2fd2dc5f_1324_44b8_b7f2_39c49660ec46">'ImpactOutcome_Import-Export'!$Q$14</definedName>
    <definedName name="_2fe607dc_45cd_435f_b49d_0d131cb45988">'Disaggregation1B_Import-Export'!$AM$8</definedName>
    <definedName name="_310c2671_4dab_4f0e_92da_ab05d4876813">'Coverage Indicator_Import-Expor'!$AB$7</definedName>
    <definedName name="_3140b78f_9fc6_4242_9a5e_96f9b7a42c68">'Cash Forecast_8A import-export'!$C$107</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32f0239_e996_4331_92ad_d33a023b7c0e">'Disagg.1A_import-export'!$U$7</definedName>
    <definedName name="_339a2c0f_14e9_4701_a07d_b03d4699f82e">'Disagg.1A_import-export'!$AL$7</definedName>
    <definedName name="_343cabac_1b02_4d00_8e12_981387ac4a3b">'Cash Forecast_8A import-export'!$D$107</definedName>
    <definedName name="_34d65b81_50c7_4150_8b37_e1da88744959">'LFA Expenditure_7B imp-exp'!$C$62</definedName>
    <definedName name="_3505a288_5ad4_4849_a3de_4d99208b0dcb">'PR Expenditure_7A import-export'!$I$49</definedName>
    <definedName name="_35a13429_a35c_45d2_8f74_fb7a4f60b694" comment="Display Map">RiskData!$B$13:$I$35</definedName>
    <definedName name="_3603a0af_f395_4a48_8b16_b6d9f1319b93">'Disagg.1A_import-export'!$AK$11</definedName>
    <definedName name="_361e076d_d4cf_4df5_8daf_a7389a23fc67">'ImpactOutcome_Import-Export'!$H$14</definedName>
    <definedName name="_3635a31f_0028_4194_944c_c27fc506b499">'Disagg.1A_import-export'!$AM$11</definedName>
    <definedName name="_36c5f8ef_c37e_4053_9973_1bd8d68cf884">'ImpactOutcome_Import-Export'!$N$14</definedName>
    <definedName name="_37dfa970_fbcc_4626_b151_58dc302ac5da">'Cash Forecast_8A import-export'!$I$123</definedName>
    <definedName name="_37e6fcb2_9017_498f_940c_eb69cf86e1ec">'PR Expenditure_7A import-export'!$O$2</definedName>
    <definedName name="_382e8f16_f2c2_4c3c_bfe0_202df788f67d" comment="Display Map">'Admin Sheet'!$A$4:$D$25</definedName>
    <definedName name="_38e4d6cd_9280_468a_a9f8_2ab59f3de20d">'Cash Forecast_8A import-export'!$K$107</definedName>
    <definedName name="_3ab30b9b_2a1d_4a5c_80a5_afaf581a93af">RiskData!$G$14</definedName>
    <definedName name="_3ae900a5_4560_48e6_8491_77798b497646">'Coverage Indicator_Import-Expor'!$AA$7</definedName>
    <definedName name="_3b12fcce_1aba_43d8_9910_d0e180553217">'ImpactOutcome_Import-Export'!$AC$14</definedName>
    <definedName name="_3b59ca28_5fec_4321_b19b_3042d743ce39" comment="Display Map">'Cash Forecast_8A import-export'!$A$184:$F$184</definedName>
    <definedName name="_3b8076c0_7c65_482c_b909_74ecec7bceff">'Coverage Indicator_Import-Expor'!$K$7</definedName>
    <definedName name="_3bf7b960_7d5e_4379_beff_df6d04ae34b4">'ImpactOutcome_Import-Export'!$AC$7</definedName>
    <definedName name="_3c21d77e_148a_4e35_b6d0_c6e9e74f0bb3">'Coverage Indicator_Import-Expor'!$AD$7</definedName>
    <definedName name="_3c534f5b_a3d8_4c03_9c93_e1c83fbb3ce7">'Cash Forecast_8A import-export'!$H$9</definedName>
    <definedName name="_3cc94486_0931_44b4_986f_6aa4f56675af" comment="Display Map">'Grant Management_4 imp-exp'!$A$18:$Q$18</definedName>
    <definedName name="_3ce55712_0be2_41fa_b6ef_3873952e12fa">'LFA_Findings&amp;Recom export'!$U$3</definedName>
    <definedName name="_3d468dd6_697d_442f_8d43_3bb4d085f855" comment="Display Map">'LFA Expenditure_7B imp-exp'!$A$108:$Q$124</definedName>
    <definedName name="_3d6ba683_5c25_42a9_b1a3_b465262324af">'Reference Records'!$D$13</definedName>
    <definedName name="_3ee5444a_525c_4417_a3a4_1332eac573d6">'LFA Expenditure_7B imp-exp'!$O$4</definedName>
    <definedName name="_3f598134_38cd_48f6_a427_2984b4248089">'PR Expenditure_7A import-export'!#REF!</definedName>
    <definedName name="_408022ab_d3e7_4779_a908_dec0eb44ec26">'Admin Sheet'!$D$2</definedName>
    <definedName name="_408c9ba4_b790_4b95_bed5_c7192f1bc8d9">'Cash Forecast_8A import-export'!$B$133</definedName>
    <definedName name="_409df221_33fe_43d1_ad9f_16c5711f20c6">'PR Cash Recon Import-Export'!$E$4</definedName>
    <definedName name="_4197ecec_09fa_4727_ba77_eca143f7c2f8">'Coversheet Import-Export'!$B$10</definedName>
    <definedName name="_41a4b362_f3bc_422f_acfe_6809d25f8090" comment="Display Map">'Grant Management_4 imp-exp'!$A$1:$J$5</definedName>
    <definedName name="_41afbf48_5efc_41e8_b92f_03c923fbf347">'Cash Forecast_8A import-export'!$D$9</definedName>
    <definedName name="_41d7ddd6_615b_45cc_bbd0_ec5406c0620a">'WPTM_1C  Import-Export'!$AI$8</definedName>
    <definedName name="_430aac1b_7ad8_4763_abc8_168518890023">'LFA Expenditure_7B imp-exp'!$K$62</definedName>
    <definedName name="_431b5fa0_4026_494a_854c_dbabfec42481">'Reference Records'!$D$222</definedName>
    <definedName name="_43bc67ab_a2dd_4a32_a150_b7acc6e5ffaf">'Coversheet Import-Export'!$B$17</definedName>
    <definedName name="_440729e3_c3c6_4fce_a61e_3fc937d26fb6">'LFA Expenditure_7B imp-exp'!$C$49</definedName>
    <definedName name="_44acb674_c0c6_42f7_a999_e916978f0e9c">'LFA Expenditure_7B imp-exp'!$K$2</definedName>
    <definedName name="_44bef7dd_6adb_4ae1_a56c_804bba53ee64">'Admin Sheet'!$B$2</definedName>
    <definedName name="_44d37288_5e43_48e6_a9cc_80a3f02fc40f">'Coversheet Import-Export'!$B$18</definedName>
    <definedName name="_45047549_c7b1_41f1_8959_f6e0a9d6e769">'SR Cash Recon Import Export'!$E$5</definedName>
    <definedName name="_4577f587_bd3f_48cc_851e_02ed340afd05">'Coverage Indicator_Import-Expor'!$AY$7</definedName>
    <definedName name="_45d34a7e_836a_4d0f_8c84_ca6c6816fc15">Procurement_3!$N$76</definedName>
    <definedName name="_46d98dec_383c_449f_bf79_504ab2e94d96">'LFA Expenditure_7B imp-exp'!$E$127</definedName>
    <definedName name="_472152fb_ad7d_40fc_b316_c6125e39742e">'Cash Forecast_8A import-export'!$M$133</definedName>
    <definedName name="_473d0c17_79b8_4ae9_840b_40ef173444d3">'PR Expenditure_7A import-export'!$D$4</definedName>
    <definedName name="_477df971_5dc0_470d_b4ca_a3dbe53706b4">'Cash Forecast_8A import-export'!$B$29</definedName>
    <definedName name="_47dd440d_c688_4c7b_8d45_f1fdbd02c1b1">'Cash Forecast_8A import-export'!$C$170</definedName>
    <definedName name="_48409d15_1531_4343_8398_16635cbe54cd">'Coverage Indicator_Import-Expor'!$AC$7</definedName>
    <definedName name="_48cf273e_cb1f_4349_aede_76bf01bfb509">'PR Expenditure_7A import-export'!$C$49</definedName>
    <definedName name="_49530cbe_7d64_46dc_be4d_1ed9f42dd883">'Admin Sheet'!$B$51</definedName>
    <definedName name="_495db900_455a_4bc2_aca1_3b6808717d83">'Cash Forecast_8A import-export'!$E$107</definedName>
    <definedName name="_4a6b6982_96c4_403d_b0fc_f13c0db1f554">'PR Expenditure_7A import-export'!$D$109</definedName>
    <definedName name="_4a75ab29_2fba_488b_a5b9_64b6d1ec36c1">'Cash Forecast_8A import-export'!$R$9</definedName>
    <definedName name="_4b138a8f_d07c_4c2b_9f1c_4499d68cd42b">'PR Expenditure_7A import-export'!$C$62</definedName>
    <definedName name="_4ba29a9d_6e35_4803_84ae_80d82bf6aecc">'PR Expenditure_7A import-export'!$I$2</definedName>
    <definedName name="_4bc7cdd4_03b6_4a6a_ab5b_738b9773495d">'Coverage Indicator_Import-Expor'!$F$7</definedName>
    <definedName name="_4d22760f_f31e_44f7_a654_229afe124c9a">'Disagg.1A_import-export'!$M$7</definedName>
    <definedName name="_4d482caa_c6f0_4d6b_ba08_8e97bb199a2e">'PR Expenditure_7A import-export'!$O$4</definedName>
    <definedName name="_4d65f825_3de6_47dd_8e80_2cab2c068f8d">'Disagg.1A_import-export'!$J$11</definedName>
    <definedName name="_4dc694bb_178a_485f_a8f4_9948de60c83c">'WPTM_1C  Import-Export'!$F$8</definedName>
    <definedName name="_4ec9aff3_11c2_471f_861b_fc5182d84154">'Cash Forecast_8A import-export'!$E$123</definedName>
    <definedName name="_4f456bcc_4dda_4dc2_87cf_7e2ab8e4867f">'LFA_Findings&amp;Recom export'!$S$3</definedName>
    <definedName name="_4f5811c1_5588_48a1_be93_78a426e0a604">'Grant Management_4 imp-exp'!$D$2</definedName>
    <definedName name="_4f5ee1fb_5201_450f_b26c_2776346ecc3d">'Cash Forecast_8A import-export'!$C$29</definedName>
    <definedName name="_4fa7df54_4167_4d88_aa7f_6973f7b2c1de">'LFA_Findings&amp;Recom export'!$M$3</definedName>
    <definedName name="_4fed4e45_bb0e_458a_8148_e2f5656b2815">'Cash Forecast_8A import-export'!$B$169</definedName>
    <definedName name="_501b05f2_beee_4ff1_8d06_8e7cf61aaffe">'ImpactOutcome_Import-Export'!$X$7</definedName>
    <definedName name="_507593e0_2c04_4cfd_bc33_b4c2361e5094">'Coversheet Import-Export'!$B$23</definedName>
    <definedName name="_50b676cf_ec77_495f_a473_ec355371ed87" comment="Display Map">'Cash Forecast_8A import-export'!$B$122:$M$124</definedName>
    <definedName name="_50e2a485_5ff9_4f65_a100_deef7ba48988" comment="Display Map">'Cash Forecast_8A import-export'!$A$106:$P$111</definedName>
    <definedName name="_519f9de0_7fc8_4fb0_ac5c_a278b2d8846d">'Budget Variance Import-Export'!$I$12</definedName>
    <definedName name="_52054bef_b420_4327_add4_fa798d04017c">'Coverage Indicator_Import-Expor'!$V$7</definedName>
    <definedName name="_52198f87_9b21_45a3_973b_e963d8c11efc">'ImpactOutcome_Import-Export'!$K$14</definedName>
    <definedName name="_5263d6c3_0889_447c_ad7d_e8d05cea5264">'Disaggregation1B_Import-Export'!$D$8</definedName>
    <definedName name="_52889bae_171b_4de4_bd34_96a5732b47d7">'Cash Forecast_8A import-export'!$C$169</definedName>
    <definedName name="_52a64c96_0651_490b_a0d1_d681cb10288a">'LFA Expenditure_7B imp-exp'!$E$2</definedName>
    <definedName name="_52b17fa4_18ae_499c_aece_a2f9d0bf20f7">'LFA_Findings&amp;Recom export'!$X$3</definedName>
    <definedName name="_52dc1b0f_6bac_44a5_97f3_5263253491ab">'LFA Expenditure_7B imp-exp'!$O$49</definedName>
    <definedName name="_5336a174_86b3_4f90_81f4_b7b40a63ee91">'Cash Forecast_8A import-export'!$J$76</definedName>
    <definedName name="_5348887a_8eba_4149_8bd8_2b8164f6f0bc">'Cash Forecast_8A import-export'!$K$9</definedName>
    <definedName name="_535b5cb1_fd11_41c5_b65a_9dc1431e8c5a">'LFA Expenditure_7B imp-exp'!$E$49</definedName>
    <definedName name="_53b4b445_e255_42e1_96d7_2168b648f5d4">'Reference Records'!$C$222</definedName>
    <definedName name="_541bf5f2_6e5c_42bb_b573_4dabdb837ccb">'ImpactOutcome_Import-Export'!$E$7</definedName>
    <definedName name="_5437c5e6_8ca8_44cb_9e38_ca3176cdf015">RiskData!$F$40</definedName>
    <definedName name="_55595928_0560_4be9_877a_bd5bc82a9a7d">'LFA_Findings&amp;Recom export'!$Y$3</definedName>
    <definedName name="_565efadb_7821_4a23_a6f4_f732180d5e8d">'LFA Expenditure_7B imp-exp'!$A$49</definedName>
    <definedName name="_56e9ed4a_d3e8_4433_9839_17e8bf465c29" comment="Display Map">'Disagg.1A_import-export'!$A$10:$AM$10</definedName>
    <definedName name="_5712e44f_dc61_44b4_a26d_ab094dd70c64">CoverSheet!$A$2</definedName>
    <definedName name="_57236569_1ca7_4417_85fd_435883c78c65">'LFA Expenditure_7B imp-exp'!$A$4</definedName>
    <definedName name="_57288ebb_302e_4bae_850c_0e0a4a5c1f7f">'Cash Forecast_8A import-export'!$B$126</definedName>
    <definedName name="_57989068_bae5_4f72_a2cd_07dcef5a0f9d">'ImpactOutcome_Import-Export'!$V$14</definedName>
    <definedName name="_58688753_2269_4706_aa76_811072f7bc41">'ImpactOutcome_Import-Export'!$AB$14</definedName>
    <definedName name="_5964bf2a_f817_48ff_9e06_7e56e0638f86">'Disagg.1A_import-export'!$I$7</definedName>
    <definedName name="_597e8d3d_32ee_45e3_8e2d_d65638857605">'PR Expenditure_7A import-export'!$D$62</definedName>
    <definedName name="_5bdd450e_2459_43a5_b105_fb959e94136f">'SR Cash Recon Import Export'!$J$5</definedName>
    <definedName name="_5c28ac45_35fb_4591_bd80_c9f95a8ca23a">'LFA Expenditure_7B imp-exp'!$J$109</definedName>
    <definedName name="_5d18f182_f698_44f0_aed5_04a8dd506275">'Cash Forecast_8A import-export'!$D$126</definedName>
    <definedName name="_5e40e79f_519f_4568_95c5_d8ab14aef9db">'Budget Variance Import-Export'!$E$14</definedName>
    <definedName name="_5e551a34_038c_4c2d_bc82_a379518df6b5" comment="Display Map">'Cash Forecast_8A import-export'!$B$132:$M$136</definedName>
    <definedName name="_5edf1531_f3e5_4e0a_bd34_5ac93f7d7ae8">'WPTM_1C  Import-Export'!$AE$8</definedName>
    <definedName name="_5f30ac0f_9168_4505_b03b_45ef2c5c9822">MitigationAction!$B$3</definedName>
    <definedName name="_5f428323_9197_4912_8b29_c91f320a2f34">'Admin Sheet'!$C$5</definedName>
    <definedName name="_5f94f414_579a_4f00_93d8_b3a903cc0460" comment="Display Map">'Disaggregation1B_Import-Export'!$A$7:$AQ$47</definedName>
    <definedName name="_5fc8d853_c679_4a06_bfcf_5a675070866e">'Budget Variance Import-Export'!$E$8</definedName>
    <definedName name="_60976000_ae62_452e_bfd0_374454389f85">'Budget Variance Import-Export'!$E$14</definedName>
    <definedName name="_610e3fb5_5a62_4ece_b8f4_199dbf408fa1">'Disagg.1A_import-export'!$O$11</definedName>
    <definedName name="_613ce52f_39d4_4b5e_b7c2_e543527f0aab">'PR-LFA Evaluation_5'!$B$73</definedName>
    <definedName name="_6185a387_212d_4c63_bdd3_ff6ea6d83529" comment="Display Map">'Coverage Indicator_Import-Expor'!$A$6:$BA$30</definedName>
    <definedName name="_61adcfad_564c_4ecb_95db_42dd5dcb05ce">'Cash Forecast_8A import-export'!$D$133</definedName>
    <definedName name="_623bdfdb_1527_496a_a91f_015812650e10">'PR Expenditure_7A import-export'!$J$4</definedName>
    <definedName name="_627ca42b_04e2_43b0_9dd3_6a366d7df9ec">'Budget Variance Import-Export'!$C$14</definedName>
    <definedName name="_63454265_3248_4db3_b9bf_b1ec2b9e58a7">'Disagg.1A_import-export'!$V$7</definedName>
    <definedName name="_63513477_0cc3_44cf_84ab_1a7dd71fcbc6">'ImpactOutcome_Import-Export'!$N$7</definedName>
    <definedName name="_65451ff8_d6f9_443b_a146_6383585874f8">'Disagg.1A_import-export'!$N$11</definedName>
    <definedName name="_66241d40_fd19_4d9c_a228_2b1a72cf88e9">'Cash Forecast_8A import-export'!$J$29</definedName>
    <definedName name="_6650be55_c255_4b6d_ac4c_5b38cbe5b001">'Disaggregation1B_Import-Export'!$AJ$8</definedName>
    <definedName name="_66f743f8_2ef5_4ccb_9d3b_6c6eda3703bf">'LFA Expenditure_7B imp-exp'!$J$2</definedName>
    <definedName name="_678802fe_7e9d_48d3_b774_928685b080ec">'WPTM_1C  Import-Export'!$R$8</definedName>
    <definedName name="_67b58063_9bea_4748_a15f_138a3786f110">'Cash Forecast_8A import-export'!$F$76</definedName>
    <definedName name="_680ad8f9_9d02_4aeb_99ab_17766228eaa1">'LFA Expenditure_7B imp-exp'!$A$62</definedName>
    <definedName name="_6834d968_c6d7_436e_a9ac_2de78f18e8d7">'Disaggregation1B_Import-Export'!$AL$8</definedName>
    <definedName name="_6925a659_4279_47ee_9a50_4867b4ac0252">'Budget Variance Import-Export'!$I$15</definedName>
    <definedName name="_6934972c_41d5_4939_8b99_40efdebcda1e">'Cash Forecast_8A import-export'!$C$126</definedName>
    <definedName name="_69cf8864_db61_4ee2_b62a_20d0a6f7afc7">'ImpactOutcome_Import-Export'!$Y$14</definedName>
    <definedName name="_69e738ec_0700_48e5_8002_a63b407578e9">'Disagg.1A_import-export'!$Q$7</definedName>
    <definedName name="_6a157f31_945d_4b0f_930b_f53beefc2033">'ImpactOutcome_Import-Export'!$AA$14</definedName>
    <definedName name="_6b12ded8_b9ab_41d4_886b_f4ad8c0ce8fc">'PR Cash Recon Import-Export'!$G$4</definedName>
    <definedName name="_6b21f6a6_a3d0_4f35_81b4_9ae97f96d70c">'WPTM_1C  Import-Export'!$O$8</definedName>
    <definedName name="_6b55a2ec_c9cd_4f5a_8bba_903cf09663c2">'Cash Forecast_8A import-export'!$F$123</definedName>
    <definedName name="_6b6e13da_6252_4fdc_b103_637a53070bb9">'Coversheet Import-Export'!$B$5</definedName>
    <definedName name="_6b719f39_1663_426e_838d_d860f92f2308">'Admin Sheet'!$D$5</definedName>
    <definedName name="_6c33d3db_5d78_4df9_9d73_7ad4d9358049">'Budget Variance Import-Export'!$E$11</definedName>
    <definedName name="_6d036d43_bea7_4cee_a3d7_d036c46ef46d">Procurement_3!$N$75</definedName>
    <definedName name="_6d5b3777_03ae_4be7_8f94_e74e2c9b8070" comment="Display Map">RiskData!$B$5:$D$10</definedName>
    <definedName name="_6dd5f3b2_76a5_4885_ab3a_261d32dee719">'PR Expenditure_7A import-export'!$C$2</definedName>
    <definedName name="_6e0cad89_1375_46d6_85a6_28db613ac88a">'PR Expenditure_7A import-export'!$D$127</definedName>
    <definedName name="_6e57f82c_17b1_4fda_abfb_0f2e22d44f1c">'Coversheet Import-Export'!$B$9</definedName>
    <definedName name="_6e63c362_5fe1_416d_9f41_7ad582955221">'PR Cash Recon Import-Export'!$F$4</definedName>
    <definedName name="_6e8071c8_c4ae_4b61_9592_a8a77c0b7472">'PR Expenditure_7A import-export'!$A$127</definedName>
    <definedName name="_6eacce5f_389e_40c4_9df5_f019b7962a91">RiskData!$H$14</definedName>
    <definedName name="_6ecf7e83_bf38_48ce_9f75_06e710f915b2">'Coversheet Import-Export'!$B$16</definedName>
    <definedName name="_6ef9ab1f_6e6d_4e39_b2db_7a45030174c1">'SR Cash Recon Import Export'!$L$5</definedName>
    <definedName name="_6f487020_123a_43cf_85d6_29245451544e">'Cash Forecast_8A import-export'!$R$76</definedName>
    <definedName name="_701490a0_c8d0_4d61_91f4_83c13fe6ed3d">'WPTM_1C  Import-Export'!$A$8</definedName>
    <definedName name="_70506951_a1a6_4f1e_99f8_1267b00320f7">'WPTM_1C  Import-Export'!$AD$8</definedName>
    <definedName name="_70566cd6_c835_4289_91d0_08a3c9c26817">'LFA_Findings&amp;Recom export'!$Q$3</definedName>
    <definedName name="_707f850a_c07b_4b54_a665_c0f12479c030">'Budget Variance Import-Export'!$I$14</definedName>
    <definedName name="_714a1110_07ce_4897_90da_b0009b6f3c7d">'Cash Forecast_8A import-export'!$B$123</definedName>
    <definedName name="_714b8e8a_042a_45e3_ad3e_2dd6e788da1c">'LFA Expenditure_7B imp-exp'!$C$4</definedName>
    <definedName name="_7162822c_3f75_49af_ae42_7e03489b400d">RiskData!$B$40</definedName>
    <definedName name="_71a7092b_e923_4657_9540_e8cd93553ad4">'ImpactOutcome_Import-Export'!$AD$14</definedName>
    <definedName name="_722e9836_0a25_4f0a_a0ae_efa18a2948e0">'PR Expenditure_7A import-export'!$A$62</definedName>
    <definedName name="_72556b6e_a0e8_40c3_a842_b12f64c6871e">'Cash Forecast_8A import-export'!$B$185</definedName>
    <definedName name="_7268c752_e187_487c_ae1f_8d8e309992e6">'PR Expenditure_7A import-export'!$Q$109</definedName>
    <definedName name="_73eaac44_276b_4bd8_afcd_7fbc9741f007">'Cash Forecast_8A import-export'!$F$9</definedName>
    <definedName name="_74873009_7e38_4b0c_9ff7_5d16181137fa">'Admin Sheet'!$B$44</definedName>
    <definedName name="_753b25ee_8603_4b51_ab70_af6d128e1c67">'PR Cash Recon Import-Export'!$B$4</definedName>
    <definedName name="_7565ba9e_befa_4561_9280_faee51a22254">'Cash Forecast_8A import-export'!$D$29</definedName>
    <definedName name="_7570528c_86d3_4cd3_99c6_e66d45eaf78a">'LFA Expenditure_7B imp-exp'!$Q$4</definedName>
    <definedName name="_757bbdaf_a251_4e14_80bf_570115bbd806">'Budget Variance Import-Export'!$C$8</definedName>
    <definedName name="_75ac4799_f046_4f3a_82c4_f3e1c519a0c6">'LFA_Findings&amp;Recom export'!$J$3</definedName>
    <definedName name="_7779e57c_3bed_4aa2_9bfb_51a715fb2b5f">'Cash Forecast_8A import-export'!$I$126</definedName>
    <definedName name="_7813fafd_b269_4d04_a45c_afac5be852b0">'Coverage Indicator_Import-Expor'!$O$7</definedName>
    <definedName name="_787ff88b_a183_4cb5_bc2b_2e8e0b979e76">'Coverage Indicator_Import-Expor'!$A$7</definedName>
    <definedName name="_78bfad15_335d_4773_9ea3_22dbf845ec19">'Coversheet Import-Export'!$B$19</definedName>
    <definedName name="_79022082_d3d2_4108_89c1_64832a18b4bf">'LFA_Findings&amp;Recom export'!$R$3</definedName>
    <definedName name="_79035320_bad6_47bc_8a61_1bcb6b4baab8">'SR Cash Recon Import Export'!$N$5</definedName>
    <definedName name="_791c5822_dba9_4243_b810_c7debba87c9d">'ImpactOutcome_Import-Export'!$AD$7</definedName>
    <definedName name="_7a37da6d_557e_498a_b45a_45e538c7c953">'PR Expenditure_7A import-export'!$C$127</definedName>
    <definedName name="_7a428d4c_4a03_4517_a855_fd15ab3e70e6">'Disagg.1A_import-export'!$G$7</definedName>
    <definedName name="_7a81d0c5_d1ef_45e4_a825_b7f0c84481c8">'Coverage Indicator_Import-Expor'!$G$7</definedName>
    <definedName name="_7a9db33a_b396_4e3d_801a_808fb2e6434c">'Disagg.1A_import-export'!$U$11</definedName>
    <definedName name="_7b228704_0b7d_4fb6_ad6d_ec11fd6ca43e">'Coversheet Import-Export'!$B$14</definedName>
    <definedName name="_7bebb4a9_96b4_4bf7_a9bf_df97a4d5a18b">'ImpactOutcome_Import-Export'!$AF$14</definedName>
    <definedName name="_7c9346fa_4733_469d_9036_151df2985791">'Disagg.1A_import-export'!$AJ$11</definedName>
    <definedName name="_7d06a65e_780e_4a94_b66d_6fb9f9e77f5a">'PR Expenditure_7A import-export'!$A$49</definedName>
    <definedName name="_7de2c6e1_0d3f_4ff9_8a70_503e84eb4988">'Reference Records'!$K$13</definedName>
    <definedName name="_7e306497_8a26_45c9_9ebd_fd72770df537">'Disaggregation1B_Import-Export'!$R$8</definedName>
    <definedName name="_7f322098_a2c9_4f4f_b089_d02adca9a751" comment="Display Map">'Cash Forecast_8A import-export'!$A$8:$R$22</definedName>
    <definedName name="_7f58e83f_15cc_4916_9c7c_178f10eba2bc">'Grant Management_4 imp-exp'!$G$2</definedName>
    <definedName name="_7f9e1529_2908_49a2_8acb_9352161fca84">'Budget Variance Import-Export'!$I$11</definedName>
    <definedName name="_8011a3f0_bdce_48f5_910d_54f4bb117c23">'PR Expenditure_7A import-export'!$A$4</definedName>
    <definedName name="_802c7c9d_99a5_4cbc_9792_1d7f4106a506">'Budget Variance Import-Export'!$E$12</definedName>
    <definedName name="_803b0ec6_ba51_4d34_99a9_9e92dcff52b7">'ImpactOutcome_Import-Export'!$R$7</definedName>
    <definedName name="_80a61ef2_e922_4de9_ba0c_69186e929029">'Coversheet Import-Export'!$B$6</definedName>
    <definedName name="_81493a42_01f0_4e58_beda_232c41e9af32">'Disaggregation1B_Import-Export'!$F$8</definedName>
    <definedName name="_81be5b15_31f3_4e68_8178_437ca3b96a38">'ImpactOutcome_Import-Export'!$U$7</definedName>
    <definedName name="_821a99a0_960d_4b7e_b8bf_7115b6e846fa">'LFA Expenditure_7B imp-exp'!$J$49</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e1ee3f_bcec_4ca2_b8db_25777425bbec">'LFA Expenditure_7B imp-exp'!$O$127</definedName>
    <definedName name="_84cd37a2_09e0_4158_b7ef_391f6df7c768">'Cash Forecast_8A import-export'!$J$9</definedName>
    <definedName name="_851bd1dc_0ff5_47b8_afb2_6ad15d068d02" comment="Display Map">'PR Expenditure_7A import-export'!$A$108:$Q$124</definedName>
    <definedName name="_8530f2c7_dd02_45e9_bd41_e6eddc22b9c7" comment="Display Map">'PR Expenditure_7A import-export'!$A$1:$Q$1</definedName>
    <definedName name="_8634e574_8191_4364_a720_0e0b4b2266ba">'Budget Variance Import-Export'!$E$15</definedName>
    <definedName name="_867e0d0e_5535_4d68_9b9a_3d74442b4a14">'Cash Forecast_8A import-export'!$A$29</definedName>
    <definedName name="_86862528_02bf_45a2_992c_739412d2e901">'ImpactOutcome_Import-Export'!$K$7</definedName>
    <definedName name="_86f2dfad_9490_48ce_ad8c_8d0217c95a23">'Cash Forecast_8A import-export'!$M$126</definedName>
    <definedName name="_878b3111_c470_4e7f_9c43_e3d2ad59e41c">'Cash Forecast_8A import-export'!$A$176</definedName>
    <definedName name="_88939632_4e82_482c_b58b_2926e6e6319b">'Admin Sheet'!$B$52</definedName>
    <definedName name="_89fb7e59_34f8_4e2b_a646_59d1e86de0b9">'LFA Expenditure_7B imp-exp'!$A$2</definedName>
    <definedName name="_8ae31e70_a27c_44ae_8725_1ebb73838f5b">'Budget Variance Import-Export'!$I$11</definedName>
    <definedName name="_8ccbcc82_3f76_4302_a2db_361f5f5b6e86">'ImpactOutcome_Import-Export'!$S$7</definedName>
    <definedName name="_8cdd7412_b22d_44d3_8ec0_8b8d2691c568">'Grant Management_4 imp-exp'!$P$19</definedName>
    <definedName name="_8dbad7af_66b9_4864_9095_29d573d6dbcd">'SR Cash Recon Import Export'!$H$5</definedName>
    <definedName name="_8e023779_91f3_4941_8ea6_8b93848e08ab" comment="Display Map">'LFA Expenditure_7B imp-exp'!$A$48:$O$59</definedName>
    <definedName name="_8ea4fb0f_668b_4ce7_be9c_6b23dd2aeb87">'Cash Forecast_8A import-export'!$M$123</definedName>
    <definedName name="_8ebe7255_4945_49ff_a4ae_52831126b49a">'ImpactOutcome_Import-Export'!$U$14</definedName>
    <definedName name="_8ee811b0_f840_4860_8f13_c2034ddc0bf5">'Coversheet Import-Export'!$B$24</definedName>
    <definedName name="_8ef32e09_df30_424b_9feb_f1e4caee2f06">'Disaggregation1B_Import-Export'!$AN$8</definedName>
    <definedName name="_903dca89_26fd_4a4e_9a18_29033ee7365c">'Budget Variance Import-Export'!$E$15</definedName>
    <definedName name="_904bbc6d_3100_44ea_bb67_7c7bb0b6b8eb">'Reference Records'!$D$6</definedName>
    <definedName name="_90af6756_4847_4b58_bff3_9a6e124483ea" comment="Display Map">'LFA Expenditure_7B imp-exp'!$A$1:$Q$1</definedName>
    <definedName name="_91372bc4_151c_471b_b3cc_72b9232bd0b3">'Disaggregation1B_Import-Export'!$AP$8</definedName>
    <definedName name="_913ff54d_49ce_48d1_a2c3_f80669d36837">'Cash Forecast_8A import-export'!$H$133</definedName>
    <definedName name="_916d0e87_3ca0_4bb2_8a22_f5171202f2bc">'PR Cash Recon Import-Export'!$D$4</definedName>
    <definedName name="_918478d7_b215_42d8_aff0_de2eda91af03">'Disaggregation1B_Import-Export'!$AE$8</definedName>
    <definedName name="_91a560c9_2c62_48ed_85e4_44811e19b8b8">'Reference Records'!$B$222</definedName>
    <definedName name="_92853b6c_3001_41e6_a203_eca37b9b7da2">'Grant Management_4 imp-exp'!$L$19</definedName>
    <definedName name="_929dc0e7_2ff6_40aa_ab32_942235c392de">'Cash Forecast_8A import-export'!$H$123</definedName>
    <definedName name="_93fb57ea_977f_4441_8030_f00390ec26a1">'Cash Forecast_8A import-export'!$F$29</definedName>
    <definedName name="_94db21c7_c958_49e2_9dbc_5a4aeaad8ab8">'ImpactOutcome_Import-Export'!$E$14</definedName>
    <definedName name="_952895f5_a58d_450f_8b04_5e10eb66a9bb">'ImpactOutcome_Import-Export'!$I$7</definedName>
    <definedName name="_95496991_4e79_4834_9a3d_e94e6ee33295">'LFA Expenditure_7B imp-exp'!$O$62</definedName>
    <definedName name="_96216c52_3538_4325_8126_72dc62827a1b">'Budget Variance Import-Export'!$C$11</definedName>
    <definedName name="_96256379_c718_4181_bf73_973e478593e9">'Disagg.1A_import-export'!$H$7</definedName>
    <definedName name="_967730a3_91b4_4004_9fcb_63018a16119d">'ImpactOutcome_Import-Export'!$T$7</definedName>
    <definedName name="_97ae640e_1da8_44bd_8afb_a3377cf0daef">'ImpactOutcome_Import-Export'!$W$7</definedName>
    <definedName name="_982c43d0_8831_49b9_9e1a_1be56ebefa3a">'ImpactOutcome_Import-Export'!$AA$7</definedName>
    <definedName name="_9835f238_52ec_4e0a_99ce_1ef1c89b9777">'Disaggregation1B_Import-Export'!$I$8</definedName>
    <definedName name="_98ea11c4_d506_48e8_a3ec_3c854deab218" comment="Display Map">'Cash Forecast_8A import-export'!$A$175:$F$180</definedName>
    <definedName name="_99763322_db0d_42bb_a4c0_24b913373b81">'PR Expenditure_7A import-export'!$O$127</definedName>
    <definedName name="_99e27692_a199_46c2_b415_80e4c984f65b">'Disaggregation1B_Import-Export'!$AI$8</definedName>
    <definedName name="_9a0157b9_7f98_4288_b80a_b04b7c04d49f">'Budget Variance Import-Export'!$I$15</definedName>
    <definedName name="_9abe3826_5ff6_4721_b451_4c70f3820124">'SR Cash Recon Import Export'!$K$5</definedName>
    <definedName name="_9af627e5_abec_4455_855e_4f8fc06a30e2">'Cash Forecast_8A import-export'!$J$107</definedName>
    <definedName name="_9c40e61e_0516_444c_87ad_54d38ce2b666">'Disagg.1A_import-export'!$AB$11</definedName>
    <definedName name="_9c43eb49_271e_490b_9865_056296ec43b4">'WPTM_1C  Import-Export'!$H$8</definedName>
    <definedName name="_9c5b61f9_8dbb_43e7_b314_90d1996f060f">'LFA Expenditure_7B imp-exp'!$B$109</definedName>
    <definedName name="_9cf94b37_886d_453a_b059_da5488baf1e2">'ImpactOutcome_Import-Export'!$L$14</definedName>
    <definedName name="_9dde933d_22e2_46f8_a29c_722bba867063">'ImpactOutcome_Import-Export'!$I$14</definedName>
    <definedName name="_9f7ec0d9_8a4d_4bd6_9961_b57e500006ca">'LFA_Findings&amp;Recom export'!$W$3</definedName>
    <definedName name="_9fa0cd09_00bb_439b_bc3d_5c5a815ba6fc">'Cash Forecast_8A import-export'!$K$29</definedName>
    <definedName name="_9fce8f4e_eefa_4e29_bf9d_4a4144fa921f">'PR Expenditure_7A import-export'!$O$62</definedName>
    <definedName name="_a14b36a6_14d7_4205_b67e_ef33bc3a5036">'PR Expenditure_7A import-export'!$C$109</definedName>
    <definedName name="_a1abe75b_a507_43b9_a541_8f3bcf9a48fb">'PR Expenditure_7A import-export'!$H$49</definedName>
    <definedName name="_a22893e8_3225_4a39_954e_e68fa6d9b0b8">'SR Cash Recon Import Export'!$B$5</definedName>
    <definedName name="_a23fe999_dc9b_4213_bccb_5c568ed4b039">'ImpactOutcome_Import-Export'!$M$7</definedName>
    <definedName name="_a2857c43_ccfe_45c1_a2a7_bc56bcfe6778">'Disagg.1A_import-export'!$AI$11</definedName>
    <definedName name="_a2aaa526_cf11_4922_85a7_9854e82e9502">'Grant Management_4 imp-exp'!$J$19</definedName>
    <definedName name="_a3fa33e3_07de_4eb6_b887_60216f0ee76c">'Cash Forecast_8A import-export'!$N$9</definedName>
    <definedName name="_a44e3768_6d83_4529_86aa_fbe88f50c1d2">'WPTM_1C  Import-Export'!$J$8</definedName>
    <definedName name="_a5a76272_69b1_42b6_b763_8f95ba59ec2f">'Cash Forecast_8A import-export'!$A$107</definedName>
    <definedName name="_a5f4b763_02ba_490b_bdf2_075ab2f779e9">'Cash Forecast_8A import-export'!$C$168</definedName>
    <definedName name="_a5f4cda3_c18f_42a5_b519_90eec3da07fb" comment="Display Map">'Reference Records'!$B$221:$G$297</definedName>
    <definedName name="_a5fc1271_d4b7_497b_9bd4_4a8f37306cc7" comment="Display Map">'ImpactOutcome_Import-Export'!$A$13:$AL$20</definedName>
    <definedName name="_a60abff5_0f4c_41d2_9828_7d3090a17cbf">'LFA Expenditure_7B imp-exp'!$P$4</definedName>
    <definedName name="_a6611be2_bac6_4d94_b5a4_7bbcf175e5f2">'Grant Management_4 imp-exp'!$I$19</definedName>
    <definedName name="_a76f074b_9d94_4d0d_98fb_afe277ad1e23">'LFA Expenditure_7B imp-exp'!$P$2</definedName>
    <definedName name="_a77d8694_d870_45fa_bcbd_e06d24d74b95">Procurement_3!$N$73</definedName>
    <definedName name="_a7c2f89e_a66c_4d30_8a86_597d6360be7b">'WPTM_1C  Import-Export'!$Y$8</definedName>
    <definedName name="_a7ffe0d7_744c_4862_87e2_b2bf0533330e">'PR Expenditure_7A import-export'!$A$2</definedName>
    <definedName name="_a817ac8d_c187_421e_9188_86f7a0c2dca7">'Disaggregation1B_Import-Export'!$A$8</definedName>
    <definedName name="_a885e521_1554_4dd5_9eec_868a0a914fa1">'LFA Expenditure_7B imp-exp'!$B$62</definedName>
    <definedName name="_a89122c7_e052_476b_818f_e3953cf2fbb2">'Disaggregation1B_Import-Export'!$AQ$8</definedName>
    <definedName name="_a8da9045_3946_4e4d_bcbd_22a78f8f822d" comment="Display Map">'Reference Records'!$B$53:$K$218</definedName>
    <definedName name="_a94da0e9_edd8_4c95_9cac_99b226f116f2">'Coverage Indicator_Import-Expor'!$Z$7</definedName>
    <definedName name="_aa2d0228_61bd_43df_b14c_892ebeb9a987">'Coverage Indicator_Import-Expor'!$I$7</definedName>
    <definedName name="_aae5995c_f9cd_459d_a3d8_3202590baa40">'WPTM_1C  Import-Export'!$AJ$8</definedName>
    <definedName name="_ab1461bb_110c_4386_91ba_f4df2ceec177">'Disagg.1A_import-export'!$AH$11</definedName>
    <definedName name="_ab242d07_534b_4707_8ee1_84320b5935c4">'ImpactOutcome_Import-Export'!$J$14</definedName>
    <definedName name="_acb39a84_4b53_4a4d_add1_72f573a4bd1b">'ImpactOutcome_Import-Export'!$P$7</definedName>
    <definedName name="_ad22d3ea_23dd_4b9b_beb9_3d48444973d9">'WPTM_1C  Import-Export'!$AC$8</definedName>
    <definedName name="_add56880_214e_4467_a781_1be0dd9550b7">'Cash Forecast_8A import-export'!$B$76</definedName>
    <definedName name="_adfa2069_54bd_49dd_aff7_58a515100443">'Disagg.1A_import-export'!$O$7</definedName>
    <definedName name="_ae9a2a01_8185_4a39_a817_1c3af401cf73">'Disagg.1A_import-export'!$Z$7</definedName>
    <definedName name="_aec1a272_c9a6_4aee_a850_bef1de45940d">'Disaggregation1B_Import-Export'!$L$8</definedName>
    <definedName name="_af573a1f_b2d3_48c8_8613_0e4e90e8c1a0">'LFA_Findings&amp;Recom export'!$A$3</definedName>
    <definedName name="_af9ed7e9_1f65_41a0_9cba_145514afe9cb">'PR-LFA Evaluation_5'!$B$75</definedName>
    <definedName name="_afa1d7f1_07c5_4c9c_bad0_0b92824b78e5">'Cash Forecast_8A import-export'!$H$29</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625f64_eaeb_40bb_ad1b_ec1363ab1548">'Coverage Indicator_Import-Expor'!$M$7</definedName>
    <definedName name="_b261651c_e6fe_469e_a74c_95794370d1d2">'PR Expenditure_7A import-export'!$B$62</definedName>
    <definedName name="_b2735405_dd56_44ce_9ea7_7c9dcc4cf6e1">'Budget Variance Import-Export'!$C$9</definedName>
    <definedName name="_b316be10_ca52_4dc0_9663_272f8ab22240">'WPTM_1C  Import-Export'!$N$8</definedName>
    <definedName name="_b351d9ea_276d_43fa_9512_4c790d698103">'Coverage Indicator_Import-Expor'!$AF$7</definedName>
    <definedName name="_b3cc0443_68e1_44fa_857f_4107474e6e5c" comment="Display Map">'Cash Forecast_8A import-export'!$A$75:$R$101</definedName>
    <definedName name="_b4109a2f_dd4d_4976_bbb9_5e1603f6ae69">'Cash Forecast_8A import-export'!$B$176</definedName>
    <definedName name="_b47c89f6_55b2_42fa_bc4e_35c0c432ee8d">'PR Expenditure_7A import-export'!$O$49</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69c7284_2401_4bb4_8762_88ce6c289c8e">'PR Expenditure_7A import-export'!$J$49</definedName>
    <definedName name="_b76d8b1c_1420_4d82_b636_3d27611e65ca" comment="Display Map">'Cash Forecast_8A import-export'!$B$125:$M$129</definedName>
    <definedName name="_b7d62972_db5a_49a3_abef_e5a608e13fbe">'Grant Management_4 imp-exp'!$A$2</definedName>
    <definedName name="_b7f35b87_0218_4f3d_a11a_6bb851c3e04d">'Coverage Indicator_Import-Expor'!$AI$7</definedName>
    <definedName name="_b83f9545_ce29_49ca_9cc9_99031942d021">'Cash Forecast_8A import-export'!$B$168</definedName>
    <definedName name="_b959beb9_1131_4cbf_a1c8_851b24abd42a" comment="Display Map">'LFA Expenditure_7B imp-exp'!$A$3:$Q$47</definedName>
    <definedName name="_b95c23fc_a2fc_4a61_9cc5_bb924ba6dad4">MitigationAction!$D$3</definedName>
    <definedName name="_b9bf2746_7863_48db_8876_171a71bfca6f">'Coverage Indicator_Import-Expor'!$P$7</definedName>
    <definedName name="_b9ee0cc6_4b19_4cf8_9bd9_add104378235">'WPTM_1C  Import-Export'!$V$8</definedName>
    <definedName name="_ba560e05_07f5_438a_a468_ee8a6c96e8b9">'Cash Forecast_8A import-export'!$I$133</definedName>
    <definedName name="_ba667b40_f388_49ed_8488_04e4561f1485">'LFA Expenditure_7B imp-exp'!$E$62</definedName>
    <definedName name="_baa8e656_b3bc_4c85_89e2_5d6b657bad20" comment="Save Map">'SR Cash Recon Import Export'!$A$4:$N$105</definedName>
    <definedName name="_bac905a9_63ef_4f3d_b302_9df2fdd2980b">'Admin Sheet'!$B$3</definedName>
    <definedName name="_bafc2b11_64ef_4927_88fb_370bc23eea5e">'Coversheet Import-Export'!$B$7</definedName>
    <definedName name="_bb415c23_c8e5_48c4_9fcd_6ae35924e6cd">'Cash Forecast_8A import-export'!$E$29</definedName>
    <definedName name="_bb54d7c2_389f_44a0_a4ad_9dd5575908d8">'Disaggregation1B_Import-Export'!$O$8</definedName>
    <definedName name="_bb7b6ae9_9b82_4c83_ba59_3b569d3921df">'Disagg.1A_import-export'!$Q$11</definedName>
    <definedName name="_bb9621d9_0d13_49e0_bd0f_2e7c8de27cae">'WPTM_1C  Import-Export'!$X$8</definedName>
    <definedName name="_bbfbd99a_1ffd_42e5_b449_9d7101abff3f">'Coversheet Import-Export'!$B$15</definedName>
    <definedName name="_bcbca8f4_dfbb_4ab1_bed9_2bbbbc723c2b">'Coverage Indicator_Import-Expor'!$H$7</definedName>
    <definedName name="_be87a682_668e_4763_888a_ad12880fe703">'Coverage Indicator_Import-Expor'!$T$7</definedName>
    <definedName name="_be90e842_bf92_4970_a904_cd13c24d278d">'Disagg.1A_import-export'!$R$7</definedName>
    <definedName name="_c03a14fb_b9ac_4d7d_af4a_30bd3bf36470">'Disaggregation1B_Import-Export'!$X$8</definedName>
    <definedName name="_c0c38578_1a8b_4284_b032_79a5ebb082f1" comment="Display Map">'PR Expenditure_7A import-export'!$A$3:$Q$47</definedName>
    <definedName name="_c1a973af_b197_4a55_bd6d_98a3b2c97a5c">'PR Expenditure_7A import-export'!$P$4</definedName>
    <definedName name="_c1aa6c49_3369_49b8_a4e8_bc30d7e5e378">'Reference Records'!$E$54</definedName>
    <definedName name="_c1be7177_de14_442d_9890_3f659942f691">RiskData!$C$14</definedName>
    <definedName name="_c1cde4db_a9a8_4995_b96f_44af933d6589">'Coverage Indicator_Import-Expor'!$D$7</definedName>
    <definedName name="_c2b5e028_1858_45d3_92f6_47e0c406c62e">'Reference Records'!$D$6:$D$9</definedName>
    <definedName name="_c2e48005_1f6a_4232_a75d_574f1c2240ca">'Coversheet Import-Export'!$B$12</definedName>
    <definedName name="_c2f07494_8767_4f88_bf1f_a2fe1d569547">'Reference Records'!$D$54</definedName>
    <definedName name="_c2f7f4a7_9ed6_400c_a2e8_3bda88454b04">'LFA Expenditure_7B imp-exp'!$K$127</definedName>
    <definedName name="_c3af1588_91cd_4759_9dad_bd901f279d47">'Cash Forecast_8A import-export'!$A$185</definedName>
    <definedName name="_c3b4ba75_9457_4a46_80e3_4e8205b9d18b">'Cash Forecast_8A import-export'!$F$185</definedName>
    <definedName name="_c3e8fe73_7640_4272_9908_71499cbbe1b0">'Cash Forecast_8A import-export'!$C$76</definedName>
    <definedName name="_c4a3a71e_2de3_4743_8c00_1ef1231b158f">'PR Cash Recon Import-Export'!$A$4</definedName>
    <definedName name="_c55aa8c5_5b05_40e7_aafb_69f3530da442">'Disaggregation1B_Import-Export'!$V$8</definedName>
    <definedName name="_c56bd5c8_8f95_4a7a_8cf5_567fb1694ad0">'Disagg.1A_import-export'!$I$11</definedName>
    <definedName name="_c58c82c9_a86b_4cd0_831c_ac3631fbdd15">'PR Cash Recon Import-Export'!$I$4</definedName>
    <definedName name="_c5b37d10_b0bc_4a9b_b413_fc94389209f7">'Admin Sheet'!$B$55</definedName>
    <definedName name="_c5cca34c_2d5b_499b_8300_a0846a99774b">'LFA Expenditure_7B imp-exp'!$Q$2</definedName>
    <definedName name="_c60ff4aa_88c1_4502_b3a1_288f7d6a6b04" comment="Display Map">'Disagg.1A_import-export'!$A$6:$AM$6</definedName>
    <definedName name="_c64e2e20_e1c7_4750_a557_92c33213d455" comment="Display Map">'LFA Expenditure_7B imp-exp'!$A$126:$O$131</definedName>
    <definedName name="_c6a0dd45_9639_4ac4_8c1a_731df8bc21ca">'Disagg.1A_import-export'!$Z$11</definedName>
    <definedName name="_c6fcd9f1_f600_4357_8ea7_4ef4daa64bcb" comment="Display Map">'Reference Records'!$B$12:$K$47</definedName>
    <definedName name="_c72c7908_d85f_4c20_9327_98fada112458">'ImpactOutcome_Import-Export'!$R$14</definedName>
    <definedName name="_c74ad0d3_f3a5_4d56_92f8_75d3a6567ba1">'Cash Forecast_8A import-export'!$F$176</definedName>
    <definedName name="_c7c5c355_9a58_4b6d_9db7_d801b7ca0e54">'Disagg.1A_import-export'!$N$7</definedName>
    <definedName name="_c90c77af_8811_4316_aa43_575099388641">'Cash Forecast_8A import-export'!$E$126</definedName>
    <definedName name="_c956cc48_a7c4_4c5d_959e_931956eb1d4f" comment="Display Map">RiskData!$B$39:$H$289</definedName>
    <definedName name="_c96201ae_74da_4b0d_8962_0d32bcd26863">'Admin Sheet'!$B$5</definedName>
    <definedName name="_c967a233_07b0_49c7_8ff1_927d8463ae7e">MitigationAction!$C$3</definedName>
    <definedName name="_cadc707c_8dd5_4c56_8866_f3409b9e4508">'Grant Management_4 imp-exp'!$O$19</definedName>
    <definedName name="_cbc131d3_bdb1_44f5_9bae_64fabcd232f8">'Admin Sheet'!$B$1</definedName>
    <definedName name="_cbe0c769_a98a_40f8_9c4a_c9b0946d5ace">'Disaggregation1B_Import-Export'!$U$8</definedName>
    <definedName name="_cc89bd44_a5ec_46a7_9bdd_ef07c3551952" comment="Display Map">'PR Cash Recon Import-Export'!$A$3:$I$40</definedName>
    <definedName name="_cd7530c2_0621_4a72_9a4e_7b28f1dbf5bb">'Grant Management_4 imp-exp'!$F$2</definedName>
    <definedName name="_cd92fcfe_e645_41ba_b92f_9cd3a6ed08b1">'Cash Forecast_8A import-export'!$F$133</definedName>
    <definedName name="_cdbfe4e1_c112_4fac_9d9e_27ab96fdcfec" comment="Display Map">MitigationAction!$A$2:$F$2</definedName>
    <definedName name="_ce004fb4_319a_433f_9023_ec2a6b64d175">'Disaggregation1B_Import-Export'!$T$8</definedName>
    <definedName name="_ce120700_ae5c_4ded_8bab_3bbb696d6d1c">'Disagg.1A_import-export'!$AJ$7</definedName>
    <definedName name="_ce2cc983_ccc3_4253_abf2_f1e85f90a00e">'PR Expenditure_7A import-export'!$Q$2</definedName>
    <definedName name="_d01416b2_18ec_40be_a8d9_2c4e9899fe85">'Grant Management_4 imp-exp'!$G$19</definedName>
    <definedName name="_d04b21b2_2547_40ac_8706_573e7564c03f">'Disagg.1A_import-export'!$F$7</definedName>
    <definedName name="_d0785161_ce43_4dd0_a64b_2676c7f3539a">RiskData!$D$40</definedName>
    <definedName name="_d0e80b24_abb1_49ca_98e8_e4a4f83d98c3">'Coversheet Import-Export'!$B$20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2996517_3780_4bf1_9a55_0baa67d4b8a7">'PR Expenditure_7A import-export'!$P$2</definedName>
    <definedName name="_d2a3cd2b_73dd_41a6_b148_794c423c4f26">'LFA Expenditure_7B imp-exp'!$J$4</definedName>
    <definedName name="_d2ee3817_001d_4613_a901_9f1d6c79813f">'Disagg.1A_import-export'!$AK$7</definedName>
    <definedName name="_d345fa15_e608_40a1_b9aa_ab920099a4f8">'Budget Variance Import-Export'!$E$12</definedName>
    <definedName name="_d3afcc28_994b_40ce_85b2_eb7bcd10d07e">'PR Expenditure_7A import-export'!$D$2</definedName>
    <definedName name="_d47e45fc_dd1f_41af_bfcb_87c22b2de261">'Coverage Indicator_Import-Expor'!$S$7</definedName>
    <definedName name="_d4978519_7fbb_426a_8f19_db4b80e5f6ee">'LFA Expenditure_7B imp-exp'!$C$2</definedName>
    <definedName name="_d4e27a0b_b0cc_4540_ae5b_01808f92736d">'Cash Forecast_8A import-export'!$E$76</definedName>
    <definedName name="_d5211965_8cbd_46a2_933a_8caf4285aa60">'Disagg.1A_import-export'!$V$11</definedName>
    <definedName name="_d5469ef6_b070_49b5_8e58_4d6b2273d76b">'Disagg.1A_import-export'!$AL$11</definedName>
    <definedName name="_d5d801af_6188_4d4b_9705_d32e546d4bca">'PR Expenditure_7A import-export'!$J$2</definedName>
    <definedName name="_d68ffaa8_413e_4a0f_a0ec_6d03160979c3" comment="Display Map">'PR Expenditure_7A import-export'!$A$48:$O$59</definedName>
    <definedName name="_d6b7513d_e66f_4cdb_94d8_99be85c36ded">RiskData!$B$14</definedName>
    <definedName name="_d74a9cad_90b2_4305_97af_63a588b609b7">'Disaggregation1B_Import-Export'!$M$8</definedName>
    <definedName name="_d7b38c7a_acf6_4726_87a0_eeda6bd08f2c">'Budget Variance Import-Export'!$G$14</definedName>
    <definedName name="_d7e7fbf3_8709_47d3_839e_af5d6f86af28">Procurement_3!$N$74</definedName>
    <definedName name="_d8caa4f2_edc7_419b_a9a7_7d6ca1ce6f95">'LFA_Findings&amp;Recom export'!$H$3</definedName>
    <definedName name="_d91f68da_8dbb_4c73_9190_0105b6a2af6c">'Coverage Indicator_Import-Expor'!$AH$7</definedName>
    <definedName name="_d979609c_e772_4d2b_83d6_ede7675dd027">'Budget Variance Import-Export'!$I$14</definedName>
    <definedName name="_d9dce329_072f_44df_9622_81587aa87bd0">'Disaggregation1B_Import-Export'!$N$8</definedName>
    <definedName name="_d9e4ef22_cb3e_48e7_9f58_c1a1df42a062">'WPTM_1C  Import-Export'!$W$8</definedName>
    <definedName name="_d9f00113_86dc_460a_a626_b5a341537db6">'ImpactOutcome_Import-Export'!$P$14</definedName>
    <definedName name="_da08475d_d7e5_4e1c_841e_71910ba62047">'PR Expenditure_7A import-export'!$I$4</definedName>
    <definedName name="_da2f4c71_e998_4c6e_9a63_93e1480ef18a">'Cash Forecast_8A import-export'!$C$133</definedName>
    <definedName name="_db06df70_9ba5_447a_bb55_0a082f2f676f">'Disagg.1A_import-export'!$H$11</definedName>
    <definedName name="_db08b21d_ebdb_4c23_a7cd_797659b6cadf">RiskData!$H$40</definedName>
    <definedName name="_db11908c_7852_4503_8b76_7c02c811eac4">'Coverage Indicator_Import-Expor'!$Q$7</definedName>
    <definedName name="_dc1dffef_63db_45ca_9bae_0756da3945b6">'Reference Records'!$B$6</definedName>
    <definedName name="_dc39d61a_6f59_4153_a46d_c96426547007">'Coversheet Import-Export'!$B$26</definedName>
    <definedName name="_dcf876d1_3b3d_47c2_ab1c_a6bc3c0381d8">'Cash Forecast_8A import-export'!$P$29</definedName>
    <definedName name="_dd49614e_8e51_44f1_b2f8_b897269574e7">'Admin Sheet'!$B$37</definedName>
    <definedName name="_ddaea7d6_5ac0_4e2b_9832_39a275a76bf2">'ImpactOutcome_Import-Export'!$Q$7</definedName>
    <definedName name="_deb74b12_5bb2_4bb2_b2c8_92fb4af550cc">'SR Cash Recon Import Export'!$F$5</definedName>
    <definedName name="_dfc44119_3fb4_4cbe_92a2_d884ed334dc5">'LFA Expenditure_7B imp-exp'!$A$127</definedName>
    <definedName name="_e10cb5e9_49b0_444f_b138_0a5f532e293d">'WPTM_1C  Import-Export'!$L$8</definedName>
    <definedName name="_e13cd601_6175_4f89_8ec6_150eb2ccff3e">'Grant Management_4 imp-exp'!$A$19</definedName>
    <definedName name="_e13e38b5_fb0c_4d07_aafd_903bc0930262">'Coverage Indicator_Import-Expor'!$W$7</definedName>
    <definedName name="_e2a0c05c_3caa_4293_af9a_9b6f4870a559">'ImpactOutcome_Import-Export'!$A$14</definedName>
    <definedName name="_e3811a2d_2b59_4d72_83f1_02539b2c7483">'LFA_Findings&amp;Recom export'!$T$3</definedName>
    <definedName name="_e3e32c78_a0ef_40cc_80b5_c31527797706">'Cash Forecast_8A import-export'!$E$9</definedName>
    <definedName name="_e4538c73_83d4_4808_a7a7_c62506e7d730">'ImpactOutcome_Import-Export'!$O$14</definedName>
    <definedName name="_e46c561b_100f_4841_a7e3_44b4504df11e">MitigationAction!$A$3</definedName>
    <definedName name="_e46cfceb_fffa_42ce_9d2c_793d59357213">'ImpactOutcome_Import-Export'!$Y$7</definedName>
    <definedName name="_e526c5b9_85da_4a36_a421_86a2457e2f55">'ImpactOutcome_Import-Export'!$G$7</definedName>
    <definedName name="_e599e561_0fc8_4f8b_888f_5c18b66dedd7">'PR Expenditure_7A import-export'!$B$127</definedName>
    <definedName name="_e5bad132_219c_403d_9f9c_8913cb0c0a19">'LFA Expenditure_7B imp-exp'!$B$127</definedName>
    <definedName name="_e5f13daa_f452_40ba_85d8_59c60a4ba272">'Disagg.1A_import-export'!$AC$11</definedName>
    <definedName name="_e5f55a03_621b_42f6_a087_e3d6996132f6">'ImpactOutcome_Import-Export'!$W$14</definedName>
    <definedName name="_e5f7c3b6_6b8a_4a2d_8242_f09c949bdb2f">'Disagg.1A_import-export'!$P$11</definedName>
    <definedName name="_e65bfcc9_7867_4612_ad09_227f708d8614">'WPTM_1C  Import-Export'!$Q$8</definedName>
    <definedName name="_e6f86aed_49b8_40bd_a307_5a906642d596">'ImpactOutcome_Import-Export'!$L$7</definedName>
    <definedName name="_e710eb38_a64f_4250_a667_4daf102a24ee">'Admin Sheet'!$B$56</definedName>
    <definedName name="_e74aa482_cfac_4f60_baf2_9c731852f6a5">'Disaggregation1B_Import-Export'!$AO$8</definedName>
    <definedName name="_e8c24b78_d462_4308_9460_a185ce94681d">RiskData!$F$14</definedName>
    <definedName name="_e8c7b8d5_cb68_422b_8bb9_3b052ad874d7" comment="Display Map">'LFA Expenditure_7B imp-exp'!$A$61:$O$107</definedName>
    <definedName name="_ea7f56e0_fd86_4d0c_9a67_9777ac61586f">'Cash Forecast_8A import-export'!$C$185</definedName>
    <definedName name="_eb1493e4_5c4b_4c32_9cde_a1cca66770bb">'LFA Expenditure_7B imp-exp'!$K$4</definedName>
    <definedName name="_eb611bdf_705f_4423_8309_44cb559826c1">'Disagg.1A_import-export'!$AB$7</definedName>
    <definedName name="_eb76ca58_43c3_4846_a09d_1f72371660c3">'Cash Forecast_8A import-export'!$P$107</definedName>
    <definedName name="_ebd70998_f2b0_4b92_8560_5eb5b616d866">'PR Expenditure_7A import-export'!$C$4</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e1feaa4_dbdd_4a8c_a6d7_641d179afbd9">'Disagg.1A_import-export'!$G$11</definedName>
    <definedName name="_ee8ab5f8_318d_4f29_9852_3e4b3cb840d3">'LFA Expenditure_7B imp-exp'!$K$49</definedName>
    <definedName name="_eecc7765_a2a3_4027_8e97_a7928c389f9c">'Reference Records'!$G$222</definedName>
    <definedName name="_efc5570e_db9e_4647_af7e_59a98ece6f58">RiskData!$E$40</definedName>
    <definedName name="_f0d198a5_729e_44d2_b5fa_2febafc19970">'Cash Forecast_8A import-export'!$H$126</definedName>
    <definedName name="_f13ed6fd_bf95_4e6c_82d3_586e8aca3862">'ImpactOutcome_Import-Export'!$T$14</definedName>
    <definedName name="_f18ca988_98be_46f6_9aa6_bb40019ac680">'Reference Records'!$K$54</definedName>
    <definedName name="_f1a095bc_bc1c_4b50_b8ad_b2f9a984326c">'Coverage Indicator_Import-Expor'!$R$7</definedName>
    <definedName name="_f202d550_5782_439d_a652_e3ac70978217">'WPTM_1C  Import-Export'!$U$8</definedName>
    <definedName name="_f20ce61f_fc76_4e97_a99b_e99f8748582b">'LFA Expenditure_7B imp-exp'!$Q$109</definedName>
    <definedName name="_f2165e1e_2619_48be_9da6_218ef4eed5c5">'Disaggregation1B_Import-Export'!$W$8</definedName>
    <definedName name="_f27fd71d_b573_4060_8c9f_f16437dcf64b">'Cash Forecast_8A import-export'!$C$176</definedName>
    <definedName name="_f29952db_4144_4f6c_8945_900be00bea66">'Cash Forecast_8A import-export'!$B$167</definedName>
    <definedName name="_f2f597a9_ea56_4fc4_8ed0_885550bb2056">'PR Expenditure_7A import-export'!$A$49</definedName>
    <definedName name="_f2fdd463_601f_4427_b063_eff381f87766">'PR Expenditure_7A import-export'!$J$109</definedName>
    <definedName name="_f35462c3_03c3_4664_99f7_0bda301fb703" comment="Display Map">'ImpactOutcome_Import-Export'!$A$6:$AL$10</definedName>
    <definedName name="_f3eb5984_86e3_43dd_9683_37055db52473">'Disagg.1A_import-export'!$M$11</definedName>
    <definedName name="_f49cc225_6279_4845_82e4_f4690a133e6e">'Coversheet Import-Export'!$B$11</definedName>
    <definedName name="_f4a55543_2355_4809_b889_522d5378fa51">'WPTM_1C  Import-Export'!$AG$8</definedName>
    <definedName name="_f6523e0a_9e5d_49f9_b119_3380aa1a38d2">'ImpactOutcome_Import-Export'!$AL$7</definedName>
    <definedName name="_f66c12c2_2493_40c0_9c3d_4f1d8e4a20f4">'Disagg.1A_import-export'!$R$11</definedName>
    <definedName name="_f67b71b8_6a9c_4e5a_a345_3079361f3877">'Disagg.1A_import-export'!$AM$7</definedName>
    <definedName name="_f750cc88_c473_46b5_99e3_d584d7534a55">RiskData!$C$40</definedName>
    <definedName name="_f79c2a1f_edfd_4bb7_8785_166d80dca0f0">'Cash Forecast_8A import-export'!$F$126</definedName>
    <definedName name="_f7ae1bfd_58f6_48f5_aa73_955dd7c8ff6a">'Budget Variance Import-Export'!$I$12</definedName>
    <definedName name="_f7f518c3_c3c9_4842_a9dd_e11d0fc3830b">'Disaggregation1B_Import-Export'!$AK$8</definedName>
    <definedName name="_f98e055c_2e19_424e_8c9e_a7363a5cf7d4">'Coverage Indicator_Import-Expor'!$AZ$7</definedName>
    <definedName name="_fb11bac0_3251_4fbe_bb40_6ef64301a931">'PR Expenditure_7A import-export'!$Q$4</definedName>
    <definedName name="_fb9200d4_23d5_4aa1_8b7e_2369df58e099">'Reference Records'!$D$1</definedName>
    <definedName name="_fc6ea1af_715a_4440_b68b_6e9193225d0c">'PR Cash Recon Import-Export'!$C$4</definedName>
    <definedName name="_fd3363ba_d6ff_4f29_9f3a_ea4de999ff86" comment="Display Map">'PR Expenditure_7A import-export'!$A$61:$O$107</definedName>
    <definedName name="_fd7c5d03_a5de_4321_8644_068c68e54de9">'ImpactOutcome_Import-Export'!$V$7</definedName>
    <definedName name="_fde9a664_e52d_4b1b_8af4_5455352fcfa2">'ImpactOutcome_Import-Export'!$AE$14</definedName>
    <definedName name="_fe8f1b39_b119_42d9_9c86_b3cd390f5005">'Disaggregation1B_Import-Export'!$H$8</definedName>
    <definedName name="_ff6bf434_0830_4ecc_909b_324b646f28fc">'PR Expenditure_7A import-export'!$J$127</definedName>
    <definedName name="_xlnm._FilterDatabase" localSheetId="8" hidden="1">'Coverage Indicators_1B'!$C$9:$AK$51</definedName>
    <definedName name="_xlnm._FilterDatabase" localSheetId="6" hidden="1">Disaggregation_1A!$B$9:$V$51</definedName>
    <definedName name="_xlnm._FilterDatabase" localSheetId="10" hidden="1">Disaggregation_1B!$C$9:$AC$51</definedName>
    <definedName name="_xlnm._FilterDatabase" localSheetId="40" hidden="1">'Financial Triggers_10'!$A$5:$F$15</definedName>
    <definedName name="_xlnm._FilterDatabase" localSheetId="22" hidden="1">'Grant Management_4'!$B$8:$L$145</definedName>
    <definedName name="_xlnm._FilterDatabase" localSheetId="4" hidden="1">'Impact Outcome Indicators_1A'!$B$9:$AE$80</definedName>
    <definedName name="_xlnm._FilterDatabase" localSheetId="31" hidden="1">'LFA Expenditure_7B'!$A$5:$O$257</definedName>
    <definedName name="_xlnm._FilterDatabase" localSheetId="32" hidden="1">'LFA Expenditure_7B imp-exp'!$H$127:$M$127</definedName>
    <definedName name="_xlnm._FilterDatabase" localSheetId="28" hidden="1">'LFA_Findings&amp;Recom export'!$A$2:$Y$33</definedName>
    <definedName name="_xlnm._FilterDatabase" localSheetId="29" hidden="1">'PR Expenditure_7A'!$A$6:$N$258</definedName>
    <definedName name="_xlnm._FilterDatabase" localSheetId="18" hidden="1">'SR Cash Recon Import Export'!$A$4:$N$105</definedName>
    <definedName name="_xlnm._FilterDatabase" localSheetId="35" hidden="1">Translations!$A$3:$H$589</definedName>
    <definedName name="_Key1" localSheetId="34" hidden="1">#REF!</definedName>
    <definedName name="_Key1" localSheetId="10" hidden="1">#REF!</definedName>
    <definedName name="_Key1" localSheetId="11" hidden="1">#REF!</definedName>
    <definedName name="_Key1" localSheetId="23" hidden="1">#REF!</definedName>
    <definedName name="_Key1" localSheetId="32" hidden="1">#REF!</definedName>
    <definedName name="_Key1" localSheetId="28" hidden="1">#REF!</definedName>
    <definedName name="_Key1" localSheetId="30" hidden="1">#REF!</definedName>
    <definedName name="_Key1" localSheetId="36" hidden="1">#REF!</definedName>
    <definedName name="_Key1" localSheetId="12" hidden="1">#REF!</definedName>
    <definedName name="_Key1" localSheetId="13" hidden="1">#REF!</definedName>
    <definedName name="_Key1" hidden="1">#REF!</definedName>
    <definedName name="_Key1_2" localSheetId="34" hidden="1">#REF!</definedName>
    <definedName name="_Key1_2" localSheetId="10" hidden="1">#REF!</definedName>
    <definedName name="_Key1_2" localSheetId="11" hidden="1">#REF!</definedName>
    <definedName name="_Key1_2" localSheetId="23" hidden="1">#REF!</definedName>
    <definedName name="_Key1_2" localSheetId="32" hidden="1">#REF!</definedName>
    <definedName name="_Key1_2" localSheetId="28" hidden="1">#REF!</definedName>
    <definedName name="_Key1_2" localSheetId="30" hidden="1">#REF!</definedName>
    <definedName name="_Key1_2" localSheetId="36" hidden="1">#REF!</definedName>
    <definedName name="_Key1_2" localSheetId="12" hidden="1">#REF!</definedName>
    <definedName name="_Key1_2" localSheetId="13" hidden="1">#REF!</definedName>
    <definedName name="_Key1_2" hidden="1">#REF!</definedName>
    <definedName name="_Order1" hidden="1">255</definedName>
    <definedName name="_Sort" localSheetId="34" hidden="1">#REF!</definedName>
    <definedName name="_Sort" localSheetId="10" hidden="1">#REF!</definedName>
    <definedName name="_Sort" localSheetId="11" hidden="1">#REF!</definedName>
    <definedName name="_Sort" localSheetId="23" hidden="1">#REF!</definedName>
    <definedName name="_Sort" localSheetId="32" hidden="1">#REF!</definedName>
    <definedName name="_Sort" localSheetId="28" hidden="1">#REF!</definedName>
    <definedName name="_Sort" localSheetId="30" hidden="1">#REF!</definedName>
    <definedName name="_Sort" localSheetId="36" hidden="1">#REF!</definedName>
    <definedName name="_Sort" localSheetId="12" hidden="1">#REF!</definedName>
    <definedName name="_Sort" localSheetId="13" hidden="1">#REF!</definedName>
    <definedName name="_Sort" hidden="1">#REF!</definedName>
    <definedName name="_Sort2" localSheetId="34" hidden="1">#REF!</definedName>
    <definedName name="_Sort2" localSheetId="10" hidden="1">#REF!</definedName>
    <definedName name="_Sort2" localSheetId="11" hidden="1">#REF!</definedName>
    <definedName name="_Sort2" localSheetId="23" hidden="1">#REF!</definedName>
    <definedName name="_Sort2" localSheetId="32" hidden="1">#REF!</definedName>
    <definedName name="_Sort2" localSheetId="28" hidden="1">#REF!</definedName>
    <definedName name="_Sort2" localSheetId="30" hidden="1">#REF!</definedName>
    <definedName name="_Sort2" localSheetId="36" hidden="1">#REF!</definedName>
    <definedName name="_Sort2" localSheetId="12" hidden="1">#REF!</definedName>
    <definedName name="_Sort2" localSheetId="13"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apttusmetadata!$AF$2:$AF$5</definedName>
    <definedName name="AIM_Coverage_Disaggregation_Result__c.AIM_LFA_Source__c">apttusmetadata!$BF$2:$BF$32</definedName>
    <definedName name="AIM_Coverage_Disaggregation_Result__c.AIM_Source_PR__c">apttusmetadata!$BG$2:$BG$32</definedName>
    <definedName name="AIM_Coverage_Indicator__c.AIM_Geographic_Coverage__c">apttusmetadata!$AY$2:$AY$6</definedName>
    <definedName name="AIM_Coverage_Indicator__c.AIM_Rating_Cumulation_Type__c">apttusmetadata!$AZ$2:$AZ$5</definedName>
    <definedName name="AIM_Coverage_Indicator__c.AIM_Year__c">apttusmetadata!$BA$2:$BA$25</definedName>
    <definedName name="AIM_Coverage_Indicator_Targets_Results__c.AIM_Data_Source_Result_LFA__c">apttusmetadata!$BB$2:$BB$32</definedName>
    <definedName name="AIM_Coverage_Indicator_Targets_Results__c.AIM_Data_Source_Result_PR__c">apttusmetadata!$BE$2:$BE$32</definedName>
    <definedName name="AIM_Coverage_Indicator_Targets_Results__c.AIM_Due_for_Reporting__c">apttusmetadata!$BD$2:$BD$4</definedName>
    <definedName name="AIM_Coverage_Indicator_Targets_Results__c.AIM_Verification_Method_LFA__c">apttusmetadata!$BC$2:$BC$4</definedName>
    <definedName name="AIM_Findings_and_Recommendations__c.AIM_Actor_Type__c">apttusmetadata!$AW$2:$AW$3</definedName>
    <definedName name="AIM_Findings_and_Recommendations__c.AIM_Status__c">apttusmetadata!$AX$2:$AX$4</definedName>
    <definedName name="AIM_Grant_Requirement__c.AIM_Status_LFA__c">apttusmetadata!$AK$2:$AK$5</definedName>
    <definedName name="AIM_Grant_Requirement__c.AIM_Status_PR__c">apttusmetadata!$AQ$2:$AQ$5</definedName>
    <definedName name="AIM_Grant_Requirement__c.Annual_Grant_Reporting__Requirements.AIM_Status_LFA__c">apttusmetadata!$AL$2:$AL$5</definedName>
    <definedName name="AIM_Grant_Requirement__c.Annual_Grant_Reporting__Requirements.AIM_Status_PR__c">apttusmetadata!$AR$2:$AR$5</definedName>
    <definedName name="AIM_Grant_Requirement__c.Findings_and_Recomendations.AIM_Status_LFA__c">apttusmetadata!$AM$2:$AM$5</definedName>
    <definedName name="AIM_Grant_Requirement__c.Findings_and_Recomendations.AIM_Status_PR__c">apttusmetadata!$AS$2:$AS$5</definedName>
    <definedName name="AIM_Grant_Requirement__c.Grant_Requirements.AIM_Status_LFA__c">apttusmetadata!$AN$2:$AN$5</definedName>
    <definedName name="AIM_Grant_Requirement__c.Grant_Requirements.AIM_Status_PR__c">apttusmetadata!$AT$2:$AT$5</definedName>
    <definedName name="AIM_Grant_Requirement__c.Management_Actions.AIM_Status_LFA__c">apttusmetadata!$AO$2:$AO$5</definedName>
    <definedName name="AIM_Grant_Requirement__c.Management_Actions.AIM_Status_PR__c">apttusmetadata!$AU$2:$AU$5</definedName>
    <definedName name="AIM_Grant_Requirement__c.Master.AIM_Status_LFA__c">apttusmetadata!$AP$2:$AP$5</definedName>
    <definedName name="AIM_Grant_Requirement__c.Master.AIM_Status_PR__c">apttusmetadata!$AV$2:$AV$5</definedName>
    <definedName name="AIM_Impact_Disagaggregation_Results__c.AIM_Result_Source_PR__c">apttusmetadata!$BQ$2:$BQ$32</definedName>
    <definedName name="AIM_Impact_Disagaggregation_Results__c.AIM_Verified_Result_Source_LFA__c">apttusmetadata!$BR$2:$BR$32</definedName>
    <definedName name="AIM_Impact_Disaggregation__c.AIM_Baseline_Year__c">apttusmetadata!$BP$2:$BP$25</definedName>
    <definedName name="AIM_Impact_Indicator__c.AIM_Baseline_Year__c">apttusmetadata!$BH$2:$BH$25</definedName>
    <definedName name="AIM_Impact_Indicator_Targets_Results__c.AIM_Data_Source_Result_LFA__c">apttusmetadata!$BJ$2:$BJ$32</definedName>
    <definedName name="AIM_Impact_Indicator_Targets_Results__c.AIM_Data_Source_Result_PR__c">apttusmetadata!$BK$2:$BK$32</definedName>
    <definedName name="AIM_Impact_Indicator_Targets_Results__c.AIM_Due_for_Reporting__c">apttusmetadata!$BO$2:$BO$4</definedName>
    <definedName name="AIM_Impact_Indicator_Targets_Results__c.AIM_Verification_Method_LFA__c">apttusmetadata!$BL$2:$BL$4</definedName>
    <definedName name="AIM_Impact_Indicator_Targets_Results__c.AIM_Year_of_Result_LFA__c">apttusmetadata!$BM$2:$BM$25</definedName>
    <definedName name="AIM_Impact_Indicator_Targets_Results__c.AIM_Year_of_Result_PR__c">apttusmetadata!$BN$2:$BN$25</definedName>
    <definedName name="AIM_Impact_Indicator_Targets_Results__c.AIM_Year_of_Target__c">apttusmetadata!$BI$2:$BI$25</definedName>
    <definedName name="AIM_Implementation_Period__c.AIM_Grant_Currency__c">apttusmetadata!$AA$2:$AA$159</definedName>
    <definedName name="AIM_Opt_Ins__c.AIM_Tab_Name__c">apttusmetadata!$CE$2:$CE$24</definedName>
    <definedName name="AIM_Opt_Ins__c.AIM_Type__c">apttusmetadata!$CF$2:$CF$4</definedName>
    <definedName name="AIM_Outcome_Disaggregation_Results__c.AIM_Result_Source_PR__c">apttusmetadata!$CA$2:$CA$32</definedName>
    <definedName name="AIM_Outcome_Disaggregation_Results__c.AIM_Verified_Result_Source_LFA__c">apttusmetadata!$CB$2:$CB$32</definedName>
    <definedName name="AIM_Outcome_Indicator__c.AIM_Baseline_Year__c">apttusmetadata!$BS$2:$BS$25</definedName>
    <definedName name="AIM_Outcome_Indicator_Targets_Result__c.AIM_Data_Source_Result_LFA__c">apttusmetadata!$BU$2:$BU$32</definedName>
    <definedName name="AIM_Outcome_Indicator_Targets_Result__c.AIM_Data_Source_Result_PR__c">apttusmetadata!$BV$2:$BV$32</definedName>
    <definedName name="AIM_Outcome_Indicator_Targets_Result__c.AIM_Due_for_Reporting__c">apttusmetadata!$BZ$2:$BZ$4</definedName>
    <definedName name="AIM_Outcome_Indicator_Targets_Result__c.AIM_Verification_Method_LFA__c">apttusmetadata!$BW$2:$BW$4</definedName>
    <definedName name="AIM_Outcome_Indicator_Targets_Result__c.AIM_Year_of_Result_LFA__c">apttusmetadata!$BX$2:$BX$25</definedName>
    <definedName name="AIM_Outcome_Indicator_Targets_Result__c.AIM_Year_of_Result_PR__c">apttusmetadata!$BY$2:$BY$25</definedName>
    <definedName name="AIM_Outcome_Indicator_Targets_Result__c.AIM_Year_of_Target__c">apttusmetadata!$BT$2:$BT$25</definedName>
    <definedName name="AIM_Performance__c.AIM_Major_Issues_Identified_LFA__c">apttusmetadata!$AH$2:$AH$4</definedName>
    <definedName name="AIM_Performance__c.AIM_Overall_Rating_LFA__c">apttusmetadata!$AI$2:$AI$6</definedName>
    <definedName name="AIM_Performance__c.AIM_Quantitative_Indicator_LFA__c">apttusmetadata!$AJ$2:$AJ$6</definedName>
    <definedName name="AIM_Procurement__c.AIM_Expiry_Response_LFA__c">apttusmetadata!$AB$2:$AB$4</definedName>
    <definedName name="AIM_Procurement__c.AIM_PQR_Response_LFA__c">apttusmetadata!$AC$2:$AC$4</definedName>
    <definedName name="AIM_Procurement__c.AIM_PQR_Response_PR__c">apttusmetadata!$AD$2:$AD$4</definedName>
    <definedName name="AIM_Procurement__c.AIM_Stock_Out_Response_LFA__c">apttusmetadata!$AE$2:$AE$4</definedName>
    <definedName name="AIM_Quarterly_Cash_Forecast__c.AIM_Type__c">apttusmetadata!$AG$2:$AG$6</definedName>
    <definedName name="AIM_WPTM_Results__c.AIM_Progress_Status_LFA__c">apttusmetadata!$CD$2:$CD$5</definedName>
    <definedName name="AIM_WPTM_Results__c.AIM_Progress_Status_PR__c">apttusmetadata!$CC$2:$CC$5</definedName>
    <definedName name="Cost_Input">OFFSET('Reference Records'!$E$222,1,0,MATCH(" ",LEFT('Reference Records'!$E$222:$E$298,255),-1)-1,1)</definedName>
    <definedName name="d" localSheetId="34" hidden="1">#REF!</definedName>
    <definedName name="d" localSheetId="23" hidden="1">#REF!</definedName>
    <definedName name="d" localSheetId="32" hidden="1">#REF!</definedName>
    <definedName name="d" localSheetId="28" hidden="1">#REF!</definedName>
    <definedName name="d" localSheetId="30" hidden="1">#REF!</definedName>
    <definedName name="d" localSheetId="36" hidden="1">#REF!</definedName>
    <definedName name="d" localSheetId="12" hidden="1">#REF!</definedName>
    <definedName name="d" localSheetId="13" hidden="1">#REF!</definedName>
    <definedName name="d" hidden="1">#REF!</definedName>
    <definedName name="delete" localSheetId="34" hidden="1">#REF!</definedName>
    <definedName name="delete" localSheetId="10" hidden="1">#REF!</definedName>
    <definedName name="delete" localSheetId="11" hidden="1">#REF!</definedName>
    <definedName name="delete" localSheetId="23" hidden="1">#REF!</definedName>
    <definedName name="delete" localSheetId="32" hidden="1">#REF!</definedName>
    <definedName name="delete" localSheetId="28" hidden="1">#REF!</definedName>
    <definedName name="delete" localSheetId="30" hidden="1">#REF!</definedName>
    <definedName name="delete" localSheetId="36" hidden="1">#REF!</definedName>
    <definedName name="delete" localSheetId="12" hidden="1">#REF!</definedName>
    <definedName name="delete" localSheetId="13" hidden="1">#REF!</definedName>
    <definedName name="delete" hidden="1">#REF!</definedName>
    <definedName name="ImpactDisaglist">'Disagg.1A_import-export'!$B$7:$B$8</definedName>
    <definedName name="Impactlist">'ImpactOutcome_Import-Export'!$B$7:$B$11</definedName>
    <definedName name="Indicatorlist">Impactlist,Outcomelist</definedName>
    <definedName name="Instructions">Translations!$D$3</definedName>
    <definedName name="IRT_Mitigating_Action_Details__c.AIM_LFA_Status__c">apttusmetadata!$CH$2:$CH$5</definedName>
    <definedName name="IRT_Mitigating_Action_Details__c.AIM_PR_Status__c">apttusmetadata!$CG$2:$CG$5</definedName>
    <definedName name="IRT_Mitigating_actions_status">'Coversheet Import-Export'!$G$2:$G$5</definedName>
    <definedName name="LangOffset">Translations!$D$1</definedName>
    <definedName name="Language">CoverSheet!$C$6</definedName>
    <definedName name="Module_List">OFFSET('Reference Records'!$J$13,1,0,MATCH(" ",LEFT('Reference Records'!$J$13:$J$48,255),-1)-1,1)</definedName>
    <definedName name="Modulecolumn">'Reference Records'!$B$54:$B$219</definedName>
    <definedName name="Modulestart">InterventionList[Module]</definedName>
    <definedName name="OutcomeDisaglist">'Disagg.1A_import-export'!$B$11:$B$12</definedName>
    <definedName name="Outcomelist">'ImpactOutcome_Import-Export'!$B$14:$B$21</definedName>
    <definedName name="PICKLISTKEYVALUEPAIR">apttusmetadata!$Y$2:$Z$11</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OFFSET(RiskData!$D$13,1,0,COUNTA(RiskData!$I$14:$I$36),1)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OFFSET(RiskData!$E$39,1,0,COUNTA(RiskData!$H$40:$H$290),1)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Import-Export'!$H$2:$H$25</definedName>
    <definedName name="_xlnm.Print_Area" localSheetId="0">CoverSheet!$A$1:$O$23</definedName>
    <definedName name="_xlnm.Print_Area" localSheetId="6">Disaggregation_1A!$B$1:$R$51</definedName>
    <definedName name="_xlnm.Print_Area" localSheetId="10">Disaggregation_1B!$C$1:$AC$51</definedName>
    <definedName name="_xlnm.Print_Area" localSheetId="40">'Financial Triggers_10'!$A$1:$F$15</definedName>
    <definedName name="_xlnm.Print_Area" localSheetId="4">'Impact Outcome Indicators_1A'!$B$1:$Z$51</definedName>
    <definedName name="_xlnm.Print_Area" localSheetId="31">'LFA Expenditure_7B'!$A$1:$O$257</definedName>
    <definedName name="_xlnm.Print_Area" localSheetId="27">'LFA_Findings&amp;Recommendations_6'!$A$1:$L$108</definedName>
    <definedName name="_xlnm.Print_Area" localSheetId="38">'PR Authorization_9A'!$A$1:$O$39</definedName>
    <definedName name="_xlnm.Print_Area" localSheetId="21">Procurement_3!$A$1:$X$80</definedName>
    <definedName name="_xlnm.Print_Area" localSheetId="36">'Request and Recommendation_8B'!$A$1:$X$121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2" l="1"/>
  <c r="N13" i="2"/>
  <c r="L14" i="2" l="1"/>
  <c r="N14" i="2" s="1"/>
  <c r="N19" i="2" l="1"/>
  <c r="N18" i="2"/>
  <c r="N17" i="2"/>
  <c r="N16" i="2"/>
  <c r="N15" i="2"/>
  <c r="N11" i="2"/>
  <c r="V11" i="2"/>
  <c r="V12" i="2"/>
  <c r="V13" i="2"/>
  <c r="V14" i="2"/>
  <c r="V15" i="2"/>
  <c r="V16" i="2"/>
  <c r="V17" i="2"/>
  <c r="V18" i="2"/>
  <c r="V19" i="2"/>
  <c r="S33" i="27" l="1"/>
  <c r="S32" i="27"/>
  <c r="S31" i="27"/>
  <c r="S30" i="27"/>
  <c r="G9" i="32" l="1"/>
  <c r="K14" i="33" l="1"/>
  <c r="D42" i="31" l="1"/>
  <c r="D14" i="31" l="1"/>
  <c r="L118" i="36" l="1"/>
  <c r="L41" i="36"/>
  <c r="L208" i="36"/>
  <c r="L207" i="36"/>
  <c r="L206" i="36"/>
  <c r="L205" i="36"/>
  <c r="L128" i="36"/>
  <c r="L127" i="36"/>
  <c r="L126" i="36"/>
  <c r="L125" i="36"/>
  <c r="L124" i="36"/>
  <c r="L123" i="36"/>
  <c r="L122" i="36"/>
  <c r="L121" i="36"/>
  <c r="L120" i="36"/>
  <c r="L119" i="36"/>
  <c r="L117" i="36"/>
  <c r="L116" i="36"/>
  <c r="L115" i="36"/>
  <c r="L114" i="36"/>
  <c r="L113" i="36"/>
  <c r="L112" i="36"/>
  <c r="L111" i="36"/>
  <c r="L110" i="36"/>
  <c r="L109" i="36"/>
  <c r="L108" i="36"/>
  <c r="L107" i="36"/>
  <c r="L106" i="36"/>
  <c r="L105" i="36"/>
  <c r="L104" i="36"/>
  <c r="L103" i="36"/>
  <c r="L102" i="36"/>
  <c r="L101" i="36"/>
  <c r="L100" i="36"/>
  <c r="L99" i="36"/>
  <c r="L98" i="36"/>
  <c r="L97" i="36"/>
  <c r="L96" i="36"/>
  <c r="L95" i="36"/>
  <c r="L94" i="36"/>
  <c r="L93" i="36"/>
  <c r="L92" i="36"/>
  <c r="L91" i="36"/>
  <c r="L90" i="36"/>
  <c r="L89" i="36"/>
  <c r="L88" i="36"/>
  <c r="L87" i="36"/>
  <c r="L86" i="36"/>
  <c r="L85" i="36"/>
  <c r="L84" i="36"/>
  <c r="L51" i="36"/>
  <c r="L50" i="36"/>
  <c r="L49" i="36"/>
  <c r="L48" i="36"/>
  <c r="L47" i="36"/>
  <c r="L46" i="36"/>
  <c r="L45" i="36"/>
  <c r="L44" i="36"/>
  <c r="L43" i="36"/>
  <c r="L42" i="36"/>
  <c r="L40" i="36"/>
  <c r="L39"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E15" i="33" l="1"/>
  <c r="K15" i="33" l="1"/>
  <c r="D12" i="31" l="1"/>
  <c r="F113" i="40" l="1"/>
  <c r="F64" i="40" l="1"/>
  <c r="F85" i="40" l="1"/>
  <c r="F83" i="40"/>
  <c r="F78" i="40"/>
  <c r="F112" i="40" s="1"/>
  <c r="F11" i="32" l="1"/>
  <c r="F10" i="32"/>
  <c r="M105" i="46" l="1"/>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E180" i="57"/>
  <c r="E179" i="57"/>
  <c r="E178" i="57"/>
  <c r="E177" i="57"/>
  <c r="I136" i="57"/>
  <c r="I135" i="57"/>
  <c r="I134" i="57"/>
  <c r="H136" i="57"/>
  <c r="H135" i="57"/>
  <c r="J135" i="57" s="1"/>
  <c r="H134" i="57"/>
  <c r="F136" i="57"/>
  <c r="F135" i="57"/>
  <c r="F134" i="57"/>
  <c r="E136" i="57"/>
  <c r="E135" i="57"/>
  <c r="E134" i="57"/>
  <c r="D136" i="57"/>
  <c r="D135" i="57"/>
  <c r="D134" i="57"/>
  <c r="C136" i="57"/>
  <c r="C135" i="57"/>
  <c r="C134" i="57"/>
  <c r="I129" i="57"/>
  <c r="I128" i="57"/>
  <c r="I127" i="57"/>
  <c r="H129" i="57"/>
  <c r="H128" i="57"/>
  <c r="H127" i="57"/>
  <c r="F129" i="57"/>
  <c r="F128" i="57"/>
  <c r="F127" i="57"/>
  <c r="E129" i="57"/>
  <c r="E128" i="57"/>
  <c r="E127" i="57"/>
  <c r="D129" i="57"/>
  <c r="D128" i="57"/>
  <c r="D127" i="57"/>
  <c r="C129" i="57"/>
  <c r="C128" i="57"/>
  <c r="C127" i="57"/>
  <c r="J124" i="57"/>
  <c r="G124" i="57"/>
  <c r="E297" i="58"/>
  <c r="E296" i="58"/>
  <c r="E295" i="58"/>
  <c r="E294" i="58"/>
  <c r="E293" i="58"/>
  <c r="E292" i="58"/>
  <c r="E291" i="58"/>
  <c r="E290" i="58"/>
  <c r="E289" i="58"/>
  <c r="E288" i="58"/>
  <c r="E287" i="58"/>
  <c r="E286" i="58"/>
  <c r="E285" i="58"/>
  <c r="E284" i="58"/>
  <c r="E283" i="58"/>
  <c r="E282" i="58"/>
  <c r="E281" i="58"/>
  <c r="E280" i="58"/>
  <c r="E279" i="58"/>
  <c r="E278" i="58"/>
  <c r="E277" i="58"/>
  <c r="E276" i="58"/>
  <c r="E275" i="58"/>
  <c r="E274" i="58"/>
  <c r="E273" i="58"/>
  <c r="E272" i="58"/>
  <c r="E271" i="58"/>
  <c r="E270" i="58"/>
  <c r="E269" i="58"/>
  <c r="E268" i="58"/>
  <c r="E267" i="58"/>
  <c r="E266" i="58"/>
  <c r="E265" i="58"/>
  <c r="E264" i="58"/>
  <c r="E263" i="58"/>
  <c r="E262" i="58"/>
  <c r="E261" i="58"/>
  <c r="E260" i="58"/>
  <c r="E259" i="58"/>
  <c r="E258" i="58"/>
  <c r="E257" i="58"/>
  <c r="E256" i="58"/>
  <c r="E255" i="58"/>
  <c r="E254" i="58"/>
  <c r="E253" i="58"/>
  <c r="E252" i="58"/>
  <c r="E251" i="58"/>
  <c r="E250" i="58"/>
  <c r="E249" i="58"/>
  <c r="E248" i="58"/>
  <c r="E247" i="58"/>
  <c r="E246" i="58"/>
  <c r="E245" i="58"/>
  <c r="E244" i="58"/>
  <c r="E243" i="58"/>
  <c r="E242" i="58"/>
  <c r="E241" i="58"/>
  <c r="E240" i="58"/>
  <c r="E239" i="58"/>
  <c r="E238" i="58"/>
  <c r="E237" i="58"/>
  <c r="E236" i="58"/>
  <c r="E235" i="58"/>
  <c r="E234" i="58"/>
  <c r="E233" i="58"/>
  <c r="E232" i="58"/>
  <c r="E231" i="58"/>
  <c r="E230" i="58"/>
  <c r="E229" i="58"/>
  <c r="E228" i="58"/>
  <c r="E227" i="58"/>
  <c r="E226" i="58"/>
  <c r="E225" i="58"/>
  <c r="E224" i="58"/>
  <c r="E223" i="58"/>
  <c r="D131" i="56"/>
  <c r="D130" i="56"/>
  <c r="D129" i="56"/>
  <c r="D128" i="56"/>
  <c r="D124" i="56"/>
  <c r="D123" i="56"/>
  <c r="D122" i="56"/>
  <c r="D121" i="56"/>
  <c r="D120" i="56"/>
  <c r="D119" i="56"/>
  <c r="D118" i="56"/>
  <c r="D117" i="56"/>
  <c r="D116" i="56"/>
  <c r="D115" i="56"/>
  <c r="D114" i="56"/>
  <c r="D113" i="56"/>
  <c r="D112" i="56"/>
  <c r="D111" i="56"/>
  <c r="D110" i="56"/>
  <c r="D107" i="56"/>
  <c r="D106" i="56"/>
  <c r="D105" i="56"/>
  <c r="D104" i="56"/>
  <c r="D103" i="56"/>
  <c r="D102" i="56"/>
  <c r="D101" i="56"/>
  <c r="D100" i="56"/>
  <c r="D99" i="56"/>
  <c r="D98" i="56"/>
  <c r="D97" i="56"/>
  <c r="D96" i="56"/>
  <c r="D95" i="56"/>
  <c r="D94" i="56"/>
  <c r="D93" i="56"/>
  <c r="D92" i="56"/>
  <c r="D91" i="56"/>
  <c r="D90" i="56"/>
  <c r="D89" i="56"/>
  <c r="D88" i="56"/>
  <c r="D87" i="56"/>
  <c r="D86" i="56"/>
  <c r="D85" i="56"/>
  <c r="D84" i="56"/>
  <c r="D83" i="56"/>
  <c r="D82" i="56"/>
  <c r="D81" i="56"/>
  <c r="D80" i="56"/>
  <c r="D79" i="56"/>
  <c r="D78" i="56"/>
  <c r="D77" i="56"/>
  <c r="D76" i="56"/>
  <c r="D75" i="56"/>
  <c r="D74" i="56"/>
  <c r="D73" i="56"/>
  <c r="D72" i="56"/>
  <c r="D71" i="56"/>
  <c r="D70" i="56"/>
  <c r="D69" i="56"/>
  <c r="D68" i="56"/>
  <c r="D67" i="56"/>
  <c r="D66" i="56"/>
  <c r="D65" i="56"/>
  <c r="D64" i="56"/>
  <c r="D63" i="56"/>
  <c r="D58" i="56"/>
  <c r="D57" i="56"/>
  <c r="D56" i="56"/>
  <c r="D55" i="56"/>
  <c r="D54" i="56"/>
  <c r="D53" i="56"/>
  <c r="D52" i="56"/>
  <c r="D51" i="56"/>
  <c r="D50" i="56"/>
  <c r="D47" i="56"/>
  <c r="D46" i="56"/>
  <c r="D45" i="56"/>
  <c r="D44" i="56"/>
  <c r="D43" i="56"/>
  <c r="D42" i="56"/>
  <c r="D41" i="56"/>
  <c r="D40" i="56"/>
  <c r="D39" i="56"/>
  <c r="D38" i="56"/>
  <c r="D37" i="56"/>
  <c r="D36" i="56"/>
  <c r="D35"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D7" i="56"/>
  <c r="D6" i="56"/>
  <c r="D5" i="56"/>
  <c r="D20" i="25"/>
  <c r="D19" i="25"/>
  <c r="D18" i="25"/>
  <c r="D17" i="25"/>
  <c r="D16" i="25"/>
  <c r="D15" i="25"/>
  <c r="D10" i="25"/>
  <c r="D9" i="25"/>
  <c r="D8" i="25"/>
  <c r="AR30" i="28"/>
  <c r="AR29" i="28"/>
  <c r="AR28" i="28"/>
  <c r="AR27" i="28"/>
  <c r="AR26" i="28"/>
  <c r="AR25" i="28"/>
  <c r="AR24" i="28"/>
  <c r="AR23" i="28"/>
  <c r="AR22" i="28"/>
  <c r="AR21" i="28"/>
  <c r="AR20" i="28"/>
  <c r="AR19" i="28"/>
  <c r="AR18" i="28"/>
  <c r="AR17" i="28"/>
  <c r="AR16" i="28"/>
  <c r="AR15" i="28"/>
  <c r="AR14" i="28"/>
  <c r="AR13" i="28"/>
  <c r="AR12" i="28"/>
  <c r="AR11" i="28"/>
  <c r="AR10" i="28"/>
  <c r="AR9" i="28"/>
  <c r="AR8" i="28"/>
  <c r="I40" i="45"/>
  <c r="I39" i="45"/>
  <c r="I38" i="45"/>
  <c r="I37" i="45"/>
  <c r="I30"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40" i="45"/>
  <c r="G39" i="45"/>
  <c r="G38" i="45"/>
  <c r="G37" i="45"/>
  <c r="G36" i="45"/>
  <c r="G32" i="45"/>
  <c r="G30" i="45"/>
  <c r="G29" i="45"/>
  <c r="G28" i="45"/>
  <c r="G27" i="45"/>
  <c r="G26" i="45"/>
  <c r="G25" i="45"/>
  <c r="G21" i="45"/>
  <c r="G20" i="45"/>
  <c r="G19" i="45"/>
  <c r="G18" i="45"/>
  <c r="G17" i="45"/>
  <c r="G15" i="45"/>
  <c r="G14" i="45"/>
  <c r="G12" i="45"/>
  <c r="G10" i="45"/>
  <c r="G9" i="45"/>
  <c r="G8" i="45"/>
  <c r="G7" i="45"/>
  <c r="G6" i="45"/>
  <c r="G5" i="45"/>
  <c r="F40" i="45"/>
  <c r="F39" i="45"/>
  <c r="F38" i="45"/>
  <c r="F37" i="45"/>
  <c r="F35" i="45"/>
  <c r="F32" i="45"/>
  <c r="F30" i="45"/>
  <c r="F29" i="45"/>
  <c r="F28" i="45"/>
  <c r="F27" i="45"/>
  <c r="F26" i="45"/>
  <c r="F25" i="45"/>
  <c r="F23" i="45"/>
  <c r="F22" i="45"/>
  <c r="F21" i="45"/>
  <c r="F20" i="45"/>
  <c r="F19" i="45"/>
  <c r="F18" i="45"/>
  <c r="F17" i="45"/>
  <c r="F15" i="45"/>
  <c r="F14" i="45"/>
  <c r="F12" i="45"/>
  <c r="F10" i="45"/>
  <c r="F9" i="45"/>
  <c r="F8" i="45"/>
  <c r="F7" i="45"/>
  <c r="F6" i="45"/>
  <c r="F5"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40" i="45"/>
  <c r="D39" i="45"/>
  <c r="D38" i="45"/>
  <c r="D37" i="45"/>
  <c r="D32" i="45"/>
  <c r="D30" i="45"/>
  <c r="D28" i="45"/>
  <c r="D27" i="45"/>
  <c r="D26" i="45"/>
  <c r="D25" i="45"/>
  <c r="D21" i="45"/>
  <c r="D20" i="45"/>
  <c r="D19" i="45"/>
  <c r="D18" i="45"/>
  <c r="D17" i="45"/>
  <c r="D15" i="45"/>
  <c r="D12" i="45"/>
  <c r="D10" i="45"/>
  <c r="D9" i="45"/>
  <c r="D8" i="45"/>
  <c r="D7" i="45"/>
  <c r="D6" i="45"/>
  <c r="D5" i="45"/>
  <c r="C40" i="45"/>
  <c r="C39" i="45"/>
  <c r="C38" i="45"/>
  <c r="C37" i="45"/>
  <c r="C35" i="45"/>
  <c r="C32" i="45"/>
  <c r="C30" i="45"/>
  <c r="C29" i="45"/>
  <c r="C28" i="45"/>
  <c r="C27" i="45"/>
  <c r="C26" i="45"/>
  <c r="C25" i="45"/>
  <c r="C23" i="45"/>
  <c r="C22" i="45"/>
  <c r="C21" i="45"/>
  <c r="C20" i="45"/>
  <c r="C19" i="45"/>
  <c r="C18" i="45"/>
  <c r="C17" i="45"/>
  <c r="C15" i="45"/>
  <c r="C14" i="45"/>
  <c r="C12" i="45"/>
  <c r="C10" i="45"/>
  <c r="C9" i="45"/>
  <c r="C8" i="45"/>
  <c r="C7" i="45"/>
  <c r="C6" i="45"/>
  <c r="C5" i="45"/>
  <c r="K124" i="57" l="1"/>
  <c r="J134" i="57"/>
  <c r="G135" i="57"/>
  <c r="G127" i="57"/>
  <c r="J127" i="57"/>
  <c r="G136" i="57"/>
  <c r="J136" i="57"/>
  <c r="J128" i="57"/>
  <c r="G129" i="57"/>
  <c r="G134" i="57"/>
  <c r="J129" i="57"/>
  <c r="G128" i="57"/>
  <c r="I49" i="56"/>
  <c r="M49" i="55"/>
  <c r="M50" i="55" s="1"/>
  <c r="M51" i="55" l="1"/>
  <c r="N50" i="55"/>
  <c r="N49" i="56"/>
  <c r="B49" i="56" s="1"/>
  <c r="I50" i="56"/>
  <c r="A69" i="37"/>
  <c r="A70" i="37"/>
  <c r="A71" i="37"/>
  <c r="A72" i="37"/>
  <c r="A73" i="37"/>
  <c r="A74" i="37"/>
  <c r="A75" i="37"/>
  <c r="A76" i="37"/>
  <c r="A77" i="37"/>
  <c r="A68" i="37"/>
  <c r="A70" i="36"/>
  <c r="A71" i="36"/>
  <c r="A72" i="36"/>
  <c r="A73" i="36"/>
  <c r="A74" i="36"/>
  <c r="A75" i="36"/>
  <c r="A76" i="36"/>
  <c r="A77" i="36"/>
  <c r="A78" i="36"/>
  <c r="A69" i="36"/>
  <c r="I76" i="57"/>
  <c r="I51" i="56" l="1"/>
  <c r="N50" i="56"/>
  <c r="O76" i="57"/>
  <c r="B76" i="57" s="1"/>
  <c r="I77" i="57"/>
  <c r="D50" i="55"/>
  <c r="J50" i="55"/>
  <c r="B50" i="55"/>
  <c r="M52" i="55"/>
  <c r="N51" i="55"/>
  <c r="C184" i="37"/>
  <c r="D184" i="37"/>
  <c r="C185" i="37"/>
  <c r="D185" i="37"/>
  <c r="C186" i="37"/>
  <c r="D186" i="37"/>
  <c r="C187" i="37"/>
  <c r="D187" i="37"/>
  <c r="C188" i="37"/>
  <c r="D188" i="37"/>
  <c r="C189" i="37"/>
  <c r="D189" i="37"/>
  <c r="C190" i="37"/>
  <c r="D190" i="37"/>
  <c r="C191" i="37"/>
  <c r="D191" i="37"/>
  <c r="C192" i="37"/>
  <c r="D192" i="37"/>
  <c r="C193" i="37"/>
  <c r="D193" i="37"/>
  <c r="C194" i="37"/>
  <c r="D194" i="37"/>
  <c r="C195" i="37"/>
  <c r="D195" i="37"/>
  <c r="C196" i="37"/>
  <c r="D196" i="37"/>
  <c r="C197" i="37"/>
  <c r="D197" i="37"/>
  <c r="C198" i="37"/>
  <c r="D198" i="37"/>
  <c r="D183" i="37"/>
  <c r="C183" i="37"/>
  <c r="C69" i="37"/>
  <c r="C70" i="37"/>
  <c r="C71" i="37"/>
  <c r="C72" i="37"/>
  <c r="C73" i="37"/>
  <c r="C74" i="37"/>
  <c r="C75" i="37"/>
  <c r="C76" i="37"/>
  <c r="C77" i="37"/>
  <c r="C68" i="37"/>
  <c r="B50" i="56" s="1"/>
  <c r="A76" i="57" l="1"/>
  <c r="M53" i="55"/>
  <c r="N52" i="55"/>
  <c r="O77" i="57"/>
  <c r="I78" i="57"/>
  <c r="K50" i="56"/>
  <c r="E50" i="56"/>
  <c r="J51" i="55"/>
  <c r="D51" i="55"/>
  <c r="B51" i="55"/>
  <c r="I52" i="56"/>
  <c r="N51" i="56"/>
  <c r="B51" i="56" s="1"/>
  <c r="P183" i="37"/>
  <c r="O184" i="36"/>
  <c r="K77" i="57" l="1"/>
  <c r="D77" i="57"/>
  <c r="A77" i="57"/>
  <c r="P77" i="57" s="1"/>
  <c r="J77" i="57"/>
  <c r="B77" i="57"/>
  <c r="F77" i="57"/>
  <c r="K51" i="56"/>
  <c r="E51" i="56"/>
  <c r="I53" i="56"/>
  <c r="N52" i="56"/>
  <c r="B52" i="55"/>
  <c r="J52" i="55"/>
  <c r="D52" i="55"/>
  <c r="M54" i="55"/>
  <c r="N53" i="55"/>
  <c r="I79" i="57"/>
  <c r="O78" i="57"/>
  <c r="M9" i="13"/>
  <c r="M55" i="55" l="1"/>
  <c r="N54" i="55"/>
  <c r="K78" i="57"/>
  <c r="J78" i="57"/>
  <c r="B78" i="57"/>
  <c r="F78" i="57"/>
  <c r="A78" i="57"/>
  <c r="P78" i="57" s="1"/>
  <c r="D78" i="57"/>
  <c r="K52" i="56"/>
  <c r="E52" i="56"/>
  <c r="B52" i="56"/>
  <c r="G77" i="57"/>
  <c r="I54" i="56"/>
  <c r="N53" i="56"/>
  <c r="I80" i="57"/>
  <c r="O79" i="57"/>
  <c r="J53" i="55"/>
  <c r="B53" i="55"/>
  <c r="D53" i="55"/>
  <c r="M77" i="57"/>
  <c r="D589" i="23"/>
  <c r="E53" i="56" l="1"/>
  <c r="K53" i="56"/>
  <c r="B53" i="56"/>
  <c r="I81" i="57"/>
  <c r="O80" i="57"/>
  <c r="I55" i="56"/>
  <c r="N54" i="56"/>
  <c r="B54" i="55"/>
  <c r="J54" i="55"/>
  <c r="D54" i="55"/>
  <c r="K79" i="57"/>
  <c r="D79" i="57"/>
  <c r="B79" i="57"/>
  <c r="A79" i="57"/>
  <c r="P79" i="57" s="1"/>
  <c r="J79" i="57"/>
  <c r="M79" i="57" s="1"/>
  <c r="F79" i="57"/>
  <c r="G79" i="57" s="1"/>
  <c r="G78" i="57"/>
  <c r="M78" i="57"/>
  <c r="M56" i="55"/>
  <c r="N55" i="55"/>
  <c r="J15" i="1"/>
  <c r="D588"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3" i="23"/>
  <c r="I56" i="56" l="1"/>
  <c r="N55" i="56"/>
  <c r="J80" i="57"/>
  <c r="B80" i="57"/>
  <c r="F80" i="57"/>
  <c r="D80" i="57"/>
  <c r="G80" i="57" s="1"/>
  <c r="A80" i="57"/>
  <c r="P80" i="57" s="1"/>
  <c r="K80" i="57"/>
  <c r="D55" i="55"/>
  <c r="J55" i="55"/>
  <c r="B55" i="55"/>
  <c r="I82" i="57"/>
  <c r="O81" i="57"/>
  <c r="M57" i="55"/>
  <c r="N56" i="55"/>
  <c r="E54" i="56"/>
  <c r="K54" i="56"/>
  <c r="B54" i="56"/>
  <c r="C5" i="46"/>
  <c r="C6" i="46" s="1"/>
  <c r="I4" i="45"/>
  <c r="I15" i="47"/>
  <c r="I14" i="47"/>
  <c r="E15" i="47"/>
  <c r="E14" i="47"/>
  <c r="I12" i="47"/>
  <c r="E12" i="47"/>
  <c r="I11" i="47"/>
  <c r="E11" i="47"/>
  <c r="H107" i="65"/>
  <c r="H106" i="65"/>
  <c r="H105" i="65"/>
  <c r="G107" i="65"/>
  <c r="G106" i="65"/>
  <c r="G105" i="65"/>
  <c r="E107" i="65"/>
  <c r="E106" i="65"/>
  <c r="E105" i="65"/>
  <c r="D107" i="65"/>
  <c r="D106" i="65"/>
  <c r="D105" i="65"/>
  <c r="C107" i="65"/>
  <c r="C106" i="65"/>
  <c r="C105" i="65"/>
  <c r="B106" i="65"/>
  <c r="B107" i="65"/>
  <c r="B105" i="65"/>
  <c r="B26" i="24"/>
  <c r="B56" i="59"/>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H74" i="37" s="1"/>
  <c r="F75" i="37"/>
  <c r="I75" i="37" s="1"/>
  <c r="F76" i="37"/>
  <c r="F77" i="37"/>
  <c r="AR31" i="28"/>
  <c r="AR7" i="28"/>
  <c r="B7" i="28"/>
  <c r="J76" i="57"/>
  <c r="D11" i="29"/>
  <c r="B11" i="29" s="1"/>
  <c r="C11" i="29"/>
  <c r="D7" i="29"/>
  <c r="B7" i="29" s="1"/>
  <c r="C7" i="29"/>
  <c r="D14" i="25"/>
  <c r="B14" i="25" s="1"/>
  <c r="C14" i="25"/>
  <c r="C15" i="25" s="1"/>
  <c r="D7" i="25"/>
  <c r="B7" i="25" s="1"/>
  <c r="C7" i="25"/>
  <c r="C8" i="25" s="1"/>
  <c r="K76" i="57"/>
  <c r="F76" i="57"/>
  <c r="L255" i="36"/>
  <c r="N51" i="2"/>
  <c r="Z51" i="2" s="1"/>
  <c r="V51" i="2"/>
  <c r="AC51" i="2"/>
  <c r="N52" i="2"/>
  <c r="Z52" i="2" s="1"/>
  <c r="V52" i="2"/>
  <c r="AC52" i="2"/>
  <c r="N53" i="2"/>
  <c r="Z53" i="2" s="1"/>
  <c r="V53" i="2"/>
  <c r="AC53" i="2"/>
  <c r="N54" i="2"/>
  <c r="Z54" i="2" s="1"/>
  <c r="V54" i="2"/>
  <c r="AC54" i="2"/>
  <c r="N55" i="2"/>
  <c r="Z55" i="2" s="1"/>
  <c r="V55" i="2"/>
  <c r="AC55" i="2"/>
  <c r="N56" i="2"/>
  <c r="Z56" i="2" s="1"/>
  <c r="V56" i="2"/>
  <c r="AC56" i="2"/>
  <c r="N57" i="2"/>
  <c r="Z57" i="2" s="1"/>
  <c r="V57" i="2"/>
  <c r="AC57" i="2"/>
  <c r="N58" i="2"/>
  <c r="Z58" i="2" s="1"/>
  <c r="V58" i="2"/>
  <c r="AC58" i="2"/>
  <c r="N59" i="2"/>
  <c r="Z59" i="2" s="1"/>
  <c r="V59" i="2"/>
  <c r="AC59" i="2"/>
  <c r="N60" i="2"/>
  <c r="Z60" i="2" s="1"/>
  <c r="V60" i="2"/>
  <c r="AC60" i="2"/>
  <c r="N61" i="2"/>
  <c r="Z61" i="2" s="1"/>
  <c r="V61" i="2"/>
  <c r="AC61" i="2"/>
  <c r="N62" i="2"/>
  <c r="Z62" i="2" s="1"/>
  <c r="V62" i="2"/>
  <c r="AC62" i="2"/>
  <c r="N63" i="2"/>
  <c r="Z63" i="2" s="1"/>
  <c r="V63" i="2"/>
  <c r="AC63" i="2"/>
  <c r="N64" i="2"/>
  <c r="Z64" i="2" s="1"/>
  <c r="V64" i="2"/>
  <c r="AC64" i="2"/>
  <c r="N65" i="2"/>
  <c r="Z65" i="2" s="1"/>
  <c r="V65" i="2"/>
  <c r="AC65" i="2"/>
  <c r="N66" i="2"/>
  <c r="Z66" i="2" s="1"/>
  <c r="V66" i="2"/>
  <c r="AC66" i="2"/>
  <c r="N67" i="2"/>
  <c r="Z67" i="2" s="1"/>
  <c r="V67" i="2"/>
  <c r="AC67" i="2"/>
  <c r="N68" i="2"/>
  <c r="Z68" i="2" s="1"/>
  <c r="V68" i="2"/>
  <c r="AC68" i="2"/>
  <c r="N69" i="2"/>
  <c r="Z69" i="2" s="1"/>
  <c r="V69" i="2"/>
  <c r="AC69" i="2"/>
  <c r="N70" i="2"/>
  <c r="Z70" i="2" s="1"/>
  <c r="V70" i="2"/>
  <c r="AC70" i="2"/>
  <c r="N71" i="2"/>
  <c r="Z71" i="2" s="1"/>
  <c r="V71" i="2"/>
  <c r="AC71" i="2"/>
  <c r="N72" i="2"/>
  <c r="Z72" i="2" s="1"/>
  <c r="V72" i="2"/>
  <c r="AC72" i="2"/>
  <c r="N73" i="2"/>
  <c r="Z73" i="2" s="1"/>
  <c r="V73" i="2"/>
  <c r="AC73" i="2"/>
  <c r="N74" i="2"/>
  <c r="Z74" i="2" s="1"/>
  <c r="V74" i="2"/>
  <c r="AC74" i="2"/>
  <c r="N75" i="2"/>
  <c r="Z75" i="2" s="1"/>
  <c r="V75" i="2"/>
  <c r="AC75" i="2"/>
  <c r="N76" i="2"/>
  <c r="Z76" i="2" s="1"/>
  <c r="V76" i="2"/>
  <c r="AC76" i="2"/>
  <c r="N77" i="2"/>
  <c r="Z77" i="2" s="1"/>
  <c r="V77" i="2"/>
  <c r="AC77" i="2"/>
  <c r="N78" i="2"/>
  <c r="Z78" i="2" s="1"/>
  <c r="V78" i="2"/>
  <c r="AC78" i="2"/>
  <c r="N79" i="2"/>
  <c r="Z79" i="2" s="1"/>
  <c r="V79" i="2"/>
  <c r="AC79" i="2"/>
  <c r="N80" i="2"/>
  <c r="Z80" i="2" s="1"/>
  <c r="V80" i="2"/>
  <c r="AC80" i="2"/>
  <c r="S50" i="27"/>
  <c r="W50" i="27" s="1"/>
  <c r="Z50" i="27"/>
  <c r="AE50" i="27" s="1"/>
  <c r="AH50" i="27"/>
  <c r="AK50" i="27" s="1"/>
  <c r="S51" i="27"/>
  <c r="W51" i="27" s="1"/>
  <c r="Z51" i="27"/>
  <c r="AE51" i="27" s="1"/>
  <c r="AH51" i="27"/>
  <c r="AK51" i="27" s="1"/>
  <c r="S52" i="27"/>
  <c r="W52" i="27" s="1"/>
  <c r="Z52" i="27"/>
  <c r="AE52" i="27" s="1"/>
  <c r="AH52" i="27"/>
  <c r="AK52" i="27" s="1"/>
  <c r="S53" i="27"/>
  <c r="W53" i="27" s="1"/>
  <c r="Z53" i="27"/>
  <c r="AE53" i="27" s="1"/>
  <c r="AH53" i="27"/>
  <c r="AK53" i="27" s="1"/>
  <c r="S54" i="27"/>
  <c r="W54" i="27" s="1"/>
  <c r="Z54" i="27"/>
  <c r="AE54" i="27" s="1"/>
  <c r="AH54" i="27"/>
  <c r="AK54" i="27" s="1"/>
  <c r="S55" i="27"/>
  <c r="W55" i="27" s="1"/>
  <c r="Z55" i="27"/>
  <c r="AE55" i="27" s="1"/>
  <c r="AH55" i="27"/>
  <c r="AK55" i="27" s="1"/>
  <c r="S56" i="27"/>
  <c r="W56" i="27" s="1"/>
  <c r="Z56" i="27"/>
  <c r="AE56" i="27" s="1"/>
  <c r="AH56" i="27"/>
  <c r="AK56" i="27" s="1"/>
  <c r="S57" i="27"/>
  <c r="W57" i="27" s="1"/>
  <c r="Z57" i="27"/>
  <c r="AE57" i="27" s="1"/>
  <c r="AH57" i="27"/>
  <c r="AK57" i="27" s="1"/>
  <c r="S58" i="27"/>
  <c r="W58" i="27" s="1"/>
  <c r="Z58" i="27"/>
  <c r="AE58" i="27" s="1"/>
  <c r="AH58" i="27"/>
  <c r="AK58" i="27" s="1"/>
  <c r="S59" i="27"/>
  <c r="W59" i="27" s="1"/>
  <c r="Z59" i="27"/>
  <c r="AE59" i="27" s="1"/>
  <c r="AH59" i="27"/>
  <c r="AK59" i="27"/>
  <c r="S60" i="27"/>
  <c r="W60" i="27" s="1"/>
  <c r="Z60" i="27"/>
  <c r="AE60" i="27" s="1"/>
  <c r="AH60" i="27"/>
  <c r="AK60" i="27" s="1"/>
  <c r="S61" i="27"/>
  <c r="W61" i="27" s="1"/>
  <c r="Z61" i="27"/>
  <c r="AE61" i="27" s="1"/>
  <c r="AH61" i="27"/>
  <c r="AK61" i="27" s="1"/>
  <c r="S62" i="27"/>
  <c r="W62" i="27" s="1"/>
  <c r="Z62" i="27"/>
  <c r="AE62" i="27"/>
  <c r="AH62" i="27"/>
  <c r="AK62" i="27" s="1"/>
  <c r="S63" i="27"/>
  <c r="W63" i="27" s="1"/>
  <c r="Z63" i="27"/>
  <c r="AE63" i="27" s="1"/>
  <c r="AH63" i="27"/>
  <c r="AK63" i="27" s="1"/>
  <c r="S64" i="27"/>
  <c r="W64" i="27" s="1"/>
  <c r="Z64" i="27"/>
  <c r="AE64" i="27" s="1"/>
  <c r="AH64" i="27"/>
  <c r="AK64" i="27" s="1"/>
  <c r="S65" i="27"/>
  <c r="W65" i="27" s="1"/>
  <c r="Z65" i="27"/>
  <c r="AE65" i="27" s="1"/>
  <c r="AH65" i="27"/>
  <c r="AK65" i="27" s="1"/>
  <c r="S66" i="27"/>
  <c r="W66" i="27" s="1"/>
  <c r="Z66" i="27"/>
  <c r="AE66" i="27" s="1"/>
  <c r="AH66" i="27"/>
  <c r="AK66" i="27" s="1"/>
  <c r="S67" i="27"/>
  <c r="W67" i="27" s="1"/>
  <c r="Z67" i="27"/>
  <c r="AE67" i="27" s="1"/>
  <c r="AH67" i="27"/>
  <c r="AK67" i="27" s="1"/>
  <c r="S68" i="27"/>
  <c r="W68" i="27" s="1"/>
  <c r="Z68" i="27"/>
  <c r="AE68" i="27" s="1"/>
  <c r="AH68" i="27"/>
  <c r="AK68" i="27" s="1"/>
  <c r="S69" i="27"/>
  <c r="W69" i="27" s="1"/>
  <c r="Z69" i="27"/>
  <c r="AE69" i="27" s="1"/>
  <c r="AH69" i="27"/>
  <c r="AK69" i="27" s="1"/>
  <c r="S70" i="27"/>
  <c r="W70" i="27" s="1"/>
  <c r="Z70" i="27"/>
  <c r="AE70" i="27"/>
  <c r="AH70" i="27"/>
  <c r="AK70" i="27" s="1"/>
  <c r="S71" i="27"/>
  <c r="W71" i="27" s="1"/>
  <c r="Z71" i="27"/>
  <c r="AE71" i="27" s="1"/>
  <c r="AH71" i="27"/>
  <c r="AK71" i="27" s="1"/>
  <c r="S72" i="27"/>
  <c r="W72" i="27" s="1"/>
  <c r="Z72" i="27"/>
  <c r="AE72" i="27" s="1"/>
  <c r="AH72" i="27"/>
  <c r="AK72" i="27" s="1"/>
  <c r="S73" i="27"/>
  <c r="W73" i="27"/>
  <c r="Z73" i="27"/>
  <c r="AE73" i="27" s="1"/>
  <c r="AH73" i="27"/>
  <c r="AK73" i="27" s="1"/>
  <c r="S74" i="27"/>
  <c r="W74" i="27" s="1"/>
  <c r="Z74" i="27"/>
  <c r="AE74" i="27" s="1"/>
  <c r="AH74" i="27"/>
  <c r="AK74" i="27" s="1"/>
  <c r="S75" i="27"/>
  <c r="W75" i="27" s="1"/>
  <c r="Z75" i="27"/>
  <c r="AE75" i="27" s="1"/>
  <c r="AH75" i="27"/>
  <c r="AK75" i="27" s="1"/>
  <c r="S76" i="27"/>
  <c r="W76" i="27" s="1"/>
  <c r="Z76" i="27"/>
  <c r="AE76" i="27" s="1"/>
  <c r="AH76" i="27"/>
  <c r="AK76" i="27" s="1"/>
  <c r="S77" i="27"/>
  <c r="W77" i="27" s="1"/>
  <c r="Z77" i="27"/>
  <c r="AE77" i="27" s="1"/>
  <c r="AH77" i="27"/>
  <c r="AK77" i="27" s="1"/>
  <c r="S78" i="27"/>
  <c r="W78" i="27" s="1"/>
  <c r="Z78" i="27"/>
  <c r="AE78" i="27" s="1"/>
  <c r="AH78" i="27"/>
  <c r="AK78" i="27" s="1"/>
  <c r="S79" i="27"/>
  <c r="W79" i="27" s="1"/>
  <c r="Z79" i="27"/>
  <c r="AE79" i="27" s="1"/>
  <c r="AH79" i="27"/>
  <c r="AK79" i="27" s="1"/>
  <c r="S80" i="27"/>
  <c r="W80" i="27" s="1"/>
  <c r="Z80" i="27"/>
  <c r="AE80" i="27" s="1"/>
  <c r="AH80" i="27"/>
  <c r="AK80" i="27" s="1"/>
  <c r="S81" i="27"/>
  <c r="W81" i="27"/>
  <c r="Z81" i="27"/>
  <c r="AE81" i="27" s="1"/>
  <c r="AH81" i="27"/>
  <c r="AK81" i="27" s="1"/>
  <c r="S82" i="27"/>
  <c r="W82" i="27" s="1"/>
  <c r="Z82" i="27"/>
  <c r="AE82" i="27" s="1"/>
  <c r="AH82" i="27"/>
  <c r="AK82" i="27" s="1"/>
  <c r="S83" i="27"/>
  <c r="W83" i="27" s="1"/>
  <c r="Z83" i="27"/>
  <c r="AE83" i="27" s="1"/>
  <c r="AH83" i="27"/>
  <c r="AK83" i="27"/>
  <c r="S84" i="27"/>
  <c r="W84" i="27" s="1"/>
  <c r="Z84" i="27"/>
  <c r="AE84" i="27"/>
  <c r="AH84" i="27"/>
  <c r="AK84" i="27" s="1"/>
  <c r="S85" i="27"/>
  <c r="W85" i="27"/>
  <c r="Z85" i="27"/>
  <c r="AE85" i="27" s="1"/>
  <c r="AH85" i="27"/>
  <c r="AK85" i="27" s="1"/>
  <c r="S86" i="27"/>
  <c r="W86" i="27" s="1"/>
  <c r="Z86" i="27"/>
  <c r="AE86" i="27"/>
  <c r="AH86" i="27"/>
  <c r="AK86" i="27" s="1"/>
  <c r="S87" i="27"/>
  <c r="W87" i="27" s="1"/>
  <c r="Z87" i="27"/>
  <c r="AE87" i="27" s="1"/>
  <c r="AH87" i="27"/>
  <c r="AK87" i="27" s="1"/>
  <c r="S88" i="27"/>
  <c r="W88" i="27" s="1"/>
  <c r="Z88" i="27"/>
  <c r="AE88" i="27" s="1"/>
  <c r="AH88" i="27"/>
  <c r="AK88" i="27" s="1"/>
  <c r="S89" i="27"/>
  <c r="W89" i="27"/>
  <c r="Z89" i="27"/>
  <c r="AE89" i="27" s="1"/>
  <c r="AH89" i="27"/>
  <c r="AK89" i="27"/>
  <c r="S90" i="27"/>
  <c r="W90" i="27" s="1"/>
  <c r="Z90" i="27"/>
  <c r="AE90" i="27"/>
  <c r="AH90" i="27"/>
  <c r="AK90" i="27" s="1"/>
  <c r="S91" i="27"/>
  <c r="W91" i="27" s="1"/>
  <c r="Z91" i="27"/>
  <c r="AE91" i="27" s="1"/>
  <c r="AH91" i="27"/>
  <c r="AK91" i="27"/>
  <c r="S92" i="27"/>
  <c r="W92" i="27" s="1"/>
  <c r="Z92" i="27"/>
  <c r="AE92" i="27" s="1"/>
  <c r="AH92" i="27"/>
  <c r="AK92" i="27" s="1"/>
  <c r="S93" i="27"/>
  <c r="W93" i="27" s="1"/>
  <c r="Z93" i="27"/>
  <c r="AE93" i="27" s="1"/>
  <c r="AH93" i="27"/>
  <c r="AK93" i="27" s="1"/>
  <c r="S94" i="27"/>
  <c r="W94" i="27" s="1"/>
  <c r="Z94" i="27"/>
  <c r="AE94" i="27"/>
  <c r="AH94" i="27"/>
  <c r="AK94" i="27" s="1"/>
  <c r="S95" i="27"/>
  <c r="W95" i="27"/>
  <c r="Z95" i="27"/>
  <c r="AE95" i="27" s="1"/>
  <c r="AH95" i="27"/>
  <c r="AK95" i="27"/>
  <c r="S96" i="27"/>
  <c r="W96" i="27" s="1"/>
  <c r="Z96" i="27"/>
  <c r="AE96" i="27" s="1"/>
  <c r="AH96" i="27"/>
  <c r="AK96" i="27" s="1"/>
  <c r="S97" i="27"/>
  <c r="W97" i="27"/>
  <c r="Z97" i="27"/>
  <c r="AE97" i="27" s="1"/>
  <c r="AH97" i="27"/>
  <c r="AK97" i="27" s="1"/>
  <c r="S98" i="27"/>
  <c r="W98" i="27" s="1"/>
  <c r="Z98" i="27"/>
  <c r="AE98" i="27"/>
  <c r="AH98" i="27"/>
  <c r="AK98" i="27" s="1"/>
  <c r="S99" i="27"/>
  <c r="W99" i="27" s="1"/>
  <c r="Z99" i="27"/>
  <c r="AE99" i="27" s="1"/>
  <c r="AH99" i="27"/>
  <c r="AK99" i="27"/>
  <c r="S100" i="27"/>
  <c r="W100" i="27" s="1"/>
  <c r="Z100" i="27"/>
  <c r="AE100" i="27"/>
  <c r="AH100" i="27"/>
  <c r="AK100" i="27" s="1"/>
  <c r="O50" i="49"/>
  <c r="U50" i="49"/>
  <c r="AA50" i="49"/>
  <c r="O51" i="49"/>
  <c r="U51" i="49"/>
  <c r="AA51" i="49"/>
  <c r="O52" i="49"/>
  <c r="U52" i="49"/>
  <c r="AA52" i="49"/>
  <c r="O53" i="49"/>
  <c r="U53" i="49"/>
  <c r="AA53" i="49"/>
  <c r="O54" i="49"/>
  <c r="U54" i="49"/>
  <c r="AA54" i="49"/>
  <c r="O55" i="49"/>
  <c r="U55" i="49"/>
  <c r="AA55" i="49"/>
  <c r="O56" i="49"/>
  <c r="U56" i="49"/>
  <c r="AA56" i="49"/>
  <c r="O57" i="49"/>
  <c r="U57" i="49"/>
  <c r="AA57" i="49"/>
  <c r="O58" i="49"/>
  <c r="U58" i="49"/>
  <c r="AA58" i="49"/>
  <c r="O59" i="49"/>
  <c r="U59" i="49"/>
  <c r="AA59" i="49"/>
  <c r="O60" i="49"/>
  <c r="U60" i="49"/>
  <c r="AA60" i="49"/>
  <c r="O61" i="49"/>
  <c r="U61" i="49"/>
  <c r="AA61" i="49"/>
  <c r="O62" i="49"/>
  <c r="U62" i="49"/>
  <c r="AA62" i="49"/>
  <c r="O63" i="49"/>
  <c r="U63" i="49"/>
  <c r="AA63" i="49"/>
  <c r="O64" i="49"/>
  <c r="U64" i="49"/>
  <c r="AA64" i="49"/>
  <c r="O65" i="49"/>
  <c r="U65" i="49"/>
  <c r="AA65" i="49"/>
  <c r="O66" i="49"/>
  <c r="U66" i="49"/>
  <c r="AA66" i="49"/>
  <c r="O67" i="49"/>
  <c r="U67" i="49"/>
  <c r="AA67" i="49"/>
  <c r="O68" i="49"/>
  <c r="U68" i="49"/>
  <c r="AA68" i="49"/>
  <c r="O69" i="49"/>
  <c r="U69" i="49"/>
  <c r="AA69" i="49"/>
  <c r="O70" i="49"/>
  <c r="U70" i="49"/>
  <c r="AA70" i="49"/>
  <c r="O71" i="49"/>
  <c r="U71" i="49"/>
  <c r="AA71" i="49"/>
  <c r="O72" i="49"/>
  <c r="U72" i="49"/>
  <c r="AA72" i="49"/>
  <c r="O73" i="49"/>
  <c r="U73" i="49"/>
  <c r="AA73" i="49"/>
  <c r="O74" i="49"/>
  <c r="U74" i="49"/>
  <c r="AA74" i="49"/>
  <c r="O75" i="49"/>
  <c r="U75" i="49"/>
  <c r="AA75" i="49"/>
  <c r="O76" i="49"/>
  <c r="U76" i="49"/>
  <c r="AA76" i="49"/>
  <c r="O77" i="49"/>
  <c r="U77" i="49"/>
  <c r="AA77" i="49"/>
  <c r="O78" i="49"/>
  <c r="U78" i="49"/>
  <c r="AA78" i="49"/>
  <c r="O79" i="49"/>
  <c r="U79" i="49"/>
  <c r="AA79" i="49"/>
  <c r="O80" i="49"/>
  <c r="U80" i="49"/>
  <c r="AA80" i="49"/>
  <c r="O81" i="49"/>
  <c r="U81" i="49"/>
  <c r="AA81" i="49"/>
  <c r="O82" i="49"/>
  <c r="U82" i="49"/>
  <c r="AA82" i="49"/>
  <c r="O83" i="49"/>
  <c r="U83" i="49"/>
  <c r="AA83" i="49"/>
  <c r="O84" i="49"/>
  <c r="U84" i="49"/>
  <c r="AA84" i="49"/>
  <c r="O85" i="49"/>
  <c r="U85" i="49"/>
  <c r="AA85" i="49"/>
  <c r="O86" i="49"/>
  <c r="U86" i="49"/>
  <c r="AA86" i="49"/>
  <c r="O87" i="49"/>
  <c r="U87" i="49"/>
  <c r="AA87" i="49"/>
  <c r="O88" i="49"/>
  <c r="U88" i="49"/>
  <c r="AA88" i="49"/>
  <c r="O89" i="49"/>
  <c r="U89" i="49"/>
  <c r="AA89" i="49"/>
  <c r="O90" i="49"/>
  <c r="U90" i="49"/>
  <c r="AA90" i="49"/>
  <c r="O91" i="49"/>
  <c r="U91" i="49"/>
  <c r="AA91" i="49"/>
  <c r="O92" i="49"/>
  <c r="U92" i="49"/>
  <c r="AA92" i="49"/>
  <c r="O93" i="49"/>
  <c r="U93" i="49"/>
  <c r="AA93" i="49"/>
  <c r="O94" i="49"/>
  <c r="U94" i="49"/>
  <c r="AA94" i="49"/>
  <c r="O95" i="49"/>
  <c r="U95" i="49"/>
  <c r="AA95" i="49"/>
  <c r="O96" i="49"/>
  <c r="U96" i="49"/>
  <c r="AA96" i="49"/>
  <c r="O97" i="49"/>
  <c r="U97" i="49"/>
  <c r="AA97" i="49"/>
  <c r="O98" i="49"/>
  <c r="U98" i="49"/>
  <c r="AA98" i="49"/>
  <c r="O99" i="49"/>
  <c r="U99" i="49"/>
  <c r="AA99" i="49"/>
  <c r="O100" i="49"/>
  <c r="U100" i="49"/>
  <c r="AA100" i="49"/>
  <c r="O101" i="49"/>
  <c r="U101" i="49"/>
  <c r="AA101" i="49"/>
  <c r="O102" i="49"/>
  <c r="U102" i="49"/>
  <c r="AA102" i="49"/>
  <c r="O103" i="49"/>
  <c r="U103" i="49"/>
  <c r="AA103" i="49"/>
  <c r="O104" i="49"/>
  <c r="U104" i="49"/>
  <c r="AA104" i="49"/>
  <c r="O105" i="49"/>
  <c r="U105" i="49"/>
  <c r="AA105" i="49"/>
  <c r="O106" i="49"/>
  <c r="U106" i="49"/>
  <c r="AA106" i="49"/>
  <c r="O107" i="49"/>
  <c r="U107" i="49"/>
  <c r="AA107" i="49"/>
  <c r="O108" i="49"/>
  <c r="U108" i="49"/>
  <c r="AA108" i="49"/>
  <c r="O109" i="49"/>
  <c r="U109" i="49"/>
  <c r="AA109" i="49"/>
  <c r="O110" i="49"/>
  <c r="U110" i="49"/>
  <c r="AA110" i="49"/>
  <c r="O111" i="49"/>
  <c r="U111" i="49"/>
  <c r="AA111" i="49"/>
  <c r="O112" i="49"/>
  <c r="U112" i="49"/>
  <c r="AA112" i="49"/>
  <c r="O113" i="49"/>
  <c r="U113" i="49"/>
  <c r="AA113" i="49"/>
  <c r="O114" i="49"/>
  <c r="U114" i="49"/>
  <c r="AA114" i="49"/>
  <c r="O115" i="49"/>
  <c r="U115" i="49"/>
  <c r="AA115" i="49"/>
  <c r="O116" i="49"/>
  <c r="U116" i="49"/>
  <c r="AA116" i="49"/>
  <c r="O117" i="49"/>
  <c r="U117" i="49"/>
  <c r="AA117" i="49"/>
  <c r="O118" i="49"/>
  <c r="U118" i="49"/>
  <c r="AA118" i="49"/>
  <c r="O119" i="49"/>
  <c r="U119" i="49"/>
  <c r="AA119" i="49"/>
  <c r="O120" i="49"/>
  <c r="U120" i="49"/>
  <c r="AA120" i="49"/>
  <c r="O121" i="49"/>
  <c r="U121" i="49"/>
  <c r="AA121" i="49"/>
  <c r="O122" i="49"/>
  <c r="U122" i="49"/>
  <c r="AA122" i="49"/>
  <c r="O123" i="49"/>
  <c r="U123" i="49"/>
  <c r="AA123" i="49"/>
  <c r="O124" i="49"/>
  <c r="U124" i="49"/>
  <c r="AA124" i="49"/>
  <c r="O125" i="49"/>
  <c r="U125" i="49"/>
  <c r="AA125" i="49"/>
  <c r="O126" i="49"/>
  <c r="U126" i="49"/>
  <c r="AA126" i="49"/>
  <c r="O127" i="49"/>
  <c r="U127" i="49"/>
  <c r="AA127" i="49"/>
  <c r="O128" i="49"/>
  <c r="U128" i="49"/>
  <c r="AA128" i="49"/>
  <c r="O129" i="49"/>
  <c r="U129" i="49"/>
  <c r="AA129" i="49"/>
  <c r="O130" i="49"/>
  <c r="U130" i="49"/>
  <c r="AA130" i="49"/>
  <c r="O131" i="49"/>
  <c r="U131" i="49"/>
  <c r="AA131" i="49"/>
  <c r="O132" i="49"/>
  <c r="U132" i="49"/>
  <c r="AA132" i="49"/>
  <c r="O133" i="49"/>
  <c r="U133" i="49"/>
  <c r="AA133" i="49"/>
  <c r="O134" i="49"/>
  <c r="U134" i="49"/>
  <c r="AA134" i="49"/>
  <c r="O135" i="49"/>
  <c r="U135" i="49"/>
  <c r="AA135" i="49"/>
  <c r="O136" i="49"/>
  <c r="U136" i="49"/>
  <c r="AA136" i="49"/>
  <c r="O137" i="49"/>
  <c r="U137" i="49"/>
  <c r="AA137" i="49"/>
  <c r="O138" i="49"/>
  <c r="U138" i="49"/>
  <c r="AA138" i="49"/>
  <c r="O139" i="49"/>
  <c r="U139" i="49"/>
  <c r="AA139" i="49"/>
  <c r="O140" i="49"/>
  <c r="U140" i="49"/>
  <c r="AA140" i="49"/>
  <c r="O141" i="49"/>
  <c r="U141" i="49"/>
  <c r="AA141" i="49"/>
  <c r="O142" i="49"/>
  <c r="U142" i="49"/>
  <c r="AA142" i="49"/>
  <c r="O143" i="49"/>
  <c r="U143" i="49"/>
  <c r="AA143" i="49"/>
  <c r="O144" i="49"/>
  <c r="U144" i="49"/>
  <c r="AA144" i="49"/>
  <c r="O145" i="49"/>
  <c r="U145" i="49"/>
  <c r="AA145" i="49"/>
  <c r="O146" i="49"/>
  <c r="U146" i="49"/>
  <c r="AA146" i="49"/>
  <c r="O147" i="49"/>
  <c r="U147" i="49"/>
  <c r="AA147" i="49"/>
  <c r="O148" i="49"/>
  <c r="U148" i="49"/>
  <c r="AA148" i="49"/>
  <c r="O149" i="49"/>
  <c r="U149" i="49"/>
  <c r="AA149" i="49"/>
  <c r="O150" i="49"/>
  <c r="U150" i="49"/>
  <c r="AA150"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M4" i="55"/>
  <c r="J12" i="1"/>
  <c r="K200" i="38"/>
  <c r="J200" i="38"/>
  <c r="G101" i="65" s="1"/>
  <c r="H38" i="65" s="1"/>
  <c r="F200" i="38"/>
  <c r="C101" i="65" s="1"/>
  <c r="C38" i="65" s="1"/>
  <c r="G200" i="38"/>
  <c r="D101" i="65" s="1"/>
  <c r="H200" i="38"/>
  <c r="E101" i="65" s="1"/>
  <c r="E200" i="38"/>
  <c r="F466" i="23"/>
  <c r="G466" i="23"/>
  <c r="H466" i="23"/>
  <c r="F467" i="23"/>
  <c r="G467" i="23"/>
  <c r="H467" i="23"/>
  <c r="I4" i="56"/>
  <c r="F9" i="37"/>
  <c r="F10" i="37"/>
  <c r="N49" i="55"/>
  <c r="B49" i="55" s="1"/>
  <c r="G6" i="62"/>
  <c r="G7" i="62"/>
  <c r="G8" i="62"/>
  <c r="F7" i="62"/>
  <c r="F8" i="62"/>
  <c r="J6" i="62"/>
  <c r="J7" i="62"/>
  <c r="J8" i="62"/>
  <c r="I6" i="62"/>
  <c r="I7" i="62"/>
  <c r="I8" i="62"/>
  <c r="I107" i="57"/>
  <c r="I28" i="38"/>
  <c r="I29" i="38"/>
  <c r="I30" i="38"/>
  <c r="O28" i="38"/>
  <c r="O29" i="38"/>
  <c r="O30" i="38"/>
  <c r="I29" i="57"/>
  <c r="O10" i="38"/>
  <c r="O11" i="38"/>
  <c r="O12" i="38"/>
  <c r="O13" i="38"/>
  <c r="O14" i="38"/>
  <c r="O15" i="38"/>
  <c r="O16" i="38"/>
  <c r="O17" i="38"/>
  <c r="O18" i="38"/>
  <c r="O19" i="38"/>
  <c r="O20" i="38"/>
  <c r="O21" i="38"/>
  <c r="I10" i="38"/>
  <c r="I11" i="38"/>
  <c r="I12" i="38"/>
  <c r="I13" i="38"/>
  <c r="I14" i="38"/>
  <c r="I15" i="38"/>
  <c r="I16" i="38"/>
  <c r="I17" i="38"/>
  <c r="I18" i="38"/>
  <c r="I19" i="38"/>
  <c r="I20" i="38"/>
  <c r="I21" i="38"/>
  <c r="I9" i="57"/>
  <c r="I10" i="57" s="1"/>
  <c r="I62" i="56"/>
  <c r="I109" i="56"/>
  <c r="I110" i="56" s="1"/>
  <c r="I127" i="56"/>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04" i="37"/>
  <c r="P185" i="37"/>
  <c r="P186" i="37"/>
  <c r="P187" i="37"/>
  <c r="P188" i="37"/>
  <c r="P189" i="37"/>
  <c r="P190" i="37"/>
  <c r="P191" i="37"/>
  <c r="P192" i="37"/>
  <c r="P193" i="37"/>
  <c r="P194" i="37"/>
  <c r="P195" i="37"/>
  <c r="P196" i="37"/>
  <c r="P197" i="37"/>
  <c r="P198" i="37"/>
  <c r="P184" i="37"/>
  <c r="O185" i="36"/>
  <c r="O186" i="36"/>
  <c r="O187" i="36"/>
  <c r="O188" i="36"/>
  <c r="O189" i="36"/>
  <c r="O190" i="36"/>
  <c r="O191" i="36"/>
  <c r="O192" i="36"/>
  <c r="O193" i="36"/>
  <c r="O194" i="36"/>
  <c r="O195" i="36"/>
  <c r="O196" i="36"/>
  <c r="O197" i="36"/>
  <c r="O198" i="36"/>
  <c r="O199" i="36"/>
  <c r="F183" i="37"/>
  <c r="F184" i="37"/>
  <c r="I184" i="37" s="1"/>
  <c r="F185" i="37"/>
  <c r="H185" i="37" s="1"/>
  <c r="F186" i="37"/>
  <c r="F187" i="37"/>
  <c r="H187" i="37" s="1"/>
  <c r="F188" i="37"/>
  <c r="H188" i="37" s="1"/>
  <c r="F189" i="37"/>
  <c r="I189" i="37" s="1"/>
  <c r="F190" i="37"/>
  <c r="H190" i="37" s="1"/>
  <c r="F191" i="37"/>
  <c r="F192" i="37"/>
  <c r="H192" i="37" s="1"/>
  <c r="F193" i="37"/>
  <c r="I193" i="37" s="1"/>
  <c r="F194" i="37"/>
  <c r="H194" i="37" s="1"/>
  <c r="F195" i="37"/>
  <c r="H195" i="37" s="1"/>
  <c r="F196" i="37"/>
  <c r="F197" i="37"/>
  <c r="H197" i="37" s="1"/>
  <c r="F198" i="37"/>
  <c r="N184" i="37"/>
  <c r="O184" i="37"/>
  <c r="N185" i="37"/>
  <c r="O185" i="37"/>
  <c r="N186" i="37"/>
  <c r="O186" i="37"/>
  <c r="N187" i="37"/>
  <c r="O187" i="37"/>
  <c r="N188" i="37"/>
  <c r="O188" i="37"/>
  <c r="N189" i="37"/>
  <c r="O189" i="37"/>
  <c r="N190" i="37"/>
  <c r="O190" i="37"/>
  <c r="N191" i="37"/>
  <c r="O191" i="37"/>
  <c r="N192" i="37"/>
  <c r="O192" i="37"/>
  <c r="N193" i="37"/>
  <c r="O193" i="37"/>
  <c r="N194" i="37"/>
  <c r="O194" i="37"/>
  <c r="N195" i="37"/>
  <c r="O195" i="37"/>
  <c r="N196" i="37"/>
  <c r="O196" i="37"/>
  <c r="N197" i="37"/>
  <c r="O197" i="37"/>
  <c r="N198" i="37"/>
  <c r="O198" i="37"/>
  <c r="F84" i="37"/>
  <c r="F85" i="37"/>
  <c r="F86" i="37"/>
  <c r="F87" i="37"/>
  <c r="N69" i="37"/>
  <c r="O69" i="37"/>
  <c r="N70" i="37"/>
  <c r="O70" i="37"/>
  <c r="N71" i="37"/>
  <c r="O71" i="37"/>
  <c r="N72" i="37"/>
  <c r="O72" i="37"/>
  <c r="N73" i="37"/>
  <c r="O73" i="37"/>
  <c r="N74" i="37"/>
  <c r="O74" i="37"/>
  <c r="N75" i="37"/>
  <c r="O75" i="37"/>
  <c r="N76" i="37"/>
  <c r="O76" i="37"/>
  <c r="N77" i="37"/>
  <c r="O77" i="37"/>
  <c r="H69" i="37"/>
  <c r="H70" i="37"/>
  <c r="H71" i="37"/>
  <c r="H72" i="37"/>
  <c r="H73" i="37"/>
  <c r="I76" i="37"/>
  <c r="H77" i="37"/>
  <c r="I2" i="56"/>
  <c r="N2" i="56" s="1"/>
  <c r="M70" i="36"/>
  <c r="N70" i="36"/>
  <c r="M71" i="36"/>
  <c r="N71" i="36"/>
  <c r="M72" i="36"/>
  <c r="N72" i="36"/>
  <c r="M73" i="36"/>
  <c r="N73" i="36"/>
  <c r="M74" i="36"/>
  <c r="N74" i="36"/>
  <c r="M75" i="36"/>
  <c r="N75" i="36"/>
  <c r="M76" i="36"/>
  <c r="N76" i="36"/>
  <c r="M77" i="36"/>
  <c r="N77" i="36"/>
  <c r="M78" i="36"/>
  <c r="N78" i="36"/>
  <c r="G70" i="36"/>
  <c r="H70" i="36"/>
  <c r="G71" i="36"/>
  <c r="H71" i="36"/>
  <c r="G72" i="36"/>
  <c r="H72" i="36"/>
  <c r="G73" i="36"/>
  <c r="H73" i="36"/>
  <c r="G74" i="36"/>
  <c r="H74" i="36"/>
  <c r="G75" i="36"/>
  <c r="H75" i="36"/>
  <c r="G76" i="36"/>
  <c r="H76" i="36"/>
  <c r="G77" i="36"/>
  <c r="H77" i="36"/>
  <c r="G78" i="36"/>
  <c r="H78" i="36"/>
  <c r="E49" i="56"/>
  <c r="K49" i="56"/>
  <c r="I190" i="37"/>
  <c r="I194" i="37"/>
  <c r="I197" i="37"/>
  <c r="I185" i="37"/>
  <c r="I72" i="37"/>
  <c r="H76" i="37"/>
  <c r="I71" i="37"/>
  <c r="I77" i="37"/>
  <c r="I73" i="37"/>
  <c r="I69" i="37"/>
  <c r="I70" i="37"/>
  <c r="M62" i="55"/>
  <c r="M63" i="55" s="1"/>
  <c r="K12" i="51"/>
  <c r="N12" i="51"/>
  <c r="Q12" i="51"/>
  <c r="K13" i="51"/>
  <c r="N13" i="51"/>
  <c r="Q13" i="5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A10" i="13"/>
  <c r="N10" i="13" s="1"/>
  <c r="A11" i="13"/>
  <c r="N11" i="13" s="1"/>
  <c r="A12" i="13"/>
  <c r="N12" i="13" s="1"/>
  <c r="A13" i="13"/>
  <c r="N13" i="13" s="1"/>
  <c r="A14" i="13"/>
  <c r="N14" i="13" s="1"/>
  <c r="A15" i="13"/>
  <c r="N15" i="13" s="1"/>
  <c r="A16" i="13"/>
  <c r="N16" i="13" s="1"/>
  <c r="A17" i="13"/>
  <c r="N17" i="13" s="1"/>
  <c r="A18" i="13"/>
  <c r="N18" i="13" s="1"/>
  <c r="A19" i="13"/>
  <c r="N19" i="13" s="1"/>
  <c r="A20" i="13"/>
  <c r="N20" i="13" s="1"/>
  <c r="A21" i="13"/>
  <c r="N21" i="13" s="1"/>
  <c r="A22" i="13"/>
  <c r="N22" i="13" s="1"/>
  <c r="A23" i="13"/>
  <c r="N23" i="13" s="1"/>
  <c r="A24" i="13"/>
  <c r="N24" i="13" s="1"/>
  <c r="A25" i="13"/>
  <c r="N25" i="13" s="1"/>
  <c r="A26" i="13"/>
  <c r="N26" i="13" s="1"/>
  <c r="A27" i="13"/>
  <c r="N27" i="13" s="1"/>
  <c r="A28" i="13"/>
  <c r="N28" i="13" s="1"/>
  <c r="A29" i="13"/>
  <c r="N29" i="13" s="1"/>
  <c r="A30" i="13"/>
  <c r="N30" i="13" s="1"/>
  <c r="A31" i="13"/>
  <c r="N31" i="13" s="1"/>
  <c r="A32" i="13"/>
  <c r="N32" i="13" s="1"/>
  <c r="A33" i="13"/>
  <c r="N33" i="13" s="1"/>
  <c r="A34" i="13"/>
  <c r="N34" i="13" s="1"/>
  <c r="A35" i="13"/>
  <c r="N35" i="13" s="1"/>
  <c r="A36" i="13"/>
  <c r="N36" i="13" s="1"/>
  <c r="A37" i="13"/>
  <c r="N37" i="13" s="1"/>
  <c r="A38" i="13"/>
  <c r="N38" i="13" s="1"/>
  <c r="A39" i="13"/>
  <c r="N39" i="13" s="1"/>
  <c r="A40" i="13"/>
  <c r="N40" i="13" s="1"/>
  <c r="A41" i="13"/>
  <c r="N41" i="13" s="1"/>
  <c r="A42" i="13"/>
  <c r="N42" i="13" s="1"/>
  <c r="A43" i="13"/>
  <c r="N43" i="13" s="1"/>
  <c r="A44" i="13"/>
  <c r="N44" i="13" s="1"/>
  <c r="A45" i="13"/>
  <c r="N45" i="13" s="1"/>
  <c r="A46" i="13"/>
  <c r="N46" i="13" s="1"/>
  <c r="A47" i="13"/>
  <c r="N47" i="13" s="1"/>
  <c r="A48" i="13"/>
  <c r="N48" i="13" s="1"/>
  <c r="A49" i="13"/>
  <c r="N49" i="13" s="1"/>
  <c r="A50" i="13"/>
  <c r="N50" i="13" s="1"/>
  <c r="A51" i="13"/>
  <c r="N51" i="13" s="1"/>
  <c r="A52" i="13"/>
  <c r="N52" i="13" s="1"/>
  <c r="A53" i="13"/>
  <c r="N53" i="13" s="1"/>
  <c r="A54" i="13"/>
  <c r="N54" i="13" s="1"/>
  <c r="A55" i="13"/>
  <c r="N55" i="13" s="1"/>
  <c r="A56" i="13"/>
  <c r="N56" i="13" s="1"/>
  <c r="A57" i="13"/>
  <c r="N57" i="13" s="1"/>
  <c r="A58" i="13"/>
  <c r="N58" i="13" s="1"/>
  <c r="A59" i="13"/>
  <c r="N59" i="13" s="1"/>
  <c r="A60" i="13"/>
  <c r="N60" i="13" s="1"/>
  <c r="A61" i="13"/>
  <c r="N61" i="13" s="1"/>
  <c r="A62" i="13"/>
  <c r="N62" i="13" s="1"/>
  <c r="A63" i="13"/>
  <c r="N63" i="13" s="1"/>
  <c r="A64" i="13"/>
  <c r="N64" i="13" s="1"/>
  <c r="A65" i="13"/>
  <c r="N65" i="13" s="1"/>
  <c r="A66" i="13"/>
  <c r="N66" i="13" s="1"/>
  <c r="A67" i="13"/>
  <c r="N67" i="13" s="1"/>
  <c r="A68" i="13"/>
  <c r="N68" i="13" s="1"/>
  <c r="A69" i="13"/>
  <c r="N69" i="13" s="1"/>
  <c r="A70" i="13"/>
  <c r="N70" i="13" s="1"/>
  <c r="A71" i="13"/>
  <c r="N71" i="13" s="1"/>
  <c r="A72" i="13"/>
  <c r="N72" i="13" s="1"/>
  <c r="A73" i="13"/>
  <c r="N73" i="13" s="1"/>
  <c r="A74" i="13"/>
  <c r="N74" i="13" s="1"/>
  <c r="A75" i="13"/>
  <c r="N75" i="13" s="1"/>
  <c r="A76" i="13"/>
  <c r="N76" i="13" s="1"/>
  <c r="A77" i="13"/>
  <c r="N77" i="13" s="1"/>
  <c r="A78" i="13"/>
  <c r="N78" i="13" s="1"/>
  <c r="A79" i="13"/>
  <c r="N79" i="13" s="1"/>
  <c r="A80" i="13"/>
  <c r="N80" i="13" s="1"/>
  <c r="A81" i="13"/>
  <c r="N81" i="13" s="1"/>
  <c r="A82" i="13"/>
  <c r="N82" i="13" s="1"/>
  <c r="A83" i="13"/>
  <c r="N83" i="13" s="1"/>
  <c r="A84" i="13"/>
  <c r="N84" i="13" s="1"/>
  <c r="A85" i="13"/>
  <c r="N85" i="13" s="1"/>
  <c r="A86" i="13"/>
  <c r="N86" i="13" s="1"/>
  <c r="A87" i="13"/>
  <c r="N87" i="13" s="1"/>
  <c r="A88" i="13"/>
  <c r="N88" i="13" s="1"/>
  <c r="A89" i="13"/>
  <c r="N89" i="13" s="1"/>
  <c r="A90" i="13"/>
  <c r="N90" i="13" s="1"/>
  <c r="A91" i="13"/>
  <c r="N91" i="13" s="1"/>
  <c r="A92" i="13"/>
  <c r="N92" i="13" s="1"/>
  <c r="A93" i="13"/>
  <c r="N93" i="13" s="1"/>
  <c r="A94" i="13"/>
  <c r="N94" i="13" s="1"/>
  <c r="A95" i="13"/>
  <c r="N95" i="13" s="1"/>
  <c r="A96" i="13"/>
  <c r="N96" i="13" s="1"/>
  <c r="A97" i="13"/>
  <c r="N97" i="13" s="1"/>
  <c r="A98" i="13"/>
  <c r="N98" i="13" s="1"/>
  <c r="A99" i="13"/>
  <c r="N99" i="13" s="1"/>
  <c r="A100" i="13"/>
  <c r="N100" i="13" s="1"/>
  <c r="A101" i="13"/>
  <c r="N101" i="13" s="1"/>
  <c r="A102" i="13"/>
  <c r="N102" i="13" s="1"/>
  <c r="A103" i="13"/>
  <c r="N103" i="13" s="1"/>
  <c r="A104" i="13"/>
  <c r="N104" i="13" s="1"/>
  <c r="A105" i="13"/>
  <c r="N105" i="13" s="1"/>
  <c r="A106" i="13"/>
  <c r="N106" i="13" s="1"/>
  <c r="A107" i="13"/>
  <c r="N107" i="13" s="1"/>
  <c r="A108" i="13"/>
  <c r="N108" i="13" s="1"/>
  <c r="A9" i="13"/>
  <c r="AH12" i="27"/>
  <c r="AK12" i="27" s="1"/>
  <c r="AH13" i="27"/>
  <c r="AK13" i="27" s="1"/>
  <c r="AH14" i="27"/>
  <c r="AH15" i="27"/>
  <c r="AK15" i="27" s="1"/>
  <c r="AH16" i="27"/>
  <c r="AH17" i="27"/>
  <c r="AK17" i="27" s="1"/>
  <c r="AH18" i="27"/>
  <c r="AH19" i="27"/>
  <c r="AK19" i="27" s="1"/>
  <c r="AH20" i="27"/>
  <c r="AH21" i="27"/>
  <c r="AH22" i="27"/>
  <c r="AK22" i="27" s="1"/>
  <c r="AH23" i="27"/>
  <c r="AK23" i="27" s="1"/>
  <c r="AH24" i="27"/>
  <c r="AH25" i="27"/>
  <c r="AK25" i="27" s="1"/>
  <c r="AH26" i="27"/>
  <c r="AK26" i="27" s="1"/>
  <c r="AH27" i="27"/>
  <c r="AK27" i="27" s="1"/>
  <c r="AH28" i="27"/>
  <c r="AK28" i="27" s="1"/>
  <c r="AH29" i="27"/>
  <c r="AK29" i="27" s="1"/>
  <c r="AH30" i="27"/>
  <c r="AH31" i="27"/>
  <c r="AK31" i="27"/>
  <c r="AH32" i="27"/>
  <c r="AK32" i="27" s="1"/>
  <c r="AH33" i="27"/>
  <c r="AH34" i="27"/>
  <c r="AK34" i="27" s="1"/>
  <c r="AH35" i="27"/>
  <c r="AK35" i="27" s="1"/>
  <c r="AH36" i="27"/>
  <c r="AH37" i="27"/>
  <c r="AH38" i="27"/>
  <c r="AK38" i="27" s="1"/>
  <c r="AH39" i="27"/>
  <c r="AK39" i="27" s="1"/>
  <c r="AH40" i="27"/>
  <c r="AH41" i="27"/>
  <c r="AK41" i="27" s="1"/>
  <c r="AH42" i="27"/>
  <c r="AK42" i="27" s="1"/>
  <c r="AH43" i="27"/>
  <c r="AK43" i="27" s="1"/>
  <c r="AH44" i="27"/>
  <c r="AK44" i="27" s="1"/>
  <c r="AH45" i="27"/>
  <c r="AK45" i="27" s="1"/>
  <c r="AH46" i="27"/>
  <c r="AK46" i="27" s="1"/>
  <c r="AH47" i="27"/>
  <c r="AK47" i="27" s="1"/>
  <c r="AH48" i="27"/>
  <c r="AK48" i="27" s="1"/>
  <c r="AH49" i="27"/>
  <c r="AK49" i="27" s="1"/>
  <c r="AH11" i="27"/>
  <c r="Z12" i="27"/>
  <c r="AE12" i="27" s="1"/>
  <c r="Z13" i="27"/>
  <c r="AE13" i="27" s="1"/>
  <c r="Z14" i="27"/>
  <c r="AE14" i="27"/>
  <c r="Z15" i="27"/>
  <c r="AE15" i="27" s="1"/>
  <c r="Z16" i="27"/>
  <c r="AE16" i="27" s="1"/>
  <c r="Z17" i="27"/>
  <c r="AE17" i="27" s="1"/>
  <c r="Z18" i="27"/>
  <c r="AE18" i="27"/>
  <c r="Z19" i="27"/>
  <c r="AE19" i="27" s="1"/>
  <c r="Z20" i="27"/>
  <c r="AE20" i="27" s="1"/>
  <c r="Z21" i="27"/>
  <c r="AE21" i="27" s="1"/>
  <c r="Z22" i="27"/>
  <c r="AE22" i="27"/>
  <c r="Z23" i="27"/>
  <c r="AE23" i="27" s="1"/>
  <c r="Z24" i="27"/>
  <c r="AE24" i="27"/>
  <c r="Z25" i="27"/>
  <c r="AE25" i="27" s="1"/>
  <c r="Z26" i="27"/>
  <c r="AE26" i="27"/>
  <c r="Z27" i="27"/>
  <c r="AE27" i="27" s="1"/>
  <c r="Z28" i="27"/>
  <c r="AE28" i="27" s="1"/>
  <c r="Z29" i="27"/>
  <c r="AE29" i="27" s="1"/>
  <c r="Z30" i="27"/>
  <c r="AE30" i="27"/>
  <c r="Z31" i="27"/>
  <c r="AE31" i="27" s="1"/>
  <c r="Z32" i="27"/>
  <c r="AE32" i="27" s="1"/>
  <c r="Z33" i="27"/>
  <c r="AE33" i="27" s="1"/>
  <c r="Z34" i="27"/>
  <c r="AE34" i="27"/>
  <c r="Z35" i="27"/>
  <c r="AE35" i="27" s="1"/>
  <c r="Z36" i="27"/>
  <c r="AE36" i="27" s="1"/>
  <c r="Z37" i="27"/>
  <c r="AE37" i="27" s="1"/>
  <c r="Z38" i="27"/>
  <c r="AE38" i="27"/>
  <c r="Z39" i="27"/>
  <c r="AE39" i="27" s="1"/>
  <c r="Z40" i="27"/>
  <c r="AE40" i="27"/>
  <c r="Z41" i="27"/>
  <c r="AE41" i="27" s="1"/>
  <c r="Z42" i="27"/>
  <c r="AE42" i="27"/>
  <c r="Z43" i="27"/>
  <c r="AE43" i="27" s="1"/>
  <c r="Z44" i="27"/>
  <c r="AE44" i="27" s="1"/>
  <c r="Z45" i="27"/>
  <c r="AE45" i="27" s="1"/>
  <c r="Z46" i="27"/>
  <c r="AE46" i="27"/>
  <c r="Z47" i="27"/>
  <c r="AE47" i="27" s="1"/>
  <c r="Z48" i="27"/>
  <c r="AE48" i="27" s="1"/>
  <c r="Z49" i="27"/>
  <c r="AE49" i="27" s="1"/>
  <c r="Z11" i="27"/>
  <c r="AE11" i="27" s="1"/>
  <c r="S12" i="27"/>
  <c r="S13" i="27"/>
  <c r="S14" i="27"/>
  <c r="S15" i="27"/>
  <c r="S16" i="27"/>
  <c r="S17" i="27"/>
  <c r="S18" i="27"/>
  <c r="S19" i="27"/>
  <c r="S20" i="27"/>
  <c r="S21" i="27"/>
  <c r="S22" i="27"/>
  <c r="S23" i="27"/>
  <c r="S24" i="27"/>
  <c r="S25" i="27"/>
  <c r="S26" i="27"/>
  <c r="S27" i="27"/>
  <c r="S28" i="27"/>
  <c r="S29" i="27"/>
  <c r="S34" i="27"/>
  <c r="W34" i="27" s="1"/>
  <c r="S35" i="27"/>
  <c r="W35" i="27" s="1"/>
  <c r="S36" i="27"/>
  <c r="W36" i="27" s="1"/>
  <c r="S37" i="27"/>
  <c r="W37" i="27" s="1"/>
  <c r="S38" i="27"/>
  <c r="W38" i="27" s="1"/>
  <c r="S39" i="27"/>
  <c r="W39" i="27" s="1"/>
  <c r="S40" i="27"/>
  <c r="W40" i="27"/>
  <c r="S41" i="27"/>
  <c r="W41" i="27" s="1"/>
  <c r="S42" i="27"/>
  <c r="W42" i="27"/>
  <c r="S43" i="27"/>
  <c r="W43" i="27" s="1"/>
  <c r="S44" i="27"/>
  <c r="W44" i="27"/>
  <c r="S45" i="27"/>
  <c r="W45" i="27" s="1"/>
  <c r="S46" i="27"/>
  <c r="W46" i="27"/>
  <c r="S47" i="27"/>
  <c r="W47" i="27" s="1"/>
  <c r="S48" i="27"/>
  <c r="W48" i="27" s="1"/>
  <c r="S49" i="27"/>
  <c r="W49" i="27" s="1"/>
  <c r="S11" i="27"/>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11"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Z12" i="2"/>
  <c r="Z13" i="2"/>
  <c r="Z14" i="2"/>
  <c r="Z15" i="2"/>
  <c r="Z16" i="2"/>
  <c r="Z18" i="2"/>
  <c r="Z19" i="2"/>
  <c r="N20" i="2"/>
  <c r="Z20" i="2"/>
  <c r="N21" i="2"/>
  <c r="Z21" i="2" s="1"/>
  <c r="N22" i="2"/>
  <c r="Z22" i="2" s="1"/>
  <c r="N23" i="2"/>
  <c r="Z23" i="2" s="1"/>
  <c r="N24" i="2"/>
  <c r="Z24" i="2" s="1"/>
  <c r="N25" i="2"/>
  <c r="Z25" i="2" s="1"/>
  <c r="N26" i="2"/>
  <c r="Z26" i="2" s="1"/>
  <c r="N27" i="2"/>
  <c r="Z27" i="2" s="1"/>
  <c r="N28" i="2"/>
  <c r="Z28" i="2" s="1"/>
  <c r="N29" i="2"/>
  <c r="Z29" i="2" s="1"/>
  <c r="N30" i="2"/>
  <c r="Z30" i="2" s="1"/>
  <c r="N31" i="2"/>
  <c r="Z31" i="2" s="1"/>
  <c r="N32" i="2"/>
  <c r="Z32" i="2" s="1"/>
  <c r="N33" i="2"/>
  <c r="Z33" i="2" s="1"/>
  <c r="N34" i="2"/>
  <c r="Z34" i="2" s="1"/>
  <c r="N35" i="2"/>
  <c r="Z35" i="2" s="1"/>
  <c r="N36" i="2"/>
  <c r="Z36" i="2" s="1"/>
  <c r="N37" i="2"/>
  <c r="Z37" i="2" s="1"/>
  <c r="N38" i="2"/>
  <c r="Z38" i="2" s="1"/>
  <c r="N39" i="2"/>
  <c r="Z39" i="2" s="1"/>
  <c r="N40" i="2"/>
  <c r="Z40" i="2" s="1"/>
  <c r="N41" i="2"/>
  <c r="Z41" i="2" s="1"/>
  <c r="N42" i="2"/>
  <c r="Z42" i="2" s="1"/>
  <c r="N43" i="2"/>
  <c r="Z43" i="2" s="1"/>
  <c r="N44" i="2"/>
  <c r="Z44" i="2" s="1"/>
  <c r="N45" i="2"/>
  <c r="Z45" i="2" s="1"/>
  <c r="N46" i="2"/>
  <c r="Z46" i="2" s="1"/>
  <c r="N47" i="2"/>
  <c r="Z47" i="2" s="1"/>
  <c r="N48" i="2"/>
  <c r="Z48" i="2" s="1"/>
  <c r="N49" i="2"/>
  <c r="Z49" i="2" s="1"/>
  <c r="N50" i="2"/>
  <c r="Z50" i="2" s="1"/>
  <c r="Z11" i="2"/>
  <c r="E309" i="58"/>
  <c r="M2" i="55"/>
  <c r="N2" i="55" s="1"/>
  <c r="M109" i="55"/>
  <c r="M110" i="55" s="1"/>
  <c r="N109" i="55"/>
  <c r="J109" i="55" s="1"/>
  <c r="M185" i="36"/>
  <c r="N185" i="36"/>
  <c r="M186" i="36"/>
  <c r="N186" i="36"/>
  <c r="M187" i="36"/>
  <c r="N187" i="36"/>
  <c r="M188" i="36"/>
  <c r="N188" i="36"/>
  <c r="M189" i="36"/>
  <c r="N189" i="36"/>
  <c r="M190" i="36"/>
  <c r="N190" i="36"/>
  <c r="M191" i="36"/>
  <c r="N191" i="36"/>
  <c r="M192" i="36"/>
  <c r="N192" i="36"/>
  <c r="M193" i="36"/>
  <c r="N193" i="36"/>
  <c r="M194" i="36"/>
  <c r="N194" i="36"/>
  <c r="M195" i="36"/>
  <c r="N195" i="36"/>
  <c r="M196" i="36"/>
  <c r="N196" i="36"/>
  <c r="M197" i="36"/>
  <c r="N197" i="36"/>
  <c r="M198" i="36"/>
  <c r="N198" i="36"/>
  <c r="M199" i="36"/>
  <c r="N199" i="36"/>
  <c r="G185" i="36"/>
  <c r="H185" i="36"/>
  <c r="G186" i="36"/>
  <c r="H186" i="36"/>
  <c r="G187" i="36"/>
  <c r="H187" i="36"/>
  <c r="G188" i="36"/>
  <c r="H188" i="36"/>
  <c r="G189" i="36"/>
  <c r="H189" i="36"/>
  <c r="G190" i="36"/>
  <c r="H190" i="36"/>
  <c r="G191" i="36"/>
  <c r="H191" i="36"/>
  <c r="G192" i="36"/>
  <c r="H192" i="36"/>
  <c r="G193" i="36"/>
  <c r="H193" i="36"/>
  <c r="G194" i="36"/>
  <c r="H194" i="36"/>
  <c r="G195" i="36"/>
  <c r="H195" i="36"/>
  <c r="G196" i="36"/>
  <c r="H196" i="36"/>
  <c r="G197" i="36"/>
  <c r="H197" i="36"/>
  <c r="G198" i="36"/>
  <c r="H198" i="36"/>
  <c r="G199" i="36"/>
  <c r="H199" i="36"/>
  <c r="F255" i="36"/>
  <c r="M127" i="55"/>
  <c r="M128" i="55" s="1"/>
  <c r="O12" i="49"/>
  <c r="U12" i="49"/>
  <c r="AA12" i="49"/>
  <c r="O13" i="49"/>
  <c r="U13" i="49"/>
  <c r="AA13" i="49"/>
  <c r="O14" i="49"/>
  <c r="U14" i="49"/>
  <c r="AA14" i="49"/>
  <c r="O15" i="49"/>
  <c r="U15" i="49"/>
  <c r="AA15" i="49"/>
  <c r="O16" i="49"/>
  <c r="U16" i="49"/>
  <c r="AA16" i="49"/>
  <c r="O17" i="49"/>
  <c r="U17" i="49"/>
  <c r="AA17" i="49"/>
  <c r="O18" i="49"/>
  <c r="U18" i="49"/>
  <c r="AA18" i="49"/>
  <c r="O19" i="49"/>
  <c r="U19" i="49"/>
  <c r="AA19" i="49"/>
  <c r="O20" i="49"/>
  <c r="U20" i="49"/>
  <c r="AA20" i="49"/>
  <c r="O21" i="49"/>
  <c r="U21" i="49"/>
  <c r="AA21" i="49"/>
  <c r="O22" i="49"/>
  <c r="U22" i="49"/>
  <c r="AA22" i="49"/>
  <c r="O23" i="49"/>
  <c r="U23" i="49"/>
  <c r="AA23" i="49"/>
  <c r="O24" i="49"/>
  <c r="U24" i="49"/>
  <c r="AA24" i="49"/>
  <c r="O25" i="49"/>
  <c r="U25" i="49"/>
  <c r="AA25" i="49"/>
  <c r="O26" i="49"/>
  <c r="U26" i="49"/>
  <c r="AA26" i="49"/>
  <c r="O27" i="49"/>
  <c r="U27" i="49"/>
  <c r="AA27" i="49"/>
  <c r="O28" i="49"/>
  <c r="U28" i="49"/>
  <c r="AA28" i="49"/>
  <c r="O29" i="49"/>
  <c r="U29" i="49"/>
  <c r="AA29" i="49"/>
  <c r="O30" i="49"/>
  <c r="U30" i="49"/>
  <c r="AA30" i="49"/>
  <c r="O31" i="49"/>
  <c r="U31" i="49"/>
  <c r="AA31" i="49"/>
  <c r="O32" i="49"/>
  <c r="U32" i="49"/>
  <c r="AA32" i="49"/>
  <c r="O33" i="49"/>
  <c r="U33" i="49"/>
  <c r="AA33" i="49"/>
  <c r="O34" i="49"/>
  <c r="U34" i="49"/>
  <c r="AA34" i="49"/>
  <c r="O35" i="49"/>
  <c r="U35" i="49"/>
  <c r="AA35" i="49"/>
  <c r="O36" i="49"/>
  <c r="U36" i="49"/>
  <c r="AA36" i="49"/>
  <c r="O37" i="49"/>
  <c r="U37" i="49"/>
  <c r="AA37" i="49"/>
  <c r="O38" i="49"/>
  <c r="U38" i="49"/>
  <c r="AA38" i="49"/>
  <c r="O39" i="49"/>
  <c r="U39" i="49"/>
  <c r="AA39" i="49"/>
  <c r="O40" i="49"/>
  <c r="U40" i="49"/>
  <c r="AA40" i="49"/>
  <c r="O41" i="49"/>
  <c r="U41" i="49"/>
  <c r="AA41" i="49"/>
  <c r="O42" i="49"/>
  <c r="U42" i="49"/>
  <c r="AA42" i="49"/>
  <c r="O43" i="49"/>
  <c r="U43" i="49"/>
  <c r="AA43" i="49"/>
  <c r="O44" i="49"/>
  <c r="U44" i="49"/>
  <c r="AA44" i="49"/>
  <c r="O45" i="49"/>
  <c r="U45" i="49"/>
  <c r="AA45" i="49"/>
  <c r="O46" i="49"/>
  <c r="U46" i="49"/>
  <c r="AA46" i="49"/>
  <c r="O47" i="49"/>
  <c r="U47" i="49"/>
  <c r="AA47" i="49"/>
  <c r="O48" i="49"/>
  <c r="U48" i="49"/>
  <c r="AA48" i="49"/>
  <c r="O49" i="49"/>
  <c r="U49" i="49"/>
  <c r="AA49" i="49"/>
  <c r="AA11" i="49"/>
  <c r="U11" i="49"/>
  <c r="O11" i="49"/>
  <c r="AK14" i="27"/>
  <c r="AK16" i="27"/>
  <c r="AK18" i="27"/>
  <c r="AK20" i="27"/>
  <c r="AK21" i="27"/>
  <c r="AK24" i="27"/>
  <c r="AK30" i="27"/>
  <c r="AK33" i="27"/>
  <c r="AK36" i="27"/>
  <c r="AK37" i="27"/>
  <c r="AK40" i="27"/>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J9" i="62"/>
  <c r="I9" i="62"/>
  <c r="G9" i="62"/>
  <c r="G10" i="62"/>
  <c r="B60" i="11"/>
  <c r="B61" i="11"/>
  <c r="B62" i="11"/>
  <c r="B63" i="11"/>
  <c r="B137" i="11"/>
  <c r="B138" i="11"/>
  <c r="B140" i="11"/>
  <c r="B142" i="11"/>
  <c r="D2" i="55"/>
  <c r="M5" i="46"/>
  <c r="B76" i="35"/>
  <c r="B75" i="35"/>
  <c r="B74" i="35"/>
  <c r="G4" i="60"/>
  <c r="C19" i="62"/>
  <c r="B19" i="62" s="1"/>
  <c r="N77" i="34"/>
  <c r="N76" i="34"/>
  <c r="N75" i="34"/>
  <c r="Q109" i="32"/>
  <c r="A11" i="26"/>
  <c r="U8" i="29" s="1"/>
  <c r="B24" i="24"/>
  <c r="B23" i="24"/>
  <c r="C2" i="62"/>
  <c r="J125" i="57"/>
  <c r="K125" i="57" s="1"/>
  <c r="J132" i="57"/>
  <c r="K132" i="57" s="1"/>
  <c r="L15" i="65"/>
  <c r="L17" i="65"/>
  <c r="B52" i="65"/>
  <c r="C52" i="65"/>
  <c r="D52" i="65"/>
  <c r="E52" i="65"/>
  <c r="H52" i="65"/>
  <c r="I52" i="65"/>
  <c r="B102" i="65"/>
  <c r="B25" i="65" s="1"/>
  <c r="C102" i="65"/>
  <c r="D102" i="65"/>
  <c r="E102" i="65"/>
  <c r="G102" i="65"/>
  <c r="H102" i="65"/>
  <c r="B103" i="65"/>
  <c r="C103" i="65"/>
  <c r="D103" i="65"/>
  <c r="E103" i="65"/>
  <c r="G103" i="65"/>
  <c r="H103" i="65"/>
  <c r="B104" i="65"/>
  <c r="B26" i="65" s="1"/>
  <c r="C104" i="65"/>
  <c r="C26" i="65" s="1"/>
  <c r="D104" i="65"/>
  <c r="D26" i="65" s="1"/>
  <c r="E104" i="65"/>
  <c r="E26" i="65" s="1"/>
  <c r="G104" i="65"/>
  <c r="H26" i="65" s="1"/>
  <c r="H104" i="65"/>
  <c r="I26" i="65" s="1"/>
  <c r="C51" i="65"/>
  <c r="H51" i="65"/>
  <c r="D51" i="65"/>
  <c r="B51" i="65"/>
  <c r="E51" i="65"/>
  <c r="I51" i="65"/>
  <c r="I133" i="57"/>
  <c r="I138" i="57" s="1"/>
  <c r="H133" i="57"/>
  <c r="H138" i="57" s="1"/>
  <c r="D133" i="57"/>
  <c r="D138" i="57" s="1"/>
  <c r="E133" i="57"/>
  <c r="E138" i="57" s="1"/>
  <c r="F133" i="57"/>
  <c r="F138" i="57" s="1"/>
  <c r="C133" i="57"/>
  <c r="C138" i="57" s="1"/>
  <c r="I126" i="57"/>
  <c r="I131" i="57" s="1"/>
  <c r="H126" i="57"/>
  <c r="H131" i="57" s="1"/>
  <c r="D126" i="57"/>
  <c r="D131" i="57" s="1"/>
  <c r="E126" i="57"/>
  <c r="E131" i="57" s="1"/>
  <c r="F126" i="57"/>
  <c r="C126" i="57"/>
  <c r="C131" i="57" s="1"/>
  <c r="H101" i="65"/>
  <c r="I12" i="65" s="1"/>
  <c r="B101" i="65"/>
  <c r="B12" i="65" s="1"/>
  <c r="L206" i="38"/>
  <c r="I106" i="65" s="1"/>
  <c r="L207" i="38"/>
  <c r="I107" i="65" s="1"/>
  <c r="I206" i="38"/>
  <c r="F106" i="65" s="1"/>
  <c r="I207" i="38"/>
  <c r="F107" i="65" s="1"/>
  <c r="L202" i="38"/>
  <c r="I103" i="65" s="1"/>
  <c r="I202" i="38"/>
  <c r="F103" i="65" s="1"/>
  <c r="J10" i="32"/>
  <c r="O10" i="32" s="1"/>
  <c r="R10" i="32" s="1"/>
  <c r="J11" i="32"/>
  <c r="L11" i="32" s="1"/>
  <c r="J12" i="32"/>
  <c r="L12" i="32" s="1"/>
  <c r="J13" i="32"/>
  <c r="O13" i="32" s="1"/>
  <c r="R13" i="32" s="1"/>
  <c r="J14" i="32"/>
  <c r="O14" i="32" s="1"/>
  <c r="R14" i="32" s="1"/>
  <c r="J15" i="32"/>
  <c r="L15" i="32" s="1"/>
  <c r="J16" i="32"/>
  <c r="L16" i="32"/>
  <c r="J17" i="32"/>
  <c r="L17" i="32" s="1"/>
  <c r="J18" i="32"/>
  <c r="L18" i="32" s="1"/>
  <c r="J19" i="32"/>
  <c r="L19" i="32" s="1"/>
  <c r="J20" i="32"/>
  <c r="L20" i="32" s="1"/>
  <c r="J21" i="32"/>
  <c r="L21" i="32" s="1"/>
  <c r="J22" i="32"/>
  <c r="O22" i="32" s="1"/>
  <c r="R22" i="32" s="1"/>
  <c r="J23" i="32"/>
  <c r="L23" i="32" s="1"/>
  <c r="J24" i="32"/>
  <c r="L24" i="32" s="1"/>
  <c r="J25" i="32"/>
  <c r="L25" i="32" s="1"/>
  <c r="J26" i="32"/>
  <c r="O26" i="32" s="1"/>
  <c r="R26" i="32" s="1"/>
  <c r="J27" i="32"/>
  <c r="O27" i="32" s="1"/>
  <c r="R27" i="32" s="1"/>
  <c r="J28" i="32"/>
  <c r="L28" i="32" s="1"/>
  <c r="J29" i="32"/>
  <c r="L29" i="32" s="1"/>
  <c r="J30" i="32"/>
  <c r="O30" i="32" s="1"/>
  <c r="R30" i="32" s="1"/>
  <c r="J31" i="32"/>
  <c r="L31" i="32" s="1"/>
  <c r="J32" i="32"/>
  <c r="L32" i="32" s="1"/>
  <c r="J33" i="32"/>
  <c r="L33" i="32" s="1"/>
  <c r="J34" i="32"/>
  <c r="O34" i="32" s="1"/>
  <c r="R34" i="32" s="1"/>
  <c r="J35" i="32"/>
  <c r="L35" i="32" s="1"/>
  <c r="J36" i="32"/>
  <c r="L36" i="32" s="1"/>
  <c r="J37" i="32"/>
  <c r="L37" i="32" s="1"/>
  <c r="J38" i="32"/>
  <c r="L38" i="32" s="1"/>
  <c r="J39" i="32"/>
  <c r="L39" i="32" s="1"/>
  <c r="J40" i="32"/>
  <c r="L40" i="32" s="1"/>
  <c r="J41" i="32"/>
  <c r="L41" i="32" s="1"/>
  <c r="J42" i="32"/>
  <c r="O42" i="32" s="1"/>
  <c r="R42" i="32" s="1"/>
  <c r="J43" i="32"/>
  <c r="L43" i="32" s="1"/>
  <c r="J44" i="32"/>
  <c r="L44" i="32" s="1"/>
  <c r="J45" i="32"/>
  <c r="O45" i="32" s="1"/>
  <c r="R45" i="32" s="1"/>
  <c r="J46" i="32"/>
  <c r="O46" i="32" s="1"/>
  <c r="R46" i="32" s="1"/>
  <c r="J47" i="32"/>
  <c r="L47" i="32" s="1"/>
  <c r="J48" i="32"/>
  <c r="L48" i="32" s="1"/>
  <c r="J49" i="32"/>
  <c r="O49" i="32" s="1"/>
  <c r="R49" i="32" s="1"/>
  <c r="J50" i="32"/>
  <c r="O50" i="32" s="1"/>
  <c r="R50" i="32" s="1"/>
  <c r="J51" i="32"/>
  <c r="L51" i="32" s="1"/>
  <c r="J52" i="32"/>
  <c r="L52" i="32" s="1"/>
  <c r="J53" i="32"/>
  <c r="L53" i="32" s="1"/>
  <c r="J54" i="32"/>
  <c r="L54" i="32" s="1"/>
  <c r="J55" i="32"/>
  <c r="L55" i="32" s="1"/>
  <c r="J56" i="32"/>
  <c r="L56" i="32" s="1"/>
  <c r="J57" i="32"/>
  <c r="L57" i="32" s="1"/>
  <c r="J58" i="32"/>
  <c r="L58" i="32" s="1"/>
  <c r="J59" i="32"/>
  <c r="L59" i="32" s="1"/>
  <c r="J60" i="32"/>
  <c r="O60" i="32" s="1"/>
  <c r="R60" i="32" s="1"/>
  <c r="J61" i="32"/>
  <c r="L61" i="32" s="1"/>
  <c r="J62" i="32"/>
  <c r="O62" i="32"/>
  <c r="R62" i="32" s="1"/>
  <c r="J63" i="32"/>
  <c r="O63" i="32" s="1"/>
  <c r="R63" i="32" s="1"/>
  <c r="J64" i="32"/>
  <c r="L64" i="32" s="1"/>
  <c r="J65" i="32"/>
  <c r="L65" i="32" s="1"/>
  <c r="J66" i="32"/>
  <c r="O66" i="32" s="1"/>
  <c r="R66" i="32" s="1"/>
  <c r="J67" i="32"/>
  <c r="O67" i="32" s="1"/>
  <c r="R67" i="32" s="1"/>
  <c r="J68" i="32"/>
  <c r="L68" i="32" s="1"/>
  <c r="J69" i="32"/>
  <c r="L69" i="32" s="1"/>
  <c r="J70" i="32"/>
  <c r="O70" i="32" s="1"/>
  <c r="R70" i="32" s="1"/>
  <c r="J71" i="32"/>
  <c r="L71" i="32" s="1"/>
  <c r="J72" i="32"/>
  <c r="L72" i="32" s="1"/>
  <c r="J73" i="32"/>
  <c r="L73" i="32" s="1"/>
  <c r="J74" i="32"/>
  <c r="L74" i="32" s="1"/>
  <c r="J75" i="32"/>
  <c r="L75" i="32" s="1"/>
  <c r="J76" i="32"/>
  <c r="O76" i="32" s="1"/>
  <c r="R76" i="32" s="1"/>
  <c r="J77" i="32"/>
  <c r="L77" i="32" s="1"/>
  <c r="J78" i="32"/>
  <c r="O78" i="32" s="1"/>
  <c r="R78" i="32" s="1"/>
  <c r="J79" i="32"/>
  <c r="L79" i="32" s="1"/>
  <c r="J80" i="32"/>
  <c r="L80" i="32" s="1"/>
  <c r="J81" i="32"/>
  <c r="L81" i="32" s="1"/>
  <c r="J82" i="32"/>
  <c r="O82" i="32" s="1"/>
  <c r="R82" i="32" s="1"/>
  <c r="J83" i="32"/>
  <c r="L83" i="32" s="1"/>
  <c r="J84" i="32"/>
  <c r="L84" i="32" s="1"/>
  <c r="J85" i="32"/>
  <c r="L85" i="32" s="1"/>
  <c r="J86" i="32"/>
  <c r="L86" i="32" s="1"/>
  <c r="J87" i="32"/>
  <c r="O87" i="32" s="1"/>
  <c r="R87" i="32" s="1"/>
  <c r="J88" i="32"/>
  <c r="L88" i="32" s="1"/>
  <c r="J89" i="32"/>
  <c r="O89" i="32" s="1"/>
  <c r="R89" i="32" s="1"/>
  <c r="J90" i="32"/>
  <c r="O90" i="32" s="1"/>
  <c r="R90" i="32" s="1"/>
  <c r="J91" i="32"/>
  <c r="L91" i="32" s="1"/>
  <c r="J92" i="32"/>
  <c r="O92" i="32" s="1"/>
  <c r="R92" i="32" s="1"/>
  <c r="J93" i="32"/>
  <c r="L93" i="32" s="1"/>
  <c r="J94" i="32"/>
  <c r="O94" i="32"/>
  <c r="R94" i="32" s="1"/>
  <c r="J95" i="32"/>
  <c r="L95" i="32" s="1"/>
  <c r="J96" i="32"/>
  <c r="O96" i="32" s="1"/>
  <c r="R96" i="32" s="1"/>
  <c r="L96" i="32"/>
  <c r="J97" i="32"/>
  <c r="L97" i="32" s="1"/>
  <c r="J98" i="32"/>
  <c r="O98" i="32" s="1"/>
  <c r="R98" i="32" s="1"/>
  <c r="J99" i="32"/>
  <c r="O99" i="32" s="1"/>
  <c r="R99" i="32" s="1"/>
  <c r="J100" i="32"/>
  <c r="L100" i="32" s="1"/>
  <c r="J101" i="32"/>
  <c r="O101" i="32" s="1"/>
  <c r="R101" i="32" s="1"/>
  <c r="J102" i="32"/>
  <c r="O102" i="32" s="1"/>
  <c r="R102" i="32" s="1"/>
  <c r="J103" i="32"/>
  <c r="L103" i="32" s="1"/>
  <c r="J104" i="32"/>
  <c r="L104" i="32" s="1"/>
  <c r="J105" i="32"/>
  <c r="L105" i="32" s="1"/>
  <c r="J106" i="32"/>
  <c r="O106" i="32" s="1"/>
  <c r="R106" i="32" s="1"/>
  <c r="J107" i="32"/>
  <c r="L107" i="32" s="1"/>
  <c r="J108" i="32"/>
  <c r="L108" i="32" s="1"/>
  <c r="L62" i="32"/>
  <c r="L78" i="32"/>
  <c r="L66" i="32"/>
  <c r="L94" i="32"/>
  <c r="L10" i="32"/>
  <c r="O81" i="32"/>
  <c r="R81" i="32" s="1"/>
  <c r="O69" i="32"/>
  <c r="R69" i="32" s="1"/>
  <c r="O37" i="32"/>
  <c r="R37" i="32" s="1"/>
  <c r="O29" i="32"/>
  <c r="R29" i="32" s="1"/>
  <c r="O72" i="32"/>
  <c r="R72" i="32" s="1"/>
  <c r="O40" i="32"/>
  <c r="R40" i="32" s="1"/>
  <c r="O16" i="32"/>
  <c r="R16" i="32" s="1"/>
  <c r="O75" i="32"/>
  <c r="R75" i="32" s="1"/>
  <c r="O59" i="32"/>
  <c r="R59" i="32" s="1"/>
  <c r="O35" i="32"/>
  <c r="R35" i="32" s="1"/>
  <c r="O19" i="32"/>
  <c r="R19" i="32" s="1"/>
  <c r="R121" i="38"/>
  <c r="Q183" i="37"/>
  <c r="U68" i="37"/>
  <c r="U69" i="36"/>
  <c r="B55" i="59"/>
  <c r="B3" i="63"/>
  <c r="G3" i="60"/>
  <c r="D19" i="62" s="1" a="1"/>
  <c r="D19" i="62" s="1"/>
  <c r="E185" i="57"/>
  <c r="D185" i="57"/>
  <c r="E176" i="57"/>
  <c r="D176" i="57"/>
  <c r="C170" i="57"/>
  <c r="C169" i="57"/>
  <c r="C168" i="57"/>
  <c r="C167" i="57"/>
  <c r="E222" i="58"/>
  <c r="I13" i="58" a="1"/>
  <c r="I13" i="58" s="1"/>
  <c r="K138" i="57"/>
  <c r="C103" i="57"/>
  <c r="M22" i="38"/>
  <c r="L103" i="57"/>
  <c r="E103" i="57"/>
  <c r="E24" i="57"/>
  <c r="F131" i="57"/>
  <c r="J123" i="57"/>
  <c r="G123" i="57"/>
  <c r="J122" i="57"/>
  <c r="K122" i="57" s="1"/>
  <c r="L113" i="57"/>
  <c r="E113" i="57"/>
  <c r="C113" i="57"/>
  <c r="L24" i="57"/>
  <c r="C24" i="57"/>
  <c r="M78" i="37"/>
  <c r="G78" i="37"/>
  <c r="F8" i="37"/>
  <c r="D127" i="56"/>
  <c r="D109" i="56"/>
  <c r="D62" i="56"/>
  <c r="D49" i="56"/>
  <c r="D4" i="56"/>
  <c r="J30" i="33"/>
  <c r="M30" i="33" s="1"/>
  <c r="D30" i="33"/>
  <c r="J29" i="33"/>
  <c r="L29" i="33" s="1"/>
  <c r="D29" i="33"/>
  <c r="J25" i="33"/>
  <c r="D25" i="33"/>
  <c r="J24" i="33"/>
  <c r="D24" i="33"/>
  <c r="J15" i="33"/>
  <c r="M15" i="33" s="1"/>
  <c r="D15" i="33"/>
  <c r="J14" i="33"/>
  <c r="M14" i="33" s="1"/>
  <c r="D14" i="33"/>
  <c r="J10" i="33"/>
  <c r="D10" i="33"/>
  <c r="J9" i="33"/>
  <c r="D9" i="33"/>
  <c r="S184" i="36"/>
  <c r="L16" i="1"/>
  <c r="K4" i="38" s="1"/>
  <c r="J16" i="1"/>
  <c r="L15" i="1"/>
  <c r="J8" i="42" s="1"/>
  <c r="L3" i="65"/>
  <c r="L12" i="1"/>
  <c r="I2" i="33" s="1"/>
  <c r="L9" i="1"/>
  <c r="J6" i="41" s="1"/>
  <c r="J9" i="1"/>
  <c r="H6" i="41" s="1"/>
  <c r="J3" i="65"/>
  <c r="I3" i="33"/>
  <c r="I3" i="32"/>
  <c r="H7" i="41"/>
  <c r="H8" i="42"/>
  <c r="I3" i="38"/>
  <c r="I2" i="37"/>
  <c r="H3" i="36"/>
  <c r="G2" i="33"/>
  <c r="G2" i="32"/>
  <c r="F2" i="31"/>
  <c r="Q11" i="51"/>
  <c r="N11" i="51"/>
  <c r="B8" i="52"/>
  <c r="K11" i="51"/>
  <c r="A11" i="51"/>
  <c r="A12" i="51" s="1"/>
  <c r="A13" i="51" s="1"/>
  <c r="A14" i="51" s="1"/>
  <c r="A15" i="51" s="1"/>
  <c r="A16" i="51" s="1"/>
  <c r="A17" i="51" s="1"/>
  <c r="A18" i="51" s="1"/>
  <c r="A19" i="51" s="1"/>
  <c r="A20" i="51" s="1"/>
  <c r="A21" i="51" s="1"/>
  <c r="A22" i="51" s="1"/>
  <c r="A23" i="51" s="1"/>
  <c r="A24" i="51" s="1"/>
  <c r="A25" i="51" s="1"/>
  <c r="A26" i="51" s="1"/>
  <c r="A27" i="51" s="1"/>
  <c r="B27" i="51" s="1"/>
  <c r="B8" i="50"/>
  <c r="B9" i="50" s="1"/>
  <c r="A11" i="49"/>
  <c r="B11" i="49" s="1"/>
  <c r="D5" i="46"/>
  <c r="A9" i="32"/>
  <c r="A10" i="32" s="1"/>
  <c r="B10" i="32" s="1"/>
  <c r="AK11" i="27"/>
  <c r="C4" i="45"/>
  <c r="H4" i="45"/>
  <c r="G4" i="45"/>
  <c r="F4" i="45"/>
  <c r="E4" i="45"/>
  <c r="D4" i="45"/>
  <c r="L6" i="40"/>
  <c r="O6" i="40" s="1"/>
  <c r="L7" i="40"/>
  <c r="O7" i="40" s="1"/>
  <c r="L8" i="40"/>
  <c r="O8" i="40" s="1"/>
  <c r="L9" i="40"/>
  <c r="O9" i="40" s="1"/>
  <c r="L10" i="40"/>
  <c r="O10" i="40" s="1"/>
  <c r="L11" i="40"/>
  <c r="O11" i="40" s="1"/>
  <c r="L12" i="40"/>
  <c r="O12" i="40"/>
  <c r="L13" i="40"/>
  <c r="O13" i="40" s="1"/>
  <c r="L14" i="40"/>
  <c r="O14" i="40" s="1"/>
  <c r="L15" i="40"/>
  <c r="O15" i="40" s="1"/>
  <c r="L16" i="40"/>
  <c r="O16" i="40" s="1"/>
  <c r="L17" i="40"/>
  <c r="O17" i="40" s="1"/>
  <c r="L18" i="40"/>
  <c r="O18" i="40" s="1"/>
  <c r="L19" i="40"/>
  <c r="O19" i="40" s="1"/>
  <c r="L20" i="40"/>
  <c r="O20" i="40" s="1"/>
  <c r="L21" i="40"/>
  <c r="O21" i="40" s="1"/>
  <c r="L22" i="40"/>
  <c r="O22" i="40" s="1"/>
  <c r="L23" i="40"/>
  <c r="O23" i="40" s="1"/>
  <c r="L24" i="40"/>
  <c r="O24" i="40" s="1"/>
  <c r="L25" i="40"/>
  <c r="O25" i="40" s="1"/>
  <c r="L26" i="40"/>
  <c r="O26" i="40" s="1"/>
  <c r="L27" i="40"/>
  <c r="O27" i="40" s="1"/>
  <c r="L28" i="40"/>
  <c r="O28" i="40" s="1"/>
  <c r="L29" i="40"/>
  <c r="O29" i="40" s="1"/>
  <c r="L30" i="40"/>
  <c r="O30" i="40" s="1"/>
  <c r="L31" i="40"/>
  <c r="O31" i="40" s="1"/>
  <c r="L32" i="40"/>
  <c r="O32" i="40" s="1"/>
  <c r="L33" i="40"/>
  <c r="O33" i="40" s="1"/>
  <c r="L34" i="40"/>
  <c r="O34" i="40" s="1"/>
  <c r="L35" i="40"/>
  <c r="O35" i="40" s="1"/>
  <c r="L36" i="40"/>
  <c r="O36" i="40" s="1"/>
  <c r="L37" i="40"/>
  <c r="O37" i="40" s="1"/>
  <c r="L38" i="40"/>
  <c r="O38" i="40" s="1"/>
  <c r="L39" i="40"/>
  <c r="O39" i="40" s="1"/>
  <c r="L40" i="40"/>
  <c r="O40" i="40" s="1"/>
  <c r="L41" i="40"/>
  <c r="O41" i="40" s="1"/>
  <c r="L42" i="40"/>
  <c r="O42" i="40" s="1"/>
  <c r="L43" i="40"/>
  <c r="O43" i="40" s="1"/>
  <c r="L44" i="40"/>
  <c r="O44" i="40" s="1"/>
  <c r="L45" i="40"/>
  <c r="O45" i="40" s="1"/>
  <c r="L46" i="40"/>
  <c r="O46" i="40" s="1"/>
  <c r="L47" i="40"/>
  <c r="O47" i="40" s="1"/>
  <c r="L48" i="40"/>
  <c r="O48" i="40" s="1"/>
  <c r="L49" i="40"/>
  <c r="O49" i="40" s="1"/>
  <c r="L50" i="40"/>
  <c r="O50" i="40" s="1"/>
  <c r="L51" i="40"/>
  <c r="O51" i="40" s="1"/>
  <c r="L52" i="40"/>
  <c r="O52" i="40" s="1"/>
  <c r="L53" i="40"/>
  <c r="O53" i="40" s="1"/>
  <c r="L54" i="40"/>
  <c r="O54" i="40" s="1"/>
  <c r="L55" i="40"/>
  <c r="O55" i="40" s="1"/>
  <c r="F56" i="40"/>
  <c r="F58" i="40" s="1"/>
  <c r="K56" i="40"/>
  <c r="N56" i="40"/>
  <c r="L64" i="40"/>
  <c r="O64" i="40" s="1"/>
  <c r="L65" i="40"/>
  <c r="O65" i="40" s="1"/>
  <c r="L66" i="40"/>
  <c r="O66" i="40" s="1"/>
  <c r="L67" i="40"/>
  <c r="O67" i="40" s="1"/>
  <c r="L68" i="40"/>
  <c r="O68" i="40" s="1"/>
  <c r="L69" i="40"/>
  <c r="O69" i="40" s="1"/>
  <c r="L70" i="40"/>
  <c r="O70" i="40" s="1"/>
  <c r="L71" i="40"/>
  <c r="O71" i="40" s="1"/>
  <c r="L72" i="40"/>
  <c r="O72" i="40" s="1"/>
  <c r="L73" i="40"/>
  <c r="O73" i="40" s="1"/>
  <c r="L74" i="40"/>
  <c r="O74" i="40" s="1"/>
  <c r="L75" i="40"/>
  <c r="O75" i="40" s="1"/>
  <c r="L76" i="40"/>
  <c r="O76" i="40" s="1"/>
  <c r="L77" i="40"/>
  <c r="O77" i="40" s="1"/>
  <c r="L78" i="40"/>
  <c r="O78" i="40" s="1"/>
  <c r="L79" i="40"/>
  <c r="O79" i="40" s="1"/>
  <c r="L80" i="40"/>
  <c r="O80" i="40" s="1"/>
  <c r="L81" i="40"/>
  <c r="O81" i="40" s="1"/>
  <c r="L82" i="40"/>
  <c r="O82" i="40" s="1"/>
  <c r="L83" i="40"/>
  <c r="O83" i="40" s="1"/>
  <c r="L84" i="40"/>
  <c r="O84" i="40" s="1"/>
  <c r="L85" i="40"/>
  <c r="O85" i="40" s="1"/>
  <c r="L86" i="40"/>
  <c r="O86" i="40" s="1"/>
  <c r="L87" i="40"/>
  <c r="O87" i="40" s="1"/>
  <c r="L88" i="40"/>
  <c r="O88" i="40" s="1"/>
  <c r="L89" i="40"/>
  <c r="O89" i="40" s="1"/>
  <c r="L90" i="40"/>
  <c r="O90" i="40" s="1"/>
  <c r="L91" i="40"/>
  <c r="O91" i="40" s="1"/>
  <c r="L92" i="40"/>
  <c r="O92" i="40" s="1"/>
  <c r="L93" i="40"/>
  <c r="O93" i="40" s="1"/>
  <c r="L94" i="40"/>
  <c r="O94" i="40" s="1"/>
  <c r="L95" i="40"/>
  <c r="O95" i="40" s="1"/>
  <c r="L96" i="40"/>
  <c r="O96" i="40" s="1"/>
  <c r="L97" i="40"/>
  <c r="O97" i="40" s="1"/>
  <c r="L98" i="40"/>
  <c r="O98" i="40" s="1"/>
  <c r="L99" i="40"/>
  <c r="O99" i="40" s="1"/>
  <c r="L100" i="40"/>
  <c r="O100" i="40" s="1"/>
  <c r="L101" i="40"/>
  <c r="O101" i="40" s="1"/>
  <c r="L102" i="40"/>
  <c r="O102" i="40" s="1"/>
  <c r="L103" i="40"/>
  <c r="O103" i="40" s="1"/>
  <c r="L104" i="40"/>
  <c r="O104" i="40" s="1"/>
  <c r="L105" i="40"/>
  <c r="O105" i="40" s="1"/>
  <c r="L106" i="40"/>
  <c r="O106" i="40" s="1"/>
  <c r="L107" i="40"/>
  <c r="O107" i="40" s="1"/>
  <c r="L108" i="40"/>
  <c r="O108" i="40" s="1"/>
  <c r="L109" i="40"/>
  <c r="O109" i="40" s="1"/>
  <c r="L110" i="40"/>
  <c r="O110" i="40" s="1"/>
  <c r="L111" i="40"/>
  <c r="O111" i="40" s="1"/>
  <c r="L112" i="40"/>
  <c r="O112" i="40" s="1"/>
  <c r="L113" i="40"/>
  <c r="O113" i="40" s="1"/>
  <c r="F114" i="40"/>
  <c r="K114" i="40"/>
  <c r="N114" i="40"/>
  <c r="I9" i="38"/>
  <c r="O9" i="38"/>
  <c r="F22" i="38"/>
  <c r="H22" i="38"/>
  <c r="L22" i="38"/>
  <c r="N22" i="38"/>
  <c r="I27" i="38"/>
  <c r="O27" i="38"/>
  <c r="O137" i="38"/>
  <c r="O191" i="38"/>
  <c r="F191" i="38"/>
  <c r="H191" i="38"/>
  <c r="L191" i="38"/>
  <c r="M191" i="38"/>
  <c r="N191" i="38"/>
  <c r="N193" i="38" s="1"/>
  <c r="I201" i="38"/>
  <c r="L201" i="38"/>
  <c r="I102" i="65" s="1"/>
  <c r="I203" i="38"/>
  <c r="F104" i="65" s="1"/>
  <c r="L203" i="38"/>
  <c r="I104" i="65" s="1"/>
  <c r="E204" i="38"/>
  <c r="F204" i="38"/>
  <c r="C13" i="65" s="1"/>
  <c r="G204" i="38"/>
  <c r="D13" i="65" s="1"/>
  <c r="H204" i="38"/>
  <c r="E13" i="65" s="1"/>
  <c r="J204" i="38"/>
  <c r="H13" i="65"/>
  <c r="K204" i="38"/>
  <c r="I13" i="65" s="1"/>
  <c r="I19" i="65" s="1"/>
  <c r="I205" i="38"/>
  <c r="F105" i="65" s="1"/>
  <c r="L205" i="38"/>
  <c r="I105" i="65" s="1"/>
  <c r="E208" i="38"/>
  <c r="B39" i="65" s="1"/>
  <c r="B45" i="65" s="1"/>
  <c r="F208" i="38"/>
  <c r="C39" i="65" s="1"/>
  <c r="G208" i="38"/>
  <c r="D39" i="65" s="1"/>
  <c r="D45" i="65" s="1"/>
  <c r="H208" i="38"/>
  <c r="E39" i="65" s="1"/>
  <c r="E45" i="65" s="1"/>
  <c r="J208" i="38"/>
  <c r="H39" i="65" s="1"/>
  <c r="K208" i="38"/>
  <c r="I39" i="65" s="1"/>
  <c r="I45" i="65" s="1"/>
  <c r="I50" i="65" s="1"/>
  <c r="I53" i="65" s="1"/>
  <c r="H68" i="37"/>
  <c r="N68" i="37"/>
  <c r="O68" i="37"/>
  <c r="F83" i="37"/>
  <c r="H183" i="37"/>
  <c r="N183" i="37"/>
  <c r="O183" i="37"/>
  <c r="G199" i="37"/>
  <c r="M199" i="37"/>
  <c r="G254" i="37"/>
  <c r="M254" i="37"/>
  <c r="G69" i="36"/>
  <c r="H69" i="36"/>
  <c r="M69" i="36"/>
  <c r="N69" i="36"/>
  <c r="F79" i="36"/>
  <c r="D59" i="56" s="1"/>
  <c r="L79" i="36"/>
  <c r="G184" i="36"/>
  <c r="H184" i="36"/>
  <c r="M184" i="36"/>
  <c r="N184" i="36"/>
  <c r="F200" i="36"/>
  <c r="L200" i="36"/>
  <c r="O29" i="34"/>
  <c r="N74" i="34" s="1"/>
  <c r="Q35" i="34"/>
  <c r="V35" i="34"/>
  <c r="Q36" i="34"/>
  <c r="V36" i="34"/>
  <c r="Q37" i="34"/>
  <c r="V37" i="34"/>
  <c r="Q38" i="34"/>
  <c r="V38" i="34"/>
  <c r="Q39" i="34"/>
  <c r="V39" i="34"/>
  <c r="Q40" i="34"/>
  <c r="V40" i="34"/>
  <c r="Q41" i="34"/>
  <c r="V41" i="34"/>
  <c r="O42" i="34"/>
  <c r="P42" i="34"/>
  <c r="T42" i="34"/>
  <c r="U42" i="34"/>
  <c r="E13" i="33"/>
  <c r="K13" i="33"/>
  <c r="F14" i="33"/>
  <c r="G14" i="33"/>
  <c r="E28" i="33"/>
  <c r="K28" i="33"/>
  <c r="F29" i="33"/>
  <c r="G29" i="33"/>
  <c r="G30" i="33"/>
  <c r="J9" i="32"/>
  <c r="O9" i="32" s="1"/>
  <c r="R9" i="32" s="1"/>
  <c r="D109" i="32"/>
  <c r="E109" i="32"/>
  <c r="F109" i="32"/>
  <c r="D20" i="31" s="1"/>
  <c r="G109" i="32"/>
  <c r="H109" i="32"/>
  <c r="I109" i="32"/>
  <c r="K109" i="32"/>
  <c r="N109" i="32"/>
  <c r="G31" i="31" s="1"/>
  <c r="G23" i="45" s="1"/>
  <c r="H7" i="31"/>
  <c r="I5" i="45" s="1"/>
  <c r="H10" i="31"/>
  <c r="H11" i="31"/>
  <c r="I7" i="45" s="1"/>
  <c r="H12" i="31"/>
  <c r="H13" i="31"/>
  <c r="I9" i="45" s="1"/>
  <c r="K13" i="31"/>
  <c r="H14" i="31"/>
  <c r="C15" i="31"/>
  <c r="C11" i="45" s="1"/>
  <c r="D15" i="31"/>
  <c r="D11" i="45" s="1"/>
  <c r="F15" i="31"/>
  <c r="F11" i="45" s="1"/>
  <c r="G15" i="31"/>
  <c r="G11" i="45" s="1"/>
  <c r="J15" i="31"/>
  <c r="H18" i="31"/>
  <c r="C19" i="31"/>
  <c r="D19" i="31"/>
  <c r="D22" i="31" s="1"/>
  <c r="D16" i="45" s="1"/>
  <c r="F19" i="31"/>
  <c r="F13" i="45" s="1"/>
  <c r="F22" i="31"/>
  <c r="F16" i="45" s="1"/>
  <c r="G19" i="31"/>
  <c r="J19" i="31"/>
  <c r="J22" i="31" s="1"/>
  <c r="H20" i="31"/>
  <c r="H21" i="31"/>
  <c r="H24" i="31"/>
  <c r="H25" i="31"/>
  <c r="H26" i="31"/>
  <c r="H27" i="31"/>
  <c r="I20" i="45" s="1"/>
  <c r="H28" i="31"/>
  <c r="C32" i="31"/>
  <c r="C24" i="45" s="1"/>
  <c r="F32" i="31"/>
  <c r="F24" i="45" s="1"/>
  <c r="H37" i="31"/>
  <c r="H38" i="31"/>
  <c r="I26" i="45" s="1"/>
  <c r="H39" i="31"/>
  <c r="H42" i="31"/>
  <c r="C44" i="31"/>
  <c r="C31" i="45" s="1"/>
  <c r="F44" i="31"/>
  <c r="F31" i="45" s="1"/>
  <c r="G44" i="31"/>
  <c r="G31" i="45" s="1"/>
  <c r="J44" i="31"/>
  <c r="H49" i="31"/>
  <c r="C50" i="31"/>
  <c r="C33" i="45" s="1"/>
  <c r="D50" i="31"/>
  <c r="D33" i="45" s="1"/>
  <c r="F50" i="31"/>
  <c r="F33" i="45" s="1"/>
  <c r="G50" i="31"/>
  <c r="G33" i="45" s="1"/>
  <c r="J50" i="31"/>
  <c r="C51" i="31"/>
  <c r="C34" i="45" s="1"/>
  <c r="D51" i="31"/>
  <c r="F51" i="31"/>
  <c r="F34" i="45" s="1"/>
  <c r="G51" i="31"/>
  <c r="G34" i="45" s="1"/>
  <c r="J51" i="31"/>
  <c r="D52" i="31"/>
  <c r="D35" i="45" s="1"/>
  <c r="I68" i="37"/>
  <c r="I183" i="37"/>
  <c r="A11" i="27"/>
  <c r="A12" i="27" s="1"/>
  <c r="A13" i="27" s="1"/>
  <c r="D1" i="23"/>
  <c r="D14" i="45" l="1"/>
  <c r="K10" i="33"/>
  <c r="L204" i="38"/>
  <c r="D28" i="33"/>
  <c r="G28" i="33" s="1"/>
  <c r="O36" i="32"/>
  <c r="R36" i="32" s="1"/>
  <c r="O65" i="32"/>
  <c r="R65" i="32" s="1"/>
  <c r="L27" i="32"/>
  <c r="L13" i="32"/>
  <c r="L50" i="32"/>
  <c r="D109" i="55"/>
  <c r="M193" i="38"/>
  <c r="D43" i="31"/>
  <c r="E10" i="33"/>
  <c r="B50" i="65"/>
  <c r="B53" i="65" s="1"/>
  <c r="B9" i="32"/>
  <c r="D8" i="33"/>
  <c r="D23" i="33"/>
  <c r="O104" i="32"/>
  <c r="R104" i="32" s="1"/>
  <c r="O93" i="32"/>
  <c r="R93" i="32" s="1"/>
  <c r="A109" i="55"/>
  <c r="O109" i="55" s="1"/>
  <c r="Q184" i="36" s="1"/>
  <c r="B109" i="55"/>
  <c r="O103" i="32"/>
  <c r="R103" i="32" s="1"/>
  <c r="L26" i="32"/>
  <c r="L76" i="32"/>
  <c r="K27" i="31"/>
  <c r="O22" i="38"/>
  <c r="O12" i="32"/>
  <c r="R12" i="32" s="1"/>
  <c r="O33" i="32"/>
  <c r="R33" i="32" s="1"/>
  <c r="J51" i="65"/>
  <c r="I192" i="37"/>
  <c r="O9" i="57"/>
  <c r="N9" i="57" s="1"/>
  <c r="H7" i="42"/>
  <c r="F193" i="38"/>
  <c r="I191" i="38"/>
  <c r="I137" i="38"/>
  <c r="I22" i="38"/>
  <c r="K7" i="31"/>
  <c r="V42" i="34"/>
  <c r="B17" i="51"/>
  <c r="K38" i="31"/>
  <c r="F30" i="33"/>
  <c r="E50" i="65"/>
  <c r="E53" i="65" s="1"/>
  <c r="M201" i="38"/>
  <c r="L193" i="38"/>
  <c r="B26" i="51"/>
  <c r="B15" i="51"/>
  <c r="K3" i="36"/>
  <c r="L9" i="32"/>
  <c r="D50" i="65"/>
  <c r="D53" i="65" s="1"/>
  <c r="A12" i="49"/>
  <c r="B12" i="49" s="1"/>
  <c r="B23" i="51"/>
  <c r="B13" i="51"/>
  <c r="K4" i="36"/>
  <c r="O47" i="32"/>
  <c r="R47" i="32" s="1"/>
  <c r="O83" i="32"/>
  <c r="R83" i="32" s="1"/>
  <c r="O56" i="32"/>
  <c r="R56" i="32" s="1"/>
  <c r="O21" i="32"/>
  <c r="R21" i="32" s="1"/>
  <c r="O53" i="32"/>
  <c r="R53" i="32" s="1"/>
  <c r="O85" i="32"/>
  <c r="R85" i="32" s="1"/>
  <c r="L42" i="32"/>
  <c r="L98" i="32"/>
  <c r="L101" i="32"/>
  <c r="L22" i="32"/>
  <c r="O51" i="32"/>
  <c r="R51" i="32" s="1"/>
  <c r="O24" i="32"/>
  <c r="R24" i="32" s="1"/>
  <c r="O86" i="32"/>
  <c r="R86" i="32" s="1"/>
  <c r="O74" i="32"/>
  <c r="R74" i="32" s="1"/>
  <c r="L67" i="32"/>
  <c r="L45" i="32"/>
  <c r="F51" i="65"/>
  <c r="A12" i="26"/>
  <c r="Z7" i="29" s="1"/>
  <c r="J52" i="65"/>
  <c r="F52" i="65"/>
  <c r="B21" i="51"/>
  <c r="L41" i="65"/>
  <c r="J13" i="65"/>
  <c r="Z17" i="2"/>
  <c r="I188" i="37"/>
  <c r="H189" i="37"/>
  <c r="J19" i="62"/>
  <c r="C105" i="11"/>
  <c r="B105" i="11" s="1"/>
  <c r="E115" i="11"/>
  <c r="C110" i="11"/>
  <c r="B110" i="11" s="1"/>
  <c r="F97" i="11"/>
  <c r="F129" i="11"/>
  <c r="E80" i="11"/>
  <c r="E100" i="11"/>
  <c r="E120" i="11"/>
  <c r="C71" i="11"/>
  <c r="B71" i="11" s="1"/>
  <c r="C87" i="11"/>
  <c r="B87" i="11" s="1"/>
  <c r="C103" i="11"/>
  <c r="B103" i="11" s="1"/>
  <c r="C119" i="11"/>
  <c r="B119" i="11" s="1"/>
  <c r="F66" i="11"/>
  <c r="F82" i="11"/>
  <c r="F98" i="11"/>
  <c r="F114" i="11"/>
  <c r="F130" i="11"/>
  <c r="E73" i="11"/>
  <c r="E89" i="11"/>
  <c r="E105" i="11"/>
  <c r="E121" i="11"/>
  <c r="E64" i="11"/>
  <c r="C80" i="11"/>
  <c r="B80" i="11" s="1"/>
  <c r="C96" i="11"/>
  <c r="B96" i="11" s="1"/>
  <c r="C112" i="11"/>
  <c r="B112" i="11" s="1"/>
  <c r="C128" i="11"/>
  <c r="B128" i="11" s="1"/>
  <c r="C101" i="11"/>
  <c r="B101" i="11" s="1"/>
  <c r="C133" i="11"/>
  <c r="B133" i="11" s="1"/>
  <c r="F67" i="11"/>
  <c r="F76" i="11"/>
  <c r="E127" i="11"/>
  <c r="C118" i="11"/>
  <c r="B118" i="11" s="1"/>
  <c r="F105" i="11"/>
  <c r="F64" i="11"/>
  <c r="E84" i="11"/>
  <c r="E104" i="11"/>
  <c r="E128" i="11"/>
  <c r="C79" i="11"/>
  <c r="B79" i="11" s="1"/>
  <c r="C91" i="11"/>
  <c r="B91" i="11" s="1"/>
  <c r="C107" i="11"/>
  <c r="B107" i="11" s="1"/>
  <c r="C123" i="11"/>
  <c r="B123" i="11" s="1"/>
  <c r="F70" i="11"/>
  <c r="F86" i="11"/>
  <c r="F102" i="11"/>
  <c r="F118" i="11"/>
  <c r="F134" i="11"/>
  <c r="E77" i="11"/>
  <c r="E93" i="11"/>
  <c r="E109" i="11"/>
  <c r="E125" i="11"/>
  <c r="C68" i="11"/>
  <c r="B68" i="11" s="1"/>
  <c r="C84" i="11"/>
  <c r="B84" i="11" s="1"/>
  <c r="C100" i="11"/>
  <c r="B100" i="11" s="1"/>
  <c r="C116" i="11"/>
  <c r="B116" i="11" s="1"/>
  <c r="C132" i="11"/>
  <c r="B132" i="11" s="1"/>
  <c r="C109" i="11"/>
  <c r="B109" i="11" s="1"/>
  <c r="C130" i="11"/>
  <c r="B130" i="11" s="1"/>
  <c r="F131" i="11"/>
  <c r="F92" i="11"/>
  <c r="C78" i="11"/>
  <c r="B78" i="11" s="1"/>
  <c r="F77" i="11"/>
  <c r="F121" i="11"/>
  <c r="E68" i="11"/>
  <c r="E88" i="11"/>
  <c r="E112" i="11"/>
  <c r="E132" i="11"/>
  <c r="C95" i="11"/>
  <c r="B95" i="11" s="1"/>
  <c r="C111" i="11"/>
  <c r="B111" i="11" s="1"/>
  <c r="C127" i="11"/>
  <c r="B127" i="11" s="1"/>
  <c r="F74" i="11"/>
  <c r="F90" i="11"/>
  <c r="F106" i="11"/>
  <c r="F122" i="11"/>
  <c r="E65" i="11"/>
  <c r="E81" i="11"/>
  <c r="E97" i="11"/>
  <c r="E113" i="11"/>
  <c r="E129" i="11"/>
  <c r="C72" i="11"/>
  <c r="B72" i="11" s="1"/>
  <c r="C88" i="11"/>
  <c r="B88" i="11" s="1"/>
  <c r="C104" i="11"/>
  <c r="B104" i="11" s="1"/>
  <c r="C120" i="11"/>
  <c r="B120" i="11" s="1"/>
  <c r="C136" i="11"/>
  <c r="B136" i="11" s="1"/>
  <c r="C117" i="11"/>
  <c r="B117" i="11" s="1"/>
  <c r="C135" i="11"/>
  <c r="B135" i="11" s="1"/>
  <c r="C89" i="11"/>
  <c r="B89" i="11" s="1"/>
  <c r="E67" i="11"/>
  <c r="C86" i="11"/>
  <c r="B86" i="11" s="1"/>
  <c r="F81" i="11"/>
  <c r="F125" i="11"/>
  <c r="E72" i="11"/>
  <c r="E96" i="11"/>
  <c r="E116" i="11"/>
  <c r="E136" i="11"/>
  <c r="C83" i="11"/>
  <c r="B83" i="11" s="1"/>
  <c r="C99" i="11"/>
  <c r="B99" i="11" s="1"/>
  <c r="C115" i="11"/>
  <c r="B115" i="11" s="1"/>
  <c r="C131" i="11"/>
  <c r="B131" i="11" s="1"/>
  <c r="F78" i="11"/>
  <c r="F94" i="11"/>
  <c r="F110" i="11"/>
  <c r="F126" i="11"/>
  <c r="E69" i="11"/>
  <c r="E85" i="11"/>
  <c r="E101" i="11"/>
  <c r="E117" i="11"/>
  <c r="E133" i="11"/>
  <c r="C76" i="11"/>
  <c r="B76" i="11" s="1"/>
  <c r="C92" i="11"/>
  <c r="B92" i="11" s="1"/>
  <c r="C108" i="11"/>
  <c r="B108" i="11" s="1"/>
  <c r="C124" i="11"/>
  <c r="B124" i="11" s="1"/>
  <c r="C93" i="11"/>
  <c r="B93" i="11" s="1"/>
  <c r="C125" i="11"/>
  <c r="B125" i="11" s="1"/>
  <c r="K24" i="31"/>
  <c r="I17" i="45"/>
  <c r="J30" i="31"/>
  <c r="J32" i="31" s="1"/>
  <c r="K12" i="31"/>
  <c r="I8" i="45"/>
  <c r="C8" i="52"/>
  <c r="B9" i="52"/>
  <c r="C9" i="52" s="1"/>
  <c r="AA9" i="52"/>
  <c r="Z9" i="52"/>
  <c r="AH44" i="50"/>
  <c r="AH40" i="50"/>
  <c r="AH36" i="50"/>
  <c r="AH32" i="50"/>
  <c r="AH28" i="50"/>
  <c r="AH24" i="50"/>
  <c r="AH20" i="50"/>
  <c r="AH16" i="50"/>
  <c r="AH12" i="50"/>
  <c r="AG47" i="50"/>
  <c r="AG43" i="50"/>
  <c r="AG39" i="50"/>
  <c r="AG35" i="50"/>
  <c r="AG31" i="50"/>
  <c r="AG27" i="50"/>
  <c r="AG23" i="50"/>
  <c r="AG19" i="50"/>
  <c r="AG15" i="50"/>
  <c r="AG11" i="50"/>
  <c r="AF46" i="50"/>
  <c r="AF42" i="50"/>
  <c r="AF38" i="50"/>
  <c r="AF34" i="50"/>
  <c r="AF30" i="50"/>
  <c r="AF26" i="50"/>
  <c r="AF22" i="50"/>
  <c r="AF18" i="50"/>
  <c r="AF14" i="50"/>
  <c r="AF10" i="50"/>
  <c r="F20" i="25"/>
  <c r="F16" i="25"/>
  <c r="F10" i="25"/>
  <c r="AB9" i="52"/>
  <c r="I9" i="52"/>
  <c r="AH47" i="50"/>
  <c r="AH43" i="50"/>
  <c r="AH39" i="50"/>
  <c r="AH35" i="50"/>
  <c r="AH31" i="50"/>
  <c r="AH27" i="50"/>
  <c r="AH23" i="50"/>
  <c r="AH19" i="50"/>
  <c r="AH15" i="50"/>
  <c r="AH11" i="50"/>
  <c r="AG46" i="50"/>
  <c r="AG42" i="50"/>
  <c r="AG38" i="50"/>
  <c r="AG34" i="50"/>
  <c r="AG30" i="50"/>
  <c r="AG26" i="50"/>
  <c r="AG22" i="50"/>
  <c r="AG18" i="50"/>
  <c r="AG14" i="50"/>
  <c r="AG10" i="50"/>
  <c r="AF45" i="50"/>
  <c r="AF41" i="50"/>
  <c r="AF37" i="50"/>
  <c r="AF33" i="50"/>
  <c r="AF29" i="50"/>
  <c r="AF25" i="50"/>
  <c r="AF21" i="50"/>
  <c r="AF17" i="50"/>
  <c r="AF13" i="50"/>
  <c r="AF9" i="50"/>
  <c r="E9" i="52"/>
  <c r="AH46" i="50"/>
  <c r="AH42" i="50"/>
  <c r="AH38" i="50"/>
  <c r="AH34" i="50"/>
  <c r="AH30" i="50"/>
  <c r="AH26" i="50"/>
  <c r="AH22" i="50"/>
  <c r="AH18" i="50"/>
  <c r="AH14" i="50"/>
  <c r="AH10" i="50"/>
  <c r="AG45" i="50"/>
  <c r="AG41" i="50"/>
  <c r="AG37" i="50"/>
  <c r="AG33" i="50"/>
  <c r="AG29" i="50"/>
  <c r="AG25" i="50"/>
  <c r="AG21" i="50"/>
  <c r="AG17" i="50"/>
  <c r="AG13" i="50"/>
  <c r="AG9" i="50"/>
  <c r="AF44" i="50"/>
  <c r="AF40" i="50"/>
  <c r="AF36" i="50"/>
  <c r="AF32" i="50"/>
  <c r="AF28" i="50"/>
  <c r="AF24" i="50"/>
  <c r="AF20" i="50"/>
  <c r="AF16" i="50"/>
  <c r="AF12" i="50"/>
  <c r="F18" i="25"/>
  <c r="F8" i="25"/>
  <c r="AH41" i="50"/>
  <c r="AH25" i="50"/>
  <c r="AH9" i="50"/>
  <c r="AG32" i="50"/>
  <c r="AG16" i="50"/>
  <c r="AF39" i="50"/>
  <c r="AF23" i="50"/>
  <c r="F19" i="25"/>
  <c r="E30" i="28"/>
  <c r="E26" i="28"/>
  <c r="E22" i="28"/>
  <c r="E18" i="28"/>
  <c r="E14" i="28"/>
  <c r="E10" i="28"/>
  <c r="AH37" i="50"/>
  <c r="AH21" i="50"/>
  <c r="AG44" i="50"/>
  <c r="AG28" i="50"/>
  <c r="AG12" i="50"/>
  <c r="AF35" i="50"/>
  <c r="AF19" i="50"/>
  <c r="F17" i="25"/>
  <c r="E29" i="28"/>
  <c r="E25" i="28"/>
  <c r="E21" i="28"/>
  <c r="E17" i="28"/>
  <c r="E13" i="28"/>
  <c r="E9" i="28"/>
  <c r="AH29" i="50"/>
  <c r="AG36" i="50"/>
  <c r="AF43" i="50"/>
  <c r="AF11" i="50"/>
  <c r="F9" i="25"/>
  <c r="E27" i="28"/>
  <c r="E19" i="28"/>
  <c r="E11" i="28"/>
  <c r="AH33" i="50"/>
  <c r="AH17" i="50"/>
  <c r="AG40" i="50"/>
  <c r="AG24" i="50"/>
  <c r="AF47" i="50"/>
  <c r="AF31" i="50"/>
  <c r="AF15" i="50"/>
  <c r="F15" i="25"/>
  <c r="E28" i="28"/>
  <c r="E24" i="28"/>
  <c r="E20" i="28"/>
  <c r="E16" i="28"/>
  <c r="E12" i="28"/>
  <c r="E8" i="28"/>
  <c r="AH45" i="50"/>
  <c r="AH13" i="50"/>
  <c r="AG20" i="50"/>
  <c r="AF27" i="50"/>
  <c r="E23" i="28"/>
  <c r="E15" i="28"/>
  <c r="H51" i="31"/>
  <c r="D34" i="45"/>
  <c r="K49" i="31"/>
  <c r="I32" i="45"/>
  <c r="K9" i="33"/>
  <c r="M9" i="33" s="1"/>
  <c r="C13" i="45"/>
  <c r="B11" i="27"/>
  <c r="J109" i="32"/>
  <c r="L208" i="38"/>
  <c r="L213" i="38" s="1"/>
  <c r="C53" i="31"/>
  <c r="K28" i="31"/>
  <c r="I21" i="45"/>
  <c r="K25" i="31"/>
  <c r="I18" i="45"/>
  <c r="K18" i="31"/>
  <c r="I12" i="45"/>
  <c r="K10" i="31"/>
  <c r="I6" i="45"/>
  <c r="L30" i="33"/>
  <c r="L14" i="33"/>
  <c r="I204" i="38"/>
  <c r="M204" i="38" s="1"/>
  <c r="F102" i="65"/>
  <c r="C8" i="50"/>
  <c r="S8" i="50" s="1"/>
  <c r="A28" i="51"/>
  <c r="A29" i="51" s="1"/>
  <c r="A30" i="51" s="1"/>
  <c r="A31" i="51" s="1"/>
  <c r="B24" i="51"/>
  <c r="D24" i="51" s="1"/>
  <c r="B22" i="51"/>
  <c r="B16" i="51"/>
  <c r="B14" i="51"/>
  <c r="G14" i="51" s="1"/>
  <c r="H2" i="31"/>
  <c r="L3" i="37"/>
  <c r="A49" i="56"/>
  <c r="A50" i="56"/>
  <c r="A50" i="55"/>
  <c r="A51" i="56"/>
  <c r="A51" i="55"/>
  <c r="A52" i="55"/>
  <c r="A52" i="56"/>
  <c r="A53" i="55"/>
  <c r="D177" i="57"/>
  <c r="O11" i="32"/>
  <c r="R11" i="32" s="1"/>
  <c r="O31" i="32"/>
  <c r="R31" i="32" s="1"/>
  <c r="O20" i="32"/>
  <c r="R20" i="32" s="1"/>
  <c r="O52" i="32"/>
  <c r="R52" i="32" s="1"/>
  <c r="O64" i="32"/>
  <c r="R64" i="32" s="1"/>
  <c r="L99" i="32"/>
  <c r="L92" i="32"/>
  <c r="L89" i="32"/>
  <c r="L60" i="32"/>
  <c r="O58" i="32"/>
  <c r="R58" i="32" s="1"/>
  <c r="L49" i="32"/>
  <c r="O38" i="32"/>
  <c r="R38" i="32" s="1"/>
  <c r="M129" i="55"/>
  <c r="N128" i="55"/>
  <c r="M64" i="55"/>
  <c r="N63" i="55"/>
  <c r="N127" i="56"/>
  <c r="K127" i="56" s="1"/>
  <c r="I128" i="56"/>
  <c r="N4" i="56"/>
  <c r="I5" i="56"/>
  <c r="C7" i="28"/>
  <c r="B8" i="28"/>
  <c r="A53" i="56"/>
  <c r="J56" i="55"/>
  <c r="D56" i="55"/>
  <c r="B56" i="55"/>
  <c r="A56" i="55" s="1"/>
  <c r="A54" i="55"/>
  <c r="N109" i="56"/>
  <c r="K109" i="56" s="1"/>
  <c r="I11" i="57"/>
  <c r="O10" i="57"/>
  <c r="C9" i="38" s="1"/>
  <c r="O107" i="57"/>
  <c r="I108" i="57"/>
  <c r="C16" i="25"/>
  <c r="B15" i="25"/>
  <c r="A54" i="56"/>
  <c r="M58" i="55"/>
  <c r="N57" i="55"/>
  <c r="A55" i="55"/>
  <c r="M80" i="57"/>
  <c r="G13" i="51"/>
  <c r="I208" i="38"/>
  <c r="M203" i="38"/>
  <c r="G52" i="31"/>
  <c r="K42" i="31"/>
  <c r="I28" i="45"/>
  <c r="K21" i="31"/>
  <c r="I15" i="45"/>
  <c r="H19" i="31"/>
  <c r="I13" i="45" s="1"/>
  <c r="G13" i="45"/>
  <c r="C22" i="31"/>
  <c r="C16" i="45" s="1"/>
  <c r="K14" i="31"/>
  <c r="I10" i="45"/>
  <c r="K11" i="31"/>
  <c r="H193" i="38"/>
  <c r="B25" i="51"/>
  <c r="B18" i="51"/>
  <c r="E18" i="51" s="1"/>
  <c r="B11" i="51"/>
  <c r="H11" i="51" s="1"/>
  <c r="C3" i="63"/>
  <c r="G3" i="63" s="1"/>
  <c r="B4" i="63"/>
  <c r="O43" i="32"/>
  <c r="R43" i="32" s="1"/>
  <c r="O80" i="32"/>
  <c r="R80" i="32" s="1"/>
  <c r="I111" i="56"/>
  <c r="N110" i="56"/>
  <c r="O29" i="57"/>
  <c r="J29" i="57" s="1"/>
  <c r="I30" i="57"/>
  <c r="N4" i="55"/>
  <c r="J4" i="55" s="1"/>
  <c r="M5" i="55"/>
  <c r="F81" i="57"/>
  <c r="D81" i="57"/>
  <c r="A81" i="57"/>
  <c r="P81" i="57" s="1"/>
  <c r="K81" i="57"/>
  <c r="J81" i="57"/>
  <c r="M81" i="57" s="1"/>
  <c r="B81" i="57"/>
  <c r="K55" i="56"/>
  <c r="E55" i="56"/>
  <c r="B55" i="56"/>
  <c r="A55" i="56" s="1"/>
  <c r="K37" i="31"/>
  <c r="I25" i="45"/>
  <c r="E9" i="33"/>
  <c r="G9" i="33" s="1"/>
  <c r="D13" i="45"/>
  <c r="G21" i="51"/>
  <c r="K39" i="31"/>
  <c r="I27" i="45"/>
  <c r="K26" i="31"/>
  <c r="I19" i="45"/>
  <c r="K20" i="31"/>
  <c r="I14" i="45"/>
  <c r="B10" i="50"/>
  <c r="C9" i="50"/>
  <c r="G11" i="49" s="1"/>
  <c r="D15" i="51"/>
  <c r="J8" i="33"/>
  <c r="J23" i="33"/>
  <c r="O88" i="32"/>
  <c r="R88" i="32" s="1"/>
  <c r="O77" i="32"/>
  <c r="R77" i="32" s="1"/>
  <c r="L34" i="32"/>
  <c r="L63" i="32"/>
  <c r="B2" i="62"/>
  <c r="J2" i="62" s="1"/>
  <c r="C3" i="62"/>
  <c r="N127" i="55"/>
  <c r="D127" i="55" s="1"/>
  <c r="M111" i="55"/>
  <c r="N110" i="55"/>
  <c r="N62" i="55"/>
  <c r="I195" i="37"/>
  <c r="N62" i="56"/>
  <c r="E62" i="56" s="1"/>
  <c r="I63" i="56"/>
  <c r="C9" i="25"/>
  <c r="B8" i="25"/>
  <c r="C7" i="46"/>
  <c r="D6" i="46"/>
  <c r="I83" i="57"/>
  <c r="O82" i="57"/>
  <c r="I57" i="56"/>
  <c r="N56" i="56"/>
  <c r="I187" i="37"/>
  <c r="L200" i="38"/>
  <c r="I101" i="65" s="1"/>
  <c r="I200" i="38"/>
  <c r="F101" i="65" s="1"/>
  <c r="I14" i="58" a="1"/>
  <c r="I14" i="58" s="1"/>
  <c r="J14" i="58" s="1" a="1"/>
  <c r="J14" i="58" s="1"/>
  <c r="J13" i="58" a="1"/>
  <c r="J13" i="58" s="1"/>
  <c r="D25" i="65"/>
  <c r="D12" i="65"/>
  <c r="D38" i="65"/>
  <c r="J133" i="57"/>
  <c r="J138" i="57" s="1"/>
  <c r="J26" i="65"/>
  <c r="L15" i="33"/>
  <c r="J28" i="33"/>
  <c r="L28" i="33" s="1"/>
  <c r="M29" i="33"/>
  <c r="J13" i="33"/>
  <c r="L13" i="33" s="1"/>
  <c r="M10" i="33"/>
  <c r="L10" i="33"/>
  <c r="G10" i="33"/>
  <c r="K3" i="38"/>
  <c r="H3" i="31"/>
  <c r="I2" i="32"/>
  <c r="L2" i="37"/>
  <c r="J7" i="41"/>
  <c r="E12" i="65"/>
  <c r="E38" i="65"/>
  <c r="C12" i="65"/>
  <c r="C25" i="65"/>
  <c r="H12" i="65"/>
  <c r="J12" i="65" s="1"/>
  <c r="I25" i="65"/>
  <c r="I24" i="65" s="1"/>
  <c r="I27" i="65" s="1"/>
  <c r="C65" i="11"/>
  <c r="B65" i="11" s="1"/>
  <c r="E122" i="11"/>
  <c r="E83" i="11"/>
  <c r="E74" i="11"/>
  <c r="F83" i="11"/>
  <c r="C205" i="36"/>
  <c r="A205" i="36" s="1"/>
  <c r="G133" i="57"/>
  <c r="G138" i="57" s="1"/>
  <c r="C115" i="57"/>
  <c r="J131" i="57"/>
  <c r="J126" i="57"/>
  <c r="E115" i="57"/>
  <c r="G17" i="51"/>
  <c r="C16" i="51"/>
  <c r="X11" i="29"/>
  <c r="B11" i="26"/>
  <c r="F11" i="26" s="1"/>
  <c r="P7" i="29"/>
  <c r="A13" i="26"/>
  <c r="B13" i="26" s="1"/>
  <c r="H13" i="26" s="1"/>
  <c r="X7" i="29"/>
  <c r="Q11" i="29"/>
  <c r="U11" i="29"/>
  <c r="F27" i="51"/>
  <c r="H27" i="51"/>
  <c r="E27" i="51"/>
  <c r="C27" i="51"/>
  <c r="I11" i="49"/>
  <c r="I211" i="38"/>
  <c r="K19" i="31"/>
  <c r="B12" i="27"/>
  <c r="H15" i="31"/>
  <c r="I11" i="45" s="1"/>
  <c r="G22" i="31"/>
  <c r="L211" i="38"/>
  <c r="L56" i="40"/>
  <c r="L58" i="40" s="1"/>
  <c r="F53" i="31"/>
  <c r="F36" i="45" s="1"/>
  <c r="H50" i="31"/>
  <c r="D30" i="31"/>
  <c r="F28" i="33"/>
  <c r="Q42" i="34"/>
  <c r="B13" i="65"/>
  <c r="A13" i="49"/>
  <c r="B20" i="51"/>
  <c r="D20" i="51" s="1"/>
  <c r="B19" i="51"/>
  <c r="H19" i="51" s="1"/>
  <c r="F16" i="51"/>
  <c r="B12" i="51"/>
  <c r="D12" i="51" s="1"/>
  <c r="L115" i="57"/>
  <c r="K51" i="65"/>
  <c r="O193" i="38"/>
  <c r="D25" i="51"/>
  <c r="D17" i="51"/>
  <c r="D3" i="63"/>
  <c r="L114" i="40"/>
  <c r="M205" i="38"/>
  <c r="K123" i="57"/>
  <c r="G131" i="57"/>
  <c r="O79" i="32"/>
  <c r="R79" i="32" s="1"/>
  <c r="O91" i="32"/>
  <c r="R91" i="32" s="1"/>
  <c r="O107" i="32"/>
  <c r="R107" i="32" s="1"/>
  <c r="O108" i="32"/>
  <c r="R108" i="32" s="1"/>
  <c r="O105" i="32"/>
  <c r="R105" i="32" s="1"/>
  <c r="L70" i="32"/>
  <c r="O54" i="32"/>
  <c r="R54" i="32" s="1"/>
  <c r="L30" i="32"/>
  <c r="L87" i="32"/>
  <c r="O18" i="32"/>
  <c r="R18" i="32" s="1"/>
  <c r="I38" i="65"/>
  <c r="J38" i="65" s="1"/>
  <c r="B38" i="65"/>
  <c r="M202" i="38"/>
  <c r="V11" i="29"/>
  <c r="P11" i="29"/>
  <c r="K52" i="65"/>
  <c r="G126" i="57"/>
  <c r="F26" i="65"/>
  <c r="O32" i="32"/>
  <c r="R32" i="32" s="1"/>
  <c r="O48" i="32"/>
  <c r="R48" i="32" s="1"/>
  <c r="O61" i="32"/>
  <c r="R61" i="32" s="1"/>
  <c r="M206" i="38"/>
  <c r="AA11" i="29"/>
  <c r="U7" i="29"/>
  <c r="E25" i="65"/>
  <c r="F109" i="11"/>
  <c r="F89" i="11"/>
  <c r="C126" i="11"/>
  <c r="B126" i="11" s="1"/>
  <c r="C94" i="11"/>
  <c r="B94" i="11" s="1"/>
  <c r="E131" i="11"/>
  <c r="E99" i="11"/>
  <c r="F108" i="11"/>
  <c r="C121" i="11"/>
  <c r="B121" i="11" s="1"/>
  <c r="C73" i="11"/>
  <c r="B73" i="11" s="1"/>
  <c r="E90" i="11"/>
  <c r="F99" i="11"/>
  <c r="A109" i="56"/>
  <c r="O109" i="56" s="1"/>
  <c r="B109" i="56"/>
  <c r="E109" i="56"/>
  <c r="J2" i="55"/>
  <c r="I196" i="37"/>
  <c r="H196" i="37"/>
  <c r="E2" i="56"/>
  <c r="K2" i="56"/>
  <c r="H198" i="37"/>
  <c r="I198" i="37"/>
  <c r="F113" i="11"/>
  <c r="F93" i="11"/>
  <c r="F65" i="11"/>
  <c r="C102" i="11"/>
  <c r="B102" i="11" s="1"/>
  <c r="C70" i="11"/>
  <c r="B70" i="11" s="1"/>
  <c r="E111" i="11"/>
  <c r="F124" i="11"/>
  <c r="C64" i="11"/>
  <c r="B64" i="11" s="1"/>
  <c r="C81" i="11"/>
  <c r="B81" i="11" s="1"/>
  <c r="E106" i="11"/>
  <c r="F115" i="11"/>
  <c r="I19" i="62"/>
  <c r="G9" i="38"/>
  <c r="J9" i="57"/>
  <c r="D9" i="57"/>
  <c r="H9" i="57"/>
  <c r="K9" i="57"/>
  <c r="F9" i="57"/>
  <c r="C11" i="26"/>
  <c r="I11" i="26"/>
  <c r="J11" i="26"/>
  <c r="H45" i="65"/>
  <c r="J39" i="65"/>
  <c r="C45" i="65"/>
  <c r="F39" i="65"/>
  <c r="A14" i="27"/>
  <c r="B13" i="27"/>
  <c r="F13" i="65"/>
  <c r="K13" i="65" s="1"/>
  <c r="O56" i="40"/>
  <c r="O114" i="40"/>
  <c r="H19" i="65"/>
  <c r="E25" i="33"/>
  <c r="F258" i="36"/>
  <c r="A11" i="32"/>
  <c r="B30" i="51"/>
  <c r="G18" i="51"/>
  <c r="G257" i="37"/>
  <c r="G22" i="51"/>
  <c r="E22" i="51"/>
  <c r="H22" i="51"/>
  <c r="C22" i="51"/>
  <c r="F22" i="51"/>
  <c r="L43" i="65"/>
  <c r="G26" i="51"/>
  <c r="E26" i="51"/>
  <c r="H26" i="51"/>
  <c r="C26" i="51"/>
  <c r="F26" i="51"/>
  <c r="E11" i="51"/>
  <c r="H121" i="57"/>
  <c r="J199" i="38" s="1"/>
  <c r="I121" i="57"/>
  <c r="K199" i="38" s="1"/>
  <c r="L258" i="36"/>
  <c r="AC8" i="50"/>
  <c r="AD8" i="50"/>
  <c r="Y8" i="50"/>
  <c r="J11" i="49"/>
  <c r="H14" i="51"/>
  <c r="D27" i="51"/>
  <c r="G23" i="51"/>
  <c r="E23" i="51"/>
  <c r="F19" i="51"/>
  <c r="G15" i="51"/>
  <c r="H15" i="51"/>
  <c r="E15" i="51"/>
  <c r="J7" i="42"/>
  <c r="E13" i="26"/>
  <c r="H25" i="51"/>
  <c r="F25" i="51"/>
  <c r="E25" i="51"/>
  <c r="F21" i="51"/>
  <c r="E21" i="51"/>
  <c r="H17" i="51"/>
  <c r="E17" i="51"/>
  <c r="D13" i="51"/>
  <c r="F13" i="51"/>
  <c r="I4" i="38"/>
  <c r="H8" i="41"/>
  <c r="C25" i="51"/>
  <c r="E24" i="51"/>
  <c r="C21" i="51"/>
  <c r="G20" i="51"/>
  <c r="C17" i="51"/>
  <c r="E16" i="51"/>
  <c r="H16" i="51"/>
  <c r="C13" i="51"/>
  <c r="E12" i="51"/>
  <c r="G12" i="51"/>
  <c r="H9" i="42"/>
  <c r="L4" i="65"/>
  <c r="J9" i="42"/>
  <c r="J8" i="41"/>
  <c r="D13" i="33"/>
  <c r="F13" i="33" s="1"/>
  <c r="H25" i="65"/>
  <c r="O15" i="32"/>
  <c r="R15" i="32" s="1"/>
  <c r="O23" i="32"/>
  <c r="R23" i="32" s="1"/>
  <c r="O39" i="32"/>
  <c r="R39" i="32" s="1"/>
  <c r="O55" i="32"/>
  <c r="R55" i="32" s="1"/>
  <c r="O71" i="32"/>
  <c r="R71" i="32" s="1"/>
  <c r="O95" i="32"/>
  <c r="R95" i="32" s="1"/>
  <c r="O28" i="32"/>
  <c r="R28" i="32" s="1"/>
  <c r="O44" i="32"/>
  <c r="R44" i="32" s="1"/>
  <c r="O68" i="32"/>
  <c r="R68" i="32" s="1"/>
  <c r="O84" i="32"/>
  <c r="R84" i="32" s="1"/>
  <c r="O100" i="32"/>
  <c r="R100" i="32" s="1"/>
  <c r="O17" i="32"/>
  <c r="R17" i="32" s="1"/>
  <c r="O25" i="32"/>
  <c r="R25" i="32" s="1"/>
  <c r="O41" i="32"/>
  <c r="R41" i="32" s="1"/>
  <c r="O57" i="32"/>
  <c r="R57" i="32" s="1"/>
  <c r="O73" i="32"/>
  <c r="R73" i="32" s="1"/>
  <c r="O97" i="32"/>
  <c r="R97" i="32" s="1"/>
  <c r="L90" i="32"/>
  <c r="L102" i="32"/>
  <c r="L46" i="32"/>
  <c r="M207" i="38"/>
  <c r="B12" i="26"/>
  <c r="W11" i="29"/>
  <c r="R11" i="29"/>
  <c r="S7" i="29"/>
  <c r="Z11" i="29"/>
  <c r="Y11" i="29"/>
  <c r="G2" i="62"/>
  <c r="AA7" i="29"/>
  <c r="M257" i="37"/>
  <c r="E3" i="63"/>
  <c r="L106" i="32"/>
  <c r="L14" i="32"/>
  <c r="L82" i="32"/>
  <c r="Y7" i="29"/>
  <c r="S11" i="29"/>
  <c r="R7" i="29"/>
  <c r="W7" i="29"/>
  <c r="T11" i="29"/>
  <c r="Q7" i="29"/>
  <c r="T7" i="29"/>
  <c r="F73" i="11"/>
  <c r="C134" i="11"/>
  <c r="B134" i="11" s="1"/>
  <c r="C122" i="11"/>
  <c r="B122" i="11" s="1"/>
  <c r="C114" i="11"/>
  <c r="B114" i="11" s="1"/>
  <c r="C106" i="11"/>
  <c r="B106" i="11" s="1"/>
  <c r="C98" i="11"/>
  <c r="B98" i="11" s="1"/>
  <c r="C90" i="11"/>
  <c r="B90" i="11" s="1"/>
  <c r="C82" i="11"/>
  <c r="B82" i="11" s="1"/>
  <c r="C74" i="11"/>
  <c r="B74" i="11" s="1"/>
  <c r="C66" i="11"/>
  <c r="B66" i="11" s="1"/>
  <c r="E123" i="11"/>
  <c r="E107" i="11"/>
  <c r="E91" i="11"/>
  <c r="E75" i="11"/>
  <c r="F132" i="11"/>
  <c r="F116" i="11"/>
  <c r="F100" i="11"/>
  <c r="F84" i="11"/>
  <c r="F68" i="11"/>
  <c r="C129" i="11"/>
  <c r="B129" i="11" s="1"/>
  <c r="C113" i="11"/>
  <c r="B113" i="11" s="1"/>
  <c r="C97" i="11"/>
  <c r="B97" i="11" s="1"/>
  <c r="C85" i="11"/>
  <c r="B85" i="11" s="1"/>
  <c r="C77" i="11"/>
  <c r="B77" i="11" s="1"/>
  <c r="C69" i="11"/>
  <c r="B69" i="11" s="1"/>
  <c r="E130" i="11"/>
  <c r="E114" i="11"/>
  <c r="E98" i="11"/>
  <c r="E82" i="11"/>
  <c r="E66" i="11"/>
  <c r="F123" i="11"/>
  <c r="F107" i="11"/>
  <c r="F91" i="11"/>
  <c r="F75" i="11"/>
  <c r="L19" i="62"/>
  <c r="V9" i="29"/>
  <c r="V8" i="29"/>
  <c r="C75" i="11"/>
  <c r="B75" i="11" s="1"/>
  <c r="C67" i="11"/>
  <c r="B67" i="11" s="1"/>
  <c r="E124" i="11"/>
  <c r="E108" i="11"/>
  <c r="E92" i="11"/>
  <c r="E76" i="11"/>
  <c r="F133" i="11"/>
  <c r="F117" i="11"/>
  <c r="F101" i="11"/>
  <c r="F85" i="11"/>
  <c r="F69" i="11"/>
  <c r="E135" i="11"/>
  <c r="E119" i="11"/>
  <c r="E103" i="11"/>
  <c r="E87" i="11"/>
  <c r="E71" i="11"/>
  <c r="F128" i="11"/>
  <c r="F112" i="11"/>
  <c r="F96" i="11"/>
  <c r="F80" i="11"/>
  <c r="E126" i="11"/>
  <c r="E110" i="11"/>
  <c r="E94" i="11"/>
  <c r="E78" i="11"/>
  <c r="F135" i="11"/>
  <c r="F119" i="11"/>
  <c r="F103" i="11"/>
  <c r="F87" i="11"/>
  <c r="F71" i="11"/>
  <c r="M19" i="62"/>
  <c r="E95" i="11"/>
  <c r="E79" i="11"/>
  <c r="F136" i="11"/>
  <c r="F120" i="11"/>
  <c r="F104" i="11"/>
  <c r="F88" i="11"/>
  <c r="F72" i="11"/>
  <c r="E134" i="11"/>
  <c r="E118" i="11"/>
  <c r="E102" i="11"/>
  <c r="E86" i="11"/>
  <c r="E70" i="11"/>
  <c r="F127" i="11"/>
  <c r="F111" i="11"/>
  <c r="F95" i="11"/>
  <c r="F79" i="11"/>
  <c r="D4" i="55"/>
  <c r="J62" i="55"/>
  <c r="D84" i="36"/>
  <c r="D62" i="55"/>
  <c r="H191" i="37"/>
  <c r="I191" i="37"/>
  <c r="H186" i="37"/>
  <c r="I186" i="37"/>
  <c r="E127" i="56"/>
  <c r="K62" i="56"/>
  <c r="D29" i="57"/>
  <c r="K29" i="57"/>
  <c r="F29" i="57"/>
  <c r="K107" i="57"/>
  <c r="F107" i="57"/>
  <c r="J107" i="57"/>
  <c r="D107" i="57"/>
  <c r="E4" i="56"/>
  <c r="K4" i="56"/>
  <c r="C84" i="36"/>
  <c r="A84" i="36" s="1"/>
  <c r="A49" i="55"/>
  <c r="V7" i="29"/>
  <c r="E7" i="29"/>
  <c r="E651" i="23"/>
  <c r="B4" i="31" s="1"/>
  <c r="E18" i="23"/>
  <c r="E506" i="23"/>
  <c r="E199" i="23"/>
  <c r="J7" i="33" s="1"/>
  <c r="J12" i="33" s="1"/>
  <c r="E442" i="23"/>
  <c r="P34" i="65" s="1"/>
  <c r="I8" i="52"/>
  <c r="E99" i="23"/>
  <c r="E412" i="23"/>
  <c r="F8" i="52"/>
  <c r="E312" i="23"/>
  <c r="E378" i="23"/>
  <c r="E28" i="23"/>
  <c r="E455" i="23"/>
  <c r="E182" i="23"/>
  <c r="C109" i="32" s="1"/>
  <c r="E19" i="23"/>
  <c r="F11" i="1" s="1"/>
  <c r="E391" i="23"/>
  <c r="E57" i="23"/>
  <c r="E363" i="23"/>
  <c r="E387" i="23"/>
  <c r="E227" i="23"/>
  <c r="E12" i="23"/>
  <c r="A14" i="1" s="1"/>
  <c r="E323" i="23"/>
  <c r="E232" i="23"/>
  <c r="E135" i="23"/>
  <c r="E284" i="23"/>
  <c r="E86" i="23"/>
  <c r="C7" i="27" s="1"/>
  <c r="E27" i="23"/>
  <c r="E251" i="23"/>
  <c r="E136" i="23"/>
  <c r="E71" i="23"/>
  <c r="L10" i="26" s="1"/>
  <c r="E156" i="23"/>
  <c r="E465" i="23"/>
  <c r="E23" i="23"/>
  <c r="F15" i="1" s="1"/>
  <c r="E3" i="38" s="1"/>
  <c r="E235" i="23"/>
  <c r="E112" i="23"/>
  <c r="E55" i="23"/>
  <c r="E132" i="23"/>
  <c r="E441" i="23"/>
  <c r="E8" i="52"/>
  <c r="E6" i="23"/>
  <c r="A8" i="1" s="1"/>
  <c r="E440" i="23"/>
  <c r="E327" i="23"/>
  <c r="C139" i="11" s="1"/>
  <c r="B139" i="11" s="1"/>
  <c r="E67" i="23"/>
  <c r="E9" i="26" s="1"/>
  <c r="E314" i="23"/>
  <c r="E9" i="11" s="1"/>
  <c r="E9" i="23"/>
  <c r="A8" i="24" s="1"/>
  <c r="E432" i="23"/>
  <c r="A15" i="65" s="1"/>
  <c r="E311" i="23"/>
  <c r="C5" i="11" s="1"/>
  <c r="E498" i="23"/>
  <c r="E302" i="23"/>
  <c r="E485" i="23"/>
  <c r="A16" i="41" s="1"/>
  <c r="E187" i="23"/>
  <c r="E384" i="23"/>
  <c r="E48" i="23"/>
  <c r="E263" i="23"/>
  <c r="M13" i="34" s="1"/>
  <c r="E477" i="23"/>
  <c r="E144" i="23"/>
  <c r="C9" i="51" s="1"/>
  <c r="E508" i="23"/>
  <c r="E250" i="23"/>
  <c r="E309" i="23"/>
  <c r="E467" i="23"/>
  <c r="E403" i="23"/>
  <c r="E115" i="23"/>
  <c r="E320" i="23"/>
  <c r="E463" i="23"/>
  <c r="E207" i="23"/>
  <c r="B12" i="33" s="1"/>
  <c r="E379" i="23"/>
  <c r="E470" i="23"/>
  <c r="A5" i="41" s="1"/>
  <c r="E472" i="23"/>
  <c r="E214" i="23"/>
  <c r="E145" i="23"/>
  <c r="D9" i="51" s="1"/>
  <c r="E21" i="23"/>
  <c r="E4" i="23"/>
  <c r="A2" i="1" s="1"/>
  <c r="E371" i="23"/>
  <c r="F8" i="38" s="1"/>
  <c r="F26" i="38" s="1"/>
  <c r="F140" i="38" s="1"/>
  <c r="E91" i="23"/>
  <c r="F9" i="27" s="1"/>
  <c r="E296" i="23"/>
  <c r="E439" i="23"/>
  <c r="E183" i="23"/>
  <c r="E331" i="23"/>
  <c r="E143" i="11" s="1"/>
  <c r="E388" i="23"/>
  <c r="E430" i="23"/>
  <c r="E170" i="23"/>
  <c r="F8" i="32" s="1"/>
  <c r="E529" i="23"/>
  <c r="B11" i="31" s="1"/>
  <c r="E5" i="23"/>
  <c r="E14" i="23"/>
  <c r="F8" i="1" s="1"/>
  <c r="E267" i="23"/>
  <c r="M17" i="34" s="1"/>
  <c r="E456" i="23"/>
  <c r="E152" i="23"/>
  <c r="K9" i="51" s="1"/>
  <c r="E335" i="23"/>
  <c r="E79" i="23"/>
  <c r="E107" i="23"/>
  <c r="E212" i="23"/>
  <c r="E342" i="23"/>
  <c r="A5" i="35" s="1"/>
  <c r="E507" i="23"/>
  <c r="Z8" i="52"/>
  <c r="E13" i="23"/>
  <c r="A12" i="24" s="1"/>
  <c r="E3" i="23"/>
  <c r="A1" i="1" s="1"/>
  <c r="A1" i="31" s="1"/>
  <c r="E22" i="23"/>
  <c r="F14" i="1" s="1"/>
  <c r="E451" i="23"/>
  <c r="E275" i="23"/>
  <c r="E131" i="23"/>
  <c r="E474" i="23"/>
  <c r="E336" i="23"/>
  <c r="E184" i="23"/>
  <c r="E481" i="23"/>
  <c r="A10" i="41" s="1"/>
  <c r="E351" i="23"/>
  <c r="E223" i="23"/>
  <c r="E95" i="23"/>
  <c r="T9" i="27" s="1"/>
  <c r="E411" i="23"/>
  <c r="E123" i="23"/>
  <c r="E494" i="23"/>
  <c r="E236" i="23"/>
  <c r="E484" i="23"/>
  <c r="A15" i="41" s="1"/>
  <c r="E354" i="23"/>
  <c r="E226" i="23"/>
  <c r="E50" i="23"/>
  <c r="O9" i="2" s="1"/>
  <c r="E209" i="23"/>
  <c r="AA8" i="52"/>
  <c r="E24" i="23"/>
  <c r="E11" i="23"/>
  <c r="A10" i="24" s="1"/>
  <c r="E355" i="23"/>
  <c r="E219" i="23"/>
  <c r="B14" i="33" s="1"/>
  <c r="E75" i="23"/>
  <c r="M10" i="27" s="1"/>
  <c r="E416" i="23"/>
  <c r="A3" i="65" s="1"/>
  <c r="E264" i="23"/>
  <c r="M14" i="34" s="1"/>
  <c r="E80" i="23"/>
  <c r="E415" i="23"/>
  <c r="E287" i="23"/>
  <c r="E159" i="23"/>
  <c r="E31" i="23"/>
  <c r="C3" i="51" s="1"/>
  <c r="E283" i="23"/>
  <c r="E400" i="23"/>
  <c r="E364" i="23"/>
  <c r="E108" i="23"/>
  <c r="E418" i="23"/>
  <c r="E290" i="23"/>
  <c r="E150" i="23"/>
  <c r="I9" i="51" s="1"/>
  <c r="E425" i="23"/>
  <c r="E509" i="23"/>
  <c r="AB8" i="52"/>
  <c r="E16" i="23"/>
  <c r="I9" i="1" s="1"/>
  <c r="E7" i="23"/>
  <c r="A9" i="1" s="1"/>
  <c r="E466" i="23"/>
  <c r="E339" i="23"/>
  <c r="E203" i="23"/>
  <c r="N7" i="33" s="1"/>
  <c r="N12" i="33" s="1"/>
  <c r="E59" i="23"/>
  <c r="X9" i="2" s="1"/>
  <c r="E392" i="23"/>
  <c r="E240" i="23"/>
  <c r="E64" i="23"/>
  <c r="E399" i="23"/>
  <c r="E271" i="23"/>
  <c r="E143" i="23"/>
  <c r="C7" i="51" s="1"/>
  <c r="E493" i="23"/>
  <c r="E243" i="23"/>
  <c r="E288" i="23"/>
  <c r="E340" i="23"/>
  <c r="A2" i="35" s="1"/>
  <c r="E84" i="23"/>
  <c r="C3" i="27" s="1"/>
  <c r="E406" i="23"/>
  <c r="E278" i="23"/>
  <c r="E130" i="23"/>
  <c r="E373" i="23"/>
  <c r="H8" i="38" s="1"/>
  <c r="H26" i="38" s="1"/>
  <c r="H140" i="38" s="1"/>
  <c r="E544" i="23"/>
  <c r="E17" i="23"/>
  <c r="K12" i="1" s="1"/>
  <c r="H2" i="33" s="1"/>
  <c r="E8" i="23"/>
  <c r="A10" i="1" s="1"/>
  <c r="E26" i="23"/>
  <c r="F16" i="1" s="1"/>
  <c r="E4" i="65" s="1"/>
  <c r="E469" i="23"/>
  <c r="A2" i="41" s="1"/>
  <c r="E307" i="23"/>
  <c r="E147" i="23"/>
  <c r="F9" i="51" s="1"/>
  <c r="E482" i="23"/>
  <c r="A12" i="41" s="1"/>
  <c r="E368" i="23"/>
  <c r="C6" i="38" s="1"/>
  <c r="E216" i="23"/>
  <c r="E505" i="23"/>
  <c r="E375" i="23"/>
  <c r="J8" i="38" s="1"/>
  <c r="J26" i="38" s="1"/>
  <c r="J140" i="38" s="1"/>
  <c r="E247" i="23"/>
  <c r="E119" i="23"/>
  <c r="D9" i="49" s="1"/>
  <c r="E443" i="23"/>
  <c r="E195" i="23"/>
  <c r="E7" i="33" s="1"/>
  <c r="E12" i="33" s="1"/>
  <c r="E56" i="23"/>
  <c r="E260" i="23"/>
  <c r="M10" i="34" s="1"/>
  <c r="E496" i="23"/>
  <c r="E366" i="23"/>
  <c r="E238" i="23"/>
  <c r="E66" i="23"/>
  <c r="D9" i="26" s="1"/>
  <c r="E249" i="23"/>
  <c r="J49" i="55"/>
  <c r="D49" i="55"/>
  <c r="H193" i="37"/>
  <c r="H184" i="37"/>
  <c r="F254" i="37"/>
  <c r="F199" i="37"/>
  <c r="F78" i="37"/>
  <c r="I74" i="37"/>
  <c r="H75" i="37"/>
  <c r="M76" i="57"/>
  <c r="P76" i="57"/>
  <c r="D76" i="57"/>
  <c r="E128" i="23"/>
  <c r="M9" i="49" s="1"/>
  <c r="E404" i="23"/>
  <c r="E276" i="23"/>
  <c r="E148" i="23"/>
  <c r="G9" i="51" s="1"/>
  <c r="E504" i="23"/>
  <c r="E438" i="23"/>
  <c r="E374" i="23"/>
  <c r="I8" i="38" s="1"/>
  <c r="I26" i="38" s="1"/>
  <c r="I140" i="38" s="1"/>
  <c r="E310" i="23"/>
  <c r="C3" i="11" s="1"/>
  <c r="E246" i="23"/>
  <c r="E178" i="23"/>
  <c r="E82" i="23"/>
  <c r="E457" i="23"/>
  <c r="E273" i="23"/>
  <c r="E576" i="23"/>
  <c r="E557" i="23"/>
  <c r="E448" i="23"/>
  <c r="E478" i="23"/>
  <c r="E348" i="23"/>
  <c r="E220" i="23"/>
  <c r="B15" i="33" s="1"/>
  <c r="E92" i="23"/>
  <c r="E476" i="23"/>
  <c r="E410" i="23"/>
  <c r="E346" i="23"/>
  <c r="E282" i="23"/>
  <c r="E218" i="23"/>
  <c r="B13" i="33" s="1"/>
  <c r="E138" i="23"/>
  <c r="E34" i="23"/>
  <c r="B9" i="26" s="1"/>
  <c r="E409" i="23"/>
  <c r="E185" i="23"/>
  <c r="E541" i="23"/>
  <c r="E563" i="23"/>
  <c r="B26" i="31" s="1"/>
  <c r="E452" i="23"/>
  <c r="E324" i="23"/>
  <c r="E196" i="23"/>
  <c r="F7" i="33" s="1"/>
  <c r="F12" i="33" s="1"/>
  <c r="E68" i="23"/>
  <c r="F10" i="26" s="1"/>
  <c r="E462" i="23"/>
  <c r="E398" i="23"/>
  <c r="E334" i="23"/>
  <c r="E270" i="23"/>
  <c r="E206" i="23"/>
  <c r="B10" i="33" s="1"/>
  <c r="E118" i="23"/>
  <c r="C9" i="49" s="1"/>
  <c r="E499" i="23"/>
  <c r="E361" i="23"/>
  <c r="E121" i="23"/>
  <c r="F9" i="49" s="1"/>
  <c r="E570" i="23"/>
  <c r="E155" i="23"/>
  <c r="E176" i="23"/>
  <c r="L8" i="32" s="1"/>
  <c r="E428" i="23"/>
  <c r="E300" i="23"/>
  <c r="E172" i="23"/>
  <c r="H8" i="32" s="1"/>
  <c r="E44" i="23"/>
  <c r="I9" i="2" s="1"/>
  <c r="E450" i="23"/>
  <c r="E386" i="23"/>
  <c r="E322" i="23"/>
  <c r="E258" i="23"/>
  <c r="P9" i="34" s="1"/>
  <c r="E194" i="23"/>
  <c r="D7" i="33" s="1"/>
  <c r="D12" i="33" s="1"/>
  <c r="E98" i="23"/>
  <c r="E475" i="23"/>
  <c r="E321" i="23"/>
  <c r="E81" i="23"/>
  <c r="E516" i="23"/>
  <c r="E490" i="23"/>
  <c r="E408" i="23"/>
  <c r="E328" i="23"/>
  <c r="C141" i="11" s="1"/>
  <c r="B141" i="11" s="1"/>
  <c r="E256" i="23"/>
  <c r="M9" i="34" s="1"/>
  <c r="E168" i="23"/>
  <c r="D8" i="32" s="1"/>
  <c r="E72" i="23"/>
  <c r="I9" i="26" s="1"/>
  <c r="E473" i="23"/>
  <c r="E407" i="23"/>
  <c r="E343" i="23"/>
  <c r="A12" i="35" s="1"/>
  <c r="E279" i="23"/>
  <c r="E215" i="23"/>
  <c r="E151" i="23"/>
  <c r="J9" i="51" s="1"/>
  <c r="E87" i="23"/>
  <c r="C9" i="27" s="1"/>
  <c r="E501" i="23"/>
  <c r="E395" i="23"/>
  <c r="C140" i="38" s="1"/>
  <c r="E259" i="23"/>
  <c r="Q9" i="34" s="1"/>
  <c r="E139" i="23"/>
  <c r="E464" i="23"/>
  <c r="E160" i="23"/>
  <c r="E486" i="23"/>
  <c r="E420" i="23"/>
  <c r="E356" i="23"/>
  <c r="E292" i="23"/>
  <c r="E228" i="23"/>
  <c r="E164" i="23"/>
  <c r="E100" i="23"/>
  <c r="Q9" i="27" s="1"/>
  <c r="E36" i="23"/>
  <c r="E480" i="23"/>
  <c r="A9" i="41" s="1"/>
  <c r="E446" i="23"/>
  <c r="E414" i="23"/>
  <c r="E382" i="23"/>
  <c r="C26" i="38" s="1"/>
  <c r="E350" i="23"/>
  <c r="E318" i="23"/>
  <c r="E286" i="23"/>
  <c r="E254" i="23"/>
  <c r="S5" i="34" s="1"/>
  <c r="E222" i="23"/>
  <c r="E186" i="23"/>
  <c r="E146" i="23"/>
  <c r="E9" i="51" s="1"/>
  <c r="E90" i="23"/>
  <c r="E10" i="27" s="1"/>
  <c r="E42" i="23"/>
  <c r="E471" i="23"/>
  <c r="E417" i="23"/>
  <c r="E369" i="23"/>
  <c r="C8" i="38" s="1"/>
  <c r="E313" i="23"/>
  <c r="C9" i="11" s="1"/>
  <c r="B9" i="11" s="1"/>
  <c r="E257" i="23"/>
  <c r="O9" i="34" s="1"/>
  <c r="E193" i="23"/>
  <c r="D6" i="33" s="1"/>
  <c r="E129" i="23"/>
  <c r="E65" i="23"/>
  <c r="C9" i="26" s="1"/>
  <c r="E560" i="23"/>
  <c r="E545" i="23"/>
  <c r="E578" i="23"/>
  <c r="E550" i="23"/>
  <c r="E7" i="28"/>
  <c r="E636" i="23"/>
  <c r="F8" i="36" s="1"/>
  <c r="F83" i="36" s="1"/>
  <c r="F204" i="36" s="1"/>
  <c r="E644" i="23"/>
  <c r="E637" i="23"/>
  <c r="G8" i="36" s="1"/>
  <c r="G83" i="36" s="1"/>
  <c r="G204" i="36" s="1"/>
  <c r="E638" i="23"/>
  <c r="I8" i="36" s="1"/>
  <c r="I83" i="36" s="1"/>
  <c r="I204" i="36" s="1"/>
  <c r="E646" i="23"/>
  <c r="D83" i="36" s="1"/>
  <c r="E632" i="23"/>
  <c r="C2" i="36" s="1"/>
  <c r="E640" i="23"/>
  <c r="L8" i="36" s="1"/>
  <c r="L83" i="36" s="1"/>
  <c r="L204" i="36" s="1"/>
  <c r="E648" i="23"/>
  <c r="E639" i="23"/>
  <c r="K8" i="36" s="1"/>
  <c r="K83" i="36" s="1"/>
  <c r="K204" i="36" s="1"/>
  <c r="E647" i="23"/>
  <c r="C204" i="36" s="1"/>
  <c r="E633" i="23"/>
  <c r="C5" i="36" s="1"/>
  <c r="E641" i="23"/>
  <c r="M8" i="36" s="1"/>
  <c r="M83" i="36" s="1"/>
  <c r="M204" i="36" s="1"/>
  <c r="E649" i="23"/>
  <c r="E631" i="23"/>
  <c r="H5" i="40" s="1"/>
  <c r="H63" i="40" s="1"/>
  <c r="E635" i="23"/>
  <c r="E8" i="36" s="1"/>
  <c r="E83" i="36" s="1"/>
  <c r="E204" i="36" s="1"/>
  <c r="E643" i="23"/>
  <c r="D7" i="36" s="1"/>
  <c r="E645" i="23"/>
  <c r="C83" i="36" s="1"/>
  <c r="E634" i="23"/>
  <c r="C8" i="36" s="1"/>
  <c r="E642" i="23"/>
  <c r="K7" i="36" s="1"/>
  <c r="E650" i="23"/>
  <c r="E405" i="23"/>
  <c r="E353" i="23"/>
  <c r="E305" i="23"/>
  <c r="E245" i="23"/>
  <c r="E181" i="23"/>
  <c r="E117" i="23"/>
  <c r="C7" i="49" s="1"/>
  <c r="E53" i="23"/>
  <c r="S9" i="2" s="1"/>
  <c r="E527" i="23"/>
  <c r="B8" i="31" s="1"/>
  <c r="E539" i="23"/>
  <c r="E566" i="23"/>
  <c r="E542" i="23"/>
  <c r="E376" i="23"/>
  <c r="E304" i="23"/>
  <c r="E224" i="23"/>
  <c r="E120" i="23"/>
  <c r="E9" i="49" s="1"/>
  <c r="E32" i="23"/>
  <c r="E447" i="23"/>
  <c r="E383" i="23"/>
  <c r="D26" i="38" s="1"/>
  <c r="E319" i="23"/>
  <c r="E255" i="23"/>
  <c r="M8" i="34" s="1"/>
  <c r="E191" i="23"/>
  <c r="E127" i="23"/>
  <c r="P9" i="49" s="1"/>
  <c r="E63" i="23"/>
  <c r="B7" i="26" s="1"/>
  <c r="E459" i="23"/>
  <c r="E347" i="23"/>
  <c r="E211" i="23"/>
  <c r="E83" i="23"/>
  <c r="E352" i="23"/>
  <c r="E88" i="23"/>
  <c r="D9" i="27" s="1"/>
  <c r="E460" i="23"/>
  <c r="E396" i="23"/>
  <c r="E332" i="23"/>
  <c r="F143" i="11" s="1"/>
  <c r="E268" i="23"/>
  <c r="M19" i="34" s="1"/>
  <c r="E204" i="23"/>
  <c r="B8" i="33" s="1"/>
  <c r="E140" i="23"/>
  <c r="E76" i="23"/>
  <c r="M9" i="26" s="1"/>
  <c r="E500" i="23"/>
  <c r="E468" i="23"/>
  <c r="E434" i="23"/>
  <c r="A17" i="65" s="1"/>
  <c r="E402" i="23"/>
  <c r="E370" i="23"/>
  <c r="E8" i="38" s="1"/>
  <c r="E26" i="38" s="1"/>
  <c r="E140" i="38" s="1"/>
  <c r="E338" i="23"/>
  <c r="C145" i="11" s="1"/>
  <c r="B145" i="11" s="1"/>
  <c r="E306" i="23"/>
  <c r="E274" i="23"/>
  <c r="E242" i="23"/>
  <c r="E210" i="23"/>
  <c r="E174" i="23"/>
  <c r="J8" i="32" s="1"/>
  <c r="E122" i="23"/>
  <c r="G9" i="49" s="1"/>
  <c r="E74" i="23"/>
  <c r="E503" i="23"/>
  <c r="E449" i="23"/>
  <c r="E401" i="23"/>
  <c r="E345" i="23"/>
  <c r="E297" i="23"/>
  <c r="E241" i="23"/>
  <c r="E177" i="23"/>
  <c r="M8" i="32" s="1"/>
  <c r="E113" i="23"/>
  <c r="E49" i="23"/>
  <c r="E525" i="23"/>
  <c r="E537" i="23"/>
  <c r="E562" i="23"/>
  <c r="B24" i="31" s="1"/>
  <c r="E540" i="23"/>
  <c r="E393" i="23"/>
  <c r="E341" i="23"/>
  <c r="A4" i="35" s="1"/>
  <c r="E289" i="23"/>
  <c r="E225" i="23"/>
  <c r="E161" i="23"/>
  <c r="E97" i="23"/>
  <c r="E33" i="23"/>
  <c r="B7" i="2" s="1"/>
  <c r="E517" i="23"/>
  <c r="E583" i="23"/>
  <c r="B49" i="31" s="1"/>
  <c r="E526" i="23"/>
  <c r="E581" i="23"/>
  <c r="E360" i="23"/>
  <c r="E280" i="23"/>
  <c r="E200" i="23"/>
  <c r="K7" i="33" s="1"/>
  <c r="K12" i="33" s="1"/>
  <c r="E104" i="23"/>
  <c r="E497" i="23"/>
  <c r="E431" i="23"/>
  <c r="A14" i="65" s="1"/>
  <c r="E367" i="23"/>
  <c r="E303" i="23"/>
  <c r="E239" i="23"/>
  <c r="E175" i="23"/>
  <c r="K8" i="32" s="1"/>
  <c r="E111" i="23"/>
  <c r="E47" i="23"/>
  <c r="E435" i="23"/>
  <c r="A18" i="65" s="1"/>
  <c r="E315" i="23"/>
  <c r="F9" i="11" s="1"/>
  <c r="E179" i="23"/>
  <c r="E51" i="23"/>
  <c r="P9" i="2" s="1"/>
  <c r="E248" i="23"/>
  <c r="E40" i="23"/>
  <c r="F9" i="2" s="1"/>
  <c r="E444" i="23"/>
  <c r="E380" i="23"/>
  <c r="E316" i="23"/>
  <c r="E252" i="23"/>
  <c r="M3" i="34" s="1"/>
  <c r="E188" i="23"/>
  <c r="E124" i="23"/>
  <c r="E60" i="23"/>
  <c r="Y9" i="2" s="1"/>
  <c r="E492" i="23"/>
  <c r="E458" i="23"/>
  <c r="E426" i="23"/>
  <c r="E394" i="23"/>
  <c r="E362" i="23"/>
  <c r="C3" i="38" s="1"/>
  <c r="E330" i="23"/>
  <c r="D143" i="11" s="1"/>
  <c r="E298" i="23"/>
  <c r="E266" i="23"/>
  <c r="M16" i="34" s="1"/>
  <c r="E234" i="23"/>
  <c r="E202" i="23"/>
  <c r="M7" i="33" s="1"/>
  <c r="M12" i="33" s="1"/>
  <c r="E162" i="23"/>
  <c r="E114" i="23"/>
  <c r="E58" i="23"/>
  <c r="W9" i="2" s="1"/>
  <c r="E491" i="23"/>
  <c r="E437" i="23"/>
  <c r="E385" i="23"/>
  <c r="E337" i="23"/>
  <c r="C144" i="11" s="1"/>
  <c r="B144" i="11" s="1"/>
  <c r="E281" i="23"/>
  <c r="E217" i="23"/>
  <c r="E153" i="23"/>
  <c r="L9" i="51" s="1"/>
  <c r="E89" i="23"/>
  <c r="E584" i="23"/>
  <c r="B50" i="31" s="1"/>
  <c r="E513" i="23"/>
  <c r="E575" i="23"/>
  <c r="E520" i="23"/>
  <c r="E573" i="23"/>
  <c r="C6" i="31" s="1"/>
  <c r="C48" i="31" s="1"/>
  <c r="E25" i="23"/>
  <c r="E20" i="23"/>
  <c r="E15" i="23"/>
  <c r="F9" i="1" s="1"/>
  <c r="A6" i="41" s="1"/>
  <c r="E10" i="23"/>
  <c r="A9" i="24" s="1"/>
  <c r="E427" i="23"/>
  <c r="E291" i="23"/>
  <c r="E163" i="23"/>
  <c r="E35" i="23"/>
  <c r="C9" i="2" s="1"/>
  <c r="E424" i="23"/>
  <c r="B10" i="65" s="1"/>
  <c r="E344" i="23"/>
  <c r="A19" i="35" s="1"/>
  <c r="E272" i="23"/>
  <c r="E192" i="23"/>
  <c r="A4" i="33" s="1"/>
  <c r="E96" i="23"/>
  <c r="N9" i="27" s="1"/>
  <c r="E489" i="23"/>
  <c r="E423" i="23"/>
  <c r="P8" i="65" s="1"/>
  <c r="E359" i="23"/>
  <c r="E295" i="23"/>
  <c r="E231" i="23"/>
  <c r="E167" i="23"/>
  <c r="C8" i="32" s="1"/>
  <c r="E103" i="23"/>
  <c r="E39" i="23"/>
  <c r="E419" i="23"/>
  <c r="E299" i="23"/>
  <c r="E171" i="23"/>
  <c r="G8" i="32" s="1"/>
  <c r="E43" i="23"/>
  <c r="E208" i="23"/>
  <c r="E502" i="23"/>
  <c r="E436" i="23"/>
  <c r="A19" i="65" s="1"/>
  <c r="E372" i="23"/>
  <c r="G8" i="38" s="1"/>
  <c r="G26" i="38" s="1"/>
  <c r="G140" i="38" s="1"/>
  <c r="E308" i="23"/>
  <c r="E244" i="23"/>
  <c r="E180" i="23"/>
  <c r="E116" i="23"/>
  <c r="E52" i="23"/>
  <c r="Q9" i="2" s="1"/>
  <c r="E488" i="23"/>
  <c r="E454" i="23"/>
  <c r="E422" i="23"/>
  <c r="A7" i="65" s="1"/>
  <c r="E390" i="23"/>
  <c r="E358" i="23"/>
  <c r="E326" i="23"/>
  <c r="E294" i="23"/>
  <c r="E262" i="23"/>
  <c r="M12" i="34" s="1"/>
  <c r="E230" i="23"/>
  <c r="E198" i="23"/>
  <c r="H7" i="33" s="1"/>
  <c r="H12" i="33" s="1"/>
  <c r="E154" i="23"/>
  <c r="E106" i="23"/>
  <c r="V9" i="27" s="1"/>
  <c r="E54" i="23"/>
  <c r="T9" i="2" s="1"/>
  <c r="E483" i="23"/>
  <c r="A14" i="41" s="1"/>
  <c r="E433" i="23"/>
  <c r="A16" i="65" s="1"/>
  <c r="E377" i="23"/>
  <c r="E329" i="23"/>
  <c r="C143" i="11" s="1"/>
  <c r="B143" i="11" s="1"/>
  <c r="E277" i="23"/>
  <c r="E213" i="23"/>
  <c r="E149" i="23"/>
  <c r="H9" i="51" s="1"/>
  <c r="E85" i="23"/>
  <c r="E580" i="23"/>
  <c r="E511" i="23"/>
  <c r="E567" i="23"/>
  <c r="B28" i="31" s="1"/>
  <c r="E518" i="23"/>
  <c r="D6" i="31" s="1"/>
  <c r="D36" i="31" s="1"/>
  <c r="D48" i="31" s="1"/>
  <c r="E565" i="23"/>
  <c r="G15" i="33"/>
  <c r="F15" i="33"/>
  <c r="F10" i="33"/>
  <c r="E8" i="33"/>
  <c r="G8" i="33" s="1"/>
  <c r="N9" i="13"/>
  <c r="E142" i="23"/>
  <c r="E110" i="23"/>
  <c r="E78" i="23"/>
  <c r="E46" i="23"/>
  <c r="L9" i="2" s="1"/>
  <c r="E495" i="23"/>
  <c r="E461" i="23"/>
  <c r="E429" i="23"/>
  <c r="E397" i="23"/>
  <c r="E365" i="23"/>
  <c r="E333" i="23"/>
  <c r="E301" i="23"/>
  <c r="E269" i="23"/>
  <c r="E237" i="23"/>
  <c r="E205" i="23"/>
  <c r="B9" i="33" s="1"/>
  <c r="E173" i="23"/>
  <c r="I8" i="32" s="1"/>
  <c r="E141" i="23"/>
  <c r="E109" i="23"/>
  <c r="E77" i="23"/>
  <c r="E45" i="23"/>
  <c r="J9" i="2" s="1"/>
  <c r="E572" i="23"/>
  <c r="E523" i="23"/>
  <c r="E551" i="23"/>
  <c r="E535" i="23"/>
  <c r="E559" i="23"/>
  <c r="E554" i="23"/>
  <c r="E514" i="23"/>
  <c r="E538" i="23"/>
  <c r="E553" i="23"/>
  <c r="B15" i="31" s="1"/>
  <c r="E265" i="23"/>
  <c r="M15" i="34" s="1"/>
  <c r="E233" i="23"/>
  <c r="E201" i="23"/>
  <c r="L7" i="33" s="1"/>
  <c r="L12" i="33" s="1"/>
  <c r="E169" i="23"/>
  <c r="E8" i="32" s="1"/>
  <c r="E137" i="23"/>
  <c r="E105" i="23"/>
  <c r="U9" i="27" s="1"/>
  <c r="E73" i="23"/>
  <c r="K9" i="26" s="1"/>
  <c r="E41" i="23"/>
  <c r="F10" i="2" s="1"/>
  <c r="E568" i="23"/>
  <c r="E521" i="23"/>
  <c r="E549" i="23"/>
  <c r="E531" i="23"/>
  <c r="E555" i="23"/>
  <c r="E530" i="23"/>
  <c r="B14" i="31" s="1"/>
  <c r="E512" i="23"/>
  <c r="E534" i="23"/>
  <c r="AG8" i="50"/>
  <c r="E166" i="23"/>
  <c r="E134" i="23"/>
  <c r="E102" i="23"/>
  <c r="E70" i="23"/>
  <c r="L10" i="27" s="1"/>
  <c r="E38" i="23"/>
  <c r="D10" i="2" s="1"/>
  <c r="E487" i="23"/>
  <c r="E453" i="23"/>
  <c r="E421" i="23"/>
  <c r="A5" i="65" s="1"/>
  <c r="E389" i="23"/>
  <c r="E357" i="23"/>
  <c r="E325" i="23"/>
  <c r="E293" i="23"/>
  <c r="E261" i="23"/>
  <c r="M11" i="34" s="1"/>
  <c r="E229" i="23"/>
  <c r="E197" i="23"/>
  <c r="G7" i="33" s="1"/>
  <c r="G12" i="33" s="1"/>
  <c r="E165" i="23"/>
  <c r="C5" i="32" s="1"/>
  <c r="E133" i="23"/>
  <c r="Q9" i="49" s="1"/>
  <c r="E101" i="23"/>
  <c r="E69" i="23"/>
  <c r="I9" i="27" s="1"/>
  <c r="E37" i="23"/>
  <c r="D9" i="2" s="1"/>
  <c r="E564" i="23"/>
  <c r="B27" i="31" s="1"/>
  <c r="E519" i="23"/>
  <c r="E6" i="31" s="1"/>
  <c r="E36" i="31" s="1"/>
  <c r="E547" i="23"/>
  <c r="E587" i="23"/>
  <c r="B53" i="31" s="1"/>
  <c r="E582" i="23"/>
  <c r="E528" i="23"/>
  <c r="B10" i="31" s="1"/>
  <c r="E510" i="23"/>
  <c r="E585" i="23"/>
  <c r="B51" i="31" s="1"/>
  <c r="F14" i="25"/>
  <c r="E190" i="23"/>
  <c r="E158" i="23"/>
  <c r="A2" i="31" s="1"/>
  <c r="E126" i="23"/>
  <c r="J10" i="49" s="1"/>
  <c r="E94" i="23"/>
  <c r="E62" i="23"/>
  <c r="E30" i="23"/>
  <c r="E479" i="23"/>
  <c r="E445" i="23"/>
  <c r="E413" i="23"/>
  <c r="E381" i="23"/>
  <c r="E349" i="23"/>
  <c r="E317" i="23"/>
  <c r="E285" i="23"/>
  <c r="E253" i="23"/>
  <c r="M6" i="34" s="1"/>
  <c r="E221" i="23"/>
  <c r="E189" i="23"/>
  <c r="E157" i="23"/>
  <c r="E125" i="23"/>
  <c r="E93" i="23"/>
  <c r="E61" i="23"/>
  <c r="E29" i="23"/>
  <c r="C3" i="31" s="1"/>
  <c r="E556" i="23"/>
  <c r="E515" i="23"/>
  <c r="E543" i="23"/>
  <c r="E579" i="23"/>
  <c r="E574" i="23"/>
  <c r="E524" i="23"/>
  <c r="E546" i="23"/>
  <c r="E577" i="23"/>
  <c r="F7" i="25"/>
  <c r="E617" i="23"/>
  <c r="E625" i="23"/>
  <c r="E5" i="40" s="1"/>
  <c r="E63" i="40" s="1"/>
  <c r="E618" i="23"/>
  <c r="A2" i="40" s="1"/>
  <c r="E626" i="23"/>
  <c r="F5" i="40" s="1"/>
  <c r="F63" i="40" s="1"/>
  <c r="E612" i="23"/>
  <c r="B42" i="31" s="1"/>
  <c r="E607" i="23"/>
  <c r="B34" i="31" s="1"/>
  <c r="E606" i="23"/>
  <c r="B32" i="31" s="1"/>
  <c r="E599" i="23"/>
  <c r="B21" i="31" s="1"/>
  <c r="E598" i="23"/>
  <c r="B20" i="31" s="1"/>
  <c r="E596" i="23"/>
  <c r="B18" i="31" s="1"/>
  <c r="E611" i="23"/>
  <c r="B46" i="31" s="1"/>
  <c r="E601" i="23"/>
  <c r="B23" i="31" s="1"/>
  <c r="E619" i="23"/>
  <c r="E627" i="23"/>
  <c r="G5" i="40" s="1"/>
  <c r="G63" i="40" s="1"/>
  <c r="E613" i="23"/>
  <c r="B41" i="31" s="1"/>
  <c r="E608" i="23"/>
  <c r="B37" i="31" s="1"/>
  <c r="E620" i="23"/>
  <c r="E628" i="23"/>
  <c r="I5" i="40" s="1"/>
  <c r="E614" i="23"/>
  <c r="E609" i="23"/>
  <c r="B38" i="31" s="1"/>
  <c r="E603" i="23"/>
  <c r="B29" i="31" s="1"/>
  <c r="E621" i="23"/>
  <c r="E629" i="23"/>
  <c r="J5" i="40" s="1"/>
  <c r="I63" i="40" s="1"/>
  <c r="E615" i="23"/>
  <c r="B44" i="31" s="1"/>
  <c r="E610" i="23"/>
  <c r="B39" i="31" s="1"/>
  <c r="E602" i="23"/>
  <c r="B25" i="31" s="1"/>
  <c r="E597" i="23"/>
  <c r="B19" i="31" s="1"/>
  <c r="E622" i="23"/>
  <c r="B5" i="40" s="1"/>
  <c r="B63" i="40" s="1"/>
  <c r="E630" i="23"/>
  <c r="E616" i="23"/>
  <c r="E604" i="23"/>
  <c r="B30" i="31" s="1"/>
  <c r="E595" i="23"/>
  <c r="B17" i="31" s="1"/>
  <c r="E605" i="23"/>
  <c r="B31" i="31" s="1"/>
  <c r="E624" i="23"/>
  <c r="D5" i="40" s="1"/>
  <c r="D63" i="40" s="1"/>
  <c r="E600" i="23"/>
  <c r="B22" i="31" s="1"/>
  <c r="E594" i="23"/>
  <c r="B16" i="31" s="1"/>
  <c r="E623" i="23"/>
  <c r="C5" i="40" s="1"/>
  <c r="C63" i="40" s="1"/>
  <c r="E590" i="23"/>
  <c r="B7" i="31" s="1"/>
  <c r="E593" i="23"/>
  <c r="B13" i="31" s="1"/>
  <c r="E591" i="23"/>
  <c r="B9" i="31" s="1"/>
  <c r="E592" i="23"/>
  <c r="B12" i="31" s="1"/>
  <c r="E589" i="23"/>
  <c r="C5" i="1" s="1"/>
  <c r="E588" i="23"/>
  <c r="M13" i="33"/>
  <c r="J4" i="65"/>
  <c r="C5" i="31"/>
  <c r="F9" i="33"/>
  <c r="A11" i="24"/>
  <c r="A6" i="24"/>
  <c r="B3" i="2"/>
  <c r="AH8" i="50"/>
  <c r="E11" i="29"/>
  <c r="E533" i="23"/>
  <c r="E571" i="23"/>
  <c r="E586" i="23"/>
  <c r="B52" i="31" s="1"/>
  <c r="E558" i="23"/>
  <c r="E522" i="23"/>
  <c r="E552" i="23"/>
  <c r="E536" i="23"/>
  <c r="E569" i="23"/>
  <c r="AF8" i="50"/>
  <c r="E548" i="23"/>
  <c r="E532" i="23"/>
  <c r="E561" i="23"/>
  <c r="M29" i="57" l="1"/>
  <c r="I2" i="62"/>
  <c r="I3" i="63"/>
  <c r="M28" i="33"/>
  <c r="M3" i="63"/>
  <c r="K84" i="36"/>
  <c r="D23" i="51"/>
  <c r="E20" i="51"/>
  <c r="C18" i="51"/>
  <c r="H3" i="63"/>
  <c r="F24" i="51"/>
  <c r="E24" i="33"/>
  <c r="F2" i="62"/>
  <c r="H18" i="51"/>
  <c r="D29" i="45"/>
  <c r="H43" i="31"/>
  <c r="D44" i="31"/>
  <c r="D31" i="45" s="1"/>
  <c r="H24" i="51"/>
  <c r="L11" i="49"/>
  <c r="F18" i="51"/>
  <c r="C11" i="49"/>
  <c r="F116" i="40"/>
  <c r="K11" i="49"/>
  <c r="L3" i="63"/>
  <c r="H11" i="49"/>
  <c r="M208" i="38"/>
  <c r="D11" i="49"/>
  <c r="H13" i="51"/>
  <c r="I193" i="38"/>
  <c r="K15" i="31"/>
  <c r="K22" i="31"/>
  <c r="F8" i="33"/>
  <c r="L9" i="33"/>
  <c r="K8" i="33"/>
  <c r="L8" i="33" s="1"/>
  <c r="C11" i="51"/>
  <c r="J13" i="26"/>
  <c r="B29" i="51"/>
  <c r="D14" i="51"/>
  <c r="D11" i="51"/>
  <c r="B28" i="51"/>
  <c r="E205" i="36"/>
  <c r="F11" i="49"/>
  <c r="F11" i="51"/>
  <c r="F3" i="63"/>
  <c r="D16" i="51"/>
  <c r="E13" i="51"/>
  <c r="F17" i="51"/>
  <c r="D21" i="51"/>
  <c r="D13" i="26"/>
  <c r="E19" i="51"/>
  <c r="H23" i="51"/>
  <c r="F14" i="51"/>
  <c r="E14" i="51"/>
  <c r="E11" i="49"/>
  <c r="G11" i="51"/>
  <c r="D26" i="51"/>
  <c r="H22" i="31"/>
  <c r="H30" i="31" s="1"/>
  <c r="D22" i="51"/>
  <c r="D18" i="51"/>
  <c r="J3" i="63"/>
  <c r="H21" i="51"/>
  <c r="G27" i="51"/>
  <c r="J127" i="55"/>
  <c r="G25" i="51"/>
  <c r="G13" i="26"/>
  <c r="C14" i="51"/>
  <c r="I213" i="38"/>
  <c r="B3" i="26"/>
  <c r="D22" i="45"/>
  <c r="I58" i="56"/>
  <c r="N57" i="56"/>
  <c r="C8" i="46"/>
  <c r="D7" i="46"/>
  <c r="A110" i="55"/>
  <c r="O110" i="55" s="1"/>
  <c r="J110" i="55"/>
  <c r="D110" i="55"/>
  <c r="B110" i="55"/>
  <c r="A11" i="2"/>
  <c r="AD8" i="25" s="1"/>
  <c r="M59" i="55"/>
  <c r="N59" i="55" s="1"/>
  <c r="N58" i="55"/>
  <c r="I109" i="57"/>
  <c r="O108" i="57"/>
  <c r="I6" i="56"/>
  <c r="N5" i="56"/>
  <c r="J63" i="55"/>
  <c r="D63" i="55"/>
  <c r="M130" i="55"/>
  <c r="N129" i="55"/>
  <c r="C24" i="51"/>
  <c r="G24" i="51"/>
  <c r="K51" i="31"/>
  <c r="I34" i="45"/>
  <c r="G16" i="51"/>
  <c r="C15" i="51"/>
  <c r="C23" i="51"/>
  <c r="F23" i="51"/>
  <c r="K50" i="31"/>
  <c r="I33" i="45"/>
  <c r="F82" i="57"/>
  <c r="A82" i="57"/>
  <c r="P82" i="57" s="1"/>
  <c r="J82" i="57"/>
  <c r="B82" i="57"/>
  <c r="D82" i="57"/>
  <c r="K82" i="57"/>
  <c r="M112" i="55"/>
  <c r="N111" i="55"/>
  <c r="AD9" i="50"/>
  <c r="W9" i="50"/>
  <c r="S9" i="50"/>
  <c r="O9" i="50"/>
  <c r="Y9" i="50"/>
  <c r="U9" i="50"/>
  <c r="Q9" i="50"/>
  <c r="T9" i="50"/>
  <c r="V9" i="50"/>
  <c r="N9" i="50"/>
  <c r="X9" i="50"/>
  <c r="P9" i="50"/>
  <c r="AC9" i="50"/>
  <c r="R9" i="50"/>
  <c r="N5" i="55"/>
  <c r="E9" i="36" s="1"/>
  <c r="M6" i="55"/>
  <c r="K110" i="56"/>
  <c r="E110" i="56"/>
  <c r="B110" i="56"/>
  <c r="A110" i="56"/>
  <c r="O110" i="56" s="1"/>
  <c r="C4" i="63"/>
  <c r="B5" i="63"/>
  <c r="H52" i="31"/>
  <c r="G35" i="45"/>
  <c r="M65" i="55"/>
  <c r="N64" i="55"/>
  <c r="E85" i="36" s="1"/>
  <c r="D178" i="57"/>
  <c r="D179" i="57" s="1"/>
  <c r="D180" i="57" s="1"/>
  <c r="C121" i="57"/>
  <c r="E199" i="38" s="1"/>
  <c r="D31" i="31"/>
  <c r="D23" i="45" s="1"/>
  <c r="O109" i="32"/>
  <c r="M200" i="38"/>
  <c r="I84" i="57"/>
  <c r="O83" i="57"/>
  <c r="C10" i="25"/>
  <c r="B10" i="25" s="1"/>
  <c r="B9" i="25"/>
  <c r="K205" i="36"/>
  <c r="K206" i="36"/>
  <c r="D205" i="36"/>
  <c r="B11" i="50"/>
  <c r="C10" i="50"/>
  <c r="G81" i="57"/>
  <c r="C9" i="36"/>
  <c r="A9" i="36" s="1"/>
  <c r="I112" i="56"/>
  <c r="N111" i="56"/>
  <c r="K3" i="63"/>
  <c r="P3" i="63"/>
  <c r="N10" i="57"/>
  <c r="F10" i="57"/>
  <c r="J10" i="57"/>
  <c r="D10" i="57"/>
  <c r="K10" i="57"/>
  <c r="H10" i="57"/>
  <c r="E9" i="38"/>
  <c r="C8" i="28"/>
  <c r="H11" i="27" s="1"/>
  <c r="B9" i="28"/>
  <c r="I129" i="56"/>
  <c r="N128" i="56"/>
  <c r="D121" i="57"/>
  <c r="F199" i="38" s="1"/>
  <c r="G30" i="31"/>
  <c r="G16" i="45"/>
  <c r="K56" i="56"/>
  <c r="E56" i="56"/>
  <c r="B56" i="56"/>
  <c r="A56" i="56" s="1"/>
  <c r="N6" i="46"/>
  <c r="L6" i="46"/>
  <c r="K6" i="46"/>
  <c r="J6" i="46"/>
  <c r="I6" i="46"/>
  <c r="H6" i="46"/>
  <c r="G6" i="46"/>
  <c r="F6" i="46"/>
  <c r="E6" i="46"/>
  <c r="I64" i="56"/>
  <c r="N63" i="56"/>
  <c r="E84" i="36"/>
  <c r="B3" i="62"/>
  <c r="C4" i="62"/>
  <c r="I31" i="57"/>
  <c r="O30" i="57"/>
  <c r="J57" i="55"/>
  <c r="B57" i="55"/>
  <c r="A57" i="55" s="1"/>
  <c r="D57" i="55"/>
  <c r="C17" i="25"/>
  <c r="B16" i="25"/>
  <c r="I12" i="57"/>
  <c r="O11" i="57"/>
  <c r="J128" i="55"/>
  <c r="D128" i="55"/>
  <c r="C36" i="45"/>
  <c r="D53" i="31"/>
  <c r="D36" i="45" s="1"/>
  <c r="U9" i="52"/>
  <c r="T9" i="52"/>
  <c r="S9" i="52"/>
  <c r="O9" i="52"/>
  <c r="R9" i="52"/>
  <c r="W9" i="52"/>
  <c r="Q9" i="52"/>
  <c r="V9" i="52"/>
  <c r="P9" i="52"/>
  <c r="F15" i="51"/>
  <c r="X3" i="63"/>
  <c r="Y3" i="63"/>
  <c r="J25" i="65"/>
  <c r="F12" i="65"/>
  <c r="K12" i="65" s="1"/>
  <c r="I15" i="58" a="1"/>
  <c r="I15" i="58" s="1"/>
  <c r="K26" i="65"/>
  <c r="F25" i="65"/>
  <c r="K131" i="57"/>
  <c r="F38" i="65"/>
  <c r="K38" i="65" s="1"/>
  <c r="G13" i="33"/>
  <c r="C13" i="26"/>
  <c r="F13" i="26"/>
  <c r="E11" i="26"/>
  <c r="H11" i="26"/>
  <c r="I13" i="26"/>
  <c r="D11" i="26"/>
  <c r="G11" i="26"/>
  <c r="A14" i="26"/>
  <c r="A11" i="1"/>
  <c r="F257" i="37"/>
  <c r="G19" i="51"/>
  <c r="D19" i="51"/>
  <c r="C19" i="51"/>
  <c r="A14" i="49"/>
  <c r="B13" i="49"/>
  <c r="K30" i="31"/>
  <c r="M9" i="57"/>
  <c r="C12" i="51"/>
  <c r="H12" i="51"/>
  <c r="F12" i="51"/>
  <c r="C20" i="51"/>
  <c r="H20" i="51"/>
  <c r="F20" i="51"/>
  <c r="F24" i="33"/>
  <c r="G24" i="33"/>
  <c r="K24" i="33"/>
  <c r="L109" i="32"/>
  <c r="G9" i="57"/>
  <c r="T3" i="63"/>
  <c r="U3" i="63"/>
  <c r="I12" i="26"/>
  <c r="H12" i="26"/>
  <c r="G12" i="26"/>
  <c r="D12" i="26"/>
  <c r="E12" i="26"/>
  <c r="J12" i="26"/>
  <c r="F12" i="26"/>
  <c r="C12" i="26"/>
  <c r="I11" i="65"/>
  <c r="I37" i="65"/>
  <c r="G30" i="51"/>
  <c r="E30" i="51"/>
  <c r="H30" i="51"/>
  <c r="C30" i="51"/>
  <c r="F30" i="51"/>
  <c r="D30" i="51"/>
  <c r="K39" i="65"/>
  <c r="G29" i="57"/>
  <c r="N84" i="36"/>
  <c r="M84" i="36"/>
  <c r="H29" i="51"/>
  <c r="F29" i="51"/>
  <c r="C29" i="51"/>
  <c r="D29" i="51"/>
  <c r="E29" i="51"/>
  <c r="G29" i="51"/>
  <c r="H11" i="65"/>
  <c r="H37" i="65"/>
  <c r="A32" i="51"/>
  <c r="B31" i="51"/>
  <c r="E23" i="33"/>
  <c r="F25" i="33"/>
  <c r="G25" i="33"/>
  <c r="K25" i="33"/>
  <c r="J45" i="65"/>
  <c r="H50" i="65"/>
  <c r="G107" i="57"/>
  <c r="M107" i="57"/>
  <c r="J19" i="65"/>
  <c r="H24" i="65"/>
  <c r="A15" i="27"/>
  <c r="B14" i="27"/>
  <c r="A12" i="32"/>
  <c r="B11" i="32"/>
  <c r="C50" i="65"/>
  <c r="F45" i="65"/>
  <c r="C81" i="36"/>
  <c r="C25" i="38"/>
  <c r="C202" i="36"/>
  <c r="C139" i="38"/>
  <c r="F12" i="1"/>
  <c r="B62" i="40"/>
  <c r="B4" i="40"/>
  <c r="C2" i="32"/>
  <c r="A2" i="33"/>
  <c r="H10" i="26"/>
  <c r="A5" i="24"/>
  <c r="D9" i="1" s="1"/>
  <c r="A7" i="24"/>
  <c r="K10" i="49"/>
  <c r="G10" i="26"/>
  <c r="J3" i="36"/>
  <c r="G3" i="31"/>
  <c r="B9" i="2"/>
  <c r="A13" i="1"/>
  <c r="E3" i="65"/>
  <c r="A7" i="41"/>
  <c r="K10" i="26"/>
  <c r="A15" i="1"/>
  <c r="I12" i="1"/>
  <c r="F7" i="42" s="1"/>
  <c r="I9" i="42"/>
  <c r="A12" i="1"/>
  <c r="I8" i="41"/>
  <c r="H2" i="32"/>
  <c r="K2" i="37"/>
  <c r="I8" i="42"/>
  <c r="K16" i="1"/>
  <c r="J4" i="36"/>
  <c r="I7" i="41"/>
  <c r="H3" i="33"/>
  <c r="I7" i="42"/>
  <c r="K3" i="37"/>
  <c r="K15" i="1"/>
  <c r="J3" i="38" s="1"/>
  <c r="H3" i="32"/>
  <c r="I6" i="41"/>
  <c r="G2" i="31"/>
  <c r="K9" i="1"/>
  <c r="E10" i="2"/>
  <c r="M1" i="34"/>
  <c r="A1" i="65"/>
  <c r="C1" i="51"/>
  <c r="C1" i="27"/>
  <c r="C1" i="36"/>
  <c r="C1" i="13"/>
  <c r="C1" i="38"/>
  <c r="C1" i="49"/>
  <c r="C1" i="37"/>
  <c r="B1" i="26"/>
  <c r="B1" i="2"/>
  <c r="A1" i="35"/>
  <c r="A1" i="42"/>
  <c r="C1" i="11"/>
  <c r="A1" i="41"/>
  <c r="C1" i="32"/>
  <c r="A1" i="33"/>
  <c r="F9" i="26"/>
  <c r="E4" i="38"/>
  <c r="A8" i="41"/>
  <c r="I16" i="1"/>
  <c r="C3" i="49"/>
  <c r="A9" i="42"/>
  <c r="I15" i="1"/>
  <c r="I4" i="65" s="1"/>
  <c r="G76" i="57"/>
  <c r="N8" i="36"/>
  <c r="N83" i="36" s="1"/>
  <c r="N204" i="36" s="1"/>
  <c r="H8" i="36"/>
  <c r="H83" i="36" s="1"/>
  <c r="H204" i="36" s="1"/>
  <c r="B43" i="31"/>
  <c r="A60" i="40"/>
  <c r="E48" i="31"/>
  <c r="J9" i="26"/>
  <c r="H9" i="27"/>
  <c r="L9" i="49"/>
  <c r="K9" i="2"/>
  <c r="C47" i="31"/>
  <c r="C35" i="31"/>
  <c r="O3" i="63" l="1"/>
  <c r="H44" i="31"/>
  <c r="I31" i="45" s="1"/>
  <c r="K43" i="31"/>
  <c r="K44" i="31" s="1"/>
  <c r="I29" i="45"/>
  <c r="L116" i="40"/>
  <c r="G82" i="57"/>
  <c r="I16" i="45"/>
  <c r="M8" i="33"/>
  <c r="K45" i="65"/>
  <c r="X8" i="25"/>
  <c r="D11" i="27"/>
  <c r="M10" i="57"/>
  <c r="K9" i="36"/>
  <c r="M82" i="57"/>
  <c r="H205" i="36"/>
  <c r="G205" i="36"/>
  <c r="J11" i="27"/>
  <c r="E121" i="57"/>
  <c r="G199" i="38" s="1"/>
  <c r="D37" i="65" s="1"/>
  <c r="C28" i="51"/>
  <c r="E28" i="51"/>
  <c r="G28" i="51"/>
  <c r="F28" i="51"/>
  <c r="D28" i="51"/>
  <c r="H28" i="51"/>
  <c r="C18" i="25"/>
  <c r="B17" i="25"/>
  <c r="J30" i="57"/>
  <c r="D30" i="57"/>
  <c r="K30" i="57"/>
  <c r="F30" i="57"/>
  <c r="E27" i="38"/>
  <c r="D27" i="38"/>
  <c r="C27" i="38"/>
  <c r="G27" i="38"/>
  <c r="H85" i="36"/>
  <c r="G85" i="36"/>
  <c r="I22" i="45"/>
  <c r="C37" i="65"/>
  <c r="C11" i="65"/>
  <c r="B10" i="28"/>
  <c r="C9" i="28"/>
  <c r="F12" i="27" s="1"/>
  <c r="Q3" i="63"/>
  <c r="S3" i="63"/>
  <c r="R3" i="63"/>
  <c r="N206" i="36"/>
  <c r="M206" i="36"/>
  <c r="N205" i="36"/>
  <c r="M205" i="36"/>
  <c r="B11" i="65"/>
  <c r="B37" i="65"/>
  <c r="M66" i="55"/>
  <c r="N65" i="55"/>
  <c r="M7" i="55"/>
  <c r="N6" i="55"/>
  <c r="C10" i="36" s="1"/>
  <c r="A10" i="36" s="1"/>
  <c r="J111" i="55"/>
  <c r="A111" i="55"/>
  <c r="O111" i="55" s="1"/>
  <c r="B111" i="55"/>
  <c r="D111" i="55"/>
  <c r="V3" i="63"/>
  <c r="D129" i="55"/>
  <c r="J129" i="55"/>
  <c r="D206" i="36"/>
  <c r="C206" i="36"/>
  <c r="A206" i="36" s="1"/>
  <c r="E5" i="56"/>
  <c r="K5" i="56"/>
  <c r="E8" i="37"/>
  <c r="L8" i="37"/>
  <c r="C8" i="37"/>
  <c r="A8" i="37" s="1"/>
  <c r="D58" i="55"/>
  <c r="B58" i="55"/>
  <c r="A58" i="55" s="1"/>
  <c r="J58" i="55"/>
  <c r="I59" i="56"/>
  <c r="N59" i="56" s="1"/>
  <c r="N58" i="56"/>
  <c r="H11" i="57"/>
  <c r="D11" i="57"/>
  <c r="F11" i="57"/>
  <c r="N11" i="57"/>
  <c r="K11" i="57"/>
  <c r="J11" i="57"/>
  <c r="C10" i="38"/>
  <c r="G10" i="38"/>
  <c r="E10" i="38"/>
  <c r="I32" i="57"/>
  <c r="O31" i="57"/>
  <c r="G32" i="31"/>
  <c r="G24" i="45" s="1"/>
  <c r="G22" i="45"/>
  <c r="AJ8" i="28"/>
  <c r="AF8" i="28"/>
  <c r="AB8" i="28"/>
  <c r="AO8" i="28"/>
  <c r="AH8" i="28"/>
  <c r="AD8" i="28"/>
  <c r="X8" i="28"/>
  <c r="AI8" i="28"/>
  <c r="Y8" i="28"/>
  <c r="AP8" i="28"/>
  <c r="AC8" i="28"/>
  <c r="Z8" i="28"/>
  <c r="AE8" i="28"/>
  <c r="W8" i="28"/>
  <c r="G11" i="27"/>
  <c r="M11" i="27"/>
  <c r="L11" i="27"/>
  <c r="N11" i="27"/>
  <c r="E11" i="27"/>
  <c r="E12" i="27"/>
  <c r="O11" i="27"/>
  <c r="I11" i="27"/>
  <c r="F11" i="27"/>
  <c r="C11" i="27"/>
  <c r="K11" i="27"/>
  <c r="P11" i="27"/>
  <c r="L12" i="27"/>
  <c r="E206" i="36"/>
  <c r="H31" i="31"/>
  <c r="H32" i="31" s="1"/>
  <c r="R109" i="32"/>
  <c r="F121" i="57"/>
  <c r="H199" i="38" s="1"/>
  <c r="K52" i="31"/>
  <c r="K53" i="31" s="1"/>
  <c r="I35" i="45"/>
  <c r="H53" i="31"/>
  <c r="I36" i="45" s="1"/>
  <c r="D5" i="55"/>
  <c r="J5" i="55"/>
  <c r="E10" i="36"/>
  <c r="M113" i="55"/>
  <c r="N112" i="55"/>
  <c r="M131" i="55"/>
  <c r="N131" i="55" s="1"/>
  <c r="N130" i="55"/>
  <c r="E235" i="36" s="1"/>
  <c r="I7" i="56"/>
  <c r="N6" i="56"/>
  <c r="J59" i="55"/>
  <c r="B59" i="55"/>
  <c r="A59" i="55" s="1"/>
  <c r="D59" i="55"/>
  <c r="N7" i="46"/>
  <c r="L7" i="46"/>
  <c r="K7" i="46"/>
  <c r="J7" i="46"/>
  <c r="I7" i="46"/>
  <c r="H7" i="46"/>
  <c r="G7" i="46"/>
  <c r="E7" i="46"/>
  <c r="F7" i="46"/>
  <c r="K25" i="65"/>
  <c r="I13" i="57"/>
  <c r="O12" i="57"/>
  <c r="C5" i="62"/>
  <c r="B5" i="62" s="1"/>
  <c r="B4" i="62"/>
  <c r="C35" i="11" s="1"/>
  <c r="B35" i="11" s="1"/>
  <c r="G84" i="36"/>
  <c r="H84" i="36"/>
  <c r="K63" i="56"/>
  <c r="E63" i="56"/>
  <c r="D83" i="37"/>
  <c r="C83" i="37"/>
  <c r="A83" i="37" s="1"/>
  <c r="E83" i="37"/>
  <c r="L83" i="37"/>
  <c r="E128" i="56"/>
  <c r="K128" i="56"/>
  <c r="E204" i="37"/>
  <c r="L204" i="37"/>
  <c r="C204" i="37"/>
  <c r="A204" i="37" s="1"/>
  <c r="D204" i="37"/>
  <c r="G10" i="57"/>
  <c r="K111" i="56"/>
  <c r="E111" i="56"/>
  <c r="B111" i="56"/>
  <c r="A111" i="56"/>
  <c r="O111" i="56" s="1"/>
  <c r="H9" i="36"/>
  <c r="G9" i="36"/>
  <c r="X10" i="50"/>
  <c r="T10" i="50"/>
  <c r="P10" i="50"/>
  <c r="Y10" i="50"/>
  <c r="AC10" i="50"/>
  <c r="V10" i="50"/>
  <c r="R10" i="50"/>
  <c r="N10" i="50"/>
  <c r="U10" i="50"/>
  <c r="AD10" i="50"/>
  <c r="W10" i="50"/>
  <c r="O10" i="50"/>
  <c r="S10" i="50"/>
  <c r="Q10" i="50"/>
  <c r="D12" i="49"/>
  <c r="K12" i="49"/>
  <c r="L12" i="49"/>
  <c r="G12" i="49"/>
  <c r="F12" i="49"/>
  <c r="E12" i="49"/>
  <c r="I12" i="49"/>
  <c r="C12" i="49"/>
  <c r="H12" i="49"/>
  <c r="J12" i="49"/>
  <c r="K83" i="57"/>
  <c r="J83" i="57"/>
  <c r="B83" i="57"/>
  <c r="D83" i="57"/>
  <c r="A83" i="57"/>
  <c r="P83" i="57" s="1"/>
  <c r="F83" i="57"/>
  <c r="B6" i="63"/>
  <c r="C5" i="63"/>
  <c r="F108" i="57"/>
  <c r="J108" i="57"/>
  <c r="K108" i="57"/>
  <c r="D108" i="57"/>
  <c r="D141" i="38"/>
  <c r="C141" i="38"/>
  <c r="E141" i="38"/>
  <c r="G141" i="38"/>
  <c r="C9" i="46"/>
  <c r="D8" i="46"/>
  <c r="D32" i="31"/>
  <c r="I3" i="62"/>
  <c r="J3" i="62"/>
  <c r="F3" i="62"/>
  <c r="G3" i="62"/>
  <c r="C10" i="11"/>
  <c r="B10" i="11" s="1"/>
  <c r="C19" i="11"/>
  <c r="B19" i="11" s="1"/>
  <c r="I65" i="56"/>
  <c r="N64" i="56"/>
  <c r="I130" i="56"/>
  <c r="N129" i="56"/>
  <c r="D205" i="37" s="1"/>
  <c r="I113" i="56"/>
  <c r="N112" i="56"/>
  <c r="M9" i="36"/>
  <c r="N9" i="36"/>
  <c r="B12" i="50"/>
  <c r="C11" i="50"/>
  <c r="E13" i="49" s="1"/>
  <c r="I85" i="57"/>
  <c r="O84" i="57"/>
  <c r="W3" i="63"/>
  <c r="D64" i="55"/>
  <c r="J64" i="55"/>
  <c r="K85" i="36"/>
  <c r="K86" i="36"/>
  <c r="D85" i="36"/>
  <c r="E86" i="36"/>
  <c r="C85" i="36"/>
  <c r="A85" i="36" s="1"/>
  <c r="D86" i="36"/>
  <c r="C86" i="36"/>
  <c r="A86" i="36" s="1"/>
  <c r="P4" i="63"/>
  <c r="L4" i="63"/>
  <c r="M4" i="63"/>
  <c r="J4" i="63"/>
  <c r="H4" i="63"/>
  <c r="F4" i="63"/>
  <c r="K4" i="63"/>
  <c r="I4" i="63"/>
  <c r="G4" i="63"/>
  <c r="E4" i="63"/>
  <c r="D4" i="63"/>
  <c r="I110" i="57"/>
  <c r="O109" i="57"/>
  <c r="D142" i="38" s="1"/>
  <c r="W8" i="25"/>
  <c r="Z8" i="25"/>
  <c r="AF8" i="25"/>
  <c r="A12" i="2"/>
  <c r="B11" i="2"/>
  <c r="T8" i="25"/>
  <c r="V8" i="25"/>
  <c r="AC8" i="25"/>
  <c r="AE8" i="25"/>
  <c r="Y8" i="25"/>
  <c r="AA8" i="25"/>
  <c r="U8" i="25"/>
  <c r="E57" i="56"/>
  <c r="K57" i="56"/>
  <c r="B57" i="56"/>
  <c r="A57" i="56" s="1"/>
  <c r="AB8" i="25"/>
  <c r="J15" i="58" a="1"/>
  <c r="J15" i="58" s="1"/>
  <c r="I16" i="58" a="1"/>
  <c r="I16" i="58" s="1"/>
  <c r="J16" i="58" s="1" a="1"/>
  <c r="J16" i="58" s="1"/>
  <c r="A15" i="26"/>
  <c r="B14" i="26"/>
  <c r="M24" i="33"/>
  <c r="L24" i="33"/>
  <c r="H13" i="49"/>
  <c r="F13" i="49"/>
  <c r="J13" i="49"/>
  <c r="C13" i="49"/>
  <c r="A15" i="49"/>
  <c r="B14" i="49"/>
  <c r="C53" i="65"/>
  <c r="F50" i="65"/>
  <c r="J24" i="65"/>
  <c r="J27" i="65" s="1"/>
  <c r="H27" i="65"/>
  <c r="G23" i="33"/>
  <c r="F23" i="33"/>
  <c r="A13" i="32"/>
  <c r="B12" i="32"/>
  <c r="J50" i="65"/>
  <c r="J53" i="65" s="1"/>
  <c r="H53" i="65"/>
  <c r="L25" i="33"/>
  <c r="M25" i="33"/>
  <c r="K23" i="33"/>
  <c r="G31" i="51"/>
  <c r="F31" i="51"/>
  <c r="D31" i="51"/>
  <c r="H31" i="51"/>
  <c r="C31" i="51"/>
  <c r="E31" i="51"/>
  <c r="B15" i="27"/>
  <c r="A16" i="27"/>
  <c r="A33" i="51"/>
  <c r="B32" i="51"/>
  <c r="F3" i="36"/>
  <c r="G2" i="37"/>
  <c r="E2" i="33"/>
  <c r="C2" i="31"/>
  <c r="E2" i="32"/>
  <c r="D10" i="1"/>
  <c r="F6" i="42" s="1"/>
  <c r="D14" i="1"/>
  <c r="F10" i="42" s="1"/>
  <c r="D8" i="1"/>
  <c r="D13" i="1"/>
  <c r="H4" i="36" s="1"/>
  <c r="D11" i="1"/>
  <c r="D15" i="1"/>
  <c r="F8" i="42"/>
  <c r="F7" i="41"/>
  <c r="F9" i="42"/>
  <c r="F6" i="41"/>
  <c r="E2" i="31"/>
  <c r="F8" i="41"/>
  <c r="K4" i="65"/>
  <c r="J4" i="38"/>
  <c r="E3" i="31"/>
  <c r="K3" i="65"/>
  <c r="H4" i="38"/>
  <c r="I3" i="65"/>
  <c r="H3" i="38"/>
  <c r="E84" i="37" l="1"/>
  <c r="D84" i="37"/>
  <c r="N3" i="63"/>
  <c r="I13" i="49"/>
  <c r="C24" i="11"/>
  <c r="B24" i="11" s="1"/>
  <c r="E211" i="36"/>
  <c r="K13" i="49"/>
  <c r="C235" i="36"/>
  <c r="A235" i="36" s="1"/>
  <c r="C31" i="11"/>
  <c r="B31" i="11" s="1"/>
  <c r="K225" i="36"/>
  <c r="N225" i="36" s="1"/>
  <c r="C84" i="37"/>
  <c r="A84" i="37" s="1"/>
  <c r="C236" i="36"/>
  <c r="A236" i="36" s="1"/>
  <c r="K216" i="36"/>
  <c r="C233" i="36"/>
  <c r="A233" i="36" s="1"/>
  <c r="K219" i="36"/>
  <c r="E254" i="36"/>
  <c r="H254" i="36" s="1"/>
  <c r="D253" i="36"/>
  <c r="D11" i="65"/>
  <c r="D217" i="36"/>
  <c r="D214" i="36"/>
  <c r="D215" i="36"/>
  <c r="C51" i="11"/>
  <c r="B51" i="11" s="1"/>
  <c r="C55" i="11"/>
  <c r="B55" i="11" s="1"/>
  <c r="C58" i="11"/>
  <c r="B58" i="11" s="1"/>
  <c r="G83" i="57"/>
  <c r="C253" i="36"/>
  <c r="A253" i="36" s="1"/>
  <c r="D247" i="36"/>
  <c r="E245" i="36"/>
  <c r="G245" i="36" s="1"/>
  <c r="E246" i="36"/>
  <c r="L84" i="37"/>
  <c r="C225" i="36"/>
  <c r="A225" i="36" s="1"/>
  <c r="D225" i="36"/>
  <c r="K213" i="36"/>
  <c r="N213" i="36" s="1"/>
  <c r="C227" i="36"/>
  <c r="A227" i="36" s="1"/>
  <c r="E231" i="36"/>
  <c r="G231" i="36" s="1"/>
  <c r="C217" i="36"/>
  <c r="A217" i="36" s="1"/>
  <c r="C223" i="36"/>
  <c r="A223" i="36" s="1"/>
  <c r="C222" i="36"/>
  <c r="A222" i="36" s="1"/>
  <c r="C230" i="36"/>
  <c r="A230" i="36" s="1"/>
  <c r="K245" i="36"/>
  <c r="N245" i="36" s="1"/>
  <c r="E220" i="36"/>
  <c r="H220" i="36" s="1"/>
  <c r="K237" i="36"/>
  <c r="D254" i="36"/>
  <c r="D235" i="36"/>
  <c r="E251" i="36"/>
  <c r="K240" i="36"/>
  <c r="K227" i="36"/>
  <c r="N227" i="36" s="1"/>
  <c r="C41" i="11"/>
  <c r="B41" i="11" s="1"/>
  <c r="C46" i="11"/>
  <c r="B46" i="11" s="1"/>
  <c r="C38" i="11"/>
  <c r="B38" i="11" s="1"/>
  <c r="E228" i="36"/>
  <c r="G228" i="36" s="1"/>
  <c r="D232" i="36"/>
  <c r="C228" i="36"/>
  <c r="A228" i="36" s="1"/>
  <c r="C226" i="36"/>
  <c r="A226" i="36" s="1"/>
  <c r="E249" i="36"/>
  <c r="H249" i="36" s="1"/>
  <c r="D251" i="36"/>
  <c r="C224" i="36"/>
  <c r="A224" i="36" s="1"/>
  <c r="D241" i="36"/>
  <c r="C246" i="36"/>
  <c r="A246" i="36" s="1"/>
  <c r="E247" i="36"/>
  <c r="E243" i="36"/>
  <c r="K211" i="36"/>
  <c r="E224" i="36"/>
  <c r="G224" i="36" s="1"/>
  <c r="E232" i="36"/>
  <c r="K254" i="36"/>
  <c r="N254" i="36" s="1"/>
  <c r="E216" i="36"/>
  <c r="H216" i="36" s="1"/>
  <c r="C250" i="36"/>
  <c r="A250" i="36" s="1"/>
  <c r="D252" i="36"/>
  <c r="D249" i="36"/>
  <c r="C50" i="11"/>
  <c r="B50" i="11" s="1"/>
  <c r="C43" i="11"/>
  <c r="B43" i="11" s="1"/>
  <c r="E213" i="36"/>
  <c r="G213" i="36" s="1"/>
  <c r="E214" i="36"/>
  <c r="H214" i="36" s="1"/>
  <c r="D244" i="36"/>
  <c r="D224" i="36"/>
  <c r="W11" i="27"/>
  <c r="D243" i="36"/>
  <c r="E218" i="36"/>
  <c r="K230" i="36"/>
  <c r="N230" i="36" s="1"/>
  <c r="K231" i="36"/>
  <c r="N231" i="36" s="1"/>
  <c r="E219" i="36"/>
  <c r="G219" i="36" s="1"/>
  <c r="D212" i="36"/>
  <c r="C229" i="36"/>
  <c r="A229" i="36" s="1"/>
  <c r="K250" i="36"/>
  <c r="J109" i="57"/>
  <c r="D109" i="57"/>
  <c r="K109" i="57"/>
  <c r="F109" i="57"/>
  <c r="G142" i="38"/>
  <c r="E142" i="38"/>
  <c r="T4" i="63"/>
  <c r="R4" i="63"/>
  <c r="S4" i="63"/>
  <c r="Q4" i="63"/>
  <c r="I131" i="56"/>
  <c r="N131" i="56" s="1"/>
  <c r="N130" i="56"/>
  <c r="L213" i="37" s="1"/>
  <c r="C142" i="38"/>
  <c r="G108" i="57"/>
  <c r="P5" i="63"/>
  <c r="M5" i="63"/>
  <c r="K5" i="63"/>
  <c r="I5" i="63"/>
  <c r="G5" i="63"/>
  <c r="E5" i="63"/>
  <c r="H5" i="63"/>
  <c r="L5" i="63"/>
  <c r="J5" i="63"/>
  <c r="D5" i="63"/>
  <c r="F5" i="63"/>
  <c r="H245" i="36"/>
  <c r="G246" i="36"/>
  <c r="H246" i="36"/>
  <c r="B40" i="65"/>
  <c r="K50" i="65" s="1"/>
  <c r="I24" i="45"/>
  <c r="B13" i="50"/>
  <c r="C12" i="50"/>
  <c r="I114" i="56"/>
  <c r="N113" i="56"/>
  <c r="O84" i="37"/>
  <c r="N84" i="37"/>
  <c r="I84" i="37"/>
  <c r="H84" i="37"/>
  <c r="J4" i="62"/>
  <c r="F4" i="62"/>
  <c r="G4" i="62"/>
  <c r="I4" i="62"/>
  <c r="D112" i="55"/>
  <c r="A112" i="55"/>
  <c r="O112" i="55" s="1"/>
  <c r="B112" i="55"/>
  <c r="J112" i="55"/>
  <c r="L9" i="37"/>
  <c r="M231" i="36"/>
  <c r="H219" i="36"/>
  <c r="G243" i="36"/>
  <c r="H243" i="36"/>
  <c r="M211" i="36"/>
  <c r="N211" i="36"/>
  <c r="G220" i="36"/>
  <c r="M30" i="57"/>
  <c r="D13" i="49"/>
  <c r="I111" i="57"/>
  <c r="O111" i="57" s="1"/>
  <c r="O110" i="57"/>
  <c r="N85" i="36"/>
  <c r="M85" i="36"/>
  <c r="K84" i="57"/>
  <c r="J84" i="57"/>
  <c r="B84" i="57"/>
  <c r="D84" i="57"/>
  <c r="F84" i="57"/>
  <c r="A84" i="57"/>
  <c r="P84" i="57" s="1"/>
  <c r="E64" i="56"/>
  <c r="K64" i="56"/>
  <c r="C20" i="11"/>
  <c r="B20" i="11" s="1"/>
  <c r="C16" i="11"/>
  <c r="B16" i="11" s="1"/>
  <c r="C59" i="11"/>
  <c r="B59" i="11" s="1"/>
  <c r="C21" i="11"/>
  <c r="B21" i="11" s="1"/>
  <c r="C29" i="11"/>
  <c r="B29" i="11" s="1"/>
  <c r="C37" i="11"/>
  <c r="B37" i="11" s="1"/>
  <c r="C14" i="11"/>
  <c r="B14" i="11" s="1"/>
  <c r="C11" i="11"/>
  <c r="B11" i="11" s="1"/>
  <c r="C45" i="11"/>
  <c r="B45" i="11" s="1"/>
  <c r="C52" i="11"/>
  <c r="B52" i="11" s="1"/>
  <c r="C18" i="11"/>
  <c r="B18" i="11" s="1"/>
  <c r="C13" i="11"/>
  <c r="B13" i="11" s="1"/>
  <c r="B14" i="65"/>
  <c r="D24" i="45"/>
  <c r="M108" i="57"/>
  <c r="B7" i="63"/>
  <c r="C6" i="63"/>
  <c r="C205" i="37"/>
  <c r="A205" i="37" s="1"/>
  <c r="L205" i="37"/>
  <c r="F5" i="62"/>
  <c r="G5" i="62"/>
  <c r="I5" i="62"/>
  <c r="J5" i="62"/>
  <c r="I8" i="56"/>
  <c r="N7" i="56"/>
  <c r="M114" i="55"/>
  <c r="N113" i="55"/>
  <c r="E11" i="65"/>
  <c r="E37" i="65"/>
  <c r="D207" i="36"/>
  <c r="C211" i="36"/>
  <c r="A211" i="36" s="1"/>
  <c r="G206" i="36"/>
  <c r="H206" i="36"/>
  <c r="C11" i="38"/>
  <c r="P12" i="27"/>
  <c r="H12" i="27"/>
  <c r="N12" i="27"/>
  <c r="D12" i="27"/>
  <c r="J31" i="57"/>
  <c r="F31" i="57"/>
  <c r="K31" i="57"/>
  <c r="D31" i="57"/>
  <c r="E11" i="38"/>
  <c r="E58" i="56"/>
  <c r="K58" i="56"/>
  <c r="B58" i="56"/>
  <c r="A58" i="56" s="1"/>
  <c r="C9" i="37"/>
  <c r="A9" i="37" s="1"/>
  <c r="O8" i="37"/>
  <c r="N8" i="37"/>
  <c r="C251" i="36"/>
  <c r="A251" i="36" s="1"/>
  <c r="E239" i="36"/>
  <c r="D208" i="36"/>
  <c r="K239" i="36"/>
  <c r="E227" i="36"/>
  <c r="C252" i="36"/>
  <c r="A252" i="36" s="1"/>
  <c r="E208" i="36"/>
  <c r="K209" i="36"/>
  <c r="E233" i="36"/>
  <c r="C214" i="36"/>
  <c r="A214" i="36" s="1"/>
  <c r="D230" i="36"/>
  <c r="E222" i="36"/>
  <c r="K207" i="36"/>
  <c r="C242" i="36"/>
  <c r="A242" i="36" s="1"/>
  <c r="K233" i="36"/>
  <c r="E225" i="36"/>
  <c r="C213" i="36"/>
  <c r="A213" i="36" s="1"/>
  <c r="C248" i="36"/>
  <c r="A248" i="36" s="1"/>
  <c r="K247" i="36"/>
  <c r="E244" i="36"/>
  <c r="C212" i="36"/>
  <c r="A212" i="36" s="1"/>
  <c r="C239" i="36"/>
  <c r="A239" i="36" s="1"/>
  <c r="E230" i="36"/>
  <c r="C215" i="36"/>
  <c r="A215" i="36" s="1"/>
  <c r="K244" i="36"/>
  <c r="D237" i="36"/>
  <c r="K215" i="36"/>
  <c r="D250" i="36"/>
  <c r="C219" i="36"/>
  <c r="A219" i="36" s="1"/>
  <c r="C254" i="36"/>
  <c r="A254" i="36" s="1"/>
  <c r="E210" i="36"/>
  <c r="E237" i="36"/>
  <c r="K220" i="36"/>
  <c r="D229" i="36"/>
  <c r="J65" i="55"/>
  <c r="D65" i="55"/>
  <c r="B11" i="28"/>
  <c r="C10" i="28"/>
  <c r="D28" i="38"/>
  <c r="G28" i="38"/>
  <c r="C28" i="38"/>
  <c r="G30" i="57"/>
  <c r="C15" i="11"/>
  <c r="B15" i="11" s="1"/>
  <c r="E6" i="56"/>
  <c r="K6" i="56"/>
  <c r="H224" i="36"/>
  <c r="M237" i="36"/>
  <c r="N237" i="36"/>
  <c r="H218" i="36"/>
  <c r="G218" i="36"/>
  <c r="H231" i="36"/>
  <c r="H232" i="36"/>
  <c r="G232" i="36"/>
  <c r="G247" i="36"/>
  <c r="H247" i="36"/>
  <c r="M245" i="36"/>
  <c r="H235" i="36"/>
  <c r="G235" i="36"/>
  <c r="M250" i="36"/>
  <c r="N250" i="36"/>
  <c r="M8" i="55"/>
  <c r="N7" i="55"/>
  <c r="AC9" i="28"/>
  <c r="AP9" i="28"/>
  <c r="AI9" i="28"/>
  <c r="AE9" i="28"/>
  <c r="AH9" i="28"/>
  <c r="Y9" i="28"/>
  <c r="AJ9" i="28"/>
  <c r="AB9" i="28"/>
  <c r="Z9" i="28"/>
  <c r="AF9" i="28"/>
  <c r="X9" i="28"/>
  <c r="AO9" i="28"/>
  <c r="AD9" i="28"/>
  <c r="W9" i="28"/>
  <c r="G13" i="27"/>
  <c r="M13" i="27"/>
  <c r="N13" i="27"/>
  <c r="C12" i="27"/>
  <c r="J13" i="27"/>
  <c r="E13" i="27"/>
  <c r="F13" i="27"/>
  <c r="H13" i="27"/>
  <c r="G12" i="27"/>
  <c r="C13" i="27"/>
  <c r="C19" i="25"/>
  <c r="B18" i="25"/>
  <c r="G13" i="49"/>
  <c r="L13" i="49"/>
  <c r="I11" i="2"/>
  <c r="E11" i="2"/>
  <c r="J11" i="2"/>
  <c r="F11" i="2"/>
  <c r="H11" i="2"/>
  <c r="D11" i="2"/>
  <c r="C11" i="2"/>
  <c r="G11" i="2"/>
  <c r="K11" i="2"/>
  <c r="U4" i="63"/>
  <c r="O4" i="63"/>
  <c r="X4" i="63"/>
  <c r="V4" i="63"/>
  <c r="Y4" i="63"/>
  <c r="G86" i="36"/>
  <c r="H86" i="36"/>
  <c r="I86" i="57"/>
  <c r="O85" i="57"/>
  <c r="I66" i="56"/>
  <c r="N65" i="56"/>
  <c r="C85" i="37" s="1"/>
  <c r="A85" i="37" s="1"/>
  <c r="C33" i="11"/>
  <c r="B33" i="11" s="1"/>
  <c r="C30" i="11"/>
  <c r="B30" i="11" s="1"/>
  <c r="C27" i="11"/>
  <c r="B27" i="11" s="1"/>
  <c r="C36" i="11"/>
  <c r="B36" i="11" s="1"/>
  <c r="C56" i="11"/>
  <c r="B56" i="11" s="1"/>
  <c r="C48" i="11"/>
  <c r="B48" i="11" s="1"/>
  <c r="C57" i="11"/>
  <c r="B57" i="11" s="1"/>
  <c r="C12" i="11"/>
  <c r="B12" i="11" s="1"/>
  <c r="C23" i="11"/>
  <c r="B23" i="11" s="1"/>
  <c r="C49" i="11"/>
  <c r="B49" i="11" s="1"/>
  <c r="C39" i="11"/>
  <c r="B39" i="11" s="1"/>
  <c r="C32" i="11"/>
  <c r="B32" i="11" s="1"/>
  <c r="N8" i="46"/>
  <c r="L8" i="46"/>
  <c r="J8" i="46"/>
  <c r="F8" i="46"/>
  <c r="I8" i="46"/>
  <c r="H8" i="46"/>
  <c r="K8" i="46"/>
  <c r="E8" i="46"/>
  <c r="G8" i="46"/>
  <c r="M83" i="57"/>
  <c r="G211" i="36"/>
  <c r="H211" i="36"/>
  <c r="H204" i="37"/>
  <c r="I204" i="37"/>
  <c r="C231" i="37"/>
  <c r="A231" i="37" s="1"/>
  <c r="D222" i="37"/>
  <c r="H83" i="37"/>
  <c r="I83" i="37"/>
  <c r="F12" i="57"/>
  <c r="J12" i="57"/>
  <c r="H12" i="57"/>
  <c r="N12" i="57"/>
  <c r="D12" i="57"/>
  <c r="G12" i="57" s="1"/>
  <c r="K12" i="57"/>
  <c r="D130" i="55"/>
  <c r="J130" i="55"/>
  <c r="K238" i="36"/>
  <c r="K248" i="36"/>
  <c r="E238" i="36"/>
  <c r="D222" i="36"/>
  <c r="K251" i="36"/>
  <c r="D242" i="36"/>
  <c r="C218" i="36"/>
  <c r="A218" i="36" s="1"/>
  <c r="K246" i="36"/>
  <c r="E236" i="36"/>
  <c r="E221" i="36"/>
  <c r="K249" i="36"/>
  <c r="K214" i="36"/>
  <c r="K217" i="36"/>
  <c r="K208" i="36"/>
  <c r="J12" i="27"/>
  <c r="K12" i="27"/>
  <c r="M12" i="27"/>
  <c r="I33" i="57"/>
  <c r="O32" i="57"/>
  <c r="G11" i="38"/>
  <c r="M11" i="57"/>
  <c r="G11" i="57"/>
  <c r="K59" i="56"/>
  <c r="E59" i="56"/>
  <c r="B59" i="56"/>
  <c r="A59" i="56" s="1"/>
  <c r="C241" i="36"/>
  <c r="A241" i="36" s="1"/>
  <c r="E209" i="36"/>
  <c r="K232" i="36"/>
  <c r="D233" i="36"/>
  <c r="E217" i="36"/>
  <c r="E252" i="36"/>
  <c r="D209" i="36"/>
  <c r="D236" i="36"/>
  <c r="E223" i="36"/>
  <c r="K210" i="36"/>
  <c r="E241" i="36"/>
  <c r="E212" i="36"/>
  <c r="C249" i="36"/>
  <c r="A249" i="36" s="1"/>
  <c r="C207" i="36"/>
  <c r="A207" i="36" s="1"/>
  <c r="K235" i="36"/>
  <c r="E215" i="36"/>
  <c r="E250" i="36"/>
  <c r="C238" i="36"/>
  <c r="A238" i="36" s="1"/>
  <c r="K253" i="36"/>
  <c r="C231" i="36"/>
  <c r="A231" i="36" s="1"/>
  <c r="K243" i="36"/>
  <c r="D238" i="36"/>
  <c r="K226" i="36"/>
  <c r="D231" i="36"/>
  <c r="D246" i="36"/>
  <c r="C240" i="36"/>
  <c r="A240" i="36" s="1"/>
  <c r="D227" i="36"/>
  <c r="K221" i="36"/>
  <c r="D220" i="36"/>
  <c r="C209" i="36"/>
  <c r="A209" i="36" s="1"/>
  <c r="C244" i="36"/>
  <c r="A244" i="36" s="1"/>
  <c r="D211" i="36"/>
  <c r="C237" i="36"/>
  <c r="A237" i="36" s="1"/>
  <c r="K222" i="36"/>
  <c r="D219" i="36"/>
  <c r="D234" i="36"/>
  <c r="K242" i="36"/>
  <c r="M67" i="55"/>
  <c r="N66" i="55"/>
  <c r="T9" i="25"/>
  <c r="AD9" i="25"/>
  <c r="U9" i="25"/>
  <c r="Y9" i="25"/>
  <c r="B12" i="2"/>
  <c r="Z9" i="25"/>
  <c r="AB9" i="25"/>
  <c r="AC9" i="25"/>
  <c r="X9" i="25"/>
  <c r="AE9" i="25"/>
  <c r="V9" i="25"/>
  <c r="AA9" i="25"/>
  <c r="W9" i="25"/>
  <c r="AF9" i="25"/>
  <c r="A13" i="2"/>
  <c r="AD10" i="25" s="1"/>
  <c r="W4" i="63"/>
  <c r="N86" i="36"/>
  <c r="M86" i="36"/>
  <c r="H251" i="36"/>
  <c r="G251" i="36"/>
  <c r="M240" i="36"/>
  <c r="N240" i="36"/>
  <c r="M227" i="36"/>
  <c r="Y11" i="50"/>
  <c r="U11" i="50"/>
  <c r="Q11" i="50"/>
  <c r="AC11" i="50"/>
  <c r="AD11" i="50"/>
  <c r="W11" i="50"/>
  <c r="S11" i="50"/>
  <c r="O11" i="50"/>
  <c r="V11" i="50"/>
  <c r="N11" i="50"/>
  <c r="X11" i="50"/>
  <c r="P11" i="50"/>
  <c r="R11" i="50"/>
  <c r="T11" i="50"/>
  <c r="E112" i="56"/>
  <c r="K112" i="56"/>
  <c r="B112" i="56"/>
  <c r="A112" i="56"/>
  <c r="O112" i="56" s="1"/>
  <c r="K129" i="56"/>
  <c r="E129" i="56"/>
  <c r="C22" i="11"/>
  <c r="B22" i="11" s="1"/>
  <c r="C54" i="11"/>
  <c r="B54" i="11" s="1"/>
  <c r="C40" i="11"/>
  <c r="B40" i="11" s="1"/>
  <c r="C47" i="11"/>
  <c r="B47" i="11" s="1"/>
  <c r="C34" i="11"/>
  <c r="B34" i="11" s="1"/>
  <c r="C53" i="11"/>
  <c r="B53" i="11" s="1"/>
  <c r="C44" i="11"/>
  <c r="B44" i="11" s="1"/>
  <c r="C25" i="11"/>
  <c r="B25" i="11" s="1"/>
  <c r="C28" i="11"/>
  <c r="B28" i="11" s="1"/>
  <c r="C17" i="11"/>
  <c r="B17" i="11" s="1"/>
  <c r="C42" i="11"/>
  <c r="B42" i="11" s="1"/>
  <c r="C26" i="11"/>
  <c r="B26" i="11" s="1"/>
  <c r="C10" i="46"/>
  <c r="D9" i="46"/>
  <c r="M216" i="36"/>
  <c r="N216" i="36"/>
  <c r="N219" i="36"/>
  <c r="M219" i="36"/>
  <c r="D229" i="37"/>
  <c r="L211" i="37"/>
  <c r="N204" i="37"/>
  <c r="O204" i="37"/>
  <c r="C211" i="37"/>
  <c r="A211" i="37" s="1"/>
  <c r="L250" i="37"/>
  <c r="C253" i="37"/>
  <c r="A253" i="37" s="1"/>
  <c r="E205" i="37"/>
  <c r="N83" i="37"/>
  <c r="O83" i="37"/>
  <c r="I14" i="57"/>
  <c r="O13" i="57"/>
  <c r="D131" i="55"/>
  <c r="J131" i="55"/>
  <c r="H10" i="36"/>
  <c r="G10" i="36"/>
  <c r="K31" i="31"/>
  <c r="K32" i="31" s="1"/>
  <c r="I23" i="45"/>
  <c r="C245" i="36"/>
  <c r="A245" i="36" s="1"/>
  <c r="D239" i="36"/>
  <c r="C243" i="36"/>
  <c r="A243" i="36" s="1"/>
  <c r="I12" i="27"/>
  <c r="O12" i="27"/>
  <c r="U11" i="27"/>
  <c r="AA8" i="28" s="1"/>
  <c r="AI11" i="27"/>
  <c r="AN8" i="28" s="1"/>
  <c r="AB11" i="27"/>
  <c r="AG8" i="28" s="1"/>
  <c r="C12" i="38"/>
  <c r="E9" i="37"/>
  <c r="I8" i="37"/>
  <c r="H8" i="37"/>
  <c r="K236" i="36"/>
  <c r="E234" i="36"/>
  <c r="D223" i="36"/>
  <c r="D218" i="36"/>
  <c r="E242" i="36"/>
  <c r="C210" i="36"/>
  <c r="A210" i="36" s="1"/>
  <c r="D226" i="36"/>
  <c r="K218" i="36"/>
  <c r="E248" i="36"/>
  <c r="C216" i="36"/>
  <c r="A216" i="36" s="1"/>
  <c r="K234" i="36"/>
  <c r="D240" i="36"/>
  <c r="E207" i="36"/>
  <c r="C232" i="36"/>
  <c r="A232" i="36" s="1"/>
  <c r="D216" i="36"/>
  <c r="E240" i="36"/>
  <c r="C208" i="36"/>
  <c r="A208" i="36" s="1"/>
  <c r="K223" i="36"/>
  <c r="C221" i="36"/>
  <c r="A221" i="36" s="1"/>
  <c r="D213" i="36"/>
  <c r="E229" i="36"/>
  <c r="K228" i="36"/>
  <c r="D221" i="36"/>
  <c r="D248" i="36"/>
  <c r="K252" i="36"/>
  <c r="K229" i="36"/>
  <c r="E253" i="36"/>
  <c r="D210" i="36"/>
  <c r="D245" i="36"/>
  <c r="C234" i="36"/>
  <c r="A234" i="36" s="1"/>
  <c r="K241" i="36"/>
  <c r="D228" i="36"/>
  <c r="K224" i="36"/>
  <c r="C220" i="36"/>
  <c r="A220" i="36" s="1"/>
  <c r="C247" i="36"/>
  <c r="A247" i="36" s="1"/>
  <c r="K212" i="36"/>
  <c r="E226" i="36"/>
  <c r="D6" i="55"/>
  <c r="J6" i="55"/>
  <c r="K11" i="36"/>
  <c r="K10" i="36"/>
  <c r="E28" i="38"/>
  <c r="I17" i="58" a="1"/>
  <c r="I17" i="58" s="1"/>
  <c r="J17" i="58" s="1" a="1"/>
  <c r="J17" i="58" s="1"/>
  <c r="H14" i="26"/>
  <c r="F14" i="26"/>
  <c r="J14" i="26"/>
  <c r="E14" i="26"/>
  <c r="I14" i="26"/>
  <c r="D14" i="26"/>
  <c r="C14" i="26"/>
  <c r="G14" i="26"/>
  <c r="B15" i="26"/>
  <c r="A16" i="26"/>
  <c r="B16" i="26" s="1"/>
  <c r="A16" i="49"/>
  <c r="B15" i="49"/>
  <c r="I14" i="49"/>
  <c r="D14" i="49"/>
  <c r="K14" i="49"/>
  <c r="H14" i="49"/>
  <c r="E14" i="49"/>
  <c r="F14" i="49"/>
  <c r="C14" i="49"/>
  <c r="G14" i="49"/>
  <c r="L14" i="49"/>
  <c r="J14" i="49"/>
  <c r="D32" i="51"/>
  <c r="E32" i="51"/>
  <c r="C32" i="51"/>
  <c r="G32" i="51"/>
  <c r="F32" i="51"/>
  <c r="H32" i="51"/>
  <c r="B16" i="27"/>
  <c r="A17" i="27"/>
  <c r="B33" i="51"/>
  <c r="A34" i="51"/>
  <c r="L23" i="33"/>
  <c r="M23" i="33"/>
  <c r="F53" i="65"/>
  <c r="K53" i="65" s="1"/>
  <c r="A14" i="32"/>
  <c r="B13" i="32"/>
  <c r="F9" i="41"/>
  <c r="F5" i="41"/>
  <c r="F3" i="31"/>
  <c r="G3" i="33"/>
  <c r="G3" i="32"/>
  <c r="I3" i="37"/>
  <c r="L206" i="37" l="1"/>
  <c r="E206" i="37"/>
  <c r="G214" i="36"/>
  <c r="B19" i="65"/>
  <c r="L245" i="37"/>
  <c r="N245" i="37" s="1"/>
  <c r="D246" i="37"/>
  <c r="L228" i="37"/>
  <c r="M225" i="36"/>
  <c r="H213" i="36"/>
  <c r="M213" i="36"/>
  <c r="D217" i="37"/>
  <c r="D206" i="37"/>
  <c r="C232" i="37"/>
  <c r="A232" i="37" s="1"/>
  <c r="L229" i="37"/>
  <c r="L247" i="37"/>
  <c r="E222" i="37"/>
  <c r="G254" i="36"/>
  <c r="L210" i="37"/>
  <c r="G216" i="36"/>
  <c r="M254" i="36"/>
  <c r="C235" i="37"/>
  <c r="A235" i="37" s="1"/>
  <c r="L253" i="37"/>
  <c r="E244" i="37"/>
  <c r="D241" i="37"/>
  <c r="L249" i="37"/>
  <c r="D226" i="37"/>
  <c r="D212" i="37"/>
  <c r="C241" i="37"/>
  <c r="A241" i="37" s="1"/>
  <c r="D242" i="37"/>
  <c r="E230" i="37"/>
  <c r="I230" i="37" s="1"/>
  <c r="D240" i="37"/>
  <c r="C244" i="37"/>
  <c r="A244" i="37" s="1"/>
  <c r="L222" i="37"/>
  <c r="L85" i="37"/>
  <c r="N85" i="37" s="1"/>
  <c r="L243" i="37"/>
  <c r="N243" i="37" s="1"/>
  <c r="D211" i="37"/>
  <c r="C234" i="37"/>
  <c r="A234" i="37" s="1"/>
  <c r="E250" i="37"/>
  <c r="I250" i="37" s="1"/>
  <c r="L236" i="37"/>
  <c r="M31" i="57"/>
  <c r="L242" i="37"/>
  <c r="L248" i="37"/>
  <c r="N248" i="37" s="1"/>
  <c r="C207" i="37"/>
  <c r="A207" i="37" s="1"/>
  <c r="W5" i="63"/>
  <c r="N4" i="63"/>
  <c r="C233" i="37"/>
  <c r="A233" i="37" s="1"/>
  <c r="D223" i="37"/>
  <c r="C236" i="37"/>
  <c r="A236" i="37" s="1"/>
  <c r="E231" i="37"/>
  <c r="D234" i="37"/>
  <c r="L246" i="37"/>
  <c r="O246" i="37" s="1"/>
  <c r="C219" i="37"/>
  <c r="A219" i="37" s="1"/>
  <c r="L224" i="37"/>
  <c r="D250" i="37"/>
  <c r="E225" i="37"/>
  <c r="C224" i="37"/>
  <c r="A224" i="37" s="1"/>
  <c r="C223" i="37"/>
  <c r="A223" i="37" s="1"/>
  <c r="C227" i="37"/>
  <c r="A227" i="37" s="1"/>
  <c r="E235" i="37"/>
  <c r="I235" i="37" s="1"/>
  <c r="E243" i="37"/>
  <c r="L231" i="37"/>
  <c r="E240" i="37"/>
  <c r="H240" i="37" s="1"/>
  <c r="E238" i="37"/>
  <c r="L217" i="37"/>
  <c r="M230" i="36"/>
  <c r="G249" i="36"/>
  <c r="D232" i="37"/>
  <c r="L232" i="37"/>
  <c r="C247" i="37"/>
  <c r="A247" i="37" s="1"/>
  <c r="H228" i="36"/>
  <c r="M109" i="57"/>
  <c r="L218" i="37"/>
  <c r="E209" i="37"/>
  <c r="C209" i="37"/>
  <c r="A209" i="37" s="1"/>
  <c r="L216" i="37"/>
  <c r="O216" i="37" s="1"/>
  <c r="C243" i="37"/>
  <c r="A243" i="37" s="1"/>
  <c r="E242" i="37"/>
  <c r="C220" i="37"/>
  <c r="A220" i="37" s="1"/>
  <c r="E249" i="37"/>
  <c r="C245" i="37"/>
  <c r="A245" i="37" s="1"/>
  <c r="D248" i="37"/>
  <c r="L234" i="37"/>
  <c r="O234" i="37" s="1"/>
  <c r="D214" i="37"/>
  <c r="E215" i="37"/>
  <c r="E232" i="37"/>
  <c r="E237" i="37"/>
  <c r="I237" i="37" s="1"/>
  <c r="D245" i="37"/>
  <c r="E253" i="37"/>
  <c r="D247" i="37"/>
  <c r="D249" i="37"/>
  <c r="W12" i="27"/>
  <c r="C252" i="37"/>
  <c r="A252" i="37" s="1"/>
  <c r="E248" i="37"/>
  <c r="I248" i="37" s="1"/>
  <c r="N218" i="36"/>
  <c r="M218" i="36"/>
  <c r="M235" i="36"/>
  <c r="N235" i="36"/>
  <c r="M217" i="36"/>
  <c r="N217" i="36"/>
  <c r="M238" i="36"/>
  <c r="N238" i="36"/>
  <c r="H243" i="37"/>
  <c r="I243" i="37"/>
  <c r="N231" i="37"/>
  <c r="O231" i="37"/>
  <c r="I240" i="37"/>
  <c r="H222" i="37"/>
  <c r="I222" i="37"/>
  <c r="H238" i="37"/>
  <c r="I238" i="37"/>
  <c r="N213" i="37"/>
  <c r="O213" i="37"/>
  <c r="O217" i="37"/>
  <c r="N217" i="37"/>
  <c r="I87" i="57"/>
  <c r="O86" i="57"/>
  <c r="C20" i="25"/>
  <c r="B20" i="25" s="1"/>
  <c r="B19" i="25"/>
  <c r="H210" i="36"/>
  <c r="G210" i="36"/>
  <c r="N215" i="36"/>
  <c r="M215" i="36"/>
  <c r="H230" i="36"/>
  <c r="G230" i="36"/>
  <c r="N247" i="36"/>
  <c r="M247" i="36"/>
  <c r="M233" i="36"/>
  <c r="N233" i="36"/>
  <c r="H208" i="36"/>
  <c r="G208" i="36"/>
  <c r="K7" i="56"/>
  <c r="E7" i="56"/>
  <c r="O242" i="37"/>
  <c r="N242" i="37"/>
  <c r="N205" i="37"/>
  <c r="O205" i="37"/>
  <c r="O232" i="37"/>
  <c r="N232" i="37"/>
  <c r="N229" i="37"/>
  <c r="O229" i="37"/>
  <c r="N210" i="37"/>
  <c r="O210" i="37"/>
  <c r="B8" i="63"/>
  <c r="C7" i="63"/>
  <c r="K110" i="57"/>
  <c r="F110" i="57"/>
  <c r="D110" i="57"/>
  <c r="J110" i="57"/>
  <c r="E186" i="38"/>
  <c r="D177" i="38"/>
  <c r="G145" i="38"/>
  <c r="G186" i="38"/>
  <c r="C161" i="38"/>
  <c r="D154" i="38"/>
  <c r="C186" i="38"/>
  <c r="E174" i="38"/>
  <c r="D178" i="38"/>
  <c r="D183" i="38"/>
  <c r="E143" i="38"/>
  <c r="E10" i="37"/>
  <c r="O9" i="37"/>
  <c r="N9" i="37"/>
  <c r="G161" i="38"/>
  <c r="D163" i="38"/>
  <c r="G159" i="38"/>
  <c r="I115" i="56"/>
  <c r="N114" i="56"/>
  <c r="C154" i="38"/>
  <c r="G155" i="38"/>
  <c r="C170" i="38"/>
  <c r="G180" i="38"/>
  <c r="E162" i="38"/>
  <c r="E170" i="38"/>
  <c r="K131" i="56"/>
  <c r="E131" i="56"/>
  <c r="E188" i="38"/>
  <c r="C184" i="38"/>
  <c r="G179" i="38"/>
  <c r="E189" i="38"/>
  <c r="E161" i="38"/>
  <c r="C165" i="38"/>
  <c r="G154" i="38"/>
  <c r="D159" i="38"/>
  <c r="E179" i="38"/>
  <c r="D186" i="38"/>
  <c r="E180" i="38"/>
  <c r="E148" i="38"/>
  <c r="G178" i="38"/>
  <c r="E172" i="38"/>
  <c r="E166" i="38"/>
  <c r="C159" i="38"/>
  <c r="G190" i="38"/>
  <c r="D148" i="38"/>
  <c r="C168" i="38"/>
  <c r="E157" i="38"/>
  <c r="E184" i="38"/>
  <c r="D149" i="38"/>
  <c r="D155" i="38"/>
  <c r="D144" i="38"/>
  <c r="C151" i="38"/>
  <c r="G189" i="38"/>
  <c r="C149" i="38"/>
  <c r="C169" i="38"/>
  <c r="D146" i="38"/>
  <c r="G152" i="38"/>
  <c r="G167" i="38"/>
  <c r="D185" i="38"/>
  <c r="C177" i="38"/>
  <c r="C153" i="38"/>
  <c r="D176" i="38"/>
  <c r="D160" i="38"/>
  <c r="I9" i="37"/>
  <c r="H9" i="37"/>
  <c r="N206" i="37"/>
  <c r="O206" i="37"/>
  <c r="H230" i="37"/>
  <c r="O222" i="37"/>
  <c r="N222" i="37"/>
  <c r="D66" i="55"/>
  <c r="J66" i="55"/>
  <c r="E87" i="36"/>
  <c r="D87" i="36"/>
  <c r="K87" i="36"/>
  <c r="C87" i="36"/>
  <c r="A87" i="36" s="1"/>
  <c r="N226" i="36"/>
  <c r="M226" i="36"/>
  <c r="H236" i="36"/>
  <c r="G236" i="36"/>
  <c r="M251" i="36"/>
  <c r="N251" i="36"/>
  <c r="M11" i="36"/>
  <c r="N11" i="36"/>
  <c r="N241" i="36"/>
  <c r="M241" i="36"/>
  <c r="N234" i="36"/>
  <c r="M234" i="36"/>
  <c r="J13" i="57"/>
  <c r="H13" i="57"/>
  <c r="K13" i="57"/>
  <c r="F13" i="57"/>
  <c r="D13" i="57"/>
  <c r="N13" i="57"/>
  <c r="G12" i="38"/>
  <c r="H242" i="37"/>
  <c r="I242" i="37"/>
  <c r="H249" i="37"/>
  <c r="I249" i="37"/>
  <c r="N224" i="37"/>
  <c r="O224" i="37"/>
  <c r="I225" i="37"/>
  <c r="H225" i="37"/>
  <c r="Y10" i="25"/>
  <c r="AF10" i="25"/>
  <c r="B13" i="2"/>
  <c r="U10" i="25"/>
  <c r="A14" i="2"/>
  <c r="Y15" i="25" s="1"/>
  <c r="W10" i="25"/>
  <c r="AB10" i="25"/>
  <c r="Z10" i="25"/>
  <c r="T10" i="25"/>
  <c r="D12" i="2"/>
  <c r="I12" i="2"/>
  <c r="F12" i="2"/>
  <c r="C12" i="2"/>
  <c r="K12" i="2"/>
  <c r="E12" i="2"/>
  <c r="J12" i="2"/>
  <c r="H12" i="2"/>
  <c r="G12" i="2"/>
  <c r="M68" i="55"/>
  <c r="N67" i="55"/>
  <c r="N222" i="36"/>
  <c r="M222" i="36"/>
  <c r="M210" i="36"/>
  <c r="N210" i="36"/>
  <c r="G252" i="36"/>
  <c r="H252" i="36"/>
  <c r="G209" i="36"/>
  <c r="H209" i="36"/>
  <c r="F32" i="57"/>
  <c r="K32" i="57"/>
  <c r="J32" i="57"/>
  <c r="D32" i="57"/>
  <c r="E29" i="38"/>
  <c r="M214" i="36"/>
  <c r="N214" i="36"/>
  <c r="M246" i="36"/>
  <c r="N246" i="36"/>
  <c r="M12" i="57"/>
  <c r="O85" i="37"/>
  <c r="H215" i="37"/>
  <c r="I215" i="37"/>
  <c r="I232" i="37"/>
  <c r="H232" i="37"/>
  <c r="H237" i="37"/>
  <c r="I253" i="37"/>
  <c r="H253" i="37"/>
  <c r="H250" i="37"/>
  <c r="O236" i="37"/>
  <c r="N236" i="37"/>
  <c r="E65" i="56"/>
  <c r="K65" i="56"/>
  <c r="D85" i="37"/>
  <c r="AE11" i="2"/>
  <c r="AK8" i="25" s="1"/>
  <c r="R11" i="2"/>
  <c r="AE10" i="25"/>
  <c r="D29" i="38"/>
  <c r="AO10" i="28"/>
  <c r="AH10" i="28"/>
  <c r="AD10" i="28"/>
  <c r="AJ10" i="28"/>
  <c r="AF10" i="28"/>
  <c r="AB10" i="28"/>
  <c r="AI10" i="28"/>
  <c r="Z10" i="28"/>
  <c r="AC10" i="28"/>
  <c r="W10" i="28"/>
  <c r="Y10" i="28"/>
  <c r="AP10" i="28"/>
  <c r="AE10" i="28"/>
  <c r="X10" i="28"/>
  <c r="G239" i="36"/>
  <c r="H239" i="36"/>
  <c r="E12" i="38"/>
  <c r="I9" i="56"/>
  <c r="N8" i="56"/>
  <c r="E233" i="37"/>
  <c r="E218" i="37"/>
  <c r="C214" i="37"/>
  <c r="A214" i="37" s="1"/>
  <c r="C212" i="37"/>
  <c r="A212" i="37" s="1"/>
  <c r="L219" i="37"/>
  <c r="E227" i="37"/>
  <c r="C217" i="37"/>
  <c r="A217" i="37" s="1"/>
  <c r="L239" i="37"/>
  <c r="L214" i="37"/>
  <c r="C246" i="37"/>
  <c r="A246" i="37" s="1"/>
  <c r="E239" i="37"/>
  <c r="E223" i="37"/>
  <c r="G84" i="57"/>
  <c r="J111" i="57"/>
  <c r="D111" i="57"/>
  <c r="K111" i="57"/>
  <c r="F111" i="57"/>
  <c r="L10" i="37"/>
  <c r="D175" i="38"/>
  <c r="D181" i="38"/>
  <c r="G187" i="38"/>
  <c r="AC12" i="50"/>
  <c r="V12" i="50"/>
  <c r="R12" i="50"/>
  <c r="N12" i="50"/>
  <c r="AD12" i="50"/>
  <c r="X12" i="50"/>
  <c r="T12" i="50"/>
  <c r="P12" i="50"/>
  <c r="Y12" i="50"/>
  <c r="W12" i="50"/>
  <c r="O12" i="50"/>
  <c r="Q12" i="50"/>
  <c r="U12" i="50"/>
  <c r="S12" i="50"/>
  <c r="G176" i="38"/>
  <c r="D173" i="38"/>
  <c r="G163" i="38"/>
  <c r="C180" i="38"/>
  <c r="G153" i="38"/>
  <c r="E146" i="38"/>
  <c r="D180" i="38"/>
  <c r="G143" i="38"/>
  <c r="D153" i="38"/>
  <c r="G182" i="38"/>
  <c r="G160" i="38"/>
  <c r="D147" i="38"/>
  <c r="C150" i="38"/>
  <c r="C171" i="38"/>
  <c r="G156" i="38"/>
  <c r="E158" i="38"/>
  <c r="C188" i="38"/>
  <c r="D145" i="38"/>
  <c r="G165" i="38"/>
  <c r="C175" i="38"/>
  <c r="E167" i="38"/>
  <c r="C163" i="38"/>
  <c r="E173" i="38"/>
  <c r="E145" i="38"/>
  <c r="C185" i="38"/>
  <c r="C173" i="38"/>
  <c r="D143" i="38"/>
  <c r="D189" i="38"/>
  <c r="C155" i="38"/>
  <c r="C178" i="38"/>
  <c r="C147" i="38"/>
  <c r="C145" i="38"/>
  <c r="D166" i="38"/>
  <c r="G149" i="38"/>
  <c r="G171" i="38"/>
  <c r="D169" i="38"/>
  <c r="C164" i="38"/>
  <c r="E147" i="38"/>
  <c r="D184" i="38"/>
  <c r="G146" i="38"/>
  <c r="D170" i="38"/>
  <c r="C167" i="38"/>
  <c r="M212" i="36"/>
  <c r="N212" i="36"/>
  <c r="I231" i="37"/>
  <c r="H231" i="37"/>
  <c r="M253" i="36"/>
  <c r="N253" i="36"/>
  <c r="M232" i="36"/>
  <c r="N232" i="36"/>
  <c r="H253" i="36"/>
  <c r="G253" i="36"/>
  <c r="N218" i="37"/>
  <c r="O218" i="37"/>
  <c r="H209" i="37"/>
  <c r="I209" i="37"/>
  <c r="M10" i="36"/>
  <c r="N10" i="36"/>
  <c r="N229" i="36"/>
  <c r="M229" i="36"/>
  <c r="M228" i="36"/>
  <c r="N228" i="36"/>
  <c r="N223" i="36"/>
  <c r="M223" i="36"/>
  <c r="G234" i="36"/>
  <c r="H234" i="36"/>
  <c r="I15" i="57"/>
  <c r="O14" i="57"/>
  <c r="C13" i="38" s="1"/>
  <c r="I205" i="37"/>
  <c r="H205" i="37"/>
  <c r="O250" i="37"/>
  <c r="N250" i="37"/>
  <c r="H206" i="37"/>
  <c r="I206" i="37"/>
  <c r="N9" i="46"/>
  <c r="L9" i="46"/>
  <c r="K9" i="46"/>
  <c r="J9" i="46"/>
  <c r="I9" i="46"/>
  <c r="H9" i="46"/>
  <c r="G9" i="46"/>
  <c r="E9" i="46"/>
  <c r="F9" i="46"/>
  <c r="M242" i="36"/>
  <c r="N242" i="36"/>
  <c r="M243" i="36"/>
  <c r="N243" i="36"/>
  <c r="G250" i="36"/>
  <c r="H250" i="36"/>
  <c r="H223" i="36"/>
  <c r="G223" i="36"/>
  <c r="G217" i="36"/>
  <c r="H217" i="36"/>
  <c r="I34" i="57"/>
  <c r="O33" i="57"/>
  <c r="E30" i="38" s="1"/>
  <c r="M249" i="36"/>
  <c r="N249" i="36"/>
  <c r="G238" i="36"/>
  <c r="H238" i="36"/>
  <c r="D238" i="37"/>
  <c r="C221" i="37"/>
  <c r="A221" i="37" s="1"/>
  <c r="E252" i="37"/>
  <c r="D225" i="37"/>
  <c r="E224" i="37"/>
  <c r="L208" i="37"/>
  <c r="L230" i="37"/>
  <c r="C215" i="37"/>
  <c r="A215" i="37" s="1"/>
  <c r="L220" i="37"/>
  <c r="C208" i="37"/>
  <c r="A208" i="37" s="1"/>
  <c r="D228" i="37"/>
  <c r="I67" i="56"/>
  <c r="N66" i="56"/>
  <c r="AA10" i="25"/>
  <c r="P13" i="27"/>
  <c r="L13" i="27"/>
  <c r="I13" i="27"/>
  <c r="D7" i="55"/>
  <c r="J7" i="55"/>
  <c r="E11" i="36"/>
  <c r="C11" i="36"/>
  <c r="A11" i="36" s="1"/>
  <c r="C29" i="38"/>
  <c r="B12" i="28"/>
  <c r="C11" i="28"/>
  <c r="I14" i="27" s="1"/>
  <c r="M220" i="36"/>
  <c r="N220" i="36"/>
  <c r="M244" i="36"/>
  <c r="N244" i="36"/>
  <c r="K255" i="36"/>
  <c r="N255" i="36" s="1"/>
  <c r="N207" i="36"/>
  <c r="M207" i="36"/>
  <c r="H233" i="36"/>
  <c r="G233" i="36"/>
  <c r="G227" i="36"/>
  <c r="H227" i="36"/>
  <c r="G31" i="57"/>
  <c r="B113" i="55"/>
  <c r="J113" i="55"/>
  <c r="D113" i="55"/>
  <c r="A113" i="55"/>
  <c r="O113" i="55" s="1"/>
  <c r="C86" i="37"/>
  <c r="A86" i="37" s="1"/>
  <c r="E234" i="37"/>
  <c r="D207" i="37"/>
  <c r="E213" i="37"/>
  <c r="C240" i="37"/>
  <c r="A240" i="37" s="1"/>
  <c r="D239" i="37"/>
  <c r="L235" i="37"/>
  <c r="D218" i="37"/>
  <c r="L241" i="37"/>
  <c r="L251" i="37"/>
  <c r="D233" i="37"/>
  <c r="C242" i="37"/>
  <c r="A242" i="37" s="1"/>
  <c r="V10" i="25"/>
  <c r="E175" i="38"/>
  <c r="D190" i="38"/>
  <c r="C174" i="38"/>
  <c r="G166" i="38"/>
  <c r="B14" i="50"/>
  <c r="C13" i="50"/>
  <c r="C15" i="49" s="1"/>
  <c r="O5" i="63"/>
  <c r="U5" i="63"/>
  <c r="X5" i="63"/>
  <c r="Y5" i="63"/>
  <c r="V5" i="63"/>
  <c r="D187" i="38"/>
  <c r="G172" i="38"/>
  <c r="D150" i="38"/>
  <c r="G164" i="38"/>
  <c r="E178" i="38"/>
  <c r="E155" i="38"/>
  <c r="G162" i="38"/>
  <c r="G150" i="38"/>
  <c r="D165" i="38"/>
  <c r="D167" i="38"/>
  <c r="C160" i="38"/>
  <c r="E156" i="38"/>
  <c r="C181" i="38"/>
  <c r="C183" i="38"/>
  <c r="C176" i="38"/>
  <c r="D188" i="38"/>
  <c r="G147" i="38"/>
  <c r="G158" i="38"/>
  <c r="G173" i="38"/>
  <c r="D164" i="38"/>
  <c r="E177" i="38"/>
  <c r="E165" i="38"/>
  <c r="E150" i="38"/>
  <c r="G185" i="38"/>
  <c r="G175" i="38"/>
  <c r="D157" i="38"/>
  <c r="D174" i="38"/>
  <c r="E168" i="38"/>
  <c r="C179" i="38"/>
  <c r="C172" i="38"/>
  <c r="G184" i="38"/>
  <c r="C144" i="38"/>
  <c r="E144" i="38"/>
  <c r="C146" i="38"/>
  <c r="D156" i="38"/>
  <c r="C152" i="38"/>
  <c r="D179" i="38"/>
  <c r="G169" i="38"/>
  <c r="G181" i="38"/>
  <c r="C166" i="38"/>
  <c r="E160" i="38"/>
  <c r="E151" i="38"/>
  <c r="G183" i="38"/>
  <c r="G240" i="36"/>
  <c r="H240" i="36"/>
  <c r="N246" i="37"/>
  <c r="H241" i="36"/>
  <c r="G241" i="36"/>
  <c r="G226" i="36"/>
  <c r="H226" i="36"/>
  <c r="M224" i="36"/>
  <c r="N224" i="36"/>
  <c r="N252" i="36"/>
  <c r="M252" i="36"/>
  <c r="G229" i="36"/>
  <c r="H229" i="36"/>
  <c r="H207" i="36"/>
  <c r="G207" i="36"/>
  <c r="H248" i="36"/>
  <c r="G248" i="36"/>
  <c r="H242" i="36"/>
  <c r="G242" i="36"/>
  <c r="M236" i="36"/>
  <c r="N236" i="36"/>
  <c r="I244" i="37"/>
  <c r="H244" i="37"/>
  <c r="N249" i="37"/>
  <c r="O249" i="37"/>
  <c r="N211" i="37"/>
  <c r="O211" i="37"/>
  <c r="N228" i="37"/>
  <c r="O228" i="37"/>
  <c r="O247" i="37"/>
  <c r="N247" i="37"/>
  <c r="O253" i="37"/>
  <c r="N253" i="37"/>
  <c r="C11" i="46"/>
  <c r="D10" i="46"/>
  <c r="G29" i="38"/>
  <c r="M221" i="36"/>
  <c r="N221" i="36"/>
  <c r="G215" i="36"/>
  <c r="H215" i="36"/>
  <c r="H212" i="36"/>
  <c r="G212" i="36"/>
  <c r="C10" i="37"/>
  <c r="A10" i="37" s="1"/>
  <c r="M208" i="36"/>
  <c r="N208" i="36"/>
  <c r="H221" i="36"/>
  <c r="G221" i="36"/>
  <c r="M248" i="36"/>
  <c r="N248" i="36"/>
  <c r="E85" i="37"/>
  <c r="D236" i="37"/>
  <c r="C228" i="37"/>
  <c r="A228" i="37" s="1"/>
  <c r="E214" i="37"/>
  <c r="E220" i="37"/>
  <c r="C239" i="37"/>
  <c r="A239" i="37" s="1"/>
  <c r="D208" i="37"/>
  <c r="C222" i="37"/>
  <c r="A222" i="37" s="1"/>
  <c r="D244" i="37"/>
  <c r="L238" i="37"/>
  <c r="C230" i="37"/>
  <c r="A230" i="37" s="1"/>
  <c r="D252" i="37"/>
  <c r="D231" i="37"/>
  <c r="K85" i="57"/>
  <c r="D85" i="57"/>
  <c r="F85" i="57"/>
  <c r="A85" i="57"/>
  <c r="P85" i="57" s="1"/>
  <c r="J85" i="57"/>
  <c r="M85" i="57" s="1"/>
  <c r="B85" i="57"/>
  <c r="X10" i="25"/>
  <c r="K13" i="27"/>
  <c r="O13" i="27"/>
  <c r="D13" i="27"/>
  <c r="M9" i="55"/>
  <c r="N8" i="55"/>
  <c r="G237" i="36"/>
  <c r="H237" i="36"/>
  <c r="G244" i="36"/>
  <c r="H244" i="36"/>
  <c r="G225" i="36"/>
  <c r="H225" i="36"/>
  <c r="H222" i="36"/>
  <c r="G222" i="36"/>
  <c r="M209" i="36"/>
  <c r="N209" i="36"/>
  <c r="N239" i="36"/>
  <c r="M239" i="36"/>
  <c r="L11" i="37"/>
  <c r="U12" i="27"/>
  <c r="AA9" i="28" s="1"/>
  <c r="AB12" i="27"/>
  <c r="AG9" i="28" s="1"/>
  <c r="AI12" i="27"/>
  <c r="AN9" i="28" s="1"/>
  <c r="E255" i="36"/>
  <c r="H255" i="36" s="1"/>
  <c r="M115" i="55"/>
  <c r="N114" i="55"/>
  <c r="E245" i="37"/>
  <c r="E219" i="37"/>
  <c r="L215" i="37"/>
  <c r="C251" i="37"/>
  <c r="A251" i="37" s="1"/>
  <c r="D221" i="37"/>
  <c r="L240" i="37"/>
  <c r="D215" i="37"/>
  <c r="E226" i="37"/>
  <c r="C218" i="37"/>
  <c r="A218" i="37" s="1"/>
  <c r="C226" i="37"/>
  <c r="A226" i="37" s="1"/>
  <c r="C210" i="37"/>
  <c r="A210" i="37" s="1"/>
  <c r="D209" i="37"/>
  <c r="M6" i="63"/>
  <c r="K6" i="63"/>
  <c r="I6" i="63"/>
  <c r="G6" i="63"/>
  <c r="L6" i="63"/>
  <c r="J6" i="63"/>
  <c r="H6" i="63"/>
  <c r="F6" i="63"/>
  <c r="P6" i="63"/>
  <c r="E6" i="63"/>
  <c r="D6" i="63"/>
  <c r="M84" i="57"/>
  <c r="AC10" i="25"/>
  <c r="G177" i="38"/>
  <c r="E187" i="38"/>
  <c r="G174" i="38"/>
  <c r="K113" i="56"/>
  <c r="E113" i="56"/>
  <c r="A113" i="56"/>
  <c r="O113" i="56" s="1"/>
  <c r="B113" i="56"/>
  <c r="S5" i="63"/>
  <c r="Q5" i="63"/>
  <c r="T5" i="63"/>
  <c r="R5" i="63"/>
  <c r="G148" i="38"/>
  <c r="E182" i="38"/>
  <c r="G157" i="38"/>
  <c r="G151" i="38"/>
  <c r="D168" i="38"/>
  <c r="E130" i="56"/>
  <c r="K130" i="56"/>
  <c r="L207" i="37"/>
  <c r="L225" i="37"/>
  <c r="E212" i="37"/>
  <c r="L223" i="37"/>
  <c r="E208" i="37"/>
  <c r="D227" i="37"/>
  <c r="C213" i="37"/>
  <c r="A213" i="37" s="1"/>
  <c r="D224" i="37"/>
  <c r="C250" i="37"/>
  <c r="A250" i="37" s="1"/>
  <c r="E216" i="37"/>
  <c r="C225" i="37"/>
  <c r="A225" i="37" s="1"/>
  <c r="L227" i="37"/>
  <c r="C206" i="37"/>
  <c r="A206" i="37" s="1"/>
  <c r="D237" i="37"/>
  <c r="L244" i="37"/>
  <c r="D213" i="37"/>
  <c r="E241" i="37"/>
  <c r="L209" i="37"/>
  <c r="C248" i="37"/>
  <c r="A248" i="37" s="1"/>
  <c r="D216" i="37"/>
  <c r="D235" i="37"/>
  <c r="C249" i="37"/>
  <c r="A249" i="37" s="1"/>
  <c r="D210" i="37"/>
  <c r="L252" i="37"/>
  <c r="D243" i="37"/>
  <c r="L212" i="37"/>
  <c r="L226" i="37"/>
  <c r="E251" i="37"/>
  <c r="E236" i="37"/>
  <c r="C229" i="37"/>
  <c r="A229" i="37" s="1"/>
  <c r="L233" i="37"/>
  <c r="L221" i="37"/>
  <c r="E221" i="37"/>
  <c r="E229" i="37"/>
  <c r="C216" i="37"/>
  <c r="A216" i="37" s="1"/>
  <c r="E228" i="37"/>
  <c r="C237" i="37"/>
  <c r="A237" i="37" s="1"/>
  <c r="E246" i="37"/>
  <c r="L237" i="37"/>
  <c r="D219" i="37"/>
  <c r="E217" i="37"/>
  <c r="D230" i="37"/>
  <c r="D220" i="37"/>
  <c r="E211" i="37"/>
  <c r="D253" i="37"/>
  <c r="E247" i="37"/>
  <c r="E207" i="37"/>
  <c r="D251" i="37"/>
  <c r="C238" i="37"/>
  <c r="A238" i="37" s="1"/>
  <c r="C157" i="38"/>
  <c r="E171" i="38"/>
  <c r="D182" i="38"/>
  <c r="C148" i="38"/>
  <c r="C187" i="38"/>
  <c r="C162" i="38"/>
  <c r="E164" i="38"/>
  <c r="E185" i="38"/>
  <c r="D161" i="38"/>
  <c r="G170" i="38"/>
  <c r="D171" i="38"/>
  <c r="C189" i="38"/>
  <c r="E176" i="38"/>
  <c r="G144" i="38"/>
  <c r="D151" i="38"/>
  <c r="G168" i="38"/>
  <c r="D162" i="38"/>
  <c r="E183" i="38"/>
  <c r="C143" i="38"/>
  <c r="C156" i="38"/>
  <c r="D172" i="38"/>
  <c r="E181" i="38"/>
  <c r="E169" i="38"/>
  <c r="E159" i="38"/>
  <c r="C182" i="38"/>
  <c r="C158" i="38"/>
  <c r="E149" i="38"/>
  <c r="E152" i="38"/>
  <c r="E154" i="38"/>
  <c r="D152" i="38"/>
  <c r="E190" i="38"/>
  <c r="D158" i="38"/>
  <c r="C190" i="38"/>
  <c r="E163" i="38"/>
  <c r="E153" i="38"/>
  <c r="G188" i="38"/>
  <c r="G109" i="57"/>
  <c r="E210" i="37"/>
  <c r="I18" i="58" a="1"/>
  <c r="I18" i="58" s="1"/>
  <c r="J18" i="58" s="1" a="1"/>
  <c r="J18" i="58" s="1"/>
  <c r="D15" i="26"/>
  <c r="E15" i="26"/>
  <c r="I15" i="26"/>
  <c r="F15" i="26"/>
  <c r="C15" i="26"/>
  <c r="G15" i="26"/>
  <c r="H15" i="26"/>
  <c r="J15" i="26"/>
  <c r="D16" i="26"/>
  <c r="G16" i="26"/>
  <c r="F16" i="26"/>
  <c r="J16" i="26"/>
  <c r="C16" i="26"/>
  <c r="E16" i="26"/>
  <c r="H16" i="26"/>
  <c r="I16" i="26"/>
  <c r="A17" i="26"/>
  <c r="B17" i="26" s="1"/>
  <c r="D15" i="49"/>
  <c r="E15" i="49"/>
  <c r="K15" i="49"/>
  <c r="B16" i="49"/>
  <c r="A17" i="49"/>
  <c r="B14" i="32"/>
  <c r="A15" i="32"/>
  <c r="F11" i="42"/>
  <c r="K55" i="65"/>
  <c r="A35" i="51"/>
  <c r="B34" i="51"/>
  <c r="B17" i="27"/>
  <c r="A18" i="27"/>
  <c r="D33" i="51"/>
  <c r="G33" i="51"/>
  <c r="E33" i="51"/>
  <c r="H33" i="51"/>
  <c r="F33" i="51"/>
  <c r="C33" i="51"/>
  <c r="O243" i="37" l="1"/>
  <c r="N216" i="37"/>
  <c r="O245" i="37"/>
  <c r="H235" i="37"/>
  <c r="B24" i="65"/>
  <c r="A15" i="2"/>
  <c r="B15" i="2" s="1"/>
  <c r="F15" i="2" s="1"/>
  <c r="Z15" i="25"/>
  <c r="AF15" i="25"/>
  <c r="U15" i="25"/>
  <c r="AB15" i="25"/>
  <c r="T15" i="25"/>
  <c r="AD15" i="25"/>
  <c r="X15" i="25"/>
  <c r="J15" i="49"/>
  <c r="I15" i="49"/>
  <c r="F14" i="27"/>
  <c r="G85" i="57"/>
  <c r="N234" i="37"/>
  <c r="G255" i="36"/>
  <c r="L15" i="49"/>
  <c r="H15" i="49"/>
  <c r="U13" i="27"/>
  <c r="AA10" i="28" s="1"/>
  <c r="O248" i="37"/>
  <c r="H248" i="37"/>
  <c r="F15" i="49"/>
  <c r="G15" i="49"/>
  <c r="W13" i="27"/>
  <c r="O209" i="37"/>
  <c r="N209" i="37"/>
  <c r="O225" i="37"/>
  <c r="N225" i="37"/>
  <c r="I210" i="37"/>
  <c r="H210" i="37"/>
  <c r="H207" i="37"/>
  <c r="I207" i="37"/>
  <c r="N237" i="37"/>
  <c r="O237" i="37"/>
  <c r="N233" i="37"/>
  <c r="O233" i="37"/>
  <c r="N226" i="37"/>
  <c r="O226" i="37"/>
  <c r="O244" i="37"/>
  <c r="N244" i="37"/>
  <c r="H212" i="37"/>
  <c r="I212" i="37"/>
  <c r="N5" i="63"/>
  <c r="N240" i="37"/>
  <c r="O240" i="37"/>
  <c r="I219" i="37"/>
  <c r="H219" i="37"/>
  <c r="M116" i="55"/>
  <c r="N115" i="55"/>
  <c r="N11" i="37"/>
  <c r="O11" i="37"/>
  <c r="J8" i="55"/>
  <c r="D8" i="55"/>
  <c r="I220" i="37"/>
  <c r="H220" i="37"/>
  <c r="C12" i="46"/>
  <c r="D11" i="46"/>
  <c r="L14" i="27"/>
  <c r="I213" i="37"/>
  <c r="H213" i="37"/>
  <c r="M255" i="36"/>
  <c r="H14" i="27"/>
  <c r="I68" i="56"/>
  <c r="N67" i="56"/>
  <c r="I224" i="37"/>
  <c r="H224" i="37"/>
  <c r="C87" i="37"/>
  <c r="A87" i="37" s="1"/>
  <c r="I35" i="57"/>
  <c r="O34" i="57"/>
  <c r="N14" i="57"/>
  <c r="K14" i="57"/>
  <c r="J14" i="57"/>
  <c r="F14" i="57"/>
  <c r="D14" i="57"/>
  <c r="H14" i="57"/>
  <c r="G13" i="38"/>
  <c r="G191" i="38"/>
  <c r="M111" i="57"/>
  <c r="I223" i="37"/>
  <c r="H223" i="37"/>
  <c r="N239" i="37"/>
  <c r="O239" i="37"/>
  <c r="K8" i="56"/>
  <c r="E8" i="56"/>
  <c r="J14" i="27"/>
  <c r="D86" i="37"/>
  <c r="G32" i="57"/>
  <c r="J67" i="55"/>
  <c r="D67" i="55"/>
  <c r="W15" i="25"/>
  <c r="M87" i="36"/>
  <c r="N87" i="36"/>
  <c r="H87" i="36"/>
  <c r="G87" i="36"/>
  <c r="C88" i="36"/>
  <c r="A88" i="36" s="1"/>
  <c r="E114" i="56"/>
  <c r="K114" i="56"/>
  <c r="A114" i="56"/>
  <c r="O114" i="56" s="1"/>
  <c r="B114" i="56"/>
  <c r="E191" i="38"/>
  <c r="G110" i="57"/>
  <c r="D113" i="57"/>
  <c r="L7" i="63"/>
  <c r="P7" i="63"/>
  <c r="J7" i="63"/>
  <c r="H7" i="63"/>
  <c r="F7" i="63"/>
  <c r="D7" i="63"/>
  <c r="I7" i="63"/>
  <c r="E7" i="63"/>
  <c r="M7" i="63"/>
  <c r="K7" i="63"/>
  <c r="G7" i="63"/>
  <c r="AB13" i="27"/>
  <c r="AG10" i="28" s="1"/>
  <c r="I88" i="57"/>
  <c r="O87" i="57"/>
  <c r="E254" i="37"/>
  <c r="I254" i="37" s="1"/>
  <c r="H247" i="37"/>
  <c r="I247" i="37"/>
  <c r="I229" i="37"/>
  <c r="H229" i="37"/>
  <c r="N212" i="37"/>
  <c r="O212" i="37"/>
  <c r="S6" i="63"/>
  <c r="Q6" i="63"/>
  <c r="T6" i="63"/>
  <c r="R6" i="63"/>
  <c r="W6" i="63"/>
  <c r="Y6" i="63"/>
  <c r="V6" i="63"/>
  <c r="X6" i="63"/>
  <c r="I245" i="37"/>
  <c r="H245" i="37"/>
  <c r="M10" i="55"/>
  <c r="N9" i="55"/>
  <c r="H214" i="37"/>
  <c r="I214" i="37"/>
  <c r="AD13" i="50"/>
  <c r="W13" i="50"/>
  <c r="S13" i="50"/>
  <c r="O13" i="50"/>
  <c r="Y13" i="50"/>
  <c r="U13" i="50"/>
  <c r="Q13" i="50"/>
  <c r="X13" i="50"/>
  <c r="P13" i="50"/>
  <c r="R13" i="50"/>
  <c r="N13" i="50"/>
  <c r="AC13" i="50"/>
  <c r="T13" i="50"/>
  <c r="V13" i="50"/>
  <c r="N235" i="37"/>
  <c r="O235" i="37"/>
  <c r="AP11" i="28"/>
  <c r="AI11" i="28"/>
  <c r="AE11" i="28"/>
  <c r="AC11" i="28"/>
  <c r="AJ11" i="28"/>
  <c r="AB11" i="28"/>
  <c r="W11" i="28"/>
  <c r="AO11" i="28"/>
  <c r="AD11" i="28"/>
  <c r="X11" i="28"/>
  <c r="AH11" i="28"/>
  <c r="Z11" i="28"/>
  <c r="AF11" i="28"/>
  <c r="Y11" i="28"/>
  <c r="P14" i="27"/>
  <c r="C14" i="27"/>
  <c r="K12" i="36"/>
  <c r="K13" i="36"/>
  <c r="H11" i="36"/>
  <c r="G11" i="36"/>
  <c r="O230" i="37"/>
  <c r="N230" i="37"/>
  <c r="I16" i="57"/>
  <c r="O15" i="57"/>
  <c r="G14" i="38" s="1"/>
  <c r="H239" i="37"/>
  <c r="I239" i="37"/>
  <c r="L86" i="37"/>
  <c r="I10" i="56"/>
  <c r="N9" i="56"/>
  <c r="M14" i="27"/>
  <c r="M32" i="57"/>
  <c r="M69" i="55"/>
  <c r="N68" i="55"/>
  <c r="D89" i="36" s="1"/>
  <c r="AE12" i="2"/>
  <c r="AK9" i="25" s="1"/>
  <c r="R12" i="2"/>
  <c r="B14" i="2"/>
  <c r="AC15" i="25"/>
  <c r="V15" i="25"/>
  <c r="E13" i="38"/>
  <c r="G13" i="57"/>
  <c r="M13" i="57"/>
  <c r="I116" i="56"/>
  <c r="N115" i="56"/>
  <c r="C11" i="37"/>
  <c r="A11" i="37" s="1"/>
  <c r="F113" i="57"/>
  <c r="B9" i="63"/>
  <c r="C8" i="63"/>
  <c r="H246" i="37"/>
  <c r="I246" i="37"/>
  <c r="H216" i="37"/>
  <c r="I216" i="37"/>
  <c r="H217" i="37"/>
  <c r="I217" i="37"/>
  <c r="I221" i="37"/>
  <c r="H221" i="37"/>
  <c r="H236" i="37"/>
  <c r="I236" i="37"/>
  <c r="H241" i="37"/>
  <c r="I241" i="37"/>
  <c r="I208" i="37"/>
  <c r="H208" i="37"/>
  <c r="O207" i="37"/>
  <c r="N207" i="37"/>
  <c r="I226" i="37"/>
  <c r="H226" i="37"/>
  <c r="I85" i="37"/>
  <c r="H85" i="37"/>
  <c r="B15" i="50"/>
  <c r="C14" i="50"/>
  <c r="N251" i="37"/>
  <c r="O251" i="37"/>
  <c r="I234" i="37"/>
  <c r="H234" i="37"/>
  <c r="B13" i="28"/>
  <c r="C12" i="28"/>
  <c r="N208" i="37"/>
  <c r="O208" i="37"/>
  <c r="I252" i="37"/>
  <c r="H252" i="37"/>
  <c r="L254" i="37"/>
  <c r="O254" i="37" s="1"/>
  <c r="H227" i="37"/>
  <c r="I227" i="37"/>
  <c r="I218" i="37"/>
  <c r="H218" i="37"/>
  <c r="D14" i="27"/>
  <c r="O14" i="27"/>
  <c r="L87" i="37"/>
  <c r="AA15" i="25"/>
  <c r="AE15" i="25"/>
  <c r="E88" i="36"/>
  <c r="D88" i="36"/>
  <c r="K88" i="36"/>
  <c r="I10" i="37"/>
  <c r="H10" i="37"/>
  <c r="K113" i="57"/>
  <c r="AI13" i="27"/>
  <c r="AN10" i="28" s="1"/>
  <c r="H211" i="37"/>
  <c r="I211" i="37"/>
  <c r="I228" i="37"/>
  <c r="H228" i="37"/>
  <c r="N221" i="37"/>
  <c r="O221" i="37"/>
  <c r="I251" i="37"/>
  <c r="H251" i="37"/>
  <c r="N252" i="37"/>
  <c r="O252" i="37"/>
  <c r="N227" i="37"/>
  <c r="O227" i="37"/>
  <c r="O223" i="37"/>
  <c r="N223" i="37"/>
  <c r="U6" i="63"/>
  <c r="O6" i="63"/>
  <c r="N215" i="37"/>
  <c r="O215" i="37"/>
  <c r="B114" i="55"/>
  <c r="J114" i="55"/>
  <c r="D114" i="55"/>
  <c r="A114" i="55"/>
  <c r="O114" i="55" s="1"/>
  <c r="N14" i="27"/>
  <c r="O238" i="37"/>
  <c r="N238" i="37"/>
  <c r="N10" i="46"/>
  <c r="L10" i="46"/>
  <c r="K10" i="46"/>
  <c r="J10" i="46"/>
  <c r="I10" i="46"/>
  <c r="H10" i="46"/>
  <c r="G10" i="46"/>
  <c r="F10" i="46"/>
  <c r="E10" i="46"/>
  <c r="N241" i="37"/>
  <c r="O241" i="37"/>
  <c r="E12" i="36"/>
  <c r="C12" i="36"/>
  <c r="A12" i="36" s="1"/>
  <c r="K14" i="27"/>
  <c r="E66" i="56"/>
  <c r="K66" i="56"/>
  <c r="E86" i="37"/>
  <c r="E87" i="37"/>
  <c r="O220" i="37"/>
  <c r="N220" i="37"/>
  <c r="K33" i="57"/>
  <c r="D33" i="57"/>
  <c r="J33" i="57"/>
  <c r="F33" i="57"/>
  <c r="G31" i="38"/>
  <c r="G30" i="38"/>
  <c r="C31" i="38"/>
  <c r="E31" i="38"/>
  <c r="D30" i="38"/>
  <c r="C30" i="38"/>
  <c r="D31" i="38"/>
  <c r="N10" i="37"/>
  <c r="O10" i="37"/>
  <c r="G111" i="57"/>
  <c r="G113" i="57" s="1"/>
  <c r="O214" i="37"/>
  <c r="N214" i="37"/>
  <c r="O219" i="37"/>
  <c r="N219" i="37"/>
  <c r="I233" i="37"/>
  <c r="H233" i="37"/>
  <c r="E14" i="27"/>
  <c r="G14" i="27"/>
  <c r="L12" i="37"/>
  <c r="E11" i="37"/>
  <c r="F13" i="2"/>
  <c r="J13" i="2"/>
  <c r="C13" i="2"/>
  <c r="E13" i="2"/>
  <c r="H13" i="2"/>
  <c r="K13" i="2"/>
  <c r="G13" i="2"/>
  <c r="I13" i="2"/>
  <c r="D13" i="2"/>
  <c r="C14" i="38"/>
  <c r="M110" i="57"/>
  <c r="J113" i="57"/>
  <c r="F86" i="57"/>
  <c r="A86" i="57"/>
  <c r="P86" i="57" s="1"/>
  <c r="J86" i="57"/>
  <c r="B86" i="57"/>
  <c r="K86" i="57"/>
  <c r="D86" i="57"/>
  <c r="I19" i="58" a="1"/>
  <c r="I19" i="58" s="1"/>
  <c r="A18" i="26"/>
  <c r="B18" i="26" s="1"/>
  <c r="J18" i="26" s="1"/>
  <c r="C17" i="26"/>
  <c r="D17" i="26"/>
  <c r="E17" i="26"/>
  <c r="H17" i="26"/>
  <c r="I17" i="26"/>
  <c r="F17" i="26"/>
  <c r="J17" i="26"/>
  <c r="G17" i="26"/>
  <c r="B17" i="49"/>
  <c r="A18" i="49"/>
  <c r="E16" i="49"/>
  <c r="L16" i="49"/>
  <c r="K16" i="49"/>
  <c r="F16" i="49"/>
  <c r="D16" i="49"/>
  <c r="I16" i="49"/>
  <c r="J16" i="49"/>
  <c r="H16" i="49"/>
  <c r="G16" i="49"/>
  <c r="C16" i="49"/>
  <c r="A16" i="32"/>
  <c r="B15" i="32"/>
  <c r="G34" i="51"/>
  <c r="E34" i="51"/>
  <c r="F34" i="51"/>
  <c r="D34" i="51"/>
  <c r="C34" i="51"/>
  <c r="H34" i="51"/>
  <c r="B35" i="51"/>
  <c r="A36" i="51"/>
  <c r="B18" i="27"/>
  <c r="A19" i="27"/>
  <c r="N6" i="63" l="1"/>
  <c r="Y16" i="25"/>
  <c r="AF16" i="25"/>
  <c r="B27" i="65"/>
  <c r="C19" i="65"/>
  <c r="E89" i="36"/>
  <c r="M33" i="57"/>
  <c r="K89" i="36"/>
  <c r="AE16" i="25"/>
  <c r="AA16" i="25"/>
  <c r="A16" i="2"/>
  <c r="B16" i="2" s="1"/>
  <c r="D16" i="2" s="1"/>
  <c r="U16" i="25"/>
  <c r="V16" i="25"/>
  <c r="Z16" i="25"/>
  <c r="AB16" i="25"/>
  <c r="AC16" i="25"/>
  <c r="E15" i="2"/>
  <c r="G15" i="2"/>
  <c r="H15" i="2"/>
  <c r="R15" i="2" s="1"/>
  <c r="W16" i="25"/>
  <c r="J15" i="2"/>
  <c r="AD16" i="25"/>
  <c r="I15" i="2"/>
  <c r="X16" i="25"/>
  <c r="T16" i="25"/>
  <c r="K15" i="2"/>
  <c r="D15" i="2"/>
  <c r="C15" i="2"/>
  <c r="G16" i="2"/>
  <c r="AF17" i="25"/>
  <c r="M86" i="57"/>
  <c r="W14" i="27"/>
  <c r="G86" i="57"/>
  <c r="M113" i="57"/>
  <c r="G33" i="57"/>
  <c r="M14" i="57"/>
  <c r="N87" i="37"/>
  <c r="O87" i="37"/>
  <c r="AJ12" i="28"/>
  <c r="AF12" i="28"/>
  <c r="AB12" i="28"/>
  <c r="AO12" i="28"/>
  <c r="AH12" i="28"/>
  <c r="AD12" i="28"/>
  <c r="AC12" i="28"/>
  <c r="X12" i="28"/>
  <c r="AP12" i="28"/>
  <c r="AE12" i="28"/>
  <c r="Y12" i="28"/>
  <c r="W12" i="28"/>
  <c r="Z12" i="28"/>
  <c r="AI12" i="28"/>
  <c r="B10" i="63"/>
  <c r="C9" i="63"/>
  <c r="K115" i="56"/>
  <c r="E115" i="56"/>
  <c r="A115" i="56"/>
  <c r="O115" i="56" s="1"/>
  <c r="B115" i="56"/>
  <c r="I11" i="56"/>
  <c r="N10" i="56"/>
  <c r="L13" i="37" s="1"/>
  <c r="I17" i="57"/>
  <c r="O16" i="57"/>
  <c r="G15" i="38" s="1"/>
  <c r="P15" i="27"/>
  <c r="O15" i="27"/>
  <c r="D15" i="27"/>
  <c r="O7" i="63"/>
  <c r="U7" i="63"/>
  <c r="T7" i="63"/>
  <c r="Q7" i="63"/>
  <c r="R7" i="63"/>
  <c r="S7" i="63"/>
  <c r="E15" i="38"/>
  <c r="K67" i="56"/>
  <c r="E67" i="56"/>
  <c r="D87" i="37"/>
  <c r="H11" i="37"/>
  <c r="I11" i="37"/>
  <c r="O12" i="37"/>
  <c r="N12" i="37"/>
  <c r="H87" i="37"/>
  <c r="I87" i="37"/>
  <c r="B14" i="28"/>
  <c r="C13" i="28"/>
  <c r="P16" i="27" s="1"/>
  <c r="N254" i="37"/>
  <c r="I117" i="56"/>
  <c r="N116" i="56"/>
  <c r="G89" i="36"/>
  <c r="H89" i="36"/>
  <c r="M89" i="36"/>
  <c r="N89" i="36"/>
  <c r="E14" i="2"/>
  <c r="K14" i="2"/>
  <c r="I14" i="2"/>
  <c r="C14" i="2"/>
  <c r="J14" i="2"/>
  <c r="H14" i="2"/>
  <c r="F14" i="2"/>
  <c r="G14" i="2"/>
  <c r="D14" i="2"/>
  <c r="J68" i="55"/>
  <c r="D68" i="55"/>
  <c r="I15" i="27"/>
  <c r="E15" i="27"/>
  <c r="K15" i="27"/>
  <c r="C15" i="27"/>
  <c r="K87" i="57"/>
  <c r="D87" i="57"/>
  <c r="F87" i="57"/>
  <c r="B87" i="57"/>
  <c r="A87" i="57"/>
  <c r="P87" i="57" s="1"/>
  <c r="J87" i="57"/>
  <c r="M87" i="57" s="1"/>
  <c r="Y7" i="63"/>
  <c r="X7" i="63"/>
  <c r="V7" i="63"/>
  <c r="W7" i="63"/>
  <c r="C15" i="38"/>
  <c r="I69" i="56"/>
  <c r="N68" i="56"/>
  <c r="N11" i="46"/>
  <c r="L11" i="46"/>
  <c r="K11" i="46"/>
  <c r="J11" i="46"/>
  <c r="I11" i="46"/>
  <c r="H11" i="46"/>
  <c r="G11" i="46"/>
  <c r="E11" i="46"/>
  <c r="F11" i="46"/>
  <c r="C13" i="36"/>
  <c r="A13" i="36" s="1"/>
  <c r="J115" i="55"/>
  <c r="D115" i="55"/>
  <c r="A115" i="55"/>
  <c r="O115" i="55" s="1"/>
  <c r="B115" i="55"/>
  <c r="AE13" i="2"/>
  <c r="AK10" i="25" s="1"/>
  <c r="R13" i="2"/>
  <c r="H12" i="36"/>
  <c r="G12" i="36"/>
  <c r="U14" i="27"/>
  <c r="AA11" i="28" s="1"/>
  <c r="AI14" i="27"/>
  <c r="AN11" i="28" s="1"/>
  <c r="AB14" i="27"/>
  <c r="AG11" i="28" s="1"/>
  <c r="M88" i="36"/>
  <c r="N88" i="36"/>
  <c r="G88" i="36"/>
  <c r="H88" i="36"/>
  <c r="X14" i="50"/>
  <c r="T14" i="50"/>
  <c r="P14" i="50"/>
  <c r="Y14" i="50"/>
  <c r="AC14" i="50"/>
  <c r="V14" i="50"/>
  <c r="R14" i="50"/>
  <c r="N14" i="50"/>
  <c r="AD14" i="50"/>
  <c r="Q14" i="50"/>
  <c r="S14" i="50"/>
  <c r="W14" i="50"/>
  <c r="U14" i="50"/>
  <c r="O14" i="50"/>
  <c r="M70" i="55"/>
  <c r="N69" i="55"/>
  <c r="N86" i="37"/>
  <c r="O86" i="37"/>
  <c r="N12" i="36"/>
  <c r="M12" i="36"/>
  <c r="M15" i="27"/>
  <c r="N15" i="27"/>
  <c r="W15" i="27" s="1"/>
  <c r="J15" i="27"/>
  <c r="G15" i="27"/>
  <c r="J9" i="55"/>
  <c r="D9" i="55"/>
  <c r="I89" i="57"/>
  <c r="O88" i="57"/>
  <c r="E12" i="37"/>
  <c r="K34" i="57"/>
  <c r="F34" i="57"/>
  <c r="D34" i="57"/>
  <c r="J34" i="57"/>
  <c r="C13" i="46"/>
  <c r="D12" i="46"/>
  <c r="E13" i="36"/>
  <c r="M117" i="55"/>
  <c r="N116" i="55"/>
  <c r="I86" i="37"/>
  <c r="H86" i="37"/>
  <c r="B16" i="50"/>
  <c r="C15" i="50"/>
  <c r="P8" i="63"/>
  <c r="L8" i="63"/>
  <c r="J8" i="63"/>
  <c r="H8" i="63"/>
  <c r="F8" i="63"/>
  <c r="M8" i="63"/>
  <c r="K8" i="63"/>
  <c r="I8" i="63"/>
  <c r="G8" i="63"/>
  <c r="E8" i="63"/>
  <c r="D8" i="63"/>
  <c r="K90" i="36"/>
  <c r="K9" i="56"/>
  <c r="E9" i="56"/>
  <c r="C12" i="37"/>
  <c r="A12" i="37" s="1"/>
  <c r="J15" i="57"/>
  <c r="K15" i="57"/>
  <c r="D15" i="57"/>
  <c r="F15" i="57"/>
  <c r="H15" i="57"/>
  <c r="N15" i="57"/>
  <c r="E14" i="38"/>
  <c r="M13" i="36"/>
  <c r="N13" i="36"/>
  <c r="L15" i="27"/>
  <c r="H15" i="27"/>
  <c r="F15" i="27"/>
  <c r="M11" i="55"/>
  <c r="N10" i="55"/>
  <c r="C89" i="36"/>
  <c r="A89" i="36" s="1"/>
  <c r="G14" i="57"/>
  <c r="I36" i="57"/>
  <c r="O35" i="57"/>
  <c r="K14" i="36"/>
  <c r="H254" i="37"/>
  <c r="J19" i="58" a="1"/>
  <c r="J19" i="58" s="1"/>
  <c r="I20" i="58" a="1"/>
  <c r="I20" i="58" s="1"/>
  <c r="I18" i="26"/>
  <c r="D18" i="26"/>
  <c r="C18" i="26"/>
  <c r="A19" i="26"/>
  <c r="B19" i="26" s="1"/>
  <c r="H19" i="26" s="1"/>
  <c r="G18" i="26"/>
  <c r="F18" i="26"/>
  <c r="E18" i="26"/>
  <c r="H18" i="26"/>
  <c r="B18" i="49"/>
  <c r="A19" i="49"/>
  <c r="I17" i="49"/>
  <c r="J17" i="49"/>
  <c r="K17" i="49"/>
  <c r="F17" i="49"/>
  <c r="D17" i="49"/>
  <c r="G17" i="49"/>
  <c r="C17" i="49"/>
  <c r="H17" i="49"/>
  <c r="L17" i="49"/>
  <c r="E17" i="49"/>
  <c r="A37" i="51"/>
  <c r="B36" i="51"/>
  <c r="B19" i="27"/>
  <c r="A20" i="27"/>
  <c r="F35" i="51"/>
  <c r="E35" i="51"/>
  <c r="H35" i="51"/>
  <c r="C35" i="51"/>
  <c r="D35" i="51"/>
  <c r="G35" i="51"/>
  <c r="A17" i="32"/>
  <c r="B16" i="32"/>
  <c r="W17" i="25" l="1"/>
  <c r="V17" i="25"/>
  <c r="E16" i="2"/>
  <c r="C24" i="65"/>
  <c r="K16" i="2"/>
  <c r="C13" i="37"/>
  <c r="A13" i="37" s="1"/>
  <c r="U17" i="25"/>
  <c r="E13" i="37"/>
  <c r="AE17" i="25"/>
  <c r="G34" i="57"/>
  <c r="X17" i="25"/>
  <c r="AE15" i="2"/>
  <c r="AK16" i="25" s="1"/>
  <c r="AB17" i="25"/>
  <c r="A17" i="2"/>
  <c r="A18" i="2" s="1"/>
  <c r="A19" i="2" s="1"/>
  <c r="B19" i="2" s="1"/>
  <c r="D19" i="2" s="1"/>
  <c r="J16" i="2"/>
  <c r="I16" i="2"/>
  <c r="AA17" i="25"/>
  <c r="F16" i="2"/>
  <c r="Z17" i="25"/>
  <c r="Y17" i="25"/>
  <c r="AD17" i="25"/>
  <c r="AC17" i="25"/>
  <c r="T17" i="25"/>
  <c r="C16" i="2"/>
  <c r="H16" i="2"/>
  <c r="AE16" i="2" s="1"/>
  <c r="AK17" i="25" s="1"/>
  <c r="J10" i="55"/>
  <c r="D10" i="55"/>
  <c r="C14" i="36"/>
  <c r="A14" i="36" s="1"/>
  <c r="E14" i="36"/>
  <c r="M118" i="55"/>
  <c r="N117" i="55"/>
  <c r="N12" i="46"/>
  <c r="L12" i="46"/>
  <c r="I12" i="46"/>
  <c r="H12" i="46"/>
  <c r="F12" i="46"/>
  <c r="K12" i="46"/>
  <c r="G12" i="46"/>
  <c r="J12" i="46"/>
  <c r="E12" i="46"/>
  <c r="M34" i="57"/>
  <c r="H12" i="37"/>
  <c r="I12" i="37"/>
  <c r="I70" i="56"/>
  <c r="N69" i="56"/>
  <c r="E89" i="37" s="1"/>
  <c r="G87" i="57"/>
  <c r="I18" i="57"/>
  <c r="O17" i="57"/>
  <c r="C16" i="38" s="1"/>
  <c r="B11" i="63"/>
  <c r="C10" i="63"/>
  <c r="H16" i="27"/>
  <c r="M16" i="27"/>
  <c r="J16" i="27"/>
  <c r="K35" i="57"/>
  <c r="J35" i="57"/>
  <c r="M35" i="57" s="1"/>
  <c r="F35" i="57"/>
  <c r="D35" i="57"/>
  <c r="G32" i="38"/>
  <c r="E32" i="38"/>
  <c r="C32" i="38"/>
  <c r="M12" i="55"/>
  <c r="N11" i="55"/>
  <c r="G15" i="57"/>
  <c r="I13" i="37"/>
  <c r="H13" i="37"/>
  <c r="O8" i="63"/>
  <c r="U8" i="63"/>
  <c r="Y15" i="50"/>
  <c r="U15" i="50"/>
  <c r="Q15" i="50"/>
  <c r="AC15" i="50"/>
  <c r="AD15" i="50"/>
  <c r="W15" i="50"/>
  <c r="S15" i="50"/>
  <c r="O15" i="50"/>
  <c r="R15" i="50"/>
  <c r="T15" i="50"/>
  <c r="P15" i="50"/>
  <c r="V15" i="50"/>
  <c r="N15" i="50"/>
  <c r="X15" i="50"/>
  <c r="C14" i="46"/>
  <c r="D13" i="46"/>
  <c r="D32" i="38"/>
  <c r="J88" i="57"/>
  <c r="D88" i="57"/>
  <c r="B88" i="57"/>
  <c r="K88" i="57"/>
  <c r="F88" i="57"/>
  <c r="A88" i="57"/>
  <c r="P88" i="57" s="1"/>
  <c r="AI15" i="27"/>
  <c r="AN12" i="28" s="1"/>
  <c r="U15" i="27"/>
  <c r="AA12" i="28" s="1"/>
  <c r="AB15" i="27"/>
  <c r="AG12" i="28" s="1"/>
  <c r="D88" i="37"/>
  <c r="C88" i="37"/>
  <c r="A88" i="37" s="1"/>
  <c r="C90" i="36"/>
  <c r="A90" i="36" s="1"/>
  <c r="K10" i="56"/>
  <c r="E10" i="56"/>
  <c r="K16" i="27"/>
  <c r="N16" i="27"/>
  <c r="C16" i="27"/>
  <c r="I37" i="57"/>
  <c r="O36" i="57"/>
  <c r="M90" i="36"/>
  <c r="N90" i="36"/>
  <c r="X8" i="63"/>
  <c r="V8" i="63"/>
  <c r="Y8" i="63"/>
  <c r="W8" i="63"/>
  <c r="B17" i="50"/>
  <c r="C16" i="50"/>
  <c r="H13" i="36"/>
  <c r="G13" i="36"/>
  <c r="I90" i="57"/>
  <c r="O89" i="57"/>
  <c r="D69" i="55"/>
  <c r="J69" i="55"/>
  <c r="K116" i="56"/>
  <c r="E116" i="56"/>
  <c r="A116" i="56"/>
  <c r="O116" i="56" s="1"/>
  <c r="B116" i="56"/>
  <c r="AC13" i="28"/>
  <c r="AP13" i="28"/>
  <c r="AI13" i="28"/>
  <c r="AE13" i="28"/>
  <c r="AO13" i="28"/>
  <c r="AD13" i="28"/>
  <c r="Y13" i="28"/>
  <c r="AF13" i="28"/>
  <c r="Z13" i="28"/>
  <c r="AJ13" i="28"/>
  <c r="AB13" i="28"/>
  <c r="AH13" i="28"/>
  <c r="W13" i="28"/>
  <c r="X13" i="28"/>
  <c r="N7" i="63"/>
  <c r="I12" i="56"/>
  <c r="N11" i="56"/>
  <c r="I16" i="27"/>
  <c r="O16" i="27"/>
  <c r="L16" i="27"/>
  <c r="G16" i="27"/>
  <c r="N14" i="36"/>
  <c r="M14" i="36"/>
  <c r="M15" i="57"/>
  <c r="T8" i="63"/>
  <c r="R8" i="63"/>
  <c r="S8" i="63"/>
  <c r="Q8" i="63"/>
  <c r="A116" i="55"/>
  <c r="O116" i="55" s="1"/>
  <c r="B116" i="55"/>
  <c r="D116" i="55"/>
  <c r="J116" i="55"/>
  <c r="M71" i="55"/>
  <c r="N70" i="55"/>
  <c r="D91" i="36" s="1"/>
  <c r="E68" i="56"/>
  <c r="K68" i="56"/>
  <c r="E88" i="37"/>
  <c r="E90" i="36"/>
  <c r="AE14" i="2"/>
  <c r="AK15" i="25" s="1"/>
  <c r="R14" i="2"/>
  <c r="I118" i="56"/>
  <c r="N117" i="56"/>
  <c r="B15" i="28"/>
  <c r="C14" i="28"/>
  <c r="M17" i="27" s="1"/>
  <c r="L88" i="37"/>
  <c r="N13" i="37"/>
  <c r="O13" i="37"/>
  <c r="H16" i="57"/>
  <c r="N16" i="57"/>
  <c r="K16" i="57"/>
  <c r="F16" i="57"/>
  <c r="J16" i="57"/>
  <c r="D16" i="57"/>
  <c r="P9" i="63"/>
  <c r="M9" i="63"/>
  <c r="L9" i="63"/>
  <c r="K9" i="63"/>
  <c r="I9" i="63"/>
  <c r="G9" i="63"/>
  <c r="E9" i="63"/>
  <c r="J9" i="63"/>
  <c r="D9" i="63"/>
  <c r="F9" i="63"/>
  <c r="H9" i="63"/>
  <c r="D16" i="27"/>
  <c r="F16" i="27"/>
  <c r="E16" i="27"/>
  <c r="J20" i="58" a="1"/>
  <c r="J20" i="58" s="1"/>
  <c r="I21" i="58" a="1"/>
  <c r="I21" i="58" s="1"/>
  <c r="A20" i="26"/>
  <c r="B20" i="26" s="1"/>
  <c r="D19" i="26"/>
  <c r="I19" i="26"/>
  <c r="J19" i="26"/>
  <c r="E19" i="26"/>
  <c r="C19" i="26"/>
  <c r="F19" i="26"/>
  <c r="G19" i="26"/>
  <c r="B19" i="49"/>
  <c r="A20" i="49"/>
  <c r="J18" i="49"/>
  <c r="I18" i="49"/>
  <c r="F18" i="49"/>
  <c r="E18" i="49"/>
  <c r="G18" i="49"/>
  <c r="H18" i="49"/>
  <c r="L18" i="49"/>
  <c r="K18" i="49"/>
  <c r="C18" i="49"/>
  <c r="D18" i="49"/>
  <c r="A18" i="32"/>
  <c r="B17" i="32"/>
  <c r="D36" i="51"/>
  <c r="E36" i="51"/>
  <c r="G36" i="51"/>
  <c r="F36" i="51"/>
  <c r="H36" i="51"/>
  <c r="C36" i="51"/>
  <c r="B20" i="27"/>
  <c r="A21" i="27"/>
  <c r="A38" i="51"/>
  <c r="B37" i="51"/>
  <c r="W16" i="27" l="1"/>
  <c r="C27" i="65"/>
  <c r="D19" i="65"/>
  <c r="R16" i="2"/>
  <c r="C89" i="37"/>
  <c r="A89" i="37" s="1"/>
  <c r="E19" i="2"/>
  <c r="J19" i="2"/>
  <c r="U18" i="25"/>
  <c r="T18" i="25"/>
  <c r="W18" i="25"/>
  <c r="Z18" i="25"/>
  <c r="AC19" i="25"/>
  <c r="AB18" i="25"/>
  <c r="B18" i="2"/>
  <c r="J18" i="2" s="1"/>
  <c r="T19" i="25"/>
  <c r="T20" i="25"/>
  <c r="U19" i="25"/>
  <c r="C19" i="2"/>
  <c r="F19" i="2"/>
  <c r="Y20" i="25"/>
  <c r="AE19" i="25"/>
  <c r="W19" i="25"/>
  <c r="AB20" i="25"/>
  <c r="AE18" i="25"/>
  <c r="AB19" i="25"/>
  <c r="Y18" i="25"/>
  <c r="Y19" i="25"/>
  <c r="AA20" i="25"/>
  <c r="G19" i="2"/>
  <c r="H19" i="2"/>
  <c r="W20" i="25"/>
  <c r="X20" i="25"/>
  <c r="U20" i="25"/>
  <c r="AC20" i="25"/>
  <c r="V18" i="25"/>
  <c r="AC18" i="25"/>
  <c r="V19" i="25"/>
  <c r="AE20" i="25"/>
  <c r="AF20" i="25"/>
  <c r="X18" i="25"/>
  <c r="Z19" i="25"/>
  <c r="K19" i="2"/>
  <c r="AD18" i="25"/>
  <c r="I19" i="2"/>
  <c r="AD19" i="25"/>
  <c r="X19" i="25"/>
  <c r="AF18" i="25"/>
  <c r="A20" i="2"/>
  <c r="B20" i="2" s="1"/>
  <c r="H20" i="2" s="1"/>
  <c r="B17" i="2"/>
  <c r="AD20" i="25"/>
  <c r="Z20" i="25"/>
  <c r="AF19" i="25"/>
  <c r="AA19" i="25"/>
  <c r="V20" i="25"/>
  <c r="AA18" i="25"/>
  <c r="K17" i="2"/>
  <c r="G17" i="2"/>
  <c r="E17" i="2"/>
  <c r="C17" i="2"/>
  <c r="L89" i="37"/>
  <c r="O89" i="37" s="1"/>
  <c r="W9" i="63"/>
  <c r="N8" i="63"/>
  <c r="D89" i="37"/>
  <c r="X9" i="63"/>
  <c r="Y9" i="63"/>
  <c r="V9" i="63"/>
  <c r="G16" i="57"/>
  <c r="K117" i="56"/>
  <c r="E117" i="56"/>
  <c r="B117" i="56"/>
  <c r="A117" i="56"/>
  <c r="O117" i="56" s="1"/>
  <c r="H89" i="37"/>
  <c r="I89" i="37"/>
  <c r="N89" i="37"/>
  <c r="D70" i="55"/>
  <c r="J70" i="55"/>
  <c r="E91" i="36"/>
  <c r="K91" i="36"/>
  <c r="K11" i="56"/>
  <c r="E11" i="56"/>
  <c r="E14" i="37"/>
  <c r="C14" i="37"/>
  <c r="A14" i="37" s="1"/>
  <c r="O17" i="27"/>
  <c r="H17" i="27"/>
  <c r="G17" i="27"/>
  <c r="J89" i="57"/>
  <c r="D89" i="57"/>
  <c r="B89" i="57"/>
  <c r="K89" i="57"/>
  <c r="F89" i="57"/>
  <c r="A89" i="57"/>
  <c r="P89" i="57" s="1"/>
  <c r="B18" i="50"/>
  <c r="C17" i="50"/>
  <c r="I38" i="57"/>
  <c r="O37" i="57"/>
  <c r="D34" i="38" s="1"/>
  <c r="N13" i="46"/>
  <c r="L13" i="46"/>
  <c r="K13" i="46"/>
  <c r="J13" i="46"/>
  <c r="I13" i="46"/>
  <c r="H13" i="46"/>
  <c r="G13" i="46"/>
  <c r="F13" i="46"/>
  <c r="E13" i="46"/>
  <c r="E33" i="38"/>
  <c r="P10" i="63"/>
  <c r="M10" i="63"/>
  <c r="L10" i="63"/>
  <c r="K10" i="63"/>
  <c r="I10" i="63"/>
  <c r="G10" i="63"/>
  <c r="J10" i="63"/>
  <c r="H10" i="63"/>
  <c r="F10" i="63"/>
  <c r="E10" i="63"/>
  <c r="D10" i="63"/>
  <c r="M119" i="55"/>
  <c r="N118" i="55"/>
  <c r="E15" i="36"/>
  <c r="U9" i="63"/>
  <c r="O9" i="63"/>
  <c r="R9" i="63"/>
  <c r="S9" i="63"/>
  <c r="Q9" i="63"/>
  <c r="T9" i="63"/>
  <c r="M16" i="57"/>
  <c r="I119" i="56"/>
  <c r="N118" i="56"/>
  <c r="H90" i="36"/>
  <c r="G90" i="36"/>
  <c r="M72" i="55"/>
  <c r="N71" i="55"/>
  <c r="I13" i="56"/>
  <c r="N12" i="56"/>
  <c r="E17" i="27"/>
  <c r="N17" i="27"/>
  <c r="L17" i="27"/>
  <c r="I91" i="57"/>
  <c r="O90" i="57"/>
  <c r="G88" i="57"/>
  <c r="C15" i="46"/>
  <c r="D14" i="46"/>
  <c r="D11" i="55"/>
  <c r="J11" i="55"/>
  <c r="C15" i="36"/>
  <c r="A15" i="36" s="1"/>
  <c r="G34" i="38"/>
  <c r="G35" i="57"/>
  <c r="B12" i="63"/>
  <c r="C11" i="63"/>
  <c r="E69" i="56"/>
  <c r="K69" i="56"/>
  <c r="N88" i="37"/>
  <c r="O88" i="37"/>
  <c r="AO14" i="28"/>
  <c r="AH14" i="28"/>
  <c r="AD14" i="28"/>
  <c r="AJ14" i="28"/>
  <c r="AF14" i="28"/>
  <c r="AB14" i="28"/>
  <c r="AP14" i="28"/>
  <c r="AE14" i="28"/>
  <c r="Z14" i="28"/>
  <c r="W14" i="28"/>
  <c r="AI14" i="28"/>
  <c r="X14" i="28"/>
  <c r="AC14" i="28"/>
  <c r="Y14" i="28"/>
  <c r="K17" i="27"/>
  <c r="D17" i="27"/>
  <c r="J17" i="27"/>
  <c r="I17" i="27"/>
  <c r="C92" i="36"/>
  <c r="A92" i="36" s="1"/>
  <c r="K92" i="36"/>
  <c r="C91" i="36"/>
  <c r="A91" i="36" s="1"/>
  <c r="U16" i="27"/>
  <c r="AA13" i="28" s="1"/>
  <c r="AB16" i="27"/>
  <c r="AG13" i="28" s="1"/>
  <c r="AI16" i="27"/>
  <c r="AN13" i="28" s="1"/>
  <c r="M88" i="57"/>
  <c r="M13" i="55"/>
  <c r="N12" i="55"/>
  <c r="E34" i="38"/>
  <c r="G33" i="38"/>
  <c r="H17" i="57"/>
  <c r="D17" i="57"/>
  <c r="J17" i="57"/>
  <c r="K17" i="57"/>
  <c r="N17" i="57"/>
  <c r="F17" i="57"/>
  <c r="E16" i="38"/>
  <c r="I71" i="56"/>
  <c r="N70" i="56"/>
  <c r="B16" i="28"/>
  <c r="C15" i="28"/>
  <c r="I18" i="27" s="1"/>
  <c r="I88" i="37"/>
  <c r="H88" i="37"/>
  <c r="F17" i="27"/>
  <c r="C17" i="27"/>
  <c r="P17" i="27"/>
  <c r="AC16" i="50"/>
  <c r="V16" i="50"/>
  <c r="R16" i="50"/>
  <c r="N16" i="50"/>
  <c r="AD16" i="50"/>
  <c r="X16" i="50"/>
  <c r="T16" i="50"/>
  <c r="P16" i="50"/>
  <c r="S16" i="50"/>
  <c r="U16" i="50"/>
  <c r="W16" i="50"/>
  <c r="O16" i="50"/>
  <c r="Y16" i="50"/>
  <c r="Q16" i="50"/>
  <c r="K36" i="57"/>
  <c r="J36" i="57"/>
  <c r="F36" i="57"/>
  <c r="D36" i="57"/>
  <c r="G36" i="57" s="1"/>
  <c r="C34" i="38"/>
  <c r="I19" i="57"/>
  <c r="O18" i="57"/>
  <c r="A117" i="55"/>
  <c r="O117" i="55" s="1"/>
  <c r="J117" i="55"/>
  <c r="B117" i="55"/>
  <c r="D117" i="55"/>
  <c r="H14" i="36"/>
  <c r="G14" i="36"/>
  <c r="K15" i="36"/>
  <c r="I22" i="58" a="1"/>
  <c r="I22" i="58" s="1"/>
  <c r="J21" i="58" a="1"/>
  <c r="J21" i="58" s="1"/>
  <c r="A21" i="26"/>
  <c r="B21" i="26" s="1"/>
  <c r="F21" i="26" s="1"/>
  <c r="G20" i="26"/>
  <c r="D20" i="26"/>
  <c r="F20" i="26"/>
  <c r="C20" i="26"/>
  <c r="E20" i="26"/>
  <c r="I20" i="26"/>
  <c r="H20" i="26"/>
  <c r="J20" i="26"/>
  <c r="A21" i="49"/>
  <c r="B20" i="49"/>
  <c r="L19" i="49"/>
  <c r="E19" i="49"/>
  <c r="K19" i="49"/>
  <c r="F19" i="49"/>
  <c r="J19" i="49"/>
  <c r="H19" i="49"/>
  <c r="D19" i="49"/>
  <c r="G19" i="49"/>
  <c r="C19" i="49"/>
  <c r="I19" i="49"/>
  <c r="B18" i="32"/>
  <c r="A19" i="32"/>
  <c r="A22" i="27"/>
  <c r="B21" i="27"/>
  <c r="R19" i="2"/>
  <c r="H37" i="51"/>
  <c r="F37" i="51"/>
  <c r="C37" i="51"/>
  <c r="D37" i="51"/>
  <c r="E37" i="51"/>
  <c r="G37" i="51"/>
  <c r="A39" i="51"/>
  <c r="B38" i="51"/>
  <c r="AE19" i="2" l="1"/>
  <c r="AK20" i="25" s="1"/>
  <c r="M89" i="57"/>
  <c r="K18" i="2"/>
  <c r="G18" i="2"/>
  <c r="H18" i="2"/>
  <c r="D24" i="65"/>
  <c r="G17" i="57"/>
  <c r="A21" i="2"/>
  <c r="F20" i="2"/>
  <c r="J20" i="2"/>
  <c r="E20" i="2"/>
  <c r="C20" i="2"/>
  <c r="K20" i="2"/>
  <c r="I20" i="2"/>
  <c r="D20" i="2"/>
  <c r="G20" i="2"/>
  <c r="AE20" i="2" s="1"/>
  <c r="F17" i="2"/>
  <c r="H17" i="2"/>
  <c r="I17" i="2"/>
  <c r="D17" i="2"/>
  <c r="J17" i="2"/>
  <c r="F18" i="2"/>
  <c r="C18" i="2"/>
  <c r="E18" i="2"/>
  <c r="D18" i="2"/>
  <c r="I18" i="2"/>
  <c r="W17" i="27"/>
  <c r="W10" i="63"/>
  <c r="I20" i="57"/>
  <c r="O19" i="57"/>
  <c r="E70" i="56"/>
  <c r="K70" i="56"/>
  <c r="E90" i="37"/>
  <c r="D90" i="37"/>
  <c r="C90" i="37"/>
  <c r="A90" i="37" s="1"/>
  <c r="M14" i="55"/>
  <c r="N13" i="55"/>
  <c r="M92" i="36"/>
  <c r="N92" i="36"/>
  <c r="H18" i="27"/>
  <c r="N18" i="27"/>
  <c r="F18" i="27"/>
  <c r="J18" i="27"/>
  <c r="B13" i="63"/>
  <c r="C12" i="63"/>
  <c r="C16" i="46"/>
  <c r="D15" i="46"/>
  <c r="K12" i="56"/>
  <c r="E12" i="56"/>
  <c r="I120" i="56"/>
  <c r="N119" i="56"/>
  <c r="U10" i="63"/>
  <c r="O10" i="63"/>
  <c r="AD17" i="50"/>
  <c r="W17" i="50"/>
  <c r="S17" i="50"/>
  <c r="O17" i="50"/>
  <c r="Y17" i="50"/>
  <c r="U17" i="50"/>
  <c r="Q17" i="50"/>
  <c r="T17" i="50"/>
  <c r="AC17" i="50"/>
  <c r="V17" i="50"/>
  <c r="N17" i="50"/>
  <c r="R17" i="50"/>
  <c r="X17" i="50"/>
  <c r="P17" i="50"/>
  <c r="H14" i="37"/>
  <c r="I14" i="37"/>
  <c r="N91" i="36"/>
  <c r="M91" i="36"/>
  <c r="I72" i="56"/>
  <c r="N71" i="56"/>
  <c r="M17" i="57"/>
  <c r="G18" i="27"/>
  <c r="M18" i="27"/>
  <c r="I14" i="56"/>
  <c r="N13" i="56"/>
  <c r="N9" i="63"/>
  <c r="Y10" i="63"/>
  <c r="X10" i="63"/>
  <c r="V10" i="63"/>
  <c r="B19" i="50"/>
  <c r="C18" i="50"/>
  <c r="G91" i="36"/>
  <c r="H91" i="36"/>
  <c r="M36" i="57"/>
  <c r="AP15" i="28"/>
  <c r="AI15" i="28"/>
  <c r="AE15" i="28"/>
  <c r="AC15" i="28"/>
  <c r="AF15" i="28"/>
  <c r="W15" i="28"/>
  <c r="AH15" i="28"/>
  <c r="X15" i="28"/>
  <c r="AO15" i="28"/>
  <c r="AD15" i="28"/>
  <c r="AJ15" i="28"/>
  <c r="AB15" i="28"/>
  <c r="Y15" i="28"/>
  <c r="Z15" i="28"/>
  <c r="C18" i="27"/>
  <c r="L18" i="27"/>
  <c r="P18" i="27"/>
  <c r="F90" i="57"/>
  <c r="A90" i="57"/>
  <c r="P90" i="57" s="1"/>
  <c r="J90" i="57"/>
  <c r="B90" i="57"/>
  <c r="D90" i="57"/>
  <c r="K90" i="57"/>
  <c r="U17" i="27"/>
  <c r="AA14" i="28" s="1"/>
  <c r="AB17" i="27"/>
  <c r="AG14" i="28" s="1"/>
  <c r="AI17" i="27"/>
  <c r="AN14" i="28" s="1"/>
  <c r="D71" i="55"/>
  <c r="J71" i="55"/>
  <c r="A118" i="55"/>
  <c r="O118" i="55" s="1"/>
  <c r="J118" i="55"/>
  <c r="B118" i="55"/>
  <c r="D118" i="55"/>
  <c r="S10" i="63"/>
  <c r="Q10" i="63"/>
  <c r="T10" i="63"/>
  <c r="R10" i="63"/>
  <c r="K37" i="57"/>
  <c r="J37" i="57"/>
  <c r="F37" i="57"/>
  <c r="D37" i="57"/>
  <c r="G89" i="57"/>
  <c r="M15" i="36"/>
  <c r="N15" i="36"/>
  <c r="D18" i="57"/>
  <c r="N18" i="57"/>
  <c r="F18" i="57"/>
  <c r="K18" i="57"/>
  <c r="J18" i="57"/>
  <c r="H18" i="57"/>
  <c r="C17" i="38"/>
  <c r="B17" i="28"/>
  <c r="C16" i="28"/>
  <c r="J12" i="55"/>
  <c r="D12" i="55"/>
  <c r="K18" i="27"/>
  <c r="E18" i="27"/>
  <c r="O18" i="27"/>
  <c r="D18" i="27"/>
  <c r="L11" i="63"/>
  <c r="M11" i="63"/>
  <c r="J11" i="63"/>
  <c r="H11" i="63"/>
  <c r="F11" i="63"/>
  <c r="D11" i="63"/>
  <c r="P11" i="63"/>
  <c r="K11" i="63"/>
  <c r="G11" i="63"/>
  <c r="E11" i="63"/>
  <c r="I11" i="63"/>
  <c r="N14" i="46"/>
  <c r="L14" i="46"/>
  <c r="K14" i="46"/>
  <c r="J14" i="46"/>
  <c r="I14" i="46"/>
  <c r="H14" i="46"/>
  <c r="G14" i="46"/>
  <c r="F14" i="46"/>
  <c r="E14" i="46"/>
  <c r="I92" i="57"/>
  <c r="O91" i="57"/>
  <c r="M73" i="55"/>
  <c r="N72" i="55"/>
  <c r="E118" i="56"/>
  <c r="K118" i="56"/>
  <c r="B118" i="56"/>
  <c r="A118" i="56"/>
  <c r="O118" i="56" s="1"/>
  <c r="H15" i="36"/>
  <c r="G15" i="36"/>
  <c r="M120" i="55"/>
  <c r="N119" i="55"/>
  <c r="I39" i="57"/>
  <c r="O38" i="57"/>
  <c r="I23" i="58" a="1"/>
  <c r="I23" i="58" s="1"/>
  <c r="J22" i="58" a="1"/>
  <c r="J22" i="58" s="1"/>
  <c r="E21" i="26"/>
  <c r="H21" i="26"/>
  <c r="A22" i="26"/>
  <c r="B22" i="26" s="1"/>
  <c r="F22" i="26" s="1"/>
  <c r="G21" i="26"/>
  <c r="I21" i="26"/>
  <c r="J21" i="26"/>
  <c r="D21" i="26"/>
  <c r="C21" i="26"/>
  <c r="I20" i="49"/>
  <c r="L20" i="49"/>
  <c r="K20" i="49"/>
  <c r="F20" i="49"/>
  <c r="D20" i="49"/>
  <c r="H20" i="49"/>
  <c r="J20" i="49"/>
  <c r="E20" i="49"/>
  <c r="G20" i="49"/>
  <c r="C20" i="49"/>
  <c r="B21" i="49"/>
  <c r="A22" i="49"/>
  <c r="A40" i="51"/>
  <c r="B39" i="51"/>
  <c r="G38" i="51"/>
  <c r="E38" i="51"/>
  <c r="H38" i="51"/>
  <c r="C38" i="51"/>
  <c r="D38" i="51"/>
  <c r="F38" i="51"/>
  <c r="R20" i="2"/>
  <c r="B19" i="32"/>
  <c r="A20" i="32"/>
  <c r="A23" i="27"/>
  <c r="B22" i="27"/>
  <c r="M90" i="57" l="1"/>
  <c r="M37" i="57"/>
  <c r="G90" i="57"/>
  <c r="D27" i="65"/>
  <c r="E19" i="65"/>
  <c r="N10" i="63"/>
  <c r="G18" i="57"/>
  <c r="T14" i="25"/>
  <c r="B21" i="2"/>
  <c r="W14" i="25"/>
  <c r="AE7" i="25"/>
  <c r="Y7" i="25"/>
  <c r="T7" i="25"/>
  <c r="AB14" i="25"/>
  <c r="V14" i="25"/>
  <c r="AE14" i="25"/>
  <c r="AA7" i="25"/>
  <c r="AE17" i="2"/>
  <c r="AK18" i="25" s="1"/>
  <c r="R17" i="2"/>
  <c r="Y14" i="25"/>
  <c r="U7" i="25"/>
  <c r="AD14" i="25"/>
  <c r="AA14" i="25"/>
  <c r="Z7" i="25"/>
  <c r="AD7" i="25"/>
  <c r="X7" i="25"/>
  <c r="V7" i="25"/>
  <c r="AF14" i="25"/>
  <c r="AF7" i="25"/>
  <c r="AB7" i="25"/>
  <c r="AC7" i="25"/>
  <c r="AC14" i="25"/>
  <c r="AE18" i="2"/>
  <c r="AK19" i="25" s="1"/>
  <c r="R18" i="2"/>
  <c r="X14" i="25"/>
  <c r="W7" i="25"/>
  <c r="A22" i="2"/>
  <c r="U14" i="25"/>
  <c r="Z14" i="25"/>
  <c r="W18" i="27"/>
  <c r="G37" i="57"/>
  <c r="J38" i="57"/>
  <c r="F38" i="57"/>
  <c r="D38" i="57"/>
  <c r="K38" i="57"/>
  <c r="K91" i="57"/>
  <c r="A91" i="57"/>
  <c r="P91" i="57" s="1"/>
  <c r="F91" i="57"/>
  <c r="J91" i="57"/>
  <c r="M91" i="57" s="1"/>
  <c r="D91" i="57"/>
  <c r="B91" i="57"/>
  <c r="O11" i="63"/>
  <c r="U11" i="63"/>
  <c r="V11" i="63"/>
  <c r="Y11" i="63"/>
  <c r="X11" i="63"/>
  <c r="AJ16" i="28"/>
  <c r="AF16" i="28"/>
  <c r="AB16" i="28"/>
  <c r="AO16" i="28"/>
  <c r="AH16" i="28"/>
  <c r="AD16" i="28"/>
  <c r="X16" i="28"/>
  <c r="W16" i="28"/>
  <c r="AI16" i="28"/>
  <c r="Y16" i="28"/>
  <c r="AE16" i="28"/>
  <c r="AC16" i="28"/>
  <c r="Z16" i="28"/>
  <c r="AP16" i="28"/>
  <c r="C19" i="27"/>
  <c r="E19" i="27"/>
  <c r="I19" i="27"/>
  <c r="B20" i="50"/>
  <c r="C19" i="50"/>
  <c r="I21" i="49" s="1"/>
  <c r="I73" i="56"/>
  <c r="N72" i="56"/>
  <c r="P12" i="63"/>
  <c r="L12" i="63"/>
  <c r="W12" i="63" s="1"/>
  <c r="M12" i="63"/>
  <c r="J12" i="63"/>
  <c r="H12" i="63"/>
  <c r="F12" i="63"/>
  <c r="K12" i="63"/>
  <c r="I12" i="63"/>
  <c r="G12" i="63"/>
  <c r="E12" i="63"/>
  <c r="D12" i="63"/>
  <c r="I40" i="57"/>
  <c r="O39" i="57"/>
  <c r="I93" i="57"/>
  <c r="O92" i="57"/>
  <c r="W11" i="63"/>
  <c r="B18" i="28"/>
  <c r="C17" i="28"/>
  <c r="I20" i="27" s="1"/>
  <c r="O19" i="27"/>
  <c r="K19" i="27"/>
  <c r="F19" i="27"/>
  <c r="L19" i="27"/>
  <c r="E13" i="56"/>
  <c r="K13" i="56"/>
  <c r="B14" i="63"/>
  <c r="C13" i="63"/>
  <c r="AI18" i="27"/>
  <c r="AN15" i="28" s="1"/>
  <c r="U18" i="27"/>
  <c r="AA15" i="28" s="1"/>
  <c r="AB18" i="27"/>
  <c r="AG15" i="28" s="1"/>
  <c r="J13" i="55"/>
  <c r="D13" i="55"/>
  <c r="J119" i="55"/>
  <c r="A119" i="55"/>
  <c r="O119" i="55" s="1"/>
  <c r="B119" i="55"/>
  <c r="D119" i="55"/>
  <c r="D72" i="55"/>
  <c r="J72" i="55"/>
  <c r="M18" i="57"/>
  <c r="J19" i="27"/>
  <c r="H19" i="27"/>
  <c r="D19" i="27"/>
  <c r="P19" i="27"/>
  <c r="I15" i="56"/>
  <c r="N14" i="56"/>
  <c r="E119" i="56"/>
  <c r="K119" i="56"/>
  <c r="B119" i="56"/>
  <c r="A119" i="56"/>
  <c r="O119" i="56" s="1"/>
  <c r="N15" i="46"/>
  <c r="L15" i="46"/>
  <c r="K15" i="46"/>
  <c r="J15" i="46"/>
  <c r="I15" i="46"/>
  <c r="H15" i="46"/>
  <c r="G15" i="46"/>
  <c r="E15" i="46"/>
  <c r="F15" i="46"/>
  <c r="M15" i="55"/>
  <c r="N14" i="55"/>
  <c r="H90" i="37"/>
  <c r="I90" i="37"/>
  <c r="H19" i="57"/>
  <c r="J19" i="57"/>
  <c r="N19" i="57"/>
  <c r="D19" i="57"/>
  <c r="F19" i="57"/>
  <c r="K19" i="57"/>
  <c r="M121" i="55"/>
  <c r="N120" i="55"/>
  <c r="M74" i="55"/>
  <c r="N73" i="55"/>
  <c r="S11" i="63"/>
  <c r="T11" i="63"/>
  <c r="Q11" i="63"/>
  <c r="R11" i="63"/>
  <c r="M19" i="27"/>
  <c r="N19" i="27"/>
  <c r="G19" i="27"/>
  <c r="X18" i="50"/>
  <c r="T18" i="50"/>
  <c r="P18" i="50"/>
  <c r="Y18" i="50"/>
  <c r="AC18" i="50"/>
  <c r="V18" i="50"/>
  <c r="R18" i="50"/>
  <c r="N18" i="50"/>
  <c r="U18" i="50"/>
  <c r="W18" i="50"/>
  <c r="O18" i="50"/>
  <c r="AD18" i="50"/>
  <c r="Q18" i="50"/>
  <c r="S18" i="50"/>
  <c r="K71" i="56"/>
  <c r="E71" i="56"/>
  <c r="I121" i="56"/>
  <c r="N120" i="56"/>
  <c r="C17" i="46"/>
  <c r="D16" i="46"/>
  <c r="I21" i="57"/>
  <c r="O20" i="57"/>
  <c r="I24" i="58" a="1"/>
  <c r="I24" i="58" s="1"/>
  <c r="J23" i="58" a="1"/>
  <c r="J23" i="58" s="1"/>
  <c r="I22" i="26"/>
  <c r="G22" i="26"/>
  <c r="H22" i="26"/>
  <c r="E22" i="26"/>
  <c r="C22" i="26"/>
  <c r="D22" i="26"/>
  <c r="J22" i="26"/>
  <c r="A23" i="26"/>
  <c r="B23" i="26" s="1"/>
  <c r="D23" i="26" s="1"/>
  <c r="B22" i="49"/>
  <c r="A23" i="49"/>
  <c r="E21" i="49"/>
  <c r="K21" i="49"/>
  <c r="H21" i="49"/>
  <c r="B20" i="32"/>
  <c r="A21" i="32"/>
  <c r="F39" i="51"/>
  <c r="G39" i="51"/>
  <c r="D39" i="51"/>
  <c r="H39" i="51"/>
  <c r="C39" i="51"/>
  <c r="E39" i="51"/>
  <c r="A24" i="27"/>
  <c r="B23" i="27"/>
  <c r="A41" i="51"/>
  <c r="B40" i="51"/>
  <c r="M38" i="57" l="1"/>
  <c r="E24" i="65"/>
  <c r="F19" i="65"/>
  <c r="K19" i="65" s="1"/>
  <c r="F10" i="41" s="1"/>
  <c r="A23" i="2"/>
  <c r="B23" i="2" s="1"/>
  <c r="F23" i="2" s="1"/>
  <c r="B22" i="2"/>
  <c r="J21" i="2"/>
  <c r="C21" i="2"/>
  <c r="G21" i="2"/>
  <c r="I21" i="2"/>
  <c r="K21" i="2"/>
  <c r="F21" i="2"/>
  <c r="E21" i="2"/>
  <c r="H21" i="2"/>
  <c r="D21" i="2"/>
  <c r="W19" i="27"/>
  <c r="G19" i="57"/>
  <c r="C21" i="49"/>
  <c r="J21" i="49"/>
  <c r="L21" i="49"/>
  <c r="G21" i="49"/>
  <c r="N11" i="63"/>
  <c r="F21" i="49"/>
  <c r="D21" i="49"/>
  <c r="G38" i="57"/>
  <c r="C18" i="46"/>
  <c r="D17" i="46"/>
  <c r="AI19" i="27"/>
  <c r="AN16" i="28" s="1"/>
  <c r="U19" i="27"/>
  <c r="AA16" i="28" s="1"/>
  <c r="AB19" i="27"/>
  <c r="AG16" i="28" s="1"/>
  <c r="D120" i="55"/>
  <c r="B120" i="55"/>
  <c r="J120" i="55"/>
  <c r="A120" i="55"/>
  <c r="O120" i="55" s="1"/>
  <c r="F92" i="57"/>
  <c r="J92" i="57"/>
  <c r="D92" i="57"/>
  <c r="B92" i="57"/>
  <c r="A92" i="57"/>
  <c r="P92" i="57" s="1"/>
  <c r="K92" i="57"/>
  <c r="O12" i="63"/>
  <c r="U12" i="63"/>
  <c r="X12" i="63"/>
  <c r="V12" i="63"/>
  <c r="Y12" i="63"/>
  <c r="I74" i="56"/>
  <c r="N73" i="56"/>
  <c r="N20" i="27"/>
  <c r="M20" i="27"/>
  <c r="N20" i="57"/>
  <c r="J20" i="57"/>
  <c r="K20" i="57"/>
  <c r="F20" i="57"/>
  <c r="H20" i="57"/>
  <c r="D20" i="57"/>
  <c r="E120" i="56"/>
  <c r="K120" i="56"/>
  <c r="B120" i="56"/>
  <c r="A120" i="56"/>
  <c r="O120" i="56" s="1"/>
  <c r="M122" i="55"/>
  <c r="N121" i="55"/>
  <c r="K14" i="56"/>
  <c r="E14" i="56"/>
  <c r="M13" i="63"/>
  <c r="K13" i="63"/>
  <c r="P13" i="63"/>
  <c r="I13" i="63"/>
  <c r="G13" i="63"/>
  <c r="E13" i="63"/>
  <c r="L13" i="63"/>
  <c r="F13" i="63"/>
  <c r="D13" i="63"/>
  <c r="H13" i="63"/>
  <c r="J13" i="63"/>
  <c r="AC17" i="28"/>
  <c r="AP17" i="28"/>
  <c r="AI17" i="28"/>
  <c r="AE17" i="28"/>
  <c r="AH17" i="28"/>
  <c r="Y17" i="28"/>
  <c r="AJ17" i="28"/>
  <c r="AB17" i="28"/>
  <c r="Z17" i="28"/>
  <c r="X17" i="28"/>
  <c r="AO17" i="28"/>
  <c r="AD17" i="28"/>
  <c r="W17" i="28"/>
  <c r="AF17" i="28"/>
  <c r="I94" i="57"/>
  <c r="O93" i="57"/>
  <c r="Y19" i="50"/>
  <c r="U19" i="50"/>
  <c r="Q19" i="50"/>
  <c r="AC19" i="50"/>
  <c r="AD19" i="50"/>
  <c r="W19" i="50"/>
  <c r="S19" i="50"/>
  <c r="O19" i="50"/>
  <c r="V19" i="50"/>
  <c r="N19" i="50"/>
  <c r="X19" i="50"/>
  <c r="P19" i="50"/>
  <c r="T19" i="50"/>
  <c r="R19" i="50"/>
  <c r="F20" i="27"/>
  <c r="P20" i="27"/>
  <c r="C20" i="27"/>
  <c r="I22" i="57"/>
  <c r="O22" i="57" s="1"/>
  <c r="O21" i="57"/>
  <c r="I122" i="56"/>
  <c r="N121" i="56"/>
  <c r="J73" i="55"/>
  <c r="D73" i="55"/>
  <c r="M19" i="57"/>
  <c r="J14" i="55"/>
  <c r="D14" i="55"/>
  <c r="I16" i="56"/>
  <c r="N15" i="56"/>
  <c r="B15" i="63"/>
  <c r="C14" i="63"/>
  <c r="B19" i="28"/>
  <c r="C18" i="28"/>
  <c r="L21" i="27" s="1"/>
  <c r="J39" i="57"/>
  <c r="F39" i="57"/>
  <c r="D39" i="57"/>
  <c r="K39" i="57"/>
  <c r="T12" i="63"/>
  <c r="R12" i="63"/>
  <c r="Q12" i="63"/>
  <c r="S12" i="63"/>
  <c r="B21" i="50"/>
  <c r="C20" i="50"/>
  <c r="E22" i="49" s="1"/>
  <c r="D20" i="27"/>
  <c r="K20" i="27"/>
  <c r="G20" i="27"/>
  <c r="L20" i="27"/>
  <c r="N16" i="46"/>
  <c r="L16" i="46"/>
  <c r="H16" i="46"/>
  <c r="K16" i="46"/>
  <c r="G16" i="46"/>
  <c r="J16" i="46"/>
  <c r="F16" i="46"/>
  <c r="I16" i="46"/>
  <c r="E16" i="46"/>
  <c r="M75" i="55"/>
  <c r="N74" i="55"/>
  <c r="M16" i="55"/>
  <c r="N15" i="55"/>
  <c r="I41" i="57"/>
  <c r="O40" i="57"/>
  <c r="E72" i="56"/>
  <c r="K72" i="56"/>
  <c r="H20" i="27"/>
  <c r="J20" i="27"/>
  <c r="O20" i="27"/>
  <c r="E20" i="27"/>
  <c r="G91" i="57"/>
  <c r="I25" i="58" a="1"/>
  <c r="I25" i="58" s="1"/>
  <c r="J24" i="58" a="1"/>
  <c r="J24" i="58" s="1"/>
  <c r="G23" i="26"/>
  <c r="J23" i="26"/>
  <c r="C23" i="26"/>
  <c r="E23" i="26"/>
  <c r="A24" i="26"/>
  <c r="B24" i="26" s="1"/>
  <c r="F23" i="26"/>
  <c r="H23" i="26"/>
  <c r="I23" i="26"/>
  <c r="B23" i="49"/>
  <c r="A24" i="49"/>
  <c r="L22" i="49"/>
  <c r="G22" i="49"/>
  <c r="A25" i="27"/>
  <c r="B24" i="27"/>
  <c r="D40" i="51"/>
  <c r="E40" i="51"/>
  <c r="C40" i="51"/>
  <c r="G40" i="51"/>
  <c r="F40" i="51"/>
  <c r="H40" i="51"/>
  <c r="B21" i="32"/>
  <c r="A22" i="32"/>
  <c r="B41" i="51"/>
  <c r="A42" i="51"/>
  <c r="M39" i="57" l="1"/>
  <c r="F22" i="49"/>
  <c r="J22" i="49"/>
  <c r="I22" i="49"/>
  <c r="D22" i="49"/>
  <c r="W13" i="63"/>
  <c r="H22" i="49"/>
  <c r="E27" i="65"/>
  <c r="F24" i="65"/>
  <c r="D23" i="2"/>
  <c r="I23" i="2"/>
  <c r="H23" i="2"/>
  <c r="R21" i="2"/>
  <c r="AE21" i="2"/>
  <c r="J23" i="2"/>
  <c r="K23" i="2"/>
  <c r="C23" i="2"/>
  <c r="G23" i="2"/>
  <c r="I22" i="2"/>
  <c r="F22" i="2"/>
  <c r="G22" i="2"/>
  <c r="H22" i="2"/>
  <c r="D22" i="2"/>
  <c r="K22" i="2"/>
  <c r="E22" i="2"/>
  <c r="C22" i="2"/>
  <c r="J22" i="2"/>
  <c r="E23" i="2"/>
  <c r="A24" i="2"/>
  <c r="B24" i="2" s="1"/>
  <c r="I24" i="2" s="1"/>
  <c r="K22" i="49"/>
  <c r="C22" i="49"/>
  <c r="N12" i="63"/>
  <c r="G39" i="57"/>
  <c r="G92" i="57"/>
  <c r="M20" i="57"/>
  <c r="W20" i="27"/>
  <c r="M17" i="55"/>
  <c r="N16" i="55"/>
  <c r="AC20" i="50"/>
  <c r="V20" i="50"/>
  <c r="R20" i="50"/>
  <c r="N20" i="50"/>
  <c r="AD20" i="50"/>
  <c r="X20" i="50"/>
  <c r="T20" i="50"/>
  <c r="P20" i="50"/>
  <c r="W20" i="50"/>
  <c r="O20" i="50"/>
  <c r="Q20" i="50"/>
  <c r="Y20" i="50"/>
  <c r="S20" i="50"/>
  <c r="U20" i="50"/>
  <c r="M14" i="63"/>
  <c r="K14" i="63"/>
  <c r="P14" i="63"/>
  <c r="I14" i="63"/>
  <c r="G14" i="63"/>
  <c r="L14" i="63"/>
  <c r="W14" i="63" s="1"/>
  <c r="J14" i="63"/>
  <c r="H14" i="63"/>
  <c r="F14" i="63"/>
  <c r="D14" i="63"/>
  <c r="E14" i="63"/>
  <c r="N22" i="57"/>
  <c r="D22" i="57"/>
  <c r="K22" i="57"/>
  <c r="H22" i="57"/>
  <c r="F22" i="57"/>
  <c r="J22" i="57"/>
  <c r="G16" i="38"/>
  <c r="E18" i="38"/>
  <c r="C19" i="38"/>
  <c r="E20" i="38"/>
  <c r="E17" i="38"/>
  <c r="C18" i="38"/>
  <c r="G19" i="38"/>
  <c r="C20" i="38"/>
  <c r="G21" i="38"/>
  <c r="C21" i="38"/>
  <c r="G17" i="38"/>
  <c r="E21" i="38"/>
  <c r="G18" i="38"/>
  <c r="G20" i="38"/>
  <c r="E19" i="38"/>
  <c r="M21" i="27"/>
  <c r="G21" i="27"/>
  <c r="F21" i="27"/>
  <c r="K21" i="27"/>
  <c r="D121" i="55"/>
  <c r="J121" i="55"/>
  <c r="A121" i="55"/>
  <c r="O121" i="55" s="1"/>
  <c r="B121" i="55"/>
  <c r="K40" i="57"/>
  <c r="J40" i="57"/>
  <c r="F40" i="57"/>
  <c r="D40" i="57"/>
  <c r="J74" i="55"/>
  <c r="D74" i="55"/>
  <c r="B22" i="50"/>
  <c r="C21" i="50"/>
  <c r="H23" i="49" s="1"/>
  <c r="B16" i="63"/>
  <c r="C15" i="63"/>
  <c r="E121" i="56"/>
  <c r="K121" i="56"/>
  <c r="A121" i="56"/>
  <c r="O121" i="56" s="1"/>
  <c r="B121" i="56"/>
  <c r="I21" i="27"/>
  <c r="J21" i="27"/>
  <c r="N21" i="27"/>
  <c r="O13" i="63"/>
  <c r="U13" i="63"/>
  <c r="X13" i="63"/>
  <c r="V13" i="63"/>
  <c r="Y13" i="63"/>
  <c r="M123" i="55"/>
  <c r="N122" i="55"/>
  <c r="AB20" i="27"/>
  <c r="AG17" i="28" s="1"/>
  <c r="AI20" i="27"/>
  <c r="AN17" i="28" s="1"/>
  <c r="U20" i="27"/>
  <c r="AA17" i="28" s="1"/>
  <c r="M92" i="57"/>
  <c r="I42" i="57"/>
  <c r="O41" i="57"/>
  <c r="M76" i="55"/>
  <c r="N75" i="55"/>
  <c r="AO18" i="28"/>
  <c r="AH18" i="28"/>
  <c r="AD18" i="28"/>
  <c r="AJ18" i="28"/>
  <c r="AF18" i="28"/>
  <c r="AB18" i="28"/>
  <c r="AI18" i="28"/>
  <c r="Z18" i="28"/>
  <c r="AC18" i="28"/>
  <c r="W18" i="28"/>
  <c r="Y18" i="28"/>
  <c r="AP18" i="28"/>
  <c r="AE18" i="28"/>
  <c r="X18" i="28"/>
  <c r="K15" i="56"/>
  <c r="E15" i="56"/>
  <c r="I123" i="56"/>
  <c r="N122" i="56"/>
  <c r="K93" i="57"/>
  <c r="J93" i="57"/>
  <c r="D93" i="57"/>
  <c r="B93" i="57"/>
  <c r="A93" i="57"/>
  <c r="P93" i="57" s="1"/>
  <c r="F93" i="57"/>
  <c r="H21" i="27"/>
  <c r="D21" i="27"/>
  <c r="E21" i="27"/>
  <c r="G20" i="57"/>
  <c r="K73" i="56"/>
  <c r="E73" i="56"/>
  <c r="L17" i="46"/>
  <c r="K17" i="46"/>
  <c r="J17" i="46"/>
  <c r="I17" i="46"/>
  <c r="H17" i="46"/>
  <c r="G17" i="46"/>
  <c r="N17" i="46"/>
  <c r="F17" i="46"/>
  <c r="E17" i="46"/>
  <c r="J15" i="55"/>
  <c r="D15" i="55"/>
  <c r="B20" i="28"/>
  <c r="C19" i="28"/>
  <c r="I17" i="56"/>
  <c r="N16" i="56"/>
  <c r="F21" i="57"/>
  <c r="K21" i="57"/>
  <c r="D21" i="57"/>
  <c r="N21" i="57"/>
  <c r="J21" i="57"/>
  <c r="H21" i="57"/>
  <c r="I95" i="57"/>
  <c r="O94" i="57"/>
  <c r="P21" i="27"/>
  <c r="O21" i="27"/>
  <c r="C21" i="27"/>
  <c r="T13" i="63"/>
  <c r="R13" i="63"/>
  <c r="S13" i="63"/>
  <c r="Q13" i="63"/>
  <c r="I75" i="56"/>
  <c r="N74" i="56"/>
  <c r="C19" i="46"/>
  <c r="D18" i="46"/>
  <c r="I26" i="58" a="1"/>
  <c r="I26" i="58" s="1"/>
  <c r="J25" i="58" a="1"/>
  <c r="J25" i="58" s="1"/>
  <c r="A25" i="26"/>
  <c r="B25" i="26" s="1"/>
  <c r="F24" i="26"/>
  <c r="C24" i="26"/>
  <c r="J24" i="26"/>
  <c r="H24" i="26"/>
  <c r="G24" i="26"/>
  <c r="E24" i="26"/>
  <c r="D24" i="26"/>
  <c r="I24" i="26"/>
  <c r="A25" i="49"/>
  <c r="B24" i="49"/>
  <c r="C23" i="49"/>
  <c r="L23" i="49"/>
  <c r="J23" i="49"/>
  <c r="K23" i="49"/>
  <c r="E23" i="49"/>
  <c r="I23" i="49"/>
  <c r="D23" i="49"/>
  <c r="A43" i="51"/>
  <c r="B42" i="51"/>
  <c r="B22" i="32"/>
  <c r="A23" i="32"/>
  <c r="D41" i="51"/>
  <c r="G41" i="51"/>
  <c r="E41" i="51"/>
  <c r="H41" i="51"/>
  <c r="F41" i="51"/>
  <c r="C41" i="51"/>
  <c r="A26" i="27"/>
  <c r="B25" i="27"/>
  <c r="F27" i="65" l="1"/>
  <c r="K27" i="65" s="1"/>
  <c r="K29" i="65" s="1"/>
  <c r="K24" i="65"/>
  <c r="M93" i="57"/>
  <c r="W21" i="27"/>
  <c r="G21" i="57"/>
  <c r="R23" i="2"/>
  <c r="AE23" i="2"/>
  <c r="J24" i="2"/>
  <c r="E24" i="2"/>
  <c r="H24" i="2"/>
  <c r="G24" i="2"/>
  <c r="R22" i="2"/>
  <c r="AE22" i="2"/>
  <c r="C24" i="2"/>
  <c r="F24" i="2"/>
  <c r="AK14" i="25"/>
  <c r="AK7" i="25"/>
  <c r="D24" i="2"/>
  <c r="K24" i="2"/>
  <c r="A25" i="2"/>
  <c r="B25" i="2" s="1"/>
  <c r="F25" i="2" s="1"/>
  <c r="G23" i="49"/>
  <c r="F23" i="49"/>
  <c r="M40" i="57"/>
  <c r="C20" i="46"/>
  <c r="D19" i="46"/>
  <c r="AP19" i="28"/>
  <c r="AI19" i="28"/>
  <c r="AE19" i="28"/>
  <c r="AC19" i="28"/>
  <c r="AJ19" i="28"/>
  <c r="AB19" i="28"/>
  <c r="W19" i="28"/>
  <c r="AO19" i="28"/>
  <c r="AD19" i="28"/>
  <c r="X19" i="28"/>
  <c r="Z19" i="28"/>
  <c r="AF19" i="28"/>
  <c r="Y19" i="28"/>
  <c r="AH19" i="28"/>
  <c r="C22" i="27"/>
  <c r="K22" i="27"/>
  <c r="N22" i="27"/>
  <c r="J75" i="55"/>
  <c r="D75" i="55"/>
  <c r="D122" i="55"/>
  <c r="J122" i="55"/>
  <c r="A122" i="55"/>
  <c r="O122" i="55" s="1"/>
  <c r="B122" i="55"/>
  <c r="AD21" i="50"/>
  <c r="W21" i="50"/>
  <c r="S21" i="50"/>
  <c r="O21" i="50"/>
  <c r="Y21" i="50"/>
  <c r="U21" i="50"/>
  <c r="Q21" i="50"/>
  <c r="AC21" i="50"/>
  <c r="X21" i="50"/>
  <c r="P21" i="50"/>
  <c r="R21" i="50"/>
  <c r="V21" i="50"/>
  <c r="N21" i="50"/>
  <c r="T21" i="50"/>
  <c r="G40" i="57"/>
  <c r="F24" i="57"/>
  <c r="K74" i="56"/>
  <c r="E74" i="56"/>
  <c r="M21" i="57"/>
  <c r="B21" i="28"/>
  <c r="C20" i="28"/>
  <c r="J23" i="27" s="1"/>
  <c r="K122" i="56"/>
  <c r="E122" i="56"/>
  <c r="A122" i="56"/>
  <c r="O122" i="56" s="1"/>
  <c r="B122" i="56"/>
  <c r="L22" i="27"/>
  <c r="D22" i="27"/>
  <c r="O22" i="27"/>
  <c r="I22" i="27"/>
  <c r="M77" i="55"/>
  <c r="N76" i="55"/>
  <c r="M124" i="55"/>
  <c r="N124" i="55" s="1"/>
  <c r="N123" i="55"/>
  <c r="B23" i="50"/>
  <c r="C22" i="50"/>
  <c r="I24" i="49" s="1"/>
  <c r="S14" i="63"/>
  <c r="Q14" i="63"/>
  <c r="R14" i="63"/>
  <c r="T14" i="63"/>
  <c r="I76" i="56"/>
  <c r="N75" i="56"/>
  <c r="A94" i="57"/>
  <c r="P94" i="57" s="1"/>
  <c r="K94" i="57"/>
  <c r="F94" i="57"/>
  <c r="B94" i="57"/>
  <c r="D94" i="57"/>
  <c r="J94" i="57"/>
  <c r="M94" i="57" s="1"/>
  <c r="K16" i="56"/>
  <c r="E16" i="56"/>
  <c r="G93" i="57"/>
  <c r="I124" i="56"/>
  <c r="N124" i="56" s="1"/>
  <c r="N123" i="56"/>
  <c r="H22" i="27"/>
  <c r="J22" i="27"/>
  <c r="E22" i="27"/>
  <c r="M22" i="27"/>
  <c r="K41" i="57"/>
  <c r="D41" i="57"/>
  <c r="J41" i="57"/>
  <c r="F41" i="57"/>
  <c r="P15" i="63"/>
  <c r="L15" i="63"/>
  <c r="W15" i="63" s="1"/>
  <c r="M15" i="63"/>
  <c r="K15" i="63"/>
  <c r="J15" i="63"/>
  <c r="H15" i="63"/>
  <c r="F15" i="63"/>
  <c r="D15" i="63"/>
  <c r="E15" i="63"/>
  <c r="G15" i="63"/>
  <c r="I15" i="63"/>
  <c r="G22" i="38"/>
  <c r="K24" i="57"/>
  <c r="U14" i="63"/>
  <c r="O14" i="63"/>
  <c r="J16" i="55"/>
  <c r="D16" i="55"/>
  <c r="N18" i="46"/>
  <c r="L18" i="46"/>
  <c r="K18" i="46"/>
  <c r="J18" i="46"/>
  <c r="I18" i="46"/>
  <c r="H18" i="46"/>
  <c r="G18" i="46"/>
  <c r="F18" i="46"/>
  <c r="E18" i="46"/>
  <c r="N13" i="63"/>
  <c r="I96" i="57"/>
  <c r="O95" i="57"/>
  <c r="I18" i="56"/>
  <c r="N17" i="56"/>
  <c r="G22" i="27"/>
  <c r="P22" i="27"/>
  <c r="F22" i="27"/>
  <c r="I43" i="57"/>
  <c r="O42" i="57"/>
  <c r="U21" i="27"/>
  <c r="AA18" i="28" s="1"/>
  <c r="AB21" i="27"/>
  <c r="AG18" i="28" s="1"/>
  <c r="AI21" i="27"/>
  <c r="AN18" i="28" s="1"/>
  <c r="B17" i="63"/>
  <c r="C16" i="63"/>
  <c r="E22" i="38"/>
  <c r="M22" i="57"/>
  <c r="M24" i="57" s="1"/>
  <c r="J24" i="57"/>
  <c r="G22" i="57"/>
  <c r="G24" i="57" s="1"/>
  <c r="D24" i="57"/>
  <c r="Y14" i="63"/>
  <c r="X14" i="63"/>
  <c r="V14" i="63"/>
  <c r="M18" i="55"/>
  <c r="N17" i="55"/>
  <c r="I27" i="58" a="1"/>
  <c r="I27" i="58" s="1"/>
  <c r="J26" i="58" a="1"/>
  <c r="J26" i="58" s="1"/>
  <c r="F25" i="26"/>
  <c r="E25" i="26"/>
  <c r="D25" i="26"/>
  <c r="J25" i="26"/>
  <c r="C25" i="26"/>
  <c r="I25" i="26"/>
  <c r="G25" i="26"/>
  <c r="H25" i="26"/>
  <c r="A26" i="26"/>
  <c r="B26" i="26" s="1"/>
  <c r="F24" i="49"/>
  <c r="D24" i="49"/>
  <c r="H24" i="49"/>
  <c r="G24" i="49"/>
  <c r="L24" i="49"/>
  <c r="K24" i="49"/>
  <c r="A26" i="49"/>
  <c r="B25" i="49"/>
  <c r="D25" i="2"/>
  <c r="K25" i="2"/>
  <c r="C25" i="2"/>
  <c r="H25" i="2"/>
  <c r="G42" i="51"/>
  <c r="E42" i="51"/>
  <c r="D42" i="51"/>
  <c r="F42" i="51"/>
  <c r="C42" i="51"/>
  <c r="H42" i="51"/>
  <c r="A27" i="27"/>
  <c r="B26" i="27"/>
  <c r="R24" i="2"/>
  <c r="AE24" i="2"/>
  <c r="B43" i="51"/>
  <c r="A44" i="51"/>
  <c r="A24" i="32"/>
  <c r="B23" i="32"/>
  <c r="M41" i="57" l="1"/>
  <c r="W22" i="27"/>
  <c r="E25" i="2"/>
  <c r="I25" i="2"/>
  <c r="J25" i="2"/>
  <c r="G25" i="2"/>
  <c r="A26" i="2"/>
  <c r="B26" i="2" s="1"/>
  <c r="H26" i="2" s="1"/>
  <c r="E24" i="49"/>
  <c r="J24" i="49"/>
  <c r="G94" i="57"/>
  <c r="C24" i="49"/>
  <c r="M19" i="55"/>
  <c r="N18" i="55"/>
  <c r="I19" i="56"/>
  <c r="N18" i="56"/>
  <c r="B24" i="50"/>
  <c r="C23" i="50"/>
  <c r="M78" i="55"/>
  <c r="N77" i="55"/>
  <c r="AI22" i="27"/>
  <c r="AN19" i="28" s="1"/>
  <c r="AB22" i="27"/>
  <c r="AG19" i="28" s="1"/>
  <c r="U22" i="27"/>
  <c r="AA19" i="28" s="1"/>
  <c r="F23" i="27"/>
  <c r="L23" i="27"/>
  <c r="H23" i="27"/>
  <c r="P16" i="63"/>
  <c r="L16" i="63"/>
  <c r="M16" i="63"/>
  <c r="K16" i="63"/>
  <c r="J16" i="63"/>
  <c r="H16" i="63"/>
  <c r="F16" i="63"/>
  <c r="I16" i="63"/>
  <c r="G16" i="63"/>
  <c r="E16" i="63"/>
  <c r="D16" i="63"/>
  <c r="K95" i="57"/>
  <c r="D95" i="57"/>
  <c r="F95" i="57"/>
  <c r="B95" i="57"/>
  <c r="A95" i="57"/>
  <c r="P95" i="57" s="1"/>
  <c r="J95" i="57"/>
  <c r="M95" i="57" s="1"/>
  <c r="S15" i="63"/>
  <c r="T15" i="63"/>
  <c r="Q15" i="63"/>
  <c r="R15" i="63"/>
  <c r="E75" i="56"/>
  <c r="K75" i="56"/>
  <c r="N14" i="63"/>
  <c r="J123" i="55"/>
  <c r="A123" i="55"/>
  <c r="O123" i="55" s="1"/>
  <c r="B123" i="55"/>
  <c r="D123" i="55"/>
  <c r="AJ20" i="28"/>
  <c r="AF20" i="28"/>
  <c r="AB20" i="28"/>
  <c r="AO20" i="28"/>
  <c r="AH20" i="28"/>
  <c r="AD20" i="28"/>
  <c r="AC20" i="28"/>
  <c r="X20" i="28"/>
  <c r="AP20" i="28"/>
  <c r="AE20" i="28"/>
  <c r="Y20" i="28"/>
  <c r="AI20" i="28"/>
  <c r="Z20" i="28"/>
  <c r="W20" i="28"/>
  <c r="C23" i="27"/>
  <c r="I23" i="27"/>
  <c r="N23" i="27"/>
  <c r="B18" i="63"/>
  <c r="C17" i="63"/>
  <c r="K42" i="57"/>
  <c r="J42" i="57"/>
  <c r="F42" i="57"/>
  <c r="D42" i="57"/>
  <c r="I97" i="57"/>
  <c r="O96" i="57"/>
  <c r="U15" i="63"/>
  <c r="O15" i="63"/>
  <c r="G41" i="57"/>
  <c r="K123" i="56"/>
  <c r="E123" i="56"/>
  <c r="A123" i="56"/>
  <c r="O123" i="56" s="1"/>
  <c r="B123" i="56"/>
  <c r="I77" i="56"/>
  <c r="N76" i="56"/>
  <c r="A124" i="55"/>
  <c r="O124" i="55" s="1"/>
  <c r="B124" i="55"/>
  <c r="D124" i="55"/>
  <c r="J124" i="55"/>
  <c r="B22" i="28"/>
  <c r="C21" i="28"/>
  <c r="G24" i="27" s="1"/>
  <c r="D23" i="27"/>
  <c r="G23" i="27"/>
  <c r="K23" i="27"/>
  <c r="N19" i="46"/>
  <c r="L19" i="46"/>
  <c r="K19" i="46"/>
  <c r="J19" i="46"/>
  <c r="I19" i="46"/>
  <c r="H19" i="46"/>
  <c r="G19" i="46"/>
  <c r="F19" i="46"/>
  <c r="E19" i="46"/>
  <c r="J17" i="55"/>
  <c r="D17" i="55"/>
  <c r="I44" i="57"/>
  <c r="O43" i="57"/>
  <c r="K17" i="56"/>
  <c r="E17" i="56"/>
  <c r="X15" i="63"/>
  <c r="V15" i="63"/>
  <c r="Y15" i="63"/>
  <c r="K124" i="56"/>
  <c r="E124" i="56"/>
  <c r="A124" i="56"/>
  <c r="O124" i="56" s="1"/>
  <c r="B124" i="56"/>
  <c r="X22" i="50"/>
  <c r="T22" i="50"/>
  <c r="P22" i="50"/>
  <c r="Y22" i="50"/>
  <c r="AC22" i="50"/>
  <c r="V22" i="50"/>
  <c r="R22" i="50"/>
  <c r="N22" i="50"/>
  <c r="Q22" i="50"/>
  <c r="S22" i="50"/>
  <c r="O22" i="50"/>
  <c r="AD22" i="50"/>
  <c r="U22" i="50"/>
  <c r="W22" i="50"/>
  <c r="D76" i="55"/>
  <c r="J76" i="55"/>
  <c r="M23" i="27"/>
  <c r="E23" i="27"/>
  <c r="P23" i="27"/>
  <c r="O23" i="27"/>
  <c r="C21" i="46"/>
  <c r="D20" i="46"/>
  <c r="I28" i="58" a="1"/>
  <c r="I28" i="58" s="1"/>
  <c r="J27" i="58" a="1"/>
  <c r="J27" i="58" s="1"/>
  <c r="H26" i="26"/>
  <c r="C26" i="26"/>
  <c r="D26" i="26"/>
  <c r="G26" i="26"/>
  <c r="J26" i="26"/>
  <c r="I26" i="26"/>
  <c r="E26" i="26"/>
  <c r="F26" i="26"/>
  <c r="A27" i="26"/>
  <c r="I25" i="49"/>
  <c r="G25" i="49"/>
  <c r="K25" i="49"/>
  <c r="J25" i="49"/>
  <c r="D25" i="49"/>
  <c r="F25" i="49"/>
  <c r="C25" i="49"/>
  <c r="H25" i="49"/>
  <c r="L25" i="49"/>
  <c r="E25" i="49"/>
  <c r="B26" i="49"/>
  <c r="A27" i="49"/>
  <c r="A28" i="27"/>
  <c r="B27" i="27"/>
  <c r="R25" i="2"/>
  <c r="AE25" i="2"/>
  <c r="I26" i="2"/>
  <c r="G26" i="2"/>
  <c r="D26" i="2"/>
  <c r="F26" i="2"/>
  <c r="J26" i="2"/>
  <c r="K26" i="2"/>
  <c r="C26" i="2"/>
  <c r="B24" i="32"/>
  <c r="A25" i="32"/>
  <c r="A45" i="51"/>
  <c r="B44" i="51"/>
  <c r="G43" i="51"/>
  <c r="E43" i="51"/>
  <c r="H43" i="51"/>
  <c r="D43" i="51"/>
  <c r="C43" i="51"/>
  <c r="F43" i="51"/>
  <c r="N24" i="27" l="1"/>
  <c r="C24" i="27"/>
  <c r="O24" i="27"/>
  <c r="W23" i="27"/>
  <c r="E26" i="2"/>
  <c r="A27" i="2"/>
  <c r="B27" i="2" s="1"/>
  <c r="I27" i="2" s="1"/>
  <c r="K24" i="27"/>
  <c r="G42" i="57"/>
  <c r="C22" i="46"/>
  <c r="D21" i="46"/>
  <c r="I78" i="56"/>
  <c r="N77" i="56"/>
  <c r="B19" i="63"/>
  <c r="C18" i="63"/>
  <c r="M24" i="27"/>
  <c r="J24" i="27"/>
  <c r="O16" i="63"/>
  <c r="U16" i="63"/>
  <c r="X16" i="63"/>
  <c r="V16" i="63"/>
  <c r="Y16" i="63"/>
  <c r="B25" i="50"/>
  <c r="C24" i="50"/>
  <c r="AC21" i="28"/>
  <c r="AP21" i="28"/>
  <c r="AI21" i="28"/>
  <c r="AE21" i="28"/>
  <c r="AO21" i="28"/>
  <c r="AD21" i="28"/>
  <c r="Y21" i="28"/>
  <c r="AF21" i="28"/>
  <c r="Z21" i="28"/>
  <c r="AH21" i="28"/>
  <c r="W21" i="28"/>
  <c r="AJ21" i="28"/>
  <c r="AB21" i="28"/>
  <c r="X21" i="28"/>
  <c r="A96" i="57"/>
  <c r="P96" i="57" s="1"/>
  <c r="K96" i="57"/>
  <c r="F96" i="57"/>
  <c r="D96" i="57"/>
  <c r="G96" i="57" s="1"/>
  <c r="J96" i="57"/>
  <c r="B96" i="57"/>
  <c r="M42" i="57"/>
  <c r="F24" i="27"/>
  <c r="I24" i="27"/>
  <c r="L24" i="27"/>
  <c r="N15" i="63"/>
  <c r="G95" i="57"/>
  <c r="W16" i="63"/>
  <c r="D77" i="55"/>
  <c r="J77" i="55"/>
  <c r="K18" i="56"/>
  <c r="E18" i="56"/>
  <c r="K43" i="57"/>
  <c r="F43" i="57"/>
  <c r="J43" i="57"/>
  <c r="D43" i="57"/>
  <c r="B23" i="28"/>
  <c r="C22" i="28"/>
  <c r="I98" i="57"/>
  <c r="O97" i="57"/>
  <c r="D24" i="27"/>
  <c r="P24" i="27"/>
  <c r="U24" i="27" s="1"/>
  <c r="AA21" i="28" s="1"/>
  <c r="T16" i="63"/>
  <c r="R16" i="63"/>
  <c r="S16" i="63"/>
  <c r="Q16" i="63"/>
  <c r="M79" i="55"/>
  <c r="N78" i="55"/>
  <c r="I20" i="56"/>
  <c r="N19" i="56"/>
  <c r="D18" i="55"/>
  <c r="J18" i="55"/>
  <c r="N20" i="46"/>
  <c r="L20" i="46"/>
  <c r="K20" i="46"/>
  <c r="G20" i="46"/>
  <c r="J20" i="46"/>
  <c r="I20" i="46"/>
  <c r="E20" i="46"/>
  <c r="H20" i="46"/>
  <c r="F20" i="46"/>
  <c r="I45" i="57"/>
  <c r="O44" i="57"/>
  <c r="E76" i="56"/>
  <c r="K76" i="56"/>
  <c r="M17" i="63"/>
  <c r="K17" i="63"/>
  <c r="P17" i="63"/>
  <c r="L17" i="63"/>
  <c r="I17" i="63"/>
  <c r="G17" i="63"/>
  <c r="E17" i="63"/>
  <c r="F17" i="63"/>
  <c r="H17" i="63"/>
  <c r="J17" i="63"/>
  <c r="D17" i="63"/>
  <c r="AB23" i="27"/>
  <c r="AG20" i="28" s="1"/>
  <c r="U23" i="27"/>
  <c r="AA20" i="28" s="1"/>
  <c r="AI23" i="27"/>
  <c r="AN20" i="28" s="1"/>
  <c r="H24" i="27"/>
  <c r="E24" i="27"/>
  <c r="Y23" i="50"/>
  <c r="U23" i="50"/>
  <c r="Q23" i="50"/>
  <c r="AC23" i="50"/>
  <c r="AD23" i="50"/>
  <c r="W23" i="50"/>
  <c r="S23" i="50"/>
  <c r="O23" i="50"/>
  <c r="R23" i="50"/>
  <c r="T23" i="50"/>
  <c r="X23" i="50"/>
  <c r="V23" i="50"/>
  <c r="N23" i="50"/>
  <c r="P23" i="50"/>
  <c r="M20" i="55"/>
  <c r="N19" i="55"/>
  <c r="I29" i="58" a="1"/>
  <c r="I29" i="58" s="1"/>
  <c r="J28" i="58" a="1"/>
  <c r="J28" i="58" s="1"/>
  <c r="B27" i="26"/>
  <c r="A28" i="26"/>
  <c r="B28" i="26" s="1"/>
  <c r="B27" i="49"/>
  <c r="A28" i="49"/>
  <c r="H26" i="49"/>
  <c r="K26" i="49"/>
  <c r="C26" i="49"/>
  <c r="D26" i="49"/>
  <c r="I26" i="49"/>
  <c r="L26" i="49"/>
  <c r="G26" i="49"/>
  <c r="E26" i="49"/>
  <c r="F26" i="49"/>
  <c r="J26" i="49"/>
  <c r="D44" i="51"/>
  <c r="E44" i="51"/>
  <c r="G44" i="51"/>
  <c r="H44" i="51"/>
  <c r="F44" i="51"/>
  <c r="C44" i="51"/>
  <c r="R26" i="2"/>
  <c r="AE26" i="2"/>
  <c r="A46" i="51"/>
  <c r="B45" i="51"/>
  <c r="A29" i="27"/>
  <c r="B28" i="27"/>
  <c r="B25" i="32"/>
  <c r="A26" i="32"/>
  <c r="K25" i="27" l="1"/>
  <c r="H25" i="27"/>
  <c r="E25" i="27"/>
  <c r="M25" i="27"/>
  <c r="G43" i="57"/>
  <c r="W24" i="27"/>
  <c r="C27" i="2"/>
  <c r="E27" i="2"/>
  <c r="H27" i="2"/>
  <c r="F27" i="2"/>
  <c r="G27" i="2"/>
  <c r="K27" i="2"/>
  <c r="J27" i="2"/>
  <c r="D27" i="2"/>
  <c r="A28" i="2"/>
  <c r="B28" i="2" s="1"/>
  <c r="G28" i="2" s="1"/>
  <c r="N16" i="63"/>
  <c r="J25" i="27"/>
  <c r="W17" i="63"/>
  <c r="I25" i="27"/>
  <c r="K19" i="56"/>
  <c r="E19" i="56"/>
  <c r="AB24" i="27"/>
  <c r="AG21" i="28" s="1"/>
  <c r="D19" i="55"/>
  <c r="J19" i="55"/>
  <c r="I21" i="56"/>
  <c r="N20" i="56"/>
  <c r="K97" i="57"/>
  <c r="F97" i="57"/>
  <c r="D97" i="57"/>
  <c r="J97" i="57"/>
  <c r="B97" i="57"/>
  <c r="A97" i="57"/>
  <c r="P97" i="57" s="1"/>
  <c r="M96" i="57"/>
  <c r="F25" i="27"/>
  <c r="AC24" i="50"/>
  <c r="V24" i="50"/>
  <c r="R24" i="50"/>
  <c r="N24" i="50"/>
  <c r="AD24" i="50"/>
  <c r="X24" i="50"/>
  <c r="T24" i="50"/>
  <c r="P24" i="50"/>
  <c r="S24" i="50"/>
  <c r="Y24" i="50"/>
  <c r="U24" i="50"/>
  <c r="Q24" i="50"/>
  <c r="W24" i="50"/>
  <c r="O24" i="50"/>
  <c r="I79" i="56"/>
  <c r="N78" i="56"/>
  <c r="B24" i="28"/>
  <c r="C23" i="28"/>
  <c r="E77" i="56"/>
  <c r="K77" i="56"/>
  <c r="M21" i="55"/>
  <c r="N20" i="55"/>
  <c r="O17" i="63"/>
  <c r="U17" i="63"/>
  <c r="Q17" i="63"/>
  <c r="T17" i="63"/>
  <c r="R17" i="63"/>
  <c r="S17" i="63"/>
  <c r="D78" i="55"/>
  <c r="J78" i="55"/>
  <c r="AI24" i="27"/>
  <c r="AN21" i="28" s="1"/>
  <c r="I99" i="57"/>
  <c r="O98" i="57"/>
  <c r="M43" i="57"/>
  <c r="C25" i="27"/>
  <c r="N25" i="27"/>
  <c r="L25" i="27"/>
  <c r="B26" i="50"/>
  <c r="C25" i="50"/>
  <c r="M18" i="63"/>
  <c r="K18" i="63"/>
  <c r="P18" i="63"/>
  <c r="L18" i="63"/>
  <c r="W18" i="63" s="1"/>
  <c r="I18" i="63"/>
  <c r="G18" i="63"/>
  <c r="E18" i="63"/>
  <c r="J18" i="63"/>
  <c r="H18" i="63"/>
  <c r="F18" i="63"/>
  <c r="D18" i="63"/>
  <c r="N21" i="46"/>
  <c r="K21" i="46"/>
  <c r="J21" i="46"/>
  <c r="I21" i="46"/>
  <c r="H21" i="46"/>
  <c r="G21" i="46"/>
  <c r="L21" i="46"/>
  <c r="F21" i="46"/>
  <c r="E21" i="46"/>
  <c r="Y17" i="63"/>
  <c r="V17" i="63"/>
  <c r="X17" i="63"/>
  <c r="I46" i="57"/>
  <c r="O45" i="57"/>
  <c r="K44" i="57"/>
  <c r="J44" i="57"/>
  <c r="F44" i="57"/>
  <c r="D44" i="57"/>
  <c r="M80" i="55"/>
  <c r="N79" i="55"/>
  <c r="AO22" i="28"/>
  <c r="AH22" i="28"/>
  <c r="AD22" i="28"/>
  <c r="AJ22" i="28"/>
  <c r="AF22" i="28"/>
  <c r="AB22" i="28"/>
  <c r="AP22" i="28"/>
  <c r="AE22" i="28"/>
  <c r="Z22" i="28"/>
  <c r="W22" i="28"/>
  <c r="AC22" i="28"/>
  <c r="AI22" i="28"/>
  <c r="X22" i="28"/>
  <c r="Y22" i="28"/>
  <c r="P26" i="27"/>
  <c r="I26" i="27"/>
  <c r="J26" i="27"/>
  <c r="E26" i="27"/>
  <c r="H26" i="27"/>
  <c r="C26" i="27"/>
  <c r="G26" i="27"/>
  <c r="O26" i="27"/>
  <c r="L26" i="27"/>
  <c r="N26" i="27"/>
  <c r="K26" i="27"/>
  <c r="M26" i="27"/>
  <c r="F26" i="27"/>
  <c r="D26" i="27"/>
  <c r="O25" i="27"/>
  <c r="G25" i="27"/>
  <c r="D25" i="27"/>
  <c r="P25" i="27"/>
  <c r="B20" i="63"/>
  <c r="C19" i="63"/>
  <c r="C23" i="46"/>
  <c r="D22" i="46"/>
  <c r="I30" i="58" a="1"/>
  <c r="I30" i="58" s="1"/>
  <c r="J29" i="58" a="1"/>
  <c r="J29" i="58" s="1"/>
  <c r="F28" i="26"/>
  <c r="H28" i="26"/>
  <c r="G28" i="26"/>
  <c r="E28" i="26"/>
  <c r="D28" i="26"/>
  <c r="C28" i="26"/>
  <c r="J28" i="26"/>
  <c r="I28" i="26"/>
  <c r="A29" i="26"/>
  <c r="B29" i="26" s="1"/>
  <c r="C27" i="26"/>
  <c r="G27" i="26"/>
  <c r="H27" i="26"/>
  <c r="J27" i="26"/>
  <c r="E27" i="26"/>
  <c r="F27" i="26"/>
  <c r="I27" i="26"/>
  <c r="D27" i="26"/>
  <c r="B28" i="49"/>
  <c r="A29" i="49"/>
  <c r="K27" i="49"/>
  <c r="F27" i="49"/>
  <c r="J27" i="49"/>
  <c r="D27" i="49"/>
  <c r="H27" i="49"/>
  <c r="C27" i="49"/>
  <c r="I27" i="49"/>
  <c r="G27" i="49"/>
  <c r="L27" i="49"/>
  <c r="E27" i="49"/>
  <c r="D28" i="2"/>
  <c r="B26" i="32"/>
  <c r="A27" i="32"/>
  <c r="R27" i="2"/>
  <c r="AE27" i="2"/>
  <c r="A30" i="27"/>
  <c r="B29" i="27"/>
  <c r="A47" i="51"/>
  <c r="B46" i="51"/>
  <c r="H45" i="51"/>
  <c r="F45" i="51"/>
  <c r="C45" i="51"/>
  <c r="E45" i="51"/>
  <c r="D45" i="51"/>
  <c r="G45" i="51"/>
  <c r="W26" i="27" l="1"/>
  <c r="W25" i="27"/>
  <c r="G97" i="57"/>
  <c r="I28" i="2"/>
  <c r="J28" i="2"/>
  <c r="E28" i="2"/>
  <c r="C28" i="2"/>
  <c r="F28" i="2"/>
  <c r="K28" i="2"/>
  <c r="H28" i="2"/>
  <c r="A29" i="2"/>
  <c r="B29" i="2" s="1"/>
  <c r="I29" i="2" s="1"/>
  <c r="G44" i="57"/>
  <c r="M97" i="57"/>
  <c r="M44" i="57"/>
  <c r="N22" i="46"/>
  <c r="L22" i="46"/>
  <c r="K22" i="46"/>
  <c r="J22" i="46"/>
  <c r="I22" i="46"/>
  <c r="H22" i="46"/>
  <c r="G22" i="46"/>
  <c r="F22" i="46"/>
  <c r="E22" i="46"/>
  <c r="AI26" i="27"/>
  <c r="AB26" i="27"/>
  <c r="U26" i="27"/>
  <c r="M81" i="55"/>
  <c r="N80" i="55"/>
  <c r="F98" i="57"/>
  <c r="J98" i="57"/>
  <c r="B98" i="57"/>
  <c r="A98" i="57"/>
  <c r="P98" i="57" s="1"/>
  <c r="D98" i="57"/>
  <c r="G98" i="57" s="1"/>
  <c r="K98" i="57"/>
  <c r="M98" i="57" s="1"/>
  <c r="N17" i="63"/>
  <c r="M22" i="55"/>
  <c r="N21" i="55"/>
  <c r="B25" i="28"/>
  <c r="C24" i="28"/>
  <c r="H27" i="27" s="1"/>
  <c r="C24" i="46"/>
  <c r="D23" i="46"/>
  <c r="K45" i="57"/>
  <c r="J45" i="57"/>
  <c r="F45" i="57"/>
  <c r="D45" i="57"/>
  <c r="G45" i="57" s="1"/>
  <c r="Y18" i="63"/>
  <c r="X18" i="63"/>
  <c r="V18" i="63"/>
  <c r="AI25" i="27"/>
  <c r="AN22" i="28" s="1"/>
  <c r="U25" i="27"/>
  <c r="AA22" i="28" s="1"/>
  <c r="AB25" i="27"/>
  <c r="AG22" i="28" s="1"/>
  <c r="I100" i="57"/>
  <c r="O99" i="57"/>
  <c r="E78" i="56"/>
  <c r="K78" i="56"/>
  <c r="E20" i="56"/>
  <c r="K20" i="56"/>
  <c r="P19" i="63"/>
  <c r="L19" i="63"/>
  <c r="J19" i="63"/>
  <c r="H19" i="63"/>
  <c r="F19" i="63"/>
  <c r="D19" i="63"/>
  <c r="M19" i="63"/>
  <c r="G19" i="63"/>
  <c r="I19" i="63"/>
  <c r="E19" i="63"/>
  <c r="K19" i="63"/>
  <c r="I47" i="57"/>
  <c r="O46" i="57"/>
  <c r="AD25" i="50"/>
  <c r="W25" i="50"/>
  <c r="S25" i="50"/>
  <c r="O25" i="50"/>
  <c r="Y25" i="50"/>
  <c r="U25" i="50"/>
  <c r="Q25" i="50"/>
  <c r="T25" i="50"/>
  <c r="V25" i="50"/>
  <c r="N25" i="50"/>
  <c r="AC25" i="50"/>
  <c r="X25" i="50"/>
  <c r="P25" i="50"/>
  <c r="R25" i="50"/>
  <c r="I80" i="56"/>
  <c r="N79" i="56"/>
  <c r="I22" i="56"/>
  <c r="N21" i="56"/>
  <c r="B21" i="63"/>
  <c r="C20" i="63"/>
  <c r="J79" i="55"/>
  <c r="D79" i="55"/>
  <c r="U18" i="63"/>
  <c r="O18" i="63"/>
  <c r="S18" i="63"/>
  <c r="Q18" i="63"/>
  <c r="T18" i="63"/>
  <c r="R18" i="63"/>
  <c r="B27" i="50"/>
  <c r="C26" i="50"/>
  <c r="J20" i="55"/>
  <c r="D20" i="55"/>
  <c r="AP23" i="28"/>
  <c r="AI23" i="28"/>
  <c r="AE23" i="28"/>
  <c r="AA23" i="28"/>
  <c r="AN23" i="28"/>
  <c r="AG23" i="28"/>
  <c r="AC23" i="28"/>
  <c r="AF23" i="28"/>
  <c r="W23" i="28"/>
  <c r="AD23" i="28"/>
  <c r="AH23" i="28"/>
  <c r="X23" i="28"/>
  <c r="AJ23" i="28"/>
  <c r="AB23" i="28"/>
  <c r="Y23" i="28"/>
  <c r="AO23" i="28"/>
  <c r="Z23" i="28"/>
  <c r="J27" i="27"/>
  <c r="I27" i="27"/>
  <c r="E27" i="27"/>
  <c r="I31" i="58" a="1"/>
  <c r="I31" i="58" s="1"/>
  <c r="J30" i="58" a="1"/>
  <c r="J30" i="58" s="1"/>
  <c r="A30" i="26"/>
  <c r="B30" i="26" s="1"/>
  <c r="H29" i="26"/>
  <c r="E29" i="26"/>
  <c r="I29" i="26"/>
  <c r="J29" i="26"/>
  <c r="G29" i="26"/>
  <c r="F29" i="26"/>
  <c r="C29" i="26"/>
  <c r="D29" i="26"/>
  <c r="A30" i="49"/>
  <c r="B29" i="49"/>
  <c r="F28" i="49"/>
  <c r="D28" i="49"/>
  <c r="H28" i="49"/>
  <c r="J28" i="49"/>
  <c r="I28" i="49"/>
  <c r="G28" i="49"/>
  <c r="C28" i="49"/>
  <c r="E28" i="49"/>
  <c r="L28" i="49"/>
  <c r="K28" i="49"/>
  <c r="A31" i="27"/>
  <c r="B30" i="27"/>
  <c r="G46" i="51"/>
  <c r="E46" i="51"/>
  <c r="H46" i="51"/>
  <c r="D46" i="51"/>
  <c r="C46" i="51"/>
  <c r="F46" i="51"/>
  <c r="A48" i="51"/>
  <c r="B47" i="51"/>
  <c r="A28" i="32"/>
  <c r="B27" i="32"/>
  <c r="R28" i="2" l="1"/>
  <c r="C29" i="2"/>
  <c r="H29" i="2"/>
  <c r="K29" i="2"/>
  <c r="AE28" i="2"/>
  <c r="J29" i="2"/>
  <c r="F29" i="2"/>
  <c r="D29" i="2"/>
  <c r="G29" i="2"/>
  <c r="R29" i="2" s="1"/>
  <c r="E29" i="2"/>
  <c r="A30" i="2"/>
  <c r="B30" i="2" s="1"/>
  <c r="C30" i="2" s="1"/>
  <c r="D27" i="27"/>
  <c r="L27" i="27"/>
  <c r="M27" i="27"/>
  <c r="F27" i="27"/>
  <c r="C27" i="27"/>
  <c r="G27" i="27"/>
  <c r="P27" i="27"/>
  <c r="O27" i="27"/>
  <c r="N27" i="27"/>
  <c r="K27" i="27"/>
  <c r="P20" i="63"/>
  <c r="L20" i="63"/>
  <c r="M20" i="63"/>
  <c r="J20" i="63"/>
  <c r="H20" i="63"/>
  <c r="F20" i="63"/>
  <c r="K20" i="63"/>
  <c r="I20" i="63"/>
  <c r="G20" i="63"/>
  <c r="E20" i="63"/>
  <c r="D20" i="63"/>
  <c r="K79" i="56"/>
  <c r="E79" i="56"/>
  <c r="J46" i="57"/>
  <c r="K46" i="57"/>
  <c r="F46" i="57"/>
  <c r="D46" i="57"/>
  <c r="R19" i="63"/>
  <c r="S19" i="63"/>
  <c r="T19" i="63"/>
  <c r="Q19" i="63"/>
  <c r="B26" i="28"/>
  <c r="C25" i="28"/>
  <c r="B22" i="63"/>
  <c r="C21" i="63"/>
  <c r="I81" i="56"/>
  <c r="N80" i="56"/>
  <c r="I48" i="57"/>
  <c r="O47" i="57"/>
  <c r="A99" i="57"/>
  <c r="P99" i="57" s="1"/>
  <c r="D99" i="57"/>
  <c r="F99" i="57"/>
  <c r="K99" i="57"/>
  <c r="J99" i="57"/>
  <c r="B99" i="57"/>
  <c r="N23" i="46"/>
  <c r="L23" i="46"/>
  <c r="K23" i="46"/>
  <c r="J23" i="46"/>
  <c r="I23" i="46"/>
  <c r="H23" i="46"/>
  <c r="G23" i="46"/>
  <c r="E23" i="46"/>
  <c r="F23" i="46"/>
  <c r="J21" i="55"/>
  <c r="D21" i="55"/>
  <c r="X26" i="50"/>
  <c r="T26" i="50"/>
  <c r="P26" i="50"/>
  <c r="Y26" i="50"/>
  <c r="AC26" i="50"/>
  <c r="V26" i="50"/>
  <c r="R26" i="50"/>
  <c r="N26" i="50"/>
  <c r="U26" i="50"/>
  <c r="AD26" i="50"/>
  <c r="W26" i="50"/>
  <c r="O26" i="50"/>
  <c r="S26" i="50"/>
  <c r="Q26" i="50"/>
  <c r="N18" i="63"/>
  <c r="E21" i="56"/>
  <c r="K21" i="56"/>
  <c r="X19" i="63"/>
  <c r="V19" i="63"/>
  <c r="Y19" i="63"/>
  <c r="I101" i="57"/>
  <c r="O101" i="57" s="1"/>
  <c r="O100" i="57"/>
  <c r="C25" i="46"/>
  <c r="D24" i="46"/>
  <c r="M23" i="55"/>
  <c r="N22" i="55"/>
  <c r="J80" i="55"/>
  <c r="D80" i="55"/>
  <c r="B28" i="50"/>
  <c r="C27" i="50"/>
  <c r="I23" i="56"/>
  <c r="N22" i="56"/>
  <c r="O19" i="63"/>
  <c r="U19" i="63"/>
  <c r="W19" i="63"/>
  <c r="M45" i="57"/>
  <c r="AJ24" i="28"/>
  <c r="AF24" i="28"/>
  <c r="AB24" i="28"/>
  <c r="AO24" i="28"/>
  <c r="AH24" i="28"/>
  <c r="AD24" i="28"/>
  <c r="Z24" i="28"/>
  <c r="X24" i="28"/>
  <c r="AI24" i="28"/>
  <c r="Y24" i="28"/>
  <c r="AP24" i="28"/>
  <c r="W24" i="28"/>
  <c r="AC24" i="28"/>
  <c r="AE24" i="28"/>
  <c r="N28" i="27"/>
  <c r="J28" i="27"/>
  <c r="E28" i="27"/>
  <c r="H28" i="27"/>
  <c r="M28" i="27"/>
  <c r="O28" i="27"/>
  <c r="K28" i="27"/>
  <c r="I28" i="27"/>
  <c r="D28" i="27"/>
  <c r="C28" i="27"/>
  <c r="F28" i="27"/>
  <c r="P28" i="27"/>
  <c r="L28" i="27"/>
  <c r="G28" i="27"/>
  <c r="M82" i="55"/>
  <c r="N81" i="55"/>
  <c r="I32" i="58" a="1"/>
  <c r="I32" i="58" s="1"/>
  <c r="J31" i="58" a="1"/>
  <c r="J31" i="58" s="1"/>
  <c r="E30" i="26"/>
  <c r="F30" i="26"/>
  <c r="D30" i="26"/>
  <c r="C30" i="26"/>
  <c r="G30" i="26"/>
  <c r="I30" i="26"/>
  <c r="H30" i="26"/>
  <c r="J30" i="26"/>
  <c r="A31" i="26"/>
  <c r="B31" i="26" s="1"/>
  <c r="I29" i="49"/>
  <c r="J29" i="49"/>
  <c r="H29" i="49"/>
  <c r="F29" i="49"/>
  <c r="D29" i="49"/>
  <c r="K29" i="49"/>
  <c r="C29" i="49"/>
  <c r="G29" i="49"/>
  <c r="L29" i="49"/>
  <c r="E29" i="49"/>
  <c r="B30" i="49"/>
  <c r="A31" i="49"/>
  <c r="AE29" i="2"/>
  <c r="F47" i="51"/>
  <c r="G47" i="51"/>
  <c r="H47" i="51"/>
  <c r="C47" i="51"/>
  <c r="D47" i="51"/>
  <c r="E47" i="51"/>
  <c r="A49" i="51"/>
  <c r="B48" i="51"/>
  <c r="B28" i="32"/>
  <c r="A29" i="32"/>
  <c r="F30" i="2"/>
  <c r="G30" i="2"/>
  <c r="K30" i="2"/>
  <c r="E30" i="2"/>
  <c r="I30" i="2"/>
  <c r="H30" i="2"/>
  <c r="J30" i="2"/>
  <c r="A32" i="27"/>
  <c r="B31" i="27"/>
  <c r="G99" i="57" l="1"/>
  <c r="AB27" i="27"/>
  <c r="AG24" i="28" s="1"/>
  <c r="M99" i="57"/>
  <c r="W20" i="63"/>
  <c r="W28" i="27"/>
  <c r="W27" i="27"/>
  <c r="D30" i="2"/>
  <c r="A31" i="2"/>
  <c r="B31" i="2" s="1"/>
  <c r="AI27" i="27"/>
  <c r="AN24" i="28" s="1"/>
  <c r="U27" i="27"/>
  <c r="AA24" i="28" s="1"/>
  <c r="N19" i="63"/>
  <c r="M46" i="57"/>
  <c r="I24" i="56"/>
  <c r="N23" i="56"/>
  <c r="C26" i="46"/>
  <c r="D25" i="46"/>
  <c r="I49" i="57"/>
  <c r="O48" i="57"/>
  <c r="B23" i="63"/>
  <c r="C22" i="63"/>
  <c r="AB28" i="27"/>
  <c r="U28" i="27"/>
  <c r="AA25" i="28" s="1"/>
  <c r="AI28" i="27"/>
  <c r="Y27" i="50"/>
  <c r="U27" i="50"/>
  <c r="Q27" i="50"/>
  <c r="AC27" i="50"/>
  <c r="AD27" i="50"/>
  <c r="W27" i="50"/>
  <c r="S27" i="50"/>
  <c r="O27" i="50"/>
  <c r="V27" i="50"/>
  <c r="N27" i="50"/>
  <c r="X27" i="50"/>
  <c r="P27" i="50"/>
  <c r="R27" i="50"/>
  <c r="T27" i="50"/>
  <c r="J22" i="55"/>
  <c r="D22" i="55"/>
  <c r="A100" i="57"/>
  <c r="P100" i="57" s="1"/>
  <c r="D100" i="57"/>
  <c r="K100" i="57"/>
  <c r="J100" i="57"/>
  <c r="F100" i="57"/>
  <c r="B100" i="57"/>
  <c r="K80" i="56"/>
  <c r="E80" i="56"/>
  <c r="AN25" i="28"/>
  <c r="AG25" i="28"/>
  <c r="AC25" i="28"/>
  <c r="AP25" i="28"/>
  <c r="AI25" i="28"/>
  <c r="AE25" i="28"/>
  <c r="AH25" i="28"/>
  <c r="Y25" i="28"/>
  <c r="AJ25" i="28"/>
  <c r="AB25" i="28"/>
  <c r="AF25" i="28"/>
  <c r="X25" i="28"/>
  <c r="AO25" i="28"/>
  <c r="AD25" i="28"/>
  <c r="Z25" i="28"/>
  <c r="W25" i="28"/>
  <c r="U20" i="63"/>
  <c r="O20" i="63"/>
  <c r="X20" i="63"/>
  <c r="V20" i="63"/>
  <c r="Y20" i="63"/>
  <c r="J81" i="55"/>
  <c r="D81" i="55"/>
  <c r="B29" i="50"/>
  <c r="C28" i="50"/>
  <c r="G30" i="49" s="1"/>
  <c r="M24" i="55"/>
  <c r="N23" i="55"/>
  <c r="K101" i="57"/>
  <c r="D101" i="57"/>
  <c r="J101" i="57"/>
  <c r="F101" i="57"/>
  <c r="B101" i="57"/>
  <c r="A101" i="57"/>
  <c r="P101" i="57" s="1"/>
  <c r="I82" i="56"/>
  <c r="N81" i="56"/>
  <c r="B27" i="28"/>
  <c r="C26" i="28"/>
  <c r="D29" i="27" s="1"/>
  <c r="M83" i="55"/>
  <c r="N82" i="55"/>
  <c r="K22" i="56"/>
  <c r="E22" i="56"/>
  <c r="N24" i="46"/>
  <c r="L24" i="46"/>
  <c r="J24" i="46"/>
  <c r="F24" i="46"/>
  <c r="I24" i="46"/>
  <c r="H24" i="46"/>
  <c r="G24" i="46"/>
  <c r="E24" i="46"/>
  <c r="K24" i="46"/>
  <c r="K47" i="57"/>
  <c r="D47" i="57"/>
  <c r="J47" i="57"/>
  <c r="M47" i="57" s="1"/>
  <c r="F47" i="57"/>
  <c r="P21" i="63"/>
  <c r="M21" i="63"/>
  <c r="K21" i="63"/>
  <c r="I21" i="63"/>
  <c r="G21" i="63"/>
  <c r="E21" i="63"/>
  <c r="H21" i="63"/>
  <c r="D21" i="63"/>
  <c r="J21" i="63"/>
  <c r="L21" i="63"/>
  <c r="F21" i="63"/>
  <c r="G46" i="57"/>
  <c r="T20" i="63"/>
  <c r="R20" i="63"/>
  <c r="S20" i="63"/>
  <c r="Q20" i="63"/>
  <c r="I33" i="58" a="1"/>
  <c r="I33" i="58" s="1"/>
  <c r="J32" i="58" a="1"/>
  <c r="J32" i="58" s="1"/>
  <c r="A32" i="26"/>
  <c r="B32" i="26" s="1"/>
  <c r="D31" i="26"/>
  <c r="H31" i="26"/>
  <c r="C31" i="26"/>
  <c r="I31" i="26"/>
  <c r="F31" i="26"/>
  <c r="G31" i="26"/>
  <c r="E31" i="26"/>
  <c r="J31" i="26"/>
  <c r="B31" i="49"/>
  <c r="A32" i="49"/>
  <c r="J30" i="49"/>
  <c r="E30" i="49"/>
  <c r="K30" i="49"/>
  <c r="I30" i="49"/>
  <c r="L30" i="49"/>
  <c r="A33" i="27"/>
  <c r="B32" i="27"/>
  <c r="AE30" i="2"/>
  <c r="R30" i="2"/>
  <c r="D48" i="51"/>
  <c r="E48" i="51"/>
  <c r="C48" i="51"/>
  <c r="F48" i="51"/>
  <c r="G48" i="51"/>
  <c r="H48" i="51"/>
  <c r="K31" i="2"/>
  <c r="I31" i="2"/>
  <c r="E31" i="2"/>
  <c r="J31" i="2"/>
  <c r="C31" i="2"/>
  <c r="D31" i="2"/>
  <c r="F31" i="2"/>
  <c r="G31" i="2"/>
  <c r="H31" i="2"/>
  <c r="A50" i="51"/>
  <c r="B49" i="51"/>
  <c r="B29" i="32"/>
  <c r="A30" i="32"/>
  <c r="F30" i="49" l="1"/>
  <c r="W21" i="63"/>
  <c r="D30" i="49"/>
  <c r="C30" i="49"/>
  <c r="H30" i="49"/>
  <c r="A32" i="2"/>
  <c r="B32" i="2" s="1"/>
  <c r="H32" i="2" s="1"/>
  <c r="M100" i="57"/>
  <c r="N20" i="63"/>
  <c r="O21" i="63"/>
  <c r="U21" i="63"/>
  <c r="M84" i="55"/>
  <c r="N83" i="55"/>
  <c r="I83" i="56"/>
  <c r="N82" i="56"/>
  <c r="M101" i="57"/>
  <c r="M25" i="55"/>
  <c r="N24" i="55"/>
  <c r="M29" i="27"/>
  <c r="E29" i="27"/>
  <c r="M22" i="63"/>
  <c r="K22" i="63"/>
  <c r="P22" i="63"/>
  <c r="I22" i="63"/>
  <c r="G22" i="63"/>
  <c r="E22" i="63"/>
  <c r="L22" i="63"/>
  <c r="J22" i="63"/>
  <c r="H22" i="63"/>
  <c r="F22" i="63"/>
  <c r="D22" i="63"/>
  <c r="N25" i="46"/>
  <c r="L25" i="46"/>
  <c r="K25" i="46"/>
  <c r="J25" i="46"/>
  <c r="I25" i="46"/>
  <c r="H25" i="46"/>
  <c r="G25" i="46"/>
  <c r="E25" i="46"/>
  <c r="F25" i="46"/>
  <c r="AO26" i="28"/>
  <c r="AH26" i="28"/>
  <c r="AD26" i="28"/>
  <c r="AJ26" i="28"/>
  <c r="AF26" i="28"/>
  <c r="AB26" i="28"/>
  <c r="AI26" i="28"/>
  <c r="AC26" i="28"/>
  <c r="Z26" i="28"/>
  <c r="W26" i="28"/>
  <c r="Y26" i="28"/>
  <c r="AP26" i="28"/>
  <c r="AE26" i="28"/>
  <c r="X26" i="28"/>
  <c r="G101" i="57"/>
  <c r="AC28" i="50"/>
  <c r="V28" i="50"/>
  <c r="R28" i="50"/>
  <c r="N28" i="50"/>
  <c r="AD28" i="50"/>
  <c r="X28" i="50"/>
  <c r="T28" i="50"/>
  <c r="P28" i="50"/>
  <c r="Y28" i="50"/>
  <c r="W28" i="50"/>
  <c r="O28" i="50"/>
  <c r="Q28" i="50"/>
  <c r="U28" i="50"/>
  <c r="S28" i="50"/>
  <c r="L29" i="27"/>
  <c r="J29" i="27"/>
  <c r="P29" i="27"/>
  <c r="B24" i="63"/>
  <c r="C23" i="63"/>
  <c r="C27" i="46"/>
  <c r="D26" i="46"/>
  <c r="X21" i="63"/>
  <c r="Y21" i="63"/>
  <c r="V21" i="63"/>
  <c r="G47" i="57"/>
  <c r="B28" i="28"/>
  <c r="C27" i="28"/>
  <c r="D30" i="27" s="1"/>
  <c r="B30" i="50"/>
  <c r="C29" i="50"/>
  <c r="G29" i="27"/>
  <c r="F29" i="27"/>
  <c r="N29" i="27"/>
  <c r="H29" i="27"/>
  <c r="K48" i="57"/>
  <c r="J48" i="57"/>
  <c r="D48" i="57"/>
  <c r="F48" i="57"/>
  <c r="K23" i="56"/>
  <c r="E23" i="56"/>
  <c r="S21" i="63"/>
  <c r="Q21" i="63"/>
  <c r="T21" i="63"/>
  <c r="R21" i="63"/>
  <c r="J82" i="55"/>
  <c r="D82" i="55"/>
  <c r="K81" i="56"/>
  <c r="E81" i="56"/>
  <c r="D23" i="55"/>
  <c r="J23" i="55"/>
  <c r="I29" i="27"/>
  <c r="O29" i="27"/>
  <c r="C29" i="27"/>
  <c r="K29" i="27"/>
  <c r="G100" i="57"/>
  <c r="I50" i="57"/>
  <c r="O49" i="57"/>
  <c r="I25" i="56"/>
  <c r="N24" i="56"/>
  <c r="I34" i="58" a="1"/>
  <c r="I34" i="58" s="1"/>
  <c r="J33" i="58" a="1"/>
  <c r="J33" i="58" s="1"/>
  <c r="H32" i="26"/>
  <c r="G32" i="26"/>
  <c r="F32" i="26"/>
  <c r="E32" i="26"/>
  <c r="C32" i="26"/>
  <c r="J32" i="26"/>
  <c r="I32" i="26"/>
  <c r="D32" i="26"/>
  <c r="A33" i="26"/>
  <c r="B33" i="26" s="1"/>
  <c r="B32" i="49"/>
  <c r="A33" i="49"/>
  <c r="K31" i="49"/>
  <c r="I31" i="49"/>
  <c r="F31" i="49"/>
  <c r="E31" i="49"/>
  <c r="D31" i="49"/>
  <c r="G31" i="49"/>
  <c r="C31" i="49"/>
  <c r="H31" i="49"/>
  <c r="L31" i="49"/>
  <c r="J31" i="49"/>
  <c r="A31" i="32"/>
  <c r="B30" i="32"/>
  <c r="R31" i="2"/>
  <c r="AE31" i="2"/>
  <c r="D49" i="51"/>
  <c r="G49" i="51"/>
  <c r="H49" i="51"/>
  <c r="E49" i="51"/>
  <c r="C49" i="51"/>
  <c r="F49" i="51"/>
  <c r="A51" i="51"/>
  <c r="B51" i="51" s="1"/>
  <c r="B50" i="51"/>
  <c r="A34" i="27"/>
  <c r="B33" i="27"/>
  <c r="W29" i="27" l="1"/>
  <c r="W22" i="63"/>
  <c r="C32" i="2"/>
  <c r="G32" i="2"/>
  <c r="K32" i="2"/>
  <c r="I32" i="2"/>
  <c r="J32" i="2"/>
  <c r="F32" i="2"/>
  <c r="D32" i="2"/>
  <c r="E32" i="2"/>
  <c r="A33" i="2"/>
  <c r="B33" i="2" s="1"/>
  <c r="I33" i="2" s="1"/>
  <c r="K49" i="57"/>
  <c r="J49" i="57"/>
  <c r="D49" i="57"/>
  <c r="F49" i="57"/>
  <c r="AD29" i="50"/>
  <c r="W29" i="50"/>
  <c r="S29" i="50"/>
  <c r="O29" i="50"/>
  <c r="Y29" i="50"/>
  <c r="U29" i="50"/>
  <c r="Q29" i="50"/>
  <c r="X29" i="50"/>
  <c r="P29" i="50"/>
  <c r="R29" i="50"/>
  <c r="N29" i="50"/>
  <c r="AC29" i="50"/>
  <c r="T29" i="50"/>
  <c r="V29" i="50"/>
  <c r="B29" i="28"/>
  <c r="C28" i="28"/>
  <c r="F31" i="27" s="1"/>
  <c r="B25" i="63"/>
  <c r="C24" i="63"/>
  <c r="N30" i="27"/>
  <c r="M30" i="27"/>
  <c r="G30" i="27"/>
  <c r="E30" i="27"/>
  <c r="U22" i="63"/>
  <c r="O22" i="63"/>
  <c r="S22" i="63"/>
  <c r="Q22" i="63"/>
  <c r="T22" i="63"/>
  <c r="R22" i="63"/>
  <c r="M85" i="55"/>
  <c r="N84" i="55"/>
  <c r="I51" i="57"/>
  <c r="O50" i="57"/>
  <c r="G48" i="57"/>
  <c r="AB29" i="27"/>
  <c r="AG26" i="28" s="1"/>
  <c r="AI29" i="27"/>
  <c r="AN26" i="28" s="1"/>
  <c r="U29" i="27"/>
  <c r="AA26" i="28" s="1"/>
  <c r="B31" i="50"/>
  <c r="C30" i="50"/>
  <c r="N26" i="46"/>
  <c r="L26" i="46"/>
  <c r="K26" i="46"/>
  <c r="J26" i="46"/>
  <c r="I26" i="46"/>
  <c r="H26" i="46"/>
  <c r="G26" i="46"/>
  <c r="F26" i="46"/>
  <c r="E26" i="46"/>
  <c r="H30" i="27"/>
  <c r="F30" i="27"/>
  <c r="C30" i="27"/>
  <c r="J30" i="27"/>
  <c r="J24" i="55"/>
  <c r="D24" i="55"/>
  <c r="E82" i="56"/>
  <c r="K82" i="56"/>
  <c r="K24" i="56"/>
  <c r="E24" i="56"/>
  <c r="N21" i="63"/>
  <c r="M48" i="57"/>
  <c r="C28" i="46"/>
  <c r="D27" i="46"/>
  <c r="K30" i="27"/>
  <c r="L30" i="27"/>
  <c r="Y22" i="63"/>
  <c r="V22" i="63"/>
  <c r="X22" i="63"/>
  <c r="M26" i="55"/>
  <c r="N25" i="55"/>
  <c r="I84" i="56"/>
  <c r="N83" i="56"/>
  <c r="I26" i="56"/>
  <c r="N25" i="56"/>
  <c r="AP27" i="28"/>
  <c r="AI27" i="28"/>
  <c r="AE27" i="28"/>
  <c r="AC27" i="28"/>
  <c r="AJ27" i="28"/>
  <c r="AB27" i="28"/>
  <c r="Z27" i="28"/>
  <c r="W27" i="28"/>
  <c r="AO27" i="28"/>
  <c r="AD27" i="28"/>
  <c r="X27" i="28"/>
  <c r="AH27" i="28"/>
  <c r="AF27" i="28"/>
  <c r="Y27" i="28"/>
  <c r="K31" i="27"/>
  <c r="P31" i="27"/>
  <c r="I31" i="27"/>
  <c r="J31" i="27"/>
  <c r="L23" i="63"/>
  <c r="P23" i="63"/>
  <c r="K23" i="63"/>
  <c r="J23" i="63"/>
  <c r="H23" i="63"/>
  <c r="F23" i="63"/>
  <c r="D23" i="63"/>
  <c r="M23" i="63"/>
  <c r="I23" i="63"/>
  <c r="E23" i="63"/>
  <c r="G23" i="63"/>
  <c r="I30" i="27"/>
  <c r="P30" i="27"/>
  <c r="O30" i="27"/>
  <c r="J83" i="55"/>
  <c r="D83" i="55"/>
  <c r="I35" i="58" a="1"/>
  <c r="I35" i="58" s="1"/>
  <c r="J34" i="58" a="1"/>
  <c r="J34" i="58" s="1"/>
  <c r="A34" i="26"/>
  <c r="B34" i="26" s="1"/>
  <c r="J33" i="26"/>
  <c r="F33" i="26"/>
  <c r="D33" i="26"/>
  <c r="E33" i="26"/>
  <c r="I33" i="26"/>
  <c r="G33" i="26"/>
  <c r="C33" i="26"/>
  <c r="H33" i="26"/>
  <c r="B33" i="49"/>
  <c r="A34" i="49"/>
  <c r="H32" i="49"/>
  <c r="I32" i="49"/>
  <c r="L32" i="49"/>
  <c r="E32" i="49"/>
  <c r="F32" i="49"/>
  <c r="D32" i="49"/>
  <c r="K32" i="49"/>
  <c r="C32" i="49"/>
  <c r="G32" i="49"/>
  <c r="J32" i="49"/>
  <c r="A35" i="27"/>
  <c r="B34" i="27"/>
  <c r="H33" i="2"/>
  <c r="K33" i="2"/>
  <c r="D33" i="2"/>
  <c r="J33" i="2"/>
  <c r="R32" i="2"/>
  <c r="AE32" i="2"/>
  <c r="G50" i="51"/>
  <c r="E50" i="51"/>
  <c r="D50" i="51"/>
  <c r="C50" i="51"/>
  <c r="F50" i="51"/>
  <c r="H50" i="51"/>
  <c r="F51" i="51"/>
  <c r="C51" i="51"/>
  <c r="D51" i="51"/>
  <c r="G51" i="51"/>
  <c r="H51" i="51"/>
  <c r="E51" i="51"/>
  <c r="S8" i="52"/>
  <c r="T8" i="52"/>
  <c r="V8" i="52"/>
  <c r="Q8" i="52"/>
  <c r="P8" i="52"/>
  <c r="U8" i="52"/>
  <c r="R8" i="52"/>
  <c r="O8" i="52"/>
  <c r="W8" i="52"/>
  <c r="A32" i="32"/>
  <c r="B31" i="32"/>
  <c r="W30" i="27" l="1"/>
  <c r="A34" i="2"/>
  <c r="F33" i="2"/>
  <c r="E33" i="2"/>
  <c r="C33" i="2"/>
  <c r="G33" i="2"/>
  <c r="R33" i="2" s="1"/>
  <c r="C31" i="27"/>
  <c r="M31" i="27"/>
  <c r="H31" i="27"/>
  <c r="O31" i="27"/>
  <c r="D31" i="27"/>
  <c r="E31" i="27"/>
  <c r="G31" i="27"/>
  <c r="N31" i="27"/>
  <c r="L31" i="27"/>
  <c r="T23" i="63"/>
  <c r="Q23" i="63"/>
  <c r="R23" i="63"/>
  <c r="S23" i="63"/>
  <c r="I85" i="56"/>
  <c r="N84" i="56"/>
  <c r="X30" i="50"/>
  <c r="T30" i="50"/>
  <c r="P30" i="50"/>
  <c r="Y30" i="50"/>
  <c r="AC30" i="50"/>
  <c r="V30" i="50"/>
  <c r="R30" i="50"/>
  <c r="N30" i="50"/>
  <c r="AD30" i="50"/>
  <c r="Q30" i="50"/>
  <c r="S30" i="50"/>
  <c r="W30" i="50"/>
  <c r="U30" i="50"/>
  <c r="O30" i="50"/>
  <c r="J84" i="55"/>
  <c r="D84" i="55"/>
  <c r="U30" i="27"/>
  <c r="AA27" i="28" s="1"/>
  <c r="AB30" i="27"/>
  <c r="AG27" i="28" s="1"/>
  <c r="AI30" i="27"/>
  <c r="AN27" i="28" s="1"/>
  <c r="B30" i="28"/>
  <c r="C30" i="28" s="1"/>
  <c r="C29" i="28"/>
  <c r="H32" i="27" s="1"/>
  <c r="W23" i="63"/>
  <c r="K25" i="56"/>
  <c r="E25" i="56"/>
  <c r="J25" i="55"/>
  <c r="D25" i="55"/>
  <c r="N27" i="46"/>
  <c r="L27" i="46"/>
  <c r="K27" i="46"/>
  <c r="J27" i="46"/>
  <c r="I27" i="46"/>
  <c r="H27" i="46"/>
  <c r="G27" i="46"/>
  <c r="E27" i="46"/>
  <c r="F27" i="46"/>
  <c r="B32" i="50"/>
  <c r="C31" i="50"/>
  <c r="I33" i="49" s="1"/>
  <c r="M86" i="55"/>
  <c r="N85" i="55"/>
  <c r="N22" i="63"/>
  <c r="P24" i="63"/>
  <c r="L24" i="63"/>
  <c r="M24" i="63"/>
  <c r="K24" i="63"/>
  <c r="J24" i="63"/>
  <c r="H24" i="63"/>
  <c r="F24" i="63"/>
  <c r="I24" i="63"/>
  <c r="G24" i="63"/>
  <c r="E24" i="63"/>
  <c r="D24" i="63"/>
  <c r="M49" i="57"/>
  <c r="Y23" i="63"/>
  <c r="X23" i="63"/>
  <c r="V23" i="63"/>
  <c r="I27" i="56"/>
  <c r="N26" i="56"/>
  <c r="M27" i="55"/>
  <c r="N26" i="55"/>
  <c r="C29" i="46"/>
  <c r="D28" i="46"/>
  <c r="K50" i="57"/>
  <c r="J50" i="57"/>
  <c r="F50" i="57"/>
  <c r="D50" i="57"/>
  <c r="B26" i="63"/>
  <c r="C25" i="63"/>
  <c r="O23" i="63"/>
  <c r="U23" i="63"/>
  <c r="K83" i="56"/>
  <c r="E83" i="56"/>
  <c r="I52" i="57"/>
  <c r="O51" i="57"/>
  <c r="AJ28" i="28"/>
  <c r="AF28" i="28"/>
  <c r="AB28" i="28"/>
  <c r="AO28" i="28"/>
  <c r="AH28" i="28"/>
  <c r="AD28" i="28"/>
  <c r="Z28" i="28"/>
  <c r="AC28" i="28"/>
  <c r="X28" i="28"/>
  <c r="AP28" i="28"/>
  <c r="AE28" i="28"/>
  <c r="Y28" i="28"/>
  <c r="AI28" i="28"/>
  <c r="W28" i="28"/>
  <c r="G32" i="27"/>
  <c r="K32" i="27"/>
  <c r="G49" i="57"/>
  <c r="I36" i="58" a="1"/>
  <c r="I36" i="58" s="1"/>
  <c r="J35" i="58" a="1"/>
  <c r="J35" i="58" s="1"/>
  <c r="D34" i="26"/>
  <c r="F34" i="26"/>
  <c r="C34" i="26"/>
  <c r="J34" i="26"/>
  <c r="I34" i="26"/>
  <c r="H34" i="26"/>
  <c r="G34" i="26"/>
  <c r="E34" i="26"/>
  <c r="A35" i="26"/>
  <c r="B35" i="26" s="1"/>
  <c r="B34" i="49"/>
  <c r="A35" i="49"/>
  <c r="C33" i="49"/>
  <c r="K33" i="49"/>
  <c r="J33" i="49"/>
  <c r="D33" i="49"/>
  <c r="A36" i="27"/>
  <c r="B35" i="27"/>
  <c r="B32" i="32"/>
  <c r="A33" i="32"/>
  <c r="H34" i="27"/>
  <c r="J34" i="27"/>
  <c r="D34" i="27"/>
  <c r="P34" i="27"/>
  <c r="E34" i="27"/>
  <c r="C34" i="27"/>
  <c r="G34" i="27"/>
  <c r="N34" i="27"/>
  <c r="F33" i="49" l="1"/>
  <c r="H33" i="49"/>
  <c r="I32" i="27"/>
  <c r="W24" i="63"/>
  <c r="AI31" i="27"/>
  <c r="AN28" i="28" s="1"/>
  <c r="W31" i="27"/>
  <c r="O34" i="27"/>
  <c r="AE33" i="2"/>
  <c r="E33" i="49"/>
  <c r="L34" i="27"/>
  <c r="L33" i="49"/>
  <c r="U31" i="27"/>
  <c r="AA28" i="28" s="1"/>
  <c r="G33" i="49"/>
  <c r="B34" i="2"/>
  <c r="A35" i="2"/>
  <c r="B35" i="2" s="1"/>
  <c r="J35" i="2" s="1"/>
  <c r="F34" i="27"/>
  <c r="I34" i="27"/>
  <c r="M34" i="27"/>
  <c r="K34" i="27"/>
  <c r="C32" i="27"/>
  <c r="E32" i="27"/>
  <c r="L32" i="27"/>
  <c r="AB31" i="27"/>
  <c r="AG28" i="28" s="1"/>
  <c r="F32" i="27"/>
  <c r="D32" i="27"/>
  <c r="J32" i="27"/>
  <c r="P32" i="27"/>
  <c r="O32" i="27"/>
  <c r="M32" i="27"/>
  <c r="N32" i="27"/>
  <c r="K51" i="57"/>
  <c r="D51" i="57"/>
  <c r="F51" i="57"/>
  <c r="J51" i="57"/>
  <c r="G50" i="57"/>
  <c r="N28" i="46"/>
  <c r="L28" i="46"/>
  <c r="I28" i="46"/>
  <c r="H28" i="46"/>
  <c r="F28" i="46"/>
  <c r="K28" i="46"/>
  <c r="G28" i="46"/>
  <c r="J28" i="46"/>
  <c r="E28" i="46"/>
  <c r="K26" i="56"/>
  <c r="E26" i="56"/>
  <c r="T24" i="63"/>
  <c r="R24" i="63"/>
  <c r="S24" i="63"/>
  <c r="Q24" i="63"/>
  <c r="Y31" i="50"/>
  <c r="U31" i="50"/>
  <c r="Q31" i="50"/>
  <c r="AC31" i="50"/>
  <c r="AD31" i="50"/>
  <c r="W31" i="50"/>
  <c r="S31" i="50"/>
  <c r="O31" i="50"/>
  <c r="R31" i="50"/>
  <c r="T31" i="50"/>
  <c r="P31" i="50"/>
  <c r="V31" i="50"/>
  <c r="N31" i="50"/>
  <c r="X31" i="50"/>
  <c r="AO30" i="28"/>
  <c r="AH30" i="28"/>
  <c r="AD30" i="28"/>
  <c r="AJ30" i="28"/>
  <c r="AF30" i="28"/>
  <c r="AB30" i="28"/>
  <c r="AP30" i="28"/>
  <c r="AE30" i="28"/>
  <c r="W30" i="28"/>
  <c r="AI30" i="28"/>
  <c r="Z30" i="28"/>
  <c r="X30" i="28"/>
  <c r="AC30" i="28"/>
  <c r="Y30" i="28"/>
  <c r="E84" i="56"/>
  <c r="K84" i="56"/>
  <c r="N23" i="63"/>
  <c r="I53" i="57"/>
  <c r="O52" i="57"/>
  <c r="C30" i="46"/>
  <c r="D29" i="46"/>
  <c r="I28" i="56"/>
  <c r="N27" i="56"/>
  <c r="B33" i="50"/>
  <c r="C32" i="50"/>
  <c r="I86" i="56"/>
  <c r="N85" i="56"/>
  <c r="P25" i="63"/>
  <c r="M25" i="63"/>
  <c r="K25" i="63"/>
  <c r="L25" i="63"/>
  <c r="I25" i="63"/>
  <c r="G25" i="63"/>
  <c r="E25" i="63"/>
  <c r="J25" i="63"/>
  <c r="F25" i="63"/>
  <c r="D25" i="63"/>
  <c r="H25" i="63"/>
  <c r="M50" i="57"/>
  <c r="D26" i="55"/>
  <c r="J26" i="55"/>
  <c r="O24" i="63"/>
  <c r="U24" i="63"/>
  <c r="X24" i="63"/>
  <c r="V24" i="63"/>
  <c r="Y24" i="63"/>
  <c r="D85" i="55"/>
  <c r="J85" i="55"/>
  <c r="B27" i="63"/>
  <c r="C26" i="63"/>
  <c r="M28" i="55"/>
  <c r="N27" i="55"/>
  <c r="M87" i="55"/>
  <c r="N86" i="55"/>
  <c r="AC29" i="28"/>
  <c r="AP29" i="28"/>
  <c r="AI29" i="28"/>
  <c r="AE29" i="28"/>
  <c r="AO29" i="28"/>
  <c r="AD29" i="28"/>
  <c r="Y29" i="28"/>
  <c r="AF29" i="28"/>
  <c r="AJ29" i="28"/>
  <c r="AB29" i="28"/>
  <c r="Z29" i="28"/>
  <c r="AH29" i="28"/>
  <c r="W29" i="28"/>
  <c r="X29" i="28"/>
  <c r="K33" i="27"/>
  <c r="F33" i="27"/>
  <c r="H33" i="27"/>
  <c r="J33" i="27"/>
  <c r="D33" i="27"/>
  <c r="C33" i="27"/>
  <c r="L33" i="27"/>
  <c r="E33" i="27"/>
  <c r="M33" i="27"/>
  <c r="I33" i="27"/>
  <c r="P33" i="27"/>
  <c r="O33" i="27"/>
  <c r="N33" i="27"/>
  <c r="G33" i="27"/>
  <c r="I37" i="58" a="1"/>
  <c r="I37" i="58" s="1"/>
  <c r="J36" i="58" a="1"/>
  <c r="J36" i="58" s="1"/>
  <c r="A36" i="26"/>
  <c r="I35" i="26"/>
  <c r="D35" i="26"/>
  <c r="J35" i="26"/>
  <c r="H35" i="26"/>
  <c r="C35" i="26"/>
  <c r="E35" i="26"/>
  <c r="F35" i="26"/>
  <c r="G35" i="26"/>
  <c r="B35" i="49"/>
  <c r="A36" i="49"/>
  <c r="G34" i="49"/>
  <c r="E34" i="49"/>
  <c r="F34" i="49"/>
  <c r="J34" i="49"/>
  <c r="I34" i="49"/>
  <c r="H34" i="49"/>
  <c r="L34" i="49"/>
  <c r="K34" i="49"/>
  <c r="C34" i="49"/>
  <c r="D34" i="49"/>
  <c r="A37" i="27"/>
  <c r="B36" i="27"/>
  <c r="A34" i="32"/>
  <c r="B33" i="32"/>
  <c r="AI34" i="27"/>
  <c r="U34" i="27"/>
  <c r="AB34" i="27"/>
  <c r="O35" i="27"/>
  <c r="H35" i="27"/>
  <c r="M35" i="27"/>
  <c r="D35" i="27"/>
  <c r="K35" i="27"/>
  <c r="P35" i="27"/>
  <c r="I35" i="27"/>
  <c r="C35" i="27"/>
  <c r="F35" i="27"/>
  <c r="L35" i="27"/>
  <c r="E35" i="27"/>
  <c r="N35" i="27"/>
  <c r="G35" i="27"/>
  <c r="J35" i="27"/>
  <c r="AB32" i="27" l="1"/>
  <c r="AG29" i="28" s="1"/>
  <c r="W32" i="27"/>
  <c r="W33" i="27"/>
  <c r="E35" i="2"/>
  <c r="G35" i="2"/>
  <c r="H35" i="2"/>
  <c r="C35" i="2"/>
  <c r="E34" i="2"/>
  <c r="G34" i="2"/>
  <c r="J34" i="2"/>
  <c r="C34" i="2"/>
  <c r="D34" i="2"/>
  <c r="K34" i="2"/>
  <c r="I34" i="2"/>
  <c r="H34" i="2"/>
  <c r="F34" i="2"/>
  <c r="I35" i="2"/>
  <c r="D35" i="2"/>
  <c r="F35" i="2"/>
  <c r="AE35" i="2" s="1"/>
  <c r="K35" i="2"/>
  <c r="A36" i="2"/>
  <c r="B36" i="2" s="1"/>
  <c r="G36" i="2" s="1"/>
  <c r="U32" i="27"/>
  <c r="AA29" i="28" s="1"/>
  <c r="N24" i="63"/>
  <c r="M51" i="57"/>
  <c r="AI32" i="27"/>
  <c r="AN29" i="28" s="1"/>
  <c r="G51" i="57"/>
  <c r="U33" i="27"/>
  <c r="AA30" i="28" s="1"/>
  <c r="AI33" i="27"/>
  <c r="AN30" i="28" s="1"/>
  <c r="AB33" i="27"/>
  <c r="AG30" i="28" s="1"/>
  <c r="D27" i="55"/>
  <c r="J27" i="55"/>
  <c r="U25" i="63"/>
  <c r="O25" i="63"/>
  <c r="X25" i="63"/>
  <c r="Y25" i="63"/>
  <c r="V25" i="63"/>
  <c r="B34" i="50"/>
  <c r="C33" i="50"/>
  <c r="C31" i="46"/>
  <c r="D30" i="46"/>
  <c r="M29" i="55"/>
  <c r="N28" i="55"/>
  <c r="R25" i="63"/>
  <c r="S25" i="63"/>
  <c r="Q25" i="63"/>
  <c r="N25" i="63" s="1"/>
  <c r="T25" i="63"/>
  <c r="E85" i="56"/>
  <c r="K85" i="56"/>
  <c r="E27" i="56"/>
  <c r="K27" i="56"/>
  <c r="F52" i="57"/>
  <c r="K52" i="57"/>
  <c r="J52" i="57"/>
  <c r="D52" i="57"/>
  <c r="D86" i="55"/>
  <c r="J86" i="55"/>
  <c r="P26" i="63"/>
  <c r="M26" i="63"/>
  <c r="K26" i="63"/>
  <c r="L26" i="63"/>
  <c r="I26" i="63"/>
  <c r="G26" i="63"/>
  <c r="E26" i="63"/>
  <c r="J26" i="63"/>
  <c r="H26" i="63"/>
  <c r="F26" i="63"/>
  <c r="D26" i="63"/>
  <c r="W25" i="63"/>
  <c r="I87" i="56"/>
  <c r="N86" i="56"/>
  <c r="I29" i="56"/>
  <c r="N28" i="56"/>
  <c r="I54" i="57"/>
  <c r="O53" i="57"/>
  <c r="M88" i="55"/>
  <c r="N87" i="55"/>
  <c r="B28" i="63"/>
  <c r="C27" i="63"/>
  <c r="AC32" i="50"/>
  <c r="V32" i="50"/>
  <c r="R32" i="50"/>
  <c r="N32" i="50"/>
  <c r="AD32" i="50"/>
  <c r="X32" i="50"/>
  <c r="T32" i="50"/>
  <c r="P32" i="50"/>
  <c r="S32" i="50"/>
  <c r="U32" i="50"/>
  <c r="Y32" i="50"/>
  <c r="W32" i="50"/>
  <c r="O32" i="50"/>
  <c r="Q32" i="50"/>
  <c r="N29" i="46"/>
  <c r="L29" i="46"/>
  <c r="K29" i="46"/>
  <c r="J29" i="46"/>
  <c r="I29" i="46"/>
  <c r="H29" i="46"/>
  <c r="G29" i="46"/>
  <c r="F29" i="46"/>
  <c r="E29" i="46"/>
  <c r="I38" i="58" a="1"/>
  <c r="I38" i="58" s="1"/>
  <c r="J37" i="58" a="1"/>
  <c r="J37" i="58" s="1"/>
  <c r="B36" i="26"/>
  <c r="A37" i="26"/>
  <c r="B37" i="26" s="1"/>
  <c r="A37" i="49"/>
  <c r="B36" i="49"/>
  <c r="C35" i="49"/>
  <c r="I35" i="49"/>
  <c r="L35" i="49"/>
  <c r="J35" i="49"/>
  <c r="K35" i="49"/>
  <c r="H35" i="49"/>
  <c r="F35" i="49"/>
  <c r="E35" i="49"/>
  <c r="D35" i="49"/>
  <c r="G35" i="49"/>
  <c r="AB35" i="27"/>
  <c r="AI35" i="27"/>
  <c r="U35" i="27"/>
  <c r="R35" i="2"/>
  <c r="B34" i="32"/>
  <c r="A35" i="32"/>
  <c r="J36" i="27"/>
  <c r="O36" i="27"/>
  <c r="L36" i="27"/>
  <c r="C36" i="27"/>
  <c r="E36" i="27"/>
  <c r="K36" i="27"/>
  <c r="G36" i="27"/>
  <c r="H36" i="27"/>
  <c r="F36" i="27"/>
  <c r="M36" i="27"/>
  <c r="N36" i="27"/>
  <c r="I36" i="27"/>
  <c r="P36" i="27"/>
  <c r="D36" i="27"/>
  <c r="E36" i="2"/>
  <c r="F36" i="2"/>
  <c r="A38" i="27"/>
  <c r="B37" i="27"/>
  <c r="H36" i="2" l="1"/>
  <c r="J36" i="2"/>
  <c r="D36" i="2"/>
  <c r="C36" i="2"/>
  <c r="K36" i="2"/>
  <c r="A37" i="2"/>
  <c r="I36" i="2"/>
  <c r="R34" i="2"/>
  <c r="AE34" i="2"/>
  <c r="B29" i="63"/>
  <c r="C28" i="63"/>
  <c r="I55" i="57"/>
  <c r="O54" i="57"/>
  <c r="I88" i="56"/>
  <c r="N87" i="56"/>
  <c r="S26" i="63"/>
  <c r="Q26" i="63"/>
  <c r="T26" i="63"/>
  <c r="R26" i="63"/>
  <c r="M52" i="57"/>
  <c r="M30" i="55"/>
  <c r="N29" i="55"/>
  <c r="B35" i="50"/>
  <c r="C34" i="50"/>
  <c r="J87" i="55"/>
  <c r="D87" i="55"/>
  <c r="K28" i="56"/>
  <c r="E28" i="56"/>
  <c r="W26" i="63"/>
  <c r="N30" i="46"/>
  <c r="L30" i="46"/>
  <c r="K30" i="46"/>
  <c r="J30" i="46"/>
  <c r="I30" i="46"/>
  <c r="H30" i="46"/>
  <c r="G30" i="46"/>
  <c r="F30" i="46"/>
  <c r="E30" i="46"/>
  <c r="M89" i="55"/>
  <c r="N88" i="55"/>
  <c r="I30" i="56"/>
  <c r="N29" i="56"/>
  <c r="U26" i="63"/>
  <c r="O26" i="63"/>
  <c r="C32" i="46"/>
  <c r="D31" i="46"/>
  <c r="L27" i="63"/>
  <c r="M27" i="63"/>
  <c r="J27" i="63"/>
  <c r="H27" i="63"/>
  <c r="F27" i="63"/>
  <c r="D27" i="63"/>
  <c r="P27" i="63"/>
  <c r="E27" i="63"/>
  <c r="K27" i="63"/>
  <c r="G27" i="63"/>
  <c r="I27" i="63"/>
  <c r="K53" i="57"/>
  <c r="J53" i="57"/>
  <c r="M53" i="57" s="1"/>
  <c r="F53" i="57"/>
  <c r="D53" i="57"/>
  <c r="K86" i="56"/>
  <c r="E86" i="56"/>
  <c r="Y26" i="63"/>
  <c r="X26" i="63"/>
  <c r="V26" i="63"/>
  <c r="G52" i="57"/>
  <c r="J28" i="55"/>
  <c r="D28" i="55"/>
  <c r="AD33" i="50"/>
  <c r="W33" i="50"/>
  <c r="S33" i="50"/>
  <c r="O33" i="50"/>
  <c r="Y33" i="50"/>
  <c r="U33" i="50"/>
  <c r="Q33" i="50"/>
  <c r="T33" i="50"/>
  <c r="AC33" i="50"/>
  <c r="V33" i="50"/>
  <c r="N33" i="50"/>
  <c r="R33" i="50"/>
  <c r="X33" i="50"/>
  <c r="P33" i="50"/>
  <c r="I39" i="58" a="1"/>
  <c r="I39" i="58" s="1"/>
  <c r="J38" i="58" a="1"/>
  <c r="J38" i="58" s="1"/>
  <c r="A38" i="26"/>
  <c r="A39" i="26" s="1"/>
  <c r="B39" i="26" s="1"/>
  <c r="F37" i="26"/>
  <c r="J37" i="26"/>
  <c r="I37" i="26"/>
  <c r="D37" i="26"/>
  <c r="H37" i="26"/>
  <c r="G37" i="26"/>
  <c r="C37" i="26"/>
  <c r="E37" i="26"/>
  <c r="J36" i="26"/>
  <c r="H36" i="26"/>
  <c r="I36" i="26"/>
  <c r="F36" i="26"/>
  <c r="D36" i="26"/>
  <c r="C36" i="26"/>
  <c r="E36" i="26"/>
  <c r="G36" i="26"/>
  <c r="C36" i="49"/>
  <c r="K36" i="49"/>
  <c r="L36" i="49"/>
  <c r="I36" i="49"/>
  <c r="J36" i="49"/>
  <c r="G36" i="49"/>
  <c r="E36" i="49"/>
  <c r="H36" i="49"/>
  <c r="D36" i="49"/>
  <c r="F36" i="49"/>
  <c r="A38" i="49"/>
  <c r="B37" i="49"/>
  <c r="M37" i="27"/>
  <c r="J37" i="27"/>
  <c r="F37" i="27"/>
  <c r="D37" i="27"/>
  <c r="I37" i="27"/>
  <c r="E37" i="27"/>
  <c r="H37" i="27"/>
  <c r="C37" i="27"/>
  <c r="G37" i="27"/>
  <c r="O37" i="27"/>
  <c r="P37" i="27"/>
  <c r="N37" i="27"/>
  <c r="K37" i="27"/>
  <c r="L37" i="27"/>
  <c r="AI36" i="27"/>
  <c r="U36" i="27"/>
  <c r="AB36" i="27"/>
  <c r="R36" i="2"/>
  <c r="AE36" i="2"/>
  <c r="A39" i="27"/>
  <c r="B38" i="27"/>
  <c r="B35" i="32"/>
  <c r="A36" i="32"/>
  <c r="B37" i="2" l="1"/>
  <c r="A38" i="2"/>
  <c r="B38" i="2" s="1"/>
  <c r="I38" i="2" s="1"/>
  <c r="O27" i="63"/>
  <c r="U27" i="63"/>
  <c r="V27" i="63"/>
  <c r="Y27" i="63"/>
  <c r="X27" i="63"/>
  <c r="J88" i="55"/>
  <c r="D88" i="55"/>
  <c r="X34" i="50"/>
  <c r="T34" i="50"/>
  <c r="P34" i="50"/>
  <c r="Y34" i="50"/>
  <c r="AC34" i="50"/>
  <c r="V34" i="50"/>
  <c r="R34" i="50"/>
  <c r="N34" i="50"/>
  <c r="U34" i="50"/>
  <c r="W34" i="50"/>
  <c r="O34" i="50"/>
  <c r="Q34" i="50"/>
  <c r="AD34" i="50"/>
  <c r="S34" i="50"/>
  <c r="J54" i="57"/>
  <c r="K54" i="57"/>
  <c r="M54" i="57" s="1"/>
  <c r="F54" i="57"/>
  <c r="D54" i="57"/>
  <c r="W27" i="63"/>
  <c r="M90" i="55"/>
  <c r="N89" i="55"/>
  <c r="B36" i="50"/>
  <c r="C35" i="50"/>
  <c r="N26" i="63"/>
  <c r="I56" i="57"/>
  <c r="O55" i="57"/>
  <c r="N31" i="46"/>
  <c r="L31" i="46"/>
  <c r="K31" i="46"/>
  <c r="J31" i="46"/>
  <c r="I31" i="46"/>
  <c r="H31" i="46"/>
  <c r="G31" i="46"/>
  <c r="E31" i="46"/>
  <c r="F31" i="46"/>
  <c r="E29" i="56"/>
  <c r="K29" i="56"/>
  <c r="J29" i="55"/>
  <c r="D29" i="55"/>
  <c r="K87" i="56"/>
  <c r="E87" i="56"/>
  <c r="P28" i="63"/>
  <c r="L28" i="63"/>
  <c r="M28" i="63"/>
  <c r="J28" i="63"/>
  <c r="H28" i="63"/>
  <c r="F28" i="63"/>
  <c r="K28" i="63"/>
  <c r="I28" i="63"/>
  <c r="G28" i="63"/>
  <c r="E28" i="63"/>
  <c r="D28" i="63"/>
  <c r="G53" i="57"/>
  <c r="S27" i="63"/>
  <c r="T27" i="63"/>
  <c r="Q27" i="63"/>
  <c r="R27" i="63"/>
  <c r="C33" i="46"/>
  <c r="D32" i="46"/>
  <c r="I31" i="56"/>
  <c r="N30" i="56"/>
  <c r="M31" i="55"/>
  <c r="N30" i="55"/>
  <c r="I89" i="56"/>
  <c r="N88" i="56"/>
  <c r="B30" i="63"/>
  <c r="C29" i="63"/>
  <c r="I40" i="58" a="1"/>
  <c r="I40" i="58" s="1"/>
  <c r="J39" i="58" a="1"/>
  <c r="J39" i="58" s="1"/>
  <c r="H39" i="26"/>
  <c r="J39" i="26"/>
  <c r="F39" i="26"/>
  <c r="E39" i="26"/>
  <c r="G39" i="26"/>
  <c r="D39" i="26"/>
  <c r="C39" i="26"/>
  <c r="I39" i="26"/>
  <c r="B38" i="26"/>
  <c r="A40" i="26"/>
  <c r="B40" i="26" s="1"/>
  <c r="J37" i="49"/>
  <c r="I37" i="49"/>
  <c r="L37" i="49"/>
  <c r="H37" i="49"/>
  <c r="C37" i="49"/>
  <c r="D37" i="49"/>
  <c r="E37" i="49"/>
  <c r="F37" i="49"/>
  <c r="G37" i="49"/>
  <c r="K37" i="49"/>
  <c r="B38" i="49"/>
  <c r="A39" i="49"/>
  <c r="U37" i="27"/>
  <c r="AB37" i="27"/>
  <c r="AI37" i="27"/>
  <c r="G38" i="27"/>
  <c r="I38" i="27"/>
  <c r="K38" i="27"/>
  <c r="H38" i="27"/>
  <c r="O38" i="27"/>
  <c r="N38" i="27"/>
  <c r="D38" i="27"/>
  <c r="P38" i="27"/>
  <c r="F38" i="27"/>
  <c r="J38" i="27"/>
  <c r="C38" i="27"/>
  <c r="L38" i="27"/>
  <c r="M38" i="27"/>
  <c r="E38" i="27"/>
  <c r="A40" i="27"/>
  <c r="B39" i="27"/>
  <c r="B36" i="32"/>
  <c r="A37" i="32"/>
  <c r="K38" i="2" l="1"/>
  <c r="H38" i="2"/>
  <c r="A39" i="2"/>
  <c r="B39" i="2" s="1"/>
  <c r="E39" i="2" s="1"/>
  <c r="G38" i="2"/>
  <c r="C38" i="2"/>
  <c r="E38" i="2"/>
  <c r="J38" i="2"/>
  <c r="F38" i="2"/>
  <c r="D38" i="2"/>
  <c r="D37" i="2"/>
  <c r="H37" i="2"/>
  <c r="K37" i="2"/>
  <c r="F37" i="2"/>
  <c r="G37" i="2"/>
  <c r="J37" i="2"/>
  <c r="I37" i="2"/>
  <c r="C37" i="2"/>
  <c r="E37" i="2"/>
  <c r="I90" i="56"/>
  <c r="N89" i="56"/>
  <c r="I32" i="56"/>
  <c r="N31" i="56"/>
  <c r="N27" i="63"/>
  <c r="O28" i="63"/>
  <c r="U28" i="63"/>
  <c r="X28" i="63"/>
  <c r="V28" i="63"/>
  <c r="Y28" i="63"/>
  <c r="M91" i="55"/>
  <c r="N90" i="55"/>
  <c r="M29" i="63"/>
  <c r="K29" i="63"/>
  <c r="P29" i="63"/>
  <c r="I29" i="63"/>
  <c r="G29" i="63"/>
  <c r="E29" i="63"/>
  <c r="D29" i="63"/>
  <c r="F29" i="63"/>
  <c r="L29" i="63"/>
  <c r="H29" i="63"/>
  <c r="J29" i="63"/>
  <c r="D30" i="55"/>
  <c r="J30" i="55"/>
  <c r="N32" i="46"/>
  <c r="L32" i="46"/>
  <c r="H32" i="46"/>
  <c r="K32" i="46"/>
  <c r="G32" i="46"/>
  <c r="J32" i="46"/>
  <c r="F32" i="46"/>
  <c r="E32" i="46"/>
  <c r="I32" i="46"/>
  <c r="W28" i="63"/>
  <c r="Y35" i="50"/>
  <c r="U35" i="50"/>
  <c r="Q35" i="50"/>
  <c r="AC35" i="50"/>
  <c r="AD35" i="50"/>
  <c r="W35" i="50"/>
  <c r="S35" i="50"/>
  <c r="O35" i="50"/>
  <c r="V35" i="50"/>
  <c r="N35" i="50"/>
  <c r="X35" i="50"/>
  <c r="P35" i="50"/>
  <c r="T35" i="50"/>
  <c r="R35" i="50"/>
  <c r="B31" i="63"/>
  <c r="C30" i="63"/>
  <c r="M32" i="55"/>
  <c r="N31" i="55"/>
  <c r="C34" i="46"/>
  <c r="D33" i="46"/>
  <c r="T28" i="63"/>
  <c r="R28" i="63"/>
  <c r="Q28" i="63"/>
  <c r="S28" i="63"/>
  <c r="J55" i="57"/>
  <c r="F55" i="57"/>
  <c r="D55" i="57"/>
  <c r="K55" i="57"/>
  <c r="B37" i="50"/>
  <c r="C36" i="50"/>
  <c r="L38" i="49" s="1"/>
  <c r="G54" i="57"/>
  <c r="K88" i="56"/>
  <c r="E88" i="56"/>
  <c r="K30" i="56"/>
  <c r="E30" i="56"/>
  <c r="I57" i="57"/>
  <c r="O56" i="57"/>
  <c r="J89" i="55"/>
  <c r="D89" i="55"/>
  <c r="I41" i="58" a="1"/>
  <c r="I41" i="58" s="1"/>
  <c r="J40" i="58" a="1"/>
  <c r="J40" i="58" s="1"/>
  <c r="I38" i="26"/>
  <c r="F38" i="26"/>
  <c r="D38" i="26"/>
  <c r="E38" i="26"/>
  <c r="G38" i="26"/>
  <c r="C38" i="26"/>
  <c r="H38" i="26"/>
  <c r="J38" i="26"/>
  <c r="A41" i="26"/>
  <c r="B41" i="26" s="1"/>
  <c r="J40" i="26"/>
  <c r="C40" i="26"/>
  <c r="H40" i="26"/>
  <c r="E40" i="26"/>
  <c r="F40" i="26"/>
  <c r="D40" i="26"/>
  <c r="G40" i="26"/>
  <c r="I40" i="26"/>
  <c r="A40" i="49"/>
  <c r="B39" i="49"/>
  <c r="K38" i="49"/>
  <c r="H38" i="49"/>
  <c r="J38" i="49"/>
  <c r="D38" i="49"/>
  <c r="O39" i="27"/>
  <c r="H39" i="27"/>
  <c r="M39" i="27"/>
  <c r="D39" i="27"/>
  <c r="K39" i="27"/>
  <c r="P39" i="27"/>
  <c r="I39" i="27"/>
  <c r="C39" i="27"/>
  <c r="F39" i="27"/>
  <c r="L39" i="27"/>
  <c r="J39" i="27"/>
  <c r="E39" i="27"/>
  <c r="G39" i="27"/>
  <c r="N39" i="27"/>
  <c r="A41" i="27"/>
  <c r="B40" i="27"/>
  <c r="A38" i="32"/>
  <c r="B37" i="32"/>
  <c r="I39" i="2"/>
  <c r="H39" i="2"/>
  <c r="R38" i="2"/>
  <c r="AE38" i="2"/>
  <c r="AB38" i="27"/>
  <c r="AI38" i="27"/>
  <c r="U38" i="27"/>
  <c r="G38" i="49" l="1"/>
  <c r="W29" i="63"/>
  <c r="C38" i="49"/>
  <c r="F38" i="49"/>
  <c r="I38" i="49"/>
  <c r="A40" i="2"/>
  <c r="B40" i="2" s="1"/>
  <c r="E38" i="49"/>
  <c r="C39" i="2"/>
  <c r="J39" i="2"/>
  <c r="G39" i="2"/>
  <c r="K39" i="2"/>
  <c r="F39" i="2"/>
  <c r="R39" i="2" s="1"/>
  <c r="AE37" i="2"/>
  <c r="R37" i="2"/>
  <c r="D39" i="2"/>
  <c r="G55" i="57"/>
  <c r="I58" i="57"/>
  <c r="O57" i="57"/>
  <c r="B38" i="50"/>
  <c r="C37" i="50"/>
  <c r="M55" i="57"/>
  <c r="M33" i="55"/>
  <c r="N32" i="55"/>
  <c r="D90" i="55"/>
  <c r="J90" i="55"/>
  <c r="K31" i="56"/>
  <c r="E31" i="56"/>
  <c r="L33" i="46"/>
  <c r="K33" i="46"/>
  <c r="J33" i="46"/>
  <c r="I33" i="46"/>
  <c r="H33" i="46"/>
  <c r="G33" i="46"/>
  <c r="F33" i="46"/>
  <c r="E33" i="46"/>
  <c r="N33" i="46"/>
  <c r="M30" i="63"/>
  <c r="K30" i="63"/>
  <c r="P30" i="63"/>
  <c r="I30" i="63"/>
  <c r="G30" i="63"/>
  <c r="E30" i="63"/>
  <c r="L30" i="63"/>
  <c r="J30" i="63"/>
  <c r="H30" i="63"/>
  <c r="F30" i="63"/>
  <c r="D30" i="63"/>
  <c r="O29" i="63"/>
  <c r="U29" i="63"/>
  <c r="T29" i="63"/>
  <c r="R29" i="63"/>
  <c r="S29" i="63"/>
  <c r="Q29" i="63"/>
  <c r="M92" i="55"/>
  <c r="N91" i="55"/>
  <c r="I33" i="56"/>
  <c r="N32" i="56"/>
  <c r="N28" i="63"/>
  <c r="C35" i="46"/>
  <c r="D34" i="46"/>
  <c r="B32" i="63"/>
  <c r="C31" i="63"/>
  <c r="K89" i="56"/>
  <c r="E89" i="56"/>
  <c r="J56" i="57"/>
  <c r="F56" i="57"/>
  <c r="K56" i="57"/>
  <c r="D56" i="57"/>
  <c r="G56" i="57" s="1"/>
  <c r="AC36" i="50"/>
  <c r="V36" i="50"/>
  <c r="R36" i="50"/>
  <c r="N36" i="50"/>
  <c r="AD36" i="50"/>
  <c r="X36" i="50"/>
  <c r="T36" i="50"/>
  <c r="P36" i="50"/>
  <c r="W36" i="50"/>
  <c r="O36" i="50"/>
  <c r="Q36" i="50"/>
  <c r="Y36" i="50"/>
  <c r="S36" i="50"/>
  <c r="U36" i="50"/>
  <c r="D31" i="55"/>
  <c r="J31" i="55"/>
  <c r="X29" i="63"/>
  <c r="Y29" i="63"/>
  <c r="V29" i="63"/>
  <c r="I91" i="56"/>
  <c r="N90" i="56"/>
  <c r="I42" i="58" a="1"/>
  <c r="I42" i="58" s="1"/>
  <c r="J41" i="58" a="1"/>
  <c r="J41" i="58" s="1"/>
  <c r="J41" i="26"/>
  <c r="F41" i="26"/>
  <c r="E41" i="26"/>
  <c r="G41" i="26"/>
  <c r="C41" i="26"/>
  <c r="I41" i="26"/>
  <c r="D41" i="26"/>
  <c r="H41" i="26"/>
  <c r="A42" i="26"/>
  <c r="B42" i="26" s="1"/>
  <c r="E39" i="49"/>
  <c r="G39" i="49"/>
  <c r="B40" i="49"/>
  <c r="A41" i="49"/>
  <c r="M40" i="27"/>
  <c r="H40" i="27"/>
  <c r="I40" i="27"/>
  <c r="N40" i="27"/>
  <c r="O40" i="27"/>
  <c r="P40" i="27"/>
  <c r="D40" i="27"/>
  <c r="J40" i="27"/>
  <c r="K40" i="27"/>
  <c r="L40" i="27"/>
  <c r="C40" i="27"/>
  <c r="E40" i="27"/>
  <c r="F40" i="27"/>
  <c r="G40" i="27"/>
  <c r="H40" i="2"/>
  <c r="J40" i="2"/>
  <c r="D40" i="2"/>
  <c r="C40" i="2"/>
  <c r="E40" i="2"/>
  <c r="K40" i="2"/>
  <c r="I40" i="2"/>
  <c r="F40" i="2"/>
  <c r="G40" i="2"/>
  <c r="A42" i="27"/>
  <c r="B41" i="27"/>
  <c r="U39" i="27"/>
  <c r="AB39" i="27"/>
  <c r="AI39" i="27"/>
  <c r="B38" i="32"/>
  <c r="A39" i="32"/>
  <c r="W30" i="63" l="1"/>
  <c r="A41" i="2"/>
  <c r="A42" i="2" s="1"/>
  <c r="AE39" i="2"/>
  <c r="N34" i="46"/>
  <c r="L34" i="46"/>
  <c r="K34" i="46"/>
  <c r="J34" i="46"/>
  <c r="I34" i="46"/>
  <c r="H34" i="46"/>
  <c r="G34" i="46"/>
  <c r="F34" i="46"/>
  <c r="E34" i="46"/>
  <c r="I34" i="56"/>
  <c r="N33" i="56"/>
  <c r="AD37" i="50"/>
  <c r="W37" i="50"/>
  <c r="S37" i="50"/>
  <c r="O37" i="50"/>
  <c r="Y37" i="50"/>
  <c r="U37" i="50"/>
  <c r="Q37" i="50"/>
  <c r="AC37" i="50"/>
  <c r="X37" i="50"/>
  <c r="P37" i="50"/>
  <c r="R37" i="50"/>
  <c r="V37" i="50"/>
  <c r="N37" i="50"/>
  <c r="T37" i="50"/>
  <c r="D39" i="49"/>
  <c r="L39" i="49"/>
  <c r="C36" i="46"/>
  <c r="D35" i="46"/>
  <c r="D91" i="55"/>
  <c r="J91" i="55"/>
  <c r="U30" i="63"/>
  <c r="O30" i="63"/>
  <c r="S30" i="63"/>
  <c r="Q30" i="63"/>
  <c r="R30" i="63"/>
  <c r="T30" i="63"/>
  <c r="J32" i="55"/>
  <c r="D32" i="55"/>
  <c r="B39" i="50"/>
  <c r="C38" i="50"/>
  <c r="P31" i="63"/>
  <c r="L31" i="63"/>
  <c r="M31" i="63"/>
  <c r="K31" i="63"/>
  <c r="J31" i="63"/>
  <c r="H31" i="63"/>
  <c r="F31" i="63"/>
  <c r="D31" i="63"/>
  <c r="E31" i="63"/>
  <c r="G31" i="63"/>
  <c r="I31" i="63"/>
  <c r="M93" i="55"/>
  <c r="N92" i="55"/>
  <c r="M34" i="55"/>
  <c r="N33" i="55"/>
  <c r="K57" i="57"/>
  <c r="J57" i="57"/>
  <c r="D57" i="57"/>
  <c r="F57" i="57"/>
  <c r="I92" i="56"/>
  <c r="N91" i="56"/>
  <c r="I39" i="49"/>
  <c r="C39" i="49"/>
  <c r="K39" i="49"/>
  <c r="H39" i="49"/>
  <c r="J39" i="49"/>
  <c r="F39" i="49"/>
  <c r="K90" i="56"/>
  <c r="E90" i="56"/>
  <c r="M56" i="57"/>
  <c r="B33" i="63"/>
  <c r="C33" i="63" s="1"/>
  <c r="C32" i="63"/>
  <c r="K32" i="56"/>
  <c r="E32" i="56"/>
  <c r="N29" i="63"/>
  <c r="Y30" i="63"/>
  <c r="X30" i="63"/>
  <c r="V30" i="63"/>
  <c r="I59" i="57"/>
  <c r="O58" i="57"/>
  <c r="I43" i="58" a="1"/>
  <c r="I43" i="58" s="1"/>
  <c r="J42" i="58" a="1"/>
  <c r="J42" i="58" s="1"/>
  <c r="A43" i="26"/>
  <c r="F42" i="26"/>
  <c r="G42" i="26"/>
  <c r="D42" i="26"/>
  <c r="C42" i="26"/>
  <c r="I42" i="26"/>
  <c r="E42" i="26"/>
  <c r="J42" i="26"/>
  <c r="H42" i="26"/>
  <c r="A42" i="49"/>
  <c r="B41" i="49"/>
  <c r="G40" i="49"/>
  <c r="K40" i="49"/>
  <c r="I40" i="49"/>
  <c r="F40" i="49"/>
  <c r="D40" i="49"/>
  <c r="C40" i="49"/>
  <c r="L40" i="49"/>
  <c r="H40" i="49"/>
  <c r="J40" i="49"/>
  <c r="E40" i="49"/>
  <c r="A40" i="32"/>
  <c r="B39" i="32"/>
  <c r="AB40" i="27"/>
  <c r="AI40" i="27"/>
  <c r="U40" i="27"/>
  <c r="I41" i="27"/>
  <c r="O41" i="27"/>
  <c r="L41" i="27"/>
  <c r="C41" i="27"/>
  <c r="N41" i="27"/>
  <c r="K41" i="27"/>
  <c r="G41" i="27"/>
  <c r="J41" i="27"/>
  <c r="F41" i="27"/>
  <c r="P41" i="27"/>
  <c r="M41" i="27"/>
  <c r="E41" i="27"/>
  <c r="H41" i="27"/>
  <c r="D41" i="27"/>
  <c r="A43" i="27"/>
  <c r="B42" i="27"/>
  <c r="R40" i="2"/>
  <c r="AE40" i="2"/>
  <c r="B42" i="2"/>
  <c r="A43" i="2"/>
  <c r="W31" i="63" l="1"/>
  <c r="B41" i="2"/>
  <c r="G57" i="57"/>
  <c r="M57" i="57"/>
  <c r="I60" i="57"/>
  <c r="O59" i="57"/>
  <c r="M33" i="63"/>
  <c r="K33" i="63"/>
  <c r="L33" i="63"/>
  <c r="I33" i="63"/>
  <c r="G33" i="63"/>
  <c r="E33" i="63"/>
  <c r="P33" i="63"/>
  <c r="F33" i="63"/>
  <c r="H33" i="63"/>
  <c r="J33" i="63"/>
  <c r="D33" i="63"/>
  <c r="J33" i="55"/>
  <c r="D33" i="55"/>
  <c r="X31" i="63"/>
  <c r="V31" i="63"/>
  <c r="Y31" i="63"/>
  <c r="B40" i="50"/>
  <c r="C39" i="50"/>
  <c r="D41" i="49" s="1"/>
  <c r="C37" i="46"/>
  <c r="D36" i="46"/>
  <c r="M35" i="55"/>
  <c r="N34" i="55"/>
  <c r="N30" i="63"/>
  <c r="K33" i="56"/>
  <c r="E33" i="56"/>
  <c r="K91" i="56"/>
  <c r="E91" i="56"/>
  <c r="D92" i="55"/>
  <c r="J92" i="55"/>
  <c r="S31" i="63"/>
  <c r="T31" i="63"/>
  <c r="Q31" i="63"/>
  <c r="R31" i="63"/>
  <c r="I35" i="56"/>
  <c r="N34" i="56"/>
  <c r="K58" i="57"/>
  <c r="F58" i="57"/>
  <c r="J58" i="57"/>
  <c r="D58" i="57"/>
  <c r="P32" i="63"/>
  <c r="L32" i="63"/>
  <c r="M32" i="63"/>
  <c r="K32" i="63"/>
  <c r="J32" i="63"/>
  <c r="H32" i="63"/>
  <c r="F32" i="63"/>
  <c r="I32" i="63"/>
  <c r="G32" i="63"/>
  <c r="E32" i="63"/>
  <c r="D32" i="63"/>
  <c r="I93" i="56"/>
  <c r="N92" i="56"/>
  <c r="M94" i="55"/>
  <c r="N93" i="55"/>
  <c r="U31" i="63"/>
  <c r="O31" i="63"/>
  <c r="X38" i="50"/>
  <c r="T38" i="50"/>
  <c r="P38" i="50"/>
  <c r="Y38" i="50"/>
  <c r="AC38" i="50"/>
  <c r="V38" i="50"/>
  <c r="R38" i="50"/>
  <c r="N38" i="50"/>
  <c r="Q38" i="50"/>
  <c r="S38" i="50"/>
  <c r="O38" i="50"/>
  <c r="AD38" i="50"/>
  <c r="U38" i="50"/>
  <c r="W38" i="50"/>
  <c r="N35" i="46"/>
  <c r="L35" i="46"/>
  <c r="K35" i="46"/>
  <c r="J35" i="46"/>
  <c r="I35" i="46"/>
  <c r="H35" i="46"/>
  <c r="G35" i="46"/>
  <c r="F35" i="46"/>
  <c r="E35" i="46"/>
  <c r="I44" i="58" a="1"/>
  <c r="I44" i="58" s="1"/>
  <c r="J43" i="58" a="1"/>
  <c r="J43" i="58" s="1"/>
  <c r="A44" i="26"/>
  <c r="B44" i="26" s="1"/>
  <c r="B43" i="26"/>
  <c r="C41" i="49"/>
  <c r="B42" i="49"/>
  <c r="A43" i="49"/>
  <c r="U41" i="27"/>
  <c r="AB41" i="27"/>
  <c r="AI41" i="27"/>
  <c r="B43" i="2"/>
  <c r="A44" i="2"/>
  <c r="H42" i="27"/>
  <c r="M42" i="27"/>
  <c r="E42" i="27"/>
  <c r="D42" i="27"/>
  <c r="P42" i="27"/>
  <c r="I42" i="27"/>
  <c r="O42" i="27"/>
  <c r="C42" i="27"/>
  <c r="L42" i="27"/>
  <c r="N42" i="27"/>
  <c r="K42" i="27"/>
  <c r="G42" i="27"/>
  <c r="J42" i="27"/>
  <c r="F42" i="27"/>
  <c r="K42" i="2"/>
  <c r="G42" i="2"/>
  <c r="E42" i="2"/>
  <c r="J42" i="2"/>
  <c r="H42" i="2"/>
  <c r="C42" i="2"/>
  <c r="F42" i="2"/>
  <c r="I42" i="2"/>
  <c r="D42" i="2"/>
  <c r="A44" i="27"/>
  <c r="B43" i="27"/>
  <c r="B40" i="32"/>
  <c r="A41" i="32"/>
  <c r="K41" i="49" l="1"/>
  <c r="G41" i="49"/>
  <c r="I41" i="49"/>
  <c r="J41" i="49"/>
  <c r="E41" i="49"/>
  <c r="G41" i="2"/>
  <c r="K41" i="2"/>
  <c r="H41" i="2"/>
  <c r="J41" i="2"/>
  <c r="F41" i="2"/>
  <c r="E41" i="2"/>
  <c r="I41" i="2"/>
  <c r="C41" i="2"/>
  <c r="D41" i="2"/>
  <c r="L41" i="49"/>
  <c r="G58" i="57"/>
  <c r="M58" i="57"/>
  <c r="D93" i="55"/>
  <c r="J93" i="55"/>
  <c r="O32" i="63"/>
  <c r="U32" i="63"/>
  <c r="X32" i="63"/>
  <c r="V32" i="63"/>
  <c r="Y32" i="63"/>
  <c r="I36" i="56"/>
  <c r="N35" i="56"/>
  <c r="J34" i="55"/>
  <c r="D34" i="55"/>
  <c r="Y39" i="50"/>
  <c r="U39" i="50"/>
  <c r="Q39" i="50"/>
  <c r="AC39" i="50"/>
  <c r="AD39" i="50"/>
  <c r="W39" i="50"/>
  <c r="S39" i="50"/>
  <c r="O39" i="50"/>
  <c r="R39" i="50"/>
  <c r="T39" i="50"/>
  <c r="X39" i="50"/>
  <c r="V39" i="50"/>
  <c r="N39" i="50"/>
  <c r="P39" i="50"/>
  <c r="M95" i="55"/>
  <c r="N94" i="55"/>
  <c r="W32" i="63"/>
  <c r="M36" i="55"/>
  <c r="N35" i="55"/>
  <c r="B41" i="50"/>
  <c r="C40" i="50"/>
  <c r="Y33" i="63"/>
  <c r="V33" i="63"/>
  <c r="X33" i="63"/>
  <c r="E92" i="56"/>
  <c r="K92" i="56"/>
  <c r="T32" i="63"/>
  <c r="R32" i="63"/>
  <c r="S32" i="63"/>
  <c r="Q32" i="63"/>
  <c r="N31" i="63"/>
  <c r="N36" i="46"/>
  <c r="L36" i="46"/>
  <c r="K36" i="46"/>
  <c r="G36" i="46"/>
  <c r="J36" i="46"/>
  <c r="I36" i="46"/>
  <c r="F36" i="46"/>
  <c r="H36" i="46"/>
  <c r="E36" i="46"/>
  <c r="K59" i="57"/>
  <c r="J59" i="57"/>
  <c r="D59" i="57"/>
  <c r="F59" i="57"/>
  <c r="H41" i="49"/>
  <c r="F41" i="49"/>
  <c r="I94" i="56"/>
  <c r="N93" i="56"/>
  <c r="K34" i="56"/>
  <c r="E34" i="56"/>
  <c r="C38" i="46"/>
  <c r="D37" i="46"/>
  <c r="O33" i="63"/>
  <c r="U33" i="63"/>
  <c r="Q33" i="63"/>
  <c r="T33" i="63"/>
  <c r="R33" i="63"/>
  <c r="S33" i="63"/>
  <c r="W33" i="63"/>
  <c r="I61" i="57"/>
  <c r="O60" i="57"/>
  <c r="I45" i="58" a="1"/>
  <c r="I45" i="58" s="1"/>
  <c r="J44" i="58" a="1"/>
  <c r="J44" i="58" s="1"/>
  <c r="H44" i="26"/>
  <c r="G44" i="26"/>
  <c r="I44" i="26"/>
  <c r="F44" i="26"/>
  <c r="C44" i="26"/>
  <c r="D44" i="26"/>
  <c r="E44" i="26"/>
  <c r="J44" i="26"/>
  <c r="A45" i="26"/>
  <c r="B45" i="26" s="1"/>
  <c r="E43" i="26"/>
  <c r="H43" i="26"/>
  <c r="F43" i="26"/>
  <c r="I43" i="26"/>
  <c r="G43" i="26"/>
  <c r="D43" i="26"/>
  <c r="C43" i="26"/>
  <c r="J43" i="26"/>
  <c r="B43" i="49"/>
  <c r="A44" i="49"/>
  <c r="K42" i="49"/>
  <c r="L42" i="49"/>
  <c r="E42" i="49"/>
  <c r="D42" i="49"/>
  <c r="F42" i="49"/>
  <c r="H42" i="49"/>
  <c r="I42" i="49"/>
  <c r="J42" i="49"/>
  <c r="C42" i="49"/>
  <c r="G42" i="49"/>
  <c r="A42" i="32"/>
  <c r="B41" i="32"/>
  <c r="F43" i="27"/>
  <c r="L43" i="27"/>
  <c r="J43" i="27"/>
  <c r="N43" i="27"/>
  <c r="G43" i="27"/>
  <c r="E43" i="27"/>
  <c r="O43" i="27"/>
  <c r="H43" i="27"/>
  <c r="M43" i="27"/>
  <c r="D43" i="27"/>
  <c r="K43" i="27"/>
  <c r="P43" i="27"/>
  <c r="I43" i="27"/>
  <c r="C43" i="27"/>
  <c r="R42" i="2"/>
  <c r="AE42" i="2"/>
  <c r="K43" i="2"/>
  <c r="C43" i="2"/>
  <c r="I43" i="2"/>
  <c r="D43" i="2"/>
  <c r="E43" i="2"/>
  <c r="F43" i="2"/>
  <c r="G43" i="2"/>
  <c r="J43" i="2"/>
  <c r="H43" i="2"/>
  <c r="A45" i="27"/>
  <c r="B44" i="27"/>
  <c r="U42" i="27"/>
  <c r="AB42" i="27"/>
  <c r="AI42" i="27"/>
  <c r="B44" i="2"/>
  <c r="A45" i="2"/>
  <c r="G59" i="57" l="1"/>
  <c r="M59" i="57"/>
  <c r="N32" i="63"/>
  <c r="R41" i="2"/>
  <c r="AE41" i="2"/>
  <c r="K60" i="57"/>
  <c r="J60" i="57"/>
  <c r="F60" i="57"/>
  <c r="D60" i="57"/>
  <c r="AC40" i="50"/>
  <c r="V40" i="50"/>
  <c r="R40" i="50"/>
  <c r="N40" i="50"/>
  <c r="AD40" i="50"/>
  <c r="X40" i="50"/>
  <c r="T40" i="50"/>
  <c r="P40" i="50"/>
  <c r="S40" i="50"/>
  <c r="Y40" i="50"/>
  <c r="U40" i="50"/>
  <c r="Q40" i="50"/>
  <c r="W40" i="50"/>
  <c r="O40" i="50"/>
  <c r="I37" i="56"/>
  <c r="N36" i="56"/>
  <c r="I62" i="57"/>
  <c r="O61" i="57"/>
  <c r="N37" i="46"/>
  <c r="K37" i="46"/>
  <c r="J37" i="46"/>
  <c r="I37" i="46"/>
  <c r="H37" i="46"/>
  <c r="G37" i="46"/>
  <c r="L37" i="46"/>
  <c r="F37" i="46"/>
  <c r="E37" i="46"/>
  <c r="E93" i="56"/>
  <c r="K93" i="56"/>
  <c r="B42" i="50"/>
  <c r="C41" i="50"/>
  <c r="D94" i="55"/>
  <c r="J94" i="55"/>
  <c r="N33" i="63"/>
  <c r="C39" i="46"/>
  <c r="D38" i="46"/>
  <c r="I95" i="56"/>
  <c r="N94" i="56"/>
  <c r="J35" i="55"/>
  <c r="D35" i="55"/>
  <c r="M96" i="55"/>
  <c r="N95" i="55"/>
  <c r="M37" i="55"/>
  <c r="N36" i="55"/>
  <c r="K35" i="56"/>
  <c r="E35" i="56"/>
  <c r="I46" i="58" a="1"/>
  <c r="I46" i="58" s="1"/>
  <c r="J45" i="58" a="1"/>
  <c r="J45" i="58" s="1"/>
  <c r="A46" i="26"/>
  <c r="J45" i="26"/>
  <c r="F45" i="26"/>
  <c r="I45" i="26"/>
  <c r="E45" i="26"/>
  <c r="C45" i="26"/>
  <c r="H45" i="26"/>
  <c r="G45" i="26"/>
  <c r="D45" i="26"/>
  <c r="B44" i="49"/>
  <c r="A45" i="49"/>
  <c r="H43" i="49"/>
  <c r="K43" i="49"/>
  <c r="L43" i="49"/>
  <c r="C43" i="49"/>
  <c r="G43" i="49"/>
  <c r="I43" i="49"/>
  <c r="J43" i="49"/>
  <c r="E43" i="49"/>
  <c r="F43" i="49"/>
  <c r="D43" i="49"/>
  <c r="A46" i="27"/>
  <c r="B45" i="27"/>
  <c r="R43" i="2"/>
  <c r="AE43" i="2"/>
  <c r="B45" i="2"/>
  <c r="A46" i="2"/>
  <c r="H44" i="2"/>
  <c r="C44" i="2"/>
  <c r="J44" i="2"/>
  <c r="E44" i="2"/>
  <c r="F44" i="2"/>
  <c r="G44" i="2"/>
  <c r="I44" i="2"/>
  <c r="K44" i="2"/>
  <c r="D44" i="2"/>
  <c r="AI43" i="27"/>
  <c r="AB43" i="27"/>
  <c r="U43" i="27"/>
  <c r="E44" i="27"/>
  <c r="F44" i="27"/>
  <c r="I44" i="27"/>
  <c r="H44" i="27"/>
  <c r="P44" i="27"/>
  <c r="M44" i="27"/>
  <c r="N44" i="27"/>
  <c r="O44" i="27"/>
  <c r="L44" i="27"/>
  <c r="D44" i="27"/>
  <c r="J44" i="27"/>
  <c r="K44" i="27"/>
  <c r="G44" i="27"/>
  <c r="C44" i="27"/>
  <c r="B42" i="32"/>
  <c r="A43" i="32"/>
  <c r="M60" i="57" l="1"/>
  <c r="J36" i="55"/>
  <c r="D36" i="55"/>
  <c r="N38" i="46"/>
  <c r="L38" i="46"/>
  <c r="K38" i="46"/>
  <c r="J38" i="46"/>
  <c r="I38" i="46"/>
  <c r="H38" i="46"/>
  <c r="G38" i="46"/>
  <c r="F38" i="46"/>
  <c r="E38" i="46"/>
  <c r="K36" i="56"/>
  <c r="E36" i="56"/>
  <c r="G60" i="57"/>
  <c r="M38" i="55"/>
  <c r="N37" i="55"/>
  <c r="C40" i="46"/>
  <c r="D39" i="46"/>
  <c r="AD41" i="50"/>
  <c r="W41" i="50"/>
  <c r="S41" i="50"/>
  <c r="O41" i="50"/>
  <c r="X41" i="50"/>
  <c r="Y41" i="50"/>
  <c r="U41" i="50"/>
  <c r="Q41" i="50"/>
  <c r="T41" i="50"/>
  <c r="V41" i="50"/>
  <c r="N41" i="50"/>
  <c r="AC41" i="50"/>
  <c r="P41" i="50"/>
  <c r="R41" i="50"/>
  <c r="I38" i="56"/>
  <c r="N37" i="56"/>
  <c r="J95" i="55"/>
  <c r="D95" i="55"/>
  <c r="K94" i="56"/>
  <c r="E94" i="56"/>
  <c r="B43" i="50"/>
  <c r="C42" i="50"/>
  <c r="F44" i="49" s="1"/>
  <c r="K61" i="57"/>
  <c r="J61" i="57"/>
  <c r="M61" i="57" s="1"/>
  <c r="F61" i="57"/>
  <c r="D61" i="57"/>
  <c r="M97" i="55"/>
  <c r="N96" i="55"/>
  <c r="I96" i="56"/>
  <c r="N95" i="56"/>
  <c r="I63" i="57"/>
  <c r="O62" i="57"/>
  <c r="I47" i="58" a="1"/>
  <c r="I47" i="58" s="1"/>
  <c r="J47" i="58" s="1" a="1"/>
  <c r="J47" i="58" s="1"/>
  <c r="J46" i="58" a="1"/>
  <c r="J46" i="58" s="1"/>
  <c r="B46" i="26"/>
  <c r="A47" i="26"/>
  <c r="B47" i="26" s="1"/>
  <c r="A46" i="49"/>
  <c r="B45" i="49"/>
  <c r="D44" i="49"/>
  <c r="I44" i="49"/>
  <c r="J44" i="49"/>
  <c r="E44" i="49"/>
  <c r="L44" i="49"/>
  <c r="K44" i="49"/>
  <c r="H44" i="49"/>
  <c r="G44" i="49"/>
  <c r="C44" i="49"/>
  <c r="A44" i="32"/>
  <c r="B43" i="32"/>
  <c r="B46" i="2"/>
  <c r="A47" i="2"/>
  <c r="L45" i="27"/>
  <c r="O45" i="27"/>
  <c r="G45" i="27"/>
  <c r="M45" i="27"/>
  <c r="N45" i="27"/>
  <c r="K45" i="27"/>
  <c r="D45" i="27"/>
  <c r="I45" i="27"/>
  <c r="J45" i="27"/>
  <c r="F45" i="27"/>
  <c r="C45" i="27"/>
  <c r="H45" i="27"/>
  <c r="P45" i="27"/>
  <c r="E45" i="27"/>
  <c r="AB44" i="27"/>
  <c r="AI44" i="27"/>
  <c r="U44" i="27"/>
  <c r="G45" i="2"/>
  <c r="J45" i="2"/>
  <c r="F45" i="2"/>
  <c r="E45" i="2"/>
  <c r="K45" i="2"/>
  <c r="C45" i="2"/>
  <c r="D45" i="2"/>
  <c r="I45" i="2"/>
  <c r="H45" i="2"/>
  <c r="B46" i="27"/>
  <c r="A47" i="27"/>
  <c r="R44" i="2"/>
  <c r="AE44" i="2"/>
  <c r="G61" i="57" l="1"/>
  <c r="K95" i="56"/>
  <c r="E95" i="56"/>
  <c r="X42" i="50"/>
  <c r="T42" i="50"/>
  <c r="P42" i="50"/>
  <c r="Y42" i="50"/>
  <c r="AC42" i="50"/>
  <c r="V42" i="50"/>
  <c r="R42" i="50"/>
  <c r="N42" i="50"/>
  <c r="U42" i="50"/>
  <c r="AD42" i="50"/>
  <c r="W42" i="50"/>
  <c r="O42" i="50"/>
  <c r="S42" i="50"/>
  <c r="Q42" i="50"/>
  <c r="D37" i="55"/>
  <c r="J37" i="55"/>
  <c r="I97" i="56"/>
  <c r="N96" i="56"/>
  <c r="B44" i="50"/>
  <c r="C43" i="50"/>
  <c r="M39" i="55"/>
  <c r="N38" i="55"/>
  <c r="J62" i="57"/>
  <c r="D62" i="57"/>
  <c r="K62" i="57"/>
  <c r="F62" i="57"/>
  <c r="D96" i="55"/>
  <c r="J96" i="55"/>
  <c r="E37" i="56"/>
  <c r="K37" i="56"/>
  <c r="N39" i="46"/>
  <c r="L39" i="46"/>
  <c r="K39" i="46"/>
  <c r="J39" i="46"/>
  <c r="I39" i="46"/>
  <c r="H39" i="46"/>
  <c r="G39" i="46"/>
  <c r="E39" i="46"/>
  <c r="F39" i="46"/>
  <c r="I64" i="57"/>
  <c r="O63" i="57"/>
  <c r="M98" i="55"/>
  <c r="N97" i="55"/>
  <c r="I39" i="56"/>
  <c r="N38" i="56"/>
  <c r="C41" i="46"/>
  <c r="D40" i="46"/>
  <c r="H46" i="26"/>
  <c r="E46" i="26"/>
  <c r="I46" i="26"/>
  <c r="C46" i="26"/>
  <c r="G46" i="26"/>
  <c r="F46" i="26"/>
  <c r="D46" i="26"/>
  <c r="J46" i="26"/>
  <c r="A48" i="26"/>
  <c r="B48" i="26" s="1"/>
  <c r="C47" i="26"/>
  <c r="D47" i="26"/>
  <c r="J47" i="26"/>
  <c r="G47" i="26"/>
  <c r="I47" i="26"/>
  <c r="E47" i="26"/>
  <c r="H47" i="26"/>
  <c r="F47" i="26"/>
  <c r="H45" i="49"/>
  <c r="I45" i="49"/>
  <c r="L45" i="49"/>
  <c r="G45" i="49"/>
  <c r="C45" i="49"/>
  <c r="D45" i="49"/>
  <c r="E45" i="49"/>
  <c r="J45" i="49"/>
  <c r="K45" i="49"/>
  <c r="F45" i="49"/>
  <c r="B46" i="49"/>
  <c r="A47" i="49"/>
  <c r="B47" i="2"/>
  <c r="A48" i="2"/>
  <c r="F46" i="2"/>
  <c r="J46" i="2"/>
  <c r="G46" i="2"/>
  <c r="K46" i="2"/>
  <c r="C46" i="2"/>
  <c r="I46" i="2"/>
  <c r="D46" i="2"/>
  <c r="E46" i="2"/>
  <c r="H46" i="2"/>
  <c r="B47" i="27"/>
  <c r="A48" i="27"/>
  <c r="R45" i="2"/>
  <c r="AE45" i="2"/>
  <c r="H46" i="27"/>
  <c r="K46" i="27"/>
  <c r="N46" i="27"/>
  <c r="D46" i="27"/>
  <c r="P46" i="27"/>
  <c r="L46" i="27"/>
  <c r="M46" i="27"/>
  <c r="E46" i="27"/>
  <c r="G46" i="27"/>
  <c r="O46" i="27"/>
  <c r="F46" i="27"/>
  <c r="C46" i="27"/>
  <c r="I46" i="27"/>
  <c r="J46" i="27"/>
  <c r="AB45" i="27"/>
  <c r="AI45" i="27"/>
  <c r="U45" i="27"/>
  <c r="B44" i="32"/>
  <c r="A45" i="32"/>
  <c r="M62" i="57" l="1"/>
  <c r="G62" i="57"/>
  <c r="C42" i="46"/>
  <c r="D41" i="46"/>
  <c r="M99" i="55"/>
  <c r="N98" i="55"/>
  <c r="D38" i="55"/>
  <c r="J38" i="55"/>
  <c r="E96" i="56"/>
  <c r="K96" i="56"/>
  <c r="E38" i="56"/>
  <c r="K38" i="56"/>
  <c r="F63" i="57"/>
  <c r="J63" i="57"/>
  <c r="K63" i="57"/>
  <c r="D63" i="57"/>
  <c r="M40" i="55"/>
  <c r="N39" i="55"/>
  <c r="I98" i="56"/>
  <c r="N97" i="56"/>
  <c r="I40" i="56"/>
  <c r="N39" i="56"/>
  <c r="I65" i="57"/>
  <c r="O64" i="57"/>
  <c r="Y43" i="50"/>
  <c r="U43" i="50"/>
  <c r="Q43" i="50"/>
  <c r="AC43" i="50"/>
  <c r="AD43" i="50"/>
  <c r="W43" i="50"/>
  <c r="S43" i="50"/>
  <c r="O43" i="50"/>
  <c r="V43" i="50"/>
  <c r="N43" i="50"/>
  <c r="P43" i="50"/>
  <c r="X43" i="50"/>
  <c r="R43" i="50"/>
  <c r="T43" i="50"/>
  <c r="N40" i="46"/>
  <c r="L40" i="46"/>
  <c r="J40" i="46"/>
  <c r="F40" i="46"/>
  <c r="I40" i="46"/>
  <c r="H40" i="46"/>
  <c r="E40" i="46"/>
  <c r="K40" i="46"/>
  <c r="G40" i="46"/>
  <c r="J97" i="55"/>
  <c r="D97" i="55"/>
  <c r="B45" i="50"/>
  <c r="C44" i="50"/>
  <c r="H46" i="49" s="1"/>
  <c r="A49" i="26"/>
  <c r="A50" i="26" s="1"/>
  <c r="C48" i="26"/>
  <c r="J48" i="26"/>
  <c r="F48" i="26"/>
  <c r="G48" i="26"/>
  <c r="E48" i="26"/>
  <c r="H48" i="26"/>
  <c r="D48" i="26"/>
  <c r="I48" i="26"/>
  <c r="A48" i="49"/>
  <c r="B47" i="49"/>
  <c r="D46" i="49"/>
  <c r="K46" i="49"/>
  <c r="F46" i="49"/>
  <c r="J46" i="49"/>
  <c r="I46" i="49"/>
  <c r="U46" i="27"/>
  <c r="AB46" i="27"/>
  <c r="AI46" i="27"/>
  <c r="B48" i="2"/>
  <c r="A49" i="2"/>
  <c r="A46" i="32"/>
  <c r="B45" i="32"/>
  <c r="A49" i="27"/>
  <c r="B48" i="27"/>
  <c r="AE46" i="2"/>
  <c r="R46" i="2"/>
  <c r="K47" i="2"/>
  <c r="F47" i="2"/>
  <c r="C47" i="2"/>
  <c r="D47" i="2"/>
  <c r="J47" i="2"/>
  <c r="E47" i="2"/>
  <c r="H47" i="2"/>
  <c r="I47" i="2"/>
  <c r="G47" i="2"/>
  <c r="O47" i="27"/>
  <c r="H47" i="27"/>
  <c r="M47" i="27"/>
  <c r="D47" i="27"/>
  <c r="F47" i="27"/>
  <c r="L47" i="27"/>
  <c r="N47" i="27"/>
  <c r="J47" i="27"/>
  <c r="E47" i="27"/>
  <c r="P47" i="27"/>
  <c r="C47" i="27"/>
  <c r="G47" i="27"/>
  <c r="K47" i="27"/>
  <c r="I47" i="27"/>
  <c r="L46" i="49" l="1"/>
  <c r="M63" i="57"/>
  <c r="G46" i="49"/>
  <c r="C46" i="49"/>
  <c r="E46" i="49"/>
  <c r="G63" i="57"/>
  <c r="B46" i="50"/>
  <c r="C45" i="50"/>
  <c r="D47" i="49" s="1"/>
  <c r="K39" i="56"/>
  <c r="E39" i="56"/>
  <c r="D39" i="55"/>
  <c r="J39" i="55"/>
  <c r="D98" i="55"/>
  <c r="J98" i="55"/>
  <c r="I41" i="56"/>
  <c r="N40" i="56"/>
  <c r="M41" i="55"/>
  <c r="N40" i="55"/>
  <c r="M100" i="55"/>
  <c r="N99" i="55"/>
  <c r="F64" i="57"/>
  <c r="K64" i="57"/>
  <c r="J64" i="57"/>
  <c r="D64" i="57"/>
  <c r="E97" i="56"/>
  <c r="K97" i="56"/>
  <c r="N41" i="46"/>
  <c r="L41" i="46"/>
  <c r="K41" i="46"/>
  <c r="J41" i="46"/>
  <c r="I41" i="46"/>
  <c r="H41" i="46"/>
  <c r="G41" i="46"/>
  <c r="E41" i="46"/>
  <c r="F41" i="46"/>
  <c r="AC44" i="50"/>
  <c r="V44" i="50"/>
  <c r="R44" i="50"/>
  <c r="N44" i="50"/>
  <c r="AD44" i="50"/>
  <c r="X44" i="50"/>
  <c r="T44" i="50"/>
  <c r="P44" i="50"/>
  <c r="Y44" i="50"/>
  <c r="W44" i="50"/>
  <c r="O44" i="50"/>
  <c r="Q44" i="50"/>
  <c r="U44" i="50"/>
  <c r="S44" i="50"/>
  <c r="I66" i="57"/>
  <c r="O65" i="57"/>
  <c r="I99" i="56"/>
  <c r="N98" i="56"/>
  <c r="C43" i="46"/>
  <c r="D42" i="46"/>
  <c r="B50" i="26"/>
  <c r="B49" i="26"/>
  <c r="A51" i="26"/>
  <c r="B51" i="26" s="1"/>
  <c r="J47" i="49"/>
  <c r="C47" i="49"/>
  <c r="A49" i="49"/>
  <c r="B48" i="49"/>
  <c r="R47" i="2"/>
  <c r="AE47" i="2"/>
  <c r="A50" i="27"/>
  <c r="B49" i="27"/>
  <c r="H48" i="2"/>
  <c r="F48" i="2"/>
  <c r="C48" i="2"/>
  <c r="G48" i="2"/>
  <c r="I48" i="2"/>
  <c r="E48" i="2"/>
  <c r="D48" i="2"/>
  <c r="J48" i="2"/>
  <c r="K48" i="2"/>
  <c r="AI47" i="27"/>
  <c r="AB47" i="27"/>
  <c r="U47" i="27"/>
  <c r="B46" i="32"/>
  <c r="A47" i="32"/>
  <c r="M48" i="27"/>
  <c r="F48" i="27"/>
  <c r="G48" i="27"/>
  <c r="J48" i="27"/>
  <c r="O48" i="27"/>
  <c r="P48" i="27"/>
  <c r="C48" i="27"/>
  <c r="K48" i="27"/>
  <c r="N48" i="27"/>
  <c r="H48" i="27"/>
  <c r="E48" i="27"/>
  <c r="L48" i="27"/>
  <c r="I48" i="27"/>
  <c r="D48" i="27"/>
  <c r="B49" i="2"/>
  <c r="A50" i="2"/>
  <c r="L47" i="49" l="1"/>
  <c r="K47" i="49"/>
  <c r="I47" i="49"/>
  <c r="F47" i="49"/>
  <c r="H47" i="49"/>
  <c r="G47" i="49"/>
  <c r="E47" i="49"/>
  <c r="C44" i="46"/>
  <c r="D43" i="46"/>
  <c r="I67" i="57"/>
  <c r="O66" i="57"/>
  <c r="J40" i="55"/>
  <c r="D40" i="55"/>
  <c r="E98" i="56"/>
  <c r="K98" i="56"/>
  <c r="M42" i="55"/>
  <c r="N41" i="55"/>
  <c r="I100" i="56"/>
  <c r="N99" i="56"/>
  <c r="G64" i="57"/>
  <c r="J99" i="55"/>
  <c r="D99" i="55"/>
  <c r="K40" i="56"/>
  <c r="E40" i="56"/>
  <c r="AD45" i="50"/>
  <c r="W45" i="50"/>
  <c r="S45" i="50"/>
  <c r="O45" i="50"/>
  <c r="X45" i="50"/>
  <c r="Y45" i="50"/>
  <c r="U45" i="50"/>
  <c r="Q45" i="50"/>
  <c r="P45" i="50"/>
  <c r="R45" i="50"/>
  <c r="N45" i="50"/>
  <c r="AC45" i="50"/>
  <c r="T45" i="50"/>
  <c r="V45" i="50"/>
  <c r="N42" i="46"/>
  <c r="L42" i="46"/>
  <c r="K42" i="46"/>
  <c r="J42" i="46"/>
  <c r="I42" i="46"/>
  <c r="H42" i="46"/>
  <c r="G42" i="46"/>
  <c r="F42" i="46"/>
  <c r="E42" i="46"/>
  <c r="K65" i="57"/>
  <c r="D65" i="57"/>
  <c r="J65" i="57"/>
  <c r="F65" i="57"/>
  <c r="M64" i="57"/>
  <c r="M101" i="55"/>
  <c r="N100" i="55"/>
  <c r="I42" i="56"/>
  <c r="N41" i="56"/>
  <c r="B47" i="50"/>
  <c r="C47" i="50" s="1"/>
  <c r="C46" i="50"/>
  <c r="F49" i="26"/>
  <c r="D49" i="26"/>
  <c r="I49" i="26"/>
  <c r="C49" i="26"/>
  <c r="H49" i="26"/>
  <c r="E49" i="26"/>
  <c r="G49" i="26"/>
  <c r="J49" i="26"/>
  <c r="F50" i="26"/>
  <c r="E50" i="26"/>
  <c r="G50" i="26"/>
  <c r="I50" i="26"/>
  <c r="D50" i="26"/>
  <c r="H50" i="26"/>
  <c r="C50" i="26"/>
  <c r="J50" i="26"/>
  <c r="E51" i="26"/>
  <c r="F51" i="26"/>
  <c r="C51" i="26"/>
  <c r="I51" i="26"/>
  <c r="G51" i="26"/>
  <c r="H51" i="26"/>
  <c r="D51" i="26"/>
  <c r="J51" i="26"/>
  <c r="A52" i="26"/>
  <c r="B52" i="26" s="1"/>
  <c r="F48" i="49"/>
  <c r="C48" i="49"/>
  <c r="D48" i="49"/>
  <c r="I48" i="49"/>
  <c r="G48" i="49"/>
  <c r="K48" i="49"/>
  <c r="J48" i="49"/>
  <c r="E48" i="49"/>
  <c r="H48" i="49"/>
  <c r="L48" i="49"/>
  <c r="A50" i="49"/>
  <c r="B49" i="49"/>
  <c r="B50" i="2"/>
  <c r="A51" i="2"/>
  <c r="B47" i="32"/>
  <c r="A48" i="32"/>
  <c r="N49" i="27"/>
  <c r="K49" i="27"/>
  <c r="L49" i="27"/>
  <c r="I49" i="27"/>
  <c r="E49" i="27"/>
  <c r="H49" i="27"/>
  <c r="C49" i="27"/>
  <c r="G49" i="27"/>
  <c r="P49" i="27"/>
  <c r="J49" i="27"/>
  <c r="D49" i="27"/>
  <c r="O49" i="27"/>
  <c r="M49" i="27"/>
  <c r="F49" i="27"/>
  <c r="J49" i="2"/>
  <c r="E49" i="2"/>
  <c r="G49" i="2"/>
  <c r="K49" i="2"/>
  <c r="H49" i="2"/>
  <c r="D49" i="2"/>
  <c r="C49" i="2"/>
  <c r="F49" i="2"/>
  <c r="I49" i="2"/>
  <c r="A51" i="27"/>
  <c r="B50" i="27"/>
  <c r="R48" i="2"/>
  <c r="AE48" i="2"/>
  <c r="AI48" i="27"/>
  <c r="U48" i="27"/>
  <c r="AB48" i="27"/>
  <c r="G65" i="57" l="1"/>
  <c r="M65" i="57"/>
  <c r="I43" i="56"/>
  <c r="N42" i="56"/>
  <c r="K99" i="56"/>
  <c r="E99" i="56"/>
  <c r="K66" i="57"/>
  <c r="F66" i="57"/>
  <c r="D66" i="57"/>
  <c r="J66" i="57"/>
  <c r="X46" i="50"/>
  <c r="T46" i="50"/>
  <c r="P46" i="50"/>
  <c r="Y46" i="50"/>
  <c r="AC46" i="50"/>
  <c r="V46" i="50"/>
  <c r="R46" i="50"/>
  <c r="N46" i="50"/>
  <c r="AD46" i="50"/>
  <c r="Q46" i="50"/>
  <c r="S46" i="50"/>
  <c r="W46" i="50"/>
  <c r="U46" i="50"/>
  <c r="O46" i="50"/>
  <c r="J100" i="55"/>
  <c r="D100" i="55"/>
  <c r="I101" i="56"/>
  <c r="N100" i="56"/>
  <c r="I68" i="57"/>
  <c r="O67" i="57"/>
  <c r="Y47" i="50"/>
  <c r="U47" i="50"/>
  <c r="Q47" i="50"/>
  <c r="AC47" i="50"/>
  <c r="AD47" i="50"/>
  <c r="W47" i="50"/>
  <c r="S47" i="50"/>
  <c r="O47" i="50"/>
  <c r="R47" i="50"/>
  <c r="X47" i="50"/>
  <c r="T47" i="50"/>
  <c r="P47" i="50"/>
  <c r="V47" i="50"/>
  <c r="N47" i="50"/>
  <c r="M102" i="55"/>
  <c r="N101" i="55"/>
  <c r="J41" i="55"/>
  <c r="D41" i="55"/>
  <c r="N43" i="46"/>
  <c r="L43" i="46"/>
  <c r="K43" i="46"/>
  <c r="J43" i="46"/>
  <c r="I43" i="46"/>
  <c r="H43" i="46"/>
  <c r="G43" i="46"/>
  <c r="E43" i="46"/>
  <c r="F43" i="46"/>
  <c r="K41" i="56"/>
  <c r="E41" i="56"/>
  <c r="M43" i="55"/>
  <c r="N42" i="55"/>
  <c r="C45" i="46"/>
  <c r="D44" i="46"/>
  <c r="F52" i="26"/>
  <c r="I52" i="26"/>
  <c r="J52" i="26"/>
  <c r="E52" i="26"/>
  <c r="D52" i="26"/>
  <c r="H52" i="26"/>
  <c r="G52" i="26"/>
  <c r="C52" i="26"/>
  <c r="A53" i="26"/>
  <c r="B53" i="26" s="1"/>
  <c r="I49" i="49"/>
  <c r="J49" i="49"/>
  <c r="H49" i="49"/>
  <c r="K49" i="49"/>
  <c r="L49" i="49"/>
  <c r="G49" i="49"/>
  <c r="F49" i="49"/>
  <c r="D49" i="49"/>
  <c r="E49" i="49"/>
  <c r="C49" i="49"/>
  <c r="B50" i="49"/>
  <c r="A51" i="49"/>
  <c r="B51" i="27"/>
  <c r="A52" i="27"/>
  <c r="B48" i="32"/>
  <c r="A49" i="32"/>
  <c r="AE49" i="2"/>
  <c r="R49" i="2"/>
  <c r="B51" i="2"/>
  <c r="A52" i="2"/>
  <c r="G50" i="27"/>
  <c r="O50" i="27"/>
  <c r="E50" i="27"/>
  <c r="K50" i="27"/>
  <c r="H50" i="27"/>
  <c r="M50" i="27"/>
  <c r="I50" i="27"/>
  <c r="C50" i="27"/>
  <c r="F50" i="27"/>
  <c r="P50" i="27"/>
  <c r="J50" i="27"/>
  <c r="L50" i="27"/>
  <c r="N50" i="27"/>
  <c r="D50" i="27"/>
  <c r="AB49" i="27"/>
  <c r="AI49" i="27"/>
  <c r="U49" i="27"/>
  <c r="J50" i="2"/>
  <c r="F50" i="2"/>
  <c r="C50" i="2"/>
  <c r="H50" i="2"/>
  <c r="G50" i="2"/>
  <c r="D50" i="2"/>
  <c r="E50" i="2"/>
  <c r="I50" i="2"/>
  <c r="K50" i="2"/>
  <c r="M66" i="57" l="1"/>
  <c r="G66" i="57"/>
  <c r="C46" i="46"/>
  <c r="D45" i="46"/>
  <c r="D101" i="55"/>
  <c r="J101" i="55"/>
  <c r="K67" i="57"/>
  <c r="J67" i="57"/>
  <c r="M67" i="57" s="1"/>
  <c r="D67" i="57"/>
  <c r="F67" i="57"/>
  <c r="J42" i="55"/>
  <c r="D42" i="55"/>
  <c r="M103" i="55"/>
  <c r="N102" i="55"/>
  <c r="I69" i="57"/>
  <c r="O68" i="57"/>
  <c r="M44" i="55"/>
  <c r="N43" i="55"/>
  <c r="E100" i="56"/>
  <c r="K100" i="56"/>
  <c r="K42" i="56"/>
  <c r="E42" i="56"/>
  <c r="N44" i="46"/>
  <c r="L44" i="46"/>
  <c r="I44" i="46"/>
  <c r="H44" i="46"/>
  <c r="F44" i="46"/>
  <c r="K44" i="46"/>
  <c r="G44" i="46"/>
  <c r="J44" i="46"/>
  <c r="E44" i="46"/>
  <c r="I102" i="56"/>
  <c r="N101" i="56"/>
  <c r="I44" i="56"/>
  <c r="N43" i="56"/>
  <c r="I53" i="26"/>
  <c r="D53" i="26"/>
  <c r="J53" i="26"/>
  <c r="F53" i="26"/>
  <c r="E53" i="26"/>
  <c r="C53" i="26"/>
  <c r="G53" i="26"/>
  <c r="H53" i="26"/>
  <c r="A54" i="26"/>
  <c r="B51" i="49"/>
  <c r="A52" i="49"/>
  <c r="K50" i="49"/>
  <c r="L50" i="49"/>
  <c r="F50" i="49"/>
  <c r="D50" i="49"/>
  <c r="I50" i="49"/>
  <c r="J50" i="49"/>
  <c r="C50" i="49"/>
  <c r="G50" i="49"/>
  <c r="H50" i="49"/>
  <c r="E50" i="49"/>
  <c r="B52" i="2"/>
  <c r="A53" i="2"/>
  <c r="B52" i="27"/>
  <c r="A53" i="27"/>
  <c r="AI50" i="27"/>
  <c r="AB50" i="27"/>
  <c r="U50" i="27"/>
  <c r="G51" i="2"/>
  <c r="E51" i="2"/>
  <c r="H51" i="2"/>
  <c r="I51" i="2"/>
  <c r="C51" i="2"/>
  <c r="K51" i="2"/>
  <c r="F51" i="2"/>
  <c r="D51" i="2"/>
  <c r="J51" i="2"/>
  <c r="D51" i="27"/>
  <c r="I51" i="27"/>
  <c r="N51" i="27"/>
  <c r="O51" i="27"/>
  <c r="K51" i="27"/>
  <c r="L51" i="27"/>
  <c r="P51" i="27"/>
  <c r="H51" i="27"/>
  <c r="J51" i="27"/>
  <c r="F51" i="27"/>
  <c r="G51" i="27"/>
  <c r="M51" i="27"/>
  <c r="E51" i="27"/>
  <c r="C51" i="27"/>
  <c r="A50" i="32"/>
  <c r="B49" i="32"/>
  <c r="R50" i="2"/>
  <c r="AE50" i="2"/>
  <c r="I45" i="56" l="1"/>
  <c r="N44" i="56"/>
  <c r="D43" i="55"/>
  <c r="J43" i="55"/>
  <c r="D102" i="55"/>
  <c r="J102" i="55"/>
  <c r="E101" i="56"/>
  <c r="K101" i="56"/>
  <c r="M45" i="55"/>
  <c r="N44" i="55"/>
  <c r="M104" i="55"/>
  <c r="N103" i="55"/>
  <c r="G67" i="57"/>
  <c r="I103" i="56"/>
  <c r="N102" i="56"/>
  <c r="K68" i="57"/>
  <c r="J68" i="57"/>
  <c r="F68" i="57"/>
  <c r="D68" i="57"/>
  <c r="G68" i="57" s="1"/>
  <c r="N45" i="46"/>
  <c r="L45" i="46"/>
  <c r="K45" i="46"/>
  <c r="J45" i="46"/>
  <c r="I45" i="46"/>
  <c r="H45" i="46"/>
  <c r="G45" i="46"/>
  <c r="F45" i="46"/>
  <c r="E45" i="46"/>
  <c r="K43" i="56"/>
  <c r="E43" i="56"/>
  <c r="I70" i="57"/>
  <c r="O69" i="57"/>
  <c r="C47" i="46"/>
  <c r="D46" i="46"/>
  <c r="B54" i="26"/>
  <c r="A55" i="26"/>
  <c r="B55" i="26" s="1"/>
  <c r="B52" i="49"/>
  <c r="A53" i="49"/>
  <c r="G51" i="49"/>
  <c r="L51" i="49"/>
  <c r="E51" i="49"/>
  <c r="H51" i="49"/>
  <c r="J51" i="49"/>
  <c r="I51" i="49"/>
  <c r="C51" i="49"/>
  <c r="D51" i="49"/>
  <c r="K51" i="49"/>
  <c r="F51" i="49"/>
  <c r="AE51" i="2"/>
  <c r="R51" i="2"/>
  <c r="B53" i="27"/>
  <c r="A54" i="27"/>
  <c r="B53" i="2"/>
  <c r="A54" i="2"/>
  <c r="B50" i="32"/>
  <c r="A51" i="32"/>
  <c r="AI51" i="27"/>
  <c r="AB51" i="27"/>
  <c r="U51" i="27"/>
  <c r="E52" i="27"/>
  <c r="P52" i="27"/>
  <c r="G52" i="27"/>
  <c r="K52" i="27"/>
  <c r="M52" i="27"/>
  <c r="D52" i="27"/>
  <c r="N52" i="27"/>
  <c r="F52" i="27"/>
  <c r="J52" i="27"/>
  <c r="H52" i="27"/>
  <c r="O52" i="27"/>
  <c r="I52" i="27"/>
  <c r="C52" i="27"/>
  <c r="L52" i="27"/>
  <c r="C52" i="2"/>
  <c r="J52" i="2"/>
  <c r="H52" i="2"/>
  <c r="I52" i="2"/>
  <c r="D52" i="2"/>
  <c r="E52" i="2"/>
  <c r="K52" i="2"/>
  <c r="F52" i="2"/>
  <c r="G52" i="2"/>
  <c r="K69" i="57" l="1"/>
  <c r="J69" i="57"/>
  <c r="M69" i="57" s="1"/>
  <c r="F69" i="57"/>
  <c r="D69" i="57"/>
  <c r="D103" i="55"/>
  <c r="J103" i="55"/>
  <c r="I71" i="57"/>
  <c r="O70" i="57"/>
  <c r="E102" i="56"/>
  <c r="K102" i="56"/>
  <c r="M105" i="55"/>
  <c r="N104" i="55"/>
  <c r="N46" i="46"/>
  <c r="L46" i="46"/>
  <c r="K46" i="46"/>
  <c r="J46" i="46"/>
  <c r="I46" i="46"/>
  <c r="H46" i="46"/>
  <c r="G46" i="46"/>
  <c r="F46" i="46"/>
  <c r="E46" i="46"/>
  <c r="I104" i="56"/>
  <c r="N103" i="56"/>
  <c r="J44" i="55"/>
  <c r="D44" i="55"/>
  <c r="K44" i="56"/>
  <c r="E44" i="56"/>
  <c r="C48" i="46"/>
  <c r="D47" i="46"/>
  <c r="M68" i="57"/>
  <c r="M46" i="55"/>
  <c r="N45" i="55"/>
  <c r="I46" i="56"/>
  <c r="N45" i="56"/>
  <c r="C55" i="26"/>
  <c r="E55" i="26"/>
  <c r="G55" i="26"/>
  <c r="I55" i="26"/>
  <c r="D55" i="26"/>
  <c r="J55" i="26"/>
  <c r="H55" i="26"/>
  <c r="F55" i="26"/>
  <c r="A56" i="26"/>
  <c r="B56" i="26" s="1"/>
  <c r="C54" i="26"/>
  <c r="F54" i="26"/>
  <c r="H54" i="26"/>
  <c r="E54" i="26"/>
  <c r="G54" i="26"/>
  <c r="I54" i="26"/>
  <c r="D54" i="26"/>
  <c r="J54" i="26"/>
  <c r="A54" i="49"/>
  <c r="B53" i="49"/>
  <c r="G52" i="49"/>
  <c r="K52" i="49"/>
  <c r="C52" i="49"/>
  <c r="D52" i="49"/>
  <c r="I52" i="49"/>
  <c r="J52" i="49"/>
  <c r="F52" i="49"/>
  <c r="E52" i="49"/>
  <c r="L52" i="49"/>
  <c r="H52" i="49"/>
  <c r="U52" i="27"/>
  <c r="AI52" i="27"/>
  <c r="AB52" i="27"/>
  <c r="B54" i="2"/>
  <c r="A55" i="2"/>
  <c r="R52" i="2"/>
  <c r="AE52" i="2"/>
  <c r="F53" i="2"/>
  <c r="K53" i="2"/>
  <c r="G53" i="2"/>
  <c r="E53" i="2"/>
  <c r="D53" i="2"/>
  <c r="I53" i="2"/>
  <c r="C53" i="2"/>
  <c r="J53" i="2"/>
  <c r="H53" i="2"/>
  <c r="B51" i="32"/>
  <c r="A52" i="32"/>
  <c r="A55" i="27"/>
  <c r="B54" i="27"/>
  <c r="N53" i="27"/>
  <c r="D53" i="27"/>
  <c r="F53" i="27"/>
  <c r="L53" i="27"/>
  <c r="P53" i="27"/>
  <c r="H53" i="27"/>
  <c r="M53" i="27"/>
  <c r="G53" i="27"/>
  <c r="E53" i="27"/>
  <c r="C53" i="27"/>
  <c r="J53" i="27"/>
  <c r="O53" i="27"/>
  <c r="I53" i="27"/>
  <c r="K53" i="27"/>
  <c r="G69" i="57" l="1"/>
  <c r="D45" i="55"/>
  <c r="J45" i="55"/>
  <c r="C49" i="46"/>
  <c r="D48" i="46"/>
  <c r="D104" i="55"/>
  <c r="J104" i="55"/>
  <c r="J70" i="57"/>
  <c r="F70" i="57"/>
  <c r="D70" i="57"/>
  <c r="K70" i="57"/>
  <c r="M47" i="55"/>
  <c r="N47" i="55" s="1"/>
  <c r="N46" i="55"/>
  <c r="K103" i="56"/>
  <c r="E103" i="56"/>
  <c r="M106" i="55"/>
  <c r="N105" i="55"/>
  <c r="I72" i="57"/>
  <c r="O71" i="57"/>
  <c r="E45" i="56"/>
  <c r="K45" i="56"/>
  <c r="I105" i="56"/>
  <c r="N104" i="56"/>
  <c r="I47" i="56"/>
  <c r="N47" i="56" s="1"/>
  <c r="N46" i="56"/>
  <c r="N47" i="46"/>
  <c r="L47" i="46"/>
  <c r="K47" i="46"/>
  <c r="J47" i="46"/>
  <c r="I47" i="46"/>
  <c r="H47" i="46"/>
  <c r="G47" i="46"/>
  <c r="E47" i="46"/>
  <c r="F47" i="46"/>
  <c r="G56" i="26"/>
  <c r="I56" i="26"/>
  <c r="C56" i="26"/>
  <c r="E56" i="26"/>
  <c r="D56" i="26"/>
  <c r="H56" i="26"/>
  <c r="J56" i="26"/>
  <c r="F56" i="26"/>
  <c r="A57" i="26"/>
  <c r="B57" i="26" s="1"/>
  <c r="C53" i="49"/>
  <c r="D53" i="49"/>
  <c r="E53" i="49"/>
  <c r="J53" i="49"/>
  <c r="H53" i="49"/>
  <c r="I53" i="49"/>
  <c r="G53" i="49"/>
  <c r="K53" i="49"/>
  <c r="L53" i="49"/>
  <c r="F53" i="49"/>
  <c r="B54" i="49"/>
  <c r="A55" i="49"/>
  <c r="B52" i="32"/>
  <c r="A53" i="32"/>
  <c r="R53" i="2"/>
  <c r="AE53" i="2"/>
  <c r="G54" i="2"/>
  <c r="H54" i="2"/>
  <c r="E54" i="2"/>
  <c r="J54" i="2"/>
  <c r="C54" i="2"/>
  <c r="F54" i="2"/>
  <c r="I54" i="2"/>
  <c r="D54" i="2"/>
  <c r="K54" i="2"/>
  <c r="AI53" i="27"/>
  <c r="AB53" i="27"/>
  <c r="U53" i="27"/>
  <c r="B55" i="27"/>
  <c r="A56" i="27"/>
  <c r="D54" i="27"/>
  <c r="K54" i="27"/>
  <c r="J54" i="27"/>
  <c r="I54" i="27"/>
  <c r="F54" i="27"/>
  <c r="O54" i="27"/>
  <c r="H54" i="27"/>
  <c r="N54" i="27"/>
  <c r="M54" i="27"/>
  <c r="C54" i="27"/>
  <c r="L54" i="27"/>
  <c r="P54" i="27"/>
  <c r="G54" i="27"/>
  <c r="E54" i="27"/>
  <c r="B55" i="2"/>
  <c r="A56" i="2"/>
  <c r="M70" i="57" l="1"/>
  <c r="G70" i="57"/>
  <c r="K46" i="56"/>
  <c r="E46" i="56"/>
  <c r="J105" i="55"/>
  <c r="D105" i="55"/>
  <c r="J46" i="55"/>
  <c r="D46" i="55"/>
  <c r="N48" i="46"/>
  <c r="L48" i="46"/>
  <c r="H48" i="46"/>
  <c r="K48" i="46"/>
  <c r="G48" i="46"/>
  <c r="J48" i="46"/>
  <c r="F48" i="46"/>
  <c r="I48" i="46"/>
  <c r="E48" i="46"/>
  <c r="K47" i="56"/>
  <c r="E47" i="56"/>
  <c r="E16" i="37"/>
  <c r="C29" i="37"/>
  <c r="A29" i="37" s="1"/>
  <c r="C45" i="37"/>
  <c r="A45" i="37" s="1"/>
  <c r="L60" i="37"/>
  <c r="L24" i="37"/>
  <c r="L64" i="37"/>
  <c r="C24" i="37"/>
  <c r="A24" i="37" s="1"/>
  <c r="C59" i="37"/>
  <c r="A59" i="37" s="1"/>
  <c r="E57" i="37"/>
  <c r="L55" i="37"/>
  <c r="C54" i="37"/>
  <c r="A54" i="37" s="1"/>
  <c r="L15" i="37"/>
  <c r="C21" i="37"/>
  <c r="A21" i="37" s="1"/>
  <c r="C19" i="37"/>
  <c r="A19" i="37" s="1"/>
  <c r="L20" i="37"/>
  <c r="L16" i="37"/>
  <c r="E26" i="37"/>
  <c r="L59" i="37"/>
  <c r="E33" i="37"/>
  <c r="E21" i="37"/>
  <c r="C20" i="37"/>
  <c r="A20" i="37" s="1"/>
  <c r="L18" i="37"/>
  <c r="L14" i="37"/>
  <c r="C31" i="37"/>
  <c r="A31" i="37" s="1"/>
  <c r="L19" i="37"/>
  <c r="L49" i="37"/>
  <c r="L31" i="37"/>
  <c r="C44" i="37"/>
  <c r="A44" i="37" s="1"/>
  <c r="C32" i="37"/>
  <c r="A32" i="37" s="1"/>
  <c r="L35" i="37"/>
  <c r="C57" i="37"/>
  <c r="A57" i="37" s="1"/>
  <c r="E64" i="37"/>
  <c r="E29" i="37"/>
  <c r="E45" i="37"/>
  <c r="L54" i="37"/>
  <c r="L67" i="37"/>
  <c r="E24" i="37"/>
  <c r="E49" i="37"/>
  <c r="C26" i="37"/>
  <c r="A26" i="37" s="1"/>
  <c r="L27" i="37"/>
  <c r="C47" i="37"/>
  <c r="A47" i="37" s="1"/>
  <c r="L25" i="37"/>
  <c r="E20" i="37"/>
  <c r="E19" i="37"/>
  <c r="E62" i="37"/>
  <c r="E53" i="37"/>
  <c r="L47" i="37"/>
  <c r="E23" i="37"/>
  <c r="E25" i="37"/>
  <c r="C15" i="37"/>
  <c r="A15" i="37" s="1"/>
  <c r="C27" i="37"/>
  <c r="A27" i="37" s="1"/>
  <c r="E59" i="37"/>
  <c r="C25" i="37"/>
  <c r="A25" i="37" s="1"/>
  <c r="L52" i="37"/>
  <c r="L33" i="37"/>
  <c r="C46" i="37"/>
  <c r="A46" i="37" s="1"/>
  <c r="E27" i="37"/>
  <c r="L61" i="37"/>
  <c r="E37" i="37"/>
  <c r="L17" i="37"/>
  <c r="C61" i="37"/>
  <c r="A61" i="37" s="1"/>
  <c r="L37" i="37"/>
  <c r="E55" i="37"/>
  <c r="E60" i="37"/>
  <c r="L51" i="37"/>
  <c r="C28" i="37"/>
  <c r="A28" i="37" s="1"/>
  <c r="E67" i="37"/>
  <c r="E18" i="37"/>
  <c r="C41" i="37"/>
  <c r="A41" i="37" s="1"/>
  <c r="C66" i="37"/>
  <c r="A66" i="37" s="1"/>
  <c r="E52" i="37"/>
  <c r="L46" i="37"/>
  <c r="L22" i="37"/>
  <c r="L63" i="37"/>
  <c r="C63" i="37"/>
  <c r="A63" i="37" s="1"/>
  <c r="L36" i="37"/>
  <c r="C55" i="37"/>
  <c r="A55" i="37" s="1"/>
  <c r="L28" i="37"/>
  <c r="C36" i="37"/>
  <c r="A36" i="37" s="1"/>
  <c r="L34" i="37"/>
  <c r="E42" i="37"/>
  <c r="L45" i="37"/>
  <c r="E44" i="37"/>
  <c r="E46" i="37"/>
  <c r="E34" i="37"/>
  <c r="E54" i="37"/>
  <c r="C22" i="37"/>
  <c r="A22" i="37" s="1"/>
  <c r="E35" i="37"/>
  <c r="L21" i="37"/>
  <c r="E65" i="37"/>
  <c r="L58" i="37"/>
  <c r="C50" i="37"/>
  <c r="A50" i="37" s="1"/>
  <c r="L30" i="37"/>
  <c r="L23" i="37"/>
  <c r="L42" i="37"/>
  <c r="C39" i="37"/>
  <c r="A39" i="37" s="1"/>
  <c r="E41" i="37"/>
  <c r="L62" i="37"/>
  <c r="L53" i="37"/>
  <c r="C52" i="37"/>
  <c r="A52" i="37" s="1"/>
  <c r="L40" i="37"/>
  <c r="E63" i="37"/>
  <c r="C64" i="37"/>
  <c r="A64" i="37" s="1"/>
  <c r="C56" i="37"/>
  <c r="A56" i="37" s="1"/>
  <c r="L29" i="37"/>
  <c r="C23" i="37"/>
  <c r="A23" i="37" s="1"/>
  <c r="L32" i="37"/>
  <c r="E66" i="37"/>
  <c r="E58" i="37"/>
  <c r="C67" i="37"/>
  <c r="A67" i="37" s="1"/>
  <c r="L57" i="37"/>
  <c r="E48" i="37"/>
  <c r="L56" i="37"/>
  <c r="C30" i="37"/>
  <c r="A30" i="37" s="1"/>
  <c r="L65" i="37"/>
  <c r="L38" i="37"/>
  <c r="L50" i="37"/>
  <c r="E39" i="37"/>
  <c r="C38" i="37"/>
  <c r="A38" i="37" s="1"/>
  <c r="E40" i="37"/>
  <c r="C42" i="37"/>
  <c r="A42" i="37" s="1"/>
  <c r="C62" i="37"/>
  <c r="A62" i="37" s="1"/>
  <c r="E38" i="37"/>
  <c r="E56" i="37"/>
  <c r="E17" i="37"/>
  <c r="C18" i="37"/>
  <c r="A18" i="37" s="1"/>
  <c r="C37" i="37"/>
  <c r="A37" i="37" s="1"/>
  <c r="E50" i="37"/>
  <c r="L26" i="37"/>
  <c r="C49" i="37"/>
  <c r="A49" i="37" s="1"/>
  <c r="E22" i="37"/>
  <c r="L43" i="37"/>
  <c r="L48" i="37"/>
  <c r="C60" i="37"/>
  <c r="A60" i="37" s="1"/>
  <c r="L39" i="37"/>
  <c r="E31" i="37"/>
  <c r="C65" i="37"/>
  <c r="A65" i="37" s="1"/>
  <c r="C43" i="37"/>
  <c r="A43" i="37" s="1"/>
  <c r="C34" i="37"/>
  <c r="A34" i="37" s="1"/>
  <c r="E15" i="37"/>
  <c r="E28" i="37"/>
  <c r="C48" i="37"/>
  <c r="A48" i="37" s="1"/>
  <c r="E32" i="37"/>
  <c r="C17" i="37"/>
  <c r="A17" i="37" s="1"/>
  <c r="L44" i="37"/>
  <c r="E36" i="37"/>
  <c r="C51" i="37"/>
  <c r="A51" i="37" s="1"/>
  <c r="C58" i="37"/>
  <c r="A58" i="37" s="1"/>
  <c r="E61" i="37"/>
  <c r="C33" i="37"/>
  <c r="A33" i="37" s="1"/>
  <c r="C35" i="37"/>
  <c r="A35" i="37" s="1"/>
  <c r="C53" i="37"/>
  <c r="A53" i="37" s="1"/>
  <c r="L41" i="37"/>
  <c r="C16" i="37"/>
  <c r="A16" i="37" s="1"/>
  <c r="L66" i="37"/>
  <c r="E30" i="37"/>
  <c r="E43" i="37"/>
  <c r="E51" i="37"/>
  <c r="C40" i="37"/>
  <c r="A40" i="37" s="1"/>
  <c r="E47" i="37"/>
  <c r="M107" i="55"/>
  <c r="N107" i="55" s="1"/>
  <c r="N106" i="55"/>
  <c r="J47" i="55"/>
  <c r="D47" i="55"/>
  <c r="C39" i="36"/>
  <c r="A39" i="36" s="1"/>
  <c r="K59" i="36"/>
  <c r="E30" i="36"/>
  <c r="E58" i="36"/>
  <c r="E37" i="36"/>
  <c r="C50" i="36"/>
  <c r="A50" i="36" s="1"/>
  <c r="K45" i="36"/>
  <c r="C46" i="36"/>
  <c r="A46" i="36" s="1"/>
  <c r="E55" i="36"/>
  <c r="K29" i="36"/>
  <c r="E49" i="36"/>
  <c r="K23" i="36"/>
  <c r="K32" i="36"/>
  <c r="C57" i="36"/>
  <c r="A57" i="36" s="1"/>
  <c r="C38" i="36"/>
  <c r="A38" i="36" s="1"/>
  <c r="E18" i="36"/>
  <c r="C62" i="36"/>
  <c r="A62" i="36" s="1"/>
  <c r="K21" i="36"/>
  <c r="K46" i="36"/>
  <c r="E51" i="36"/>
  <c r="C22" i="36"/>
  <c r="A22" i="36" s="1"/>
  <c r="K33" i="36"/>
  <c r="C59" i="36"/>
  <c r="A59" i="36" s="1"/>
  <c r="K50" i="36"/>
  <c r="E42" i="36"/>
  <c r="E28" i="36"/>
  <c r="E66" i="36"/>
  <c r="K42" i="36"/>
  <c r="E54" i="36"/>
  <c r="K65" i="36"/>
  <c r="C51" i="36"/>
  <c r="A51" i="36" s="1"/>
  <c r="K18" i="36"/>
  <c r="K67" i="36"/>
  <c r="E23" i="36"/>
  <c r="E61" i="36"/>
  <c r="E40" i="36"/>
  <c r="K24" i="36"/>
  <c r="K55" i="36"/>
  <c r="C65" i="36"/>
  <c r="A65" i="36" s="1"/>
  <c r="E56" i="36"/>
  <c r="C66" i="36"/>
  <c r="A66" i="36" s="1"/>
  <c r="K49" i="36"/>
  <c r="C28" i="36"/>
  <c r="A28" i="36" s="1"/>
  <c r="C49" i="36"/>
  <c r="A49" i="36" s="1"/>
  <c r="K61" i="36"/>
  <c r="C45" i="36"/>
  <c r="A45" i="36" s="1"/>
  <c r="E20" i="36"/>
  <c r="C41" i="36"/>
  <c r="A41" i="36" s="1"/>
  <c r="E48" i="36"/>
  <c r="C33" i="36"/>
  <c r="A33" i="36" s="1"/>
  <c r="C18" i="36"/>
  <c r="A18" i="36" s="1"/>
  <c r="K22" i="36"/>
  <c r="K48" i="36"/>
  <c r="E16" i="36"/>
  <c r="C63" i="36"/>
  <c r="A63" i="36" s="1"/>
  <c r="C60" i="36"/>
  <c r="A60" i="36" s="1"/>
  <c r="C26" i="36"/>
  <c r="A26" i="36" s="1"/>
  <c r="K26" i="36"/>
  <c r="C19" i="36"/>
  <c r="A19" i="36" s="1"/>
  <c r="C31" i="36"/>
  <c r="A31" i="36" s="1"/>
  <c r="K56" i="36"/>
  <c r="E52" i="36"/>
  <c r="K51" i="36"/>
  <c r="K36" i="36"/>
  <c r="E57" i="36"/>
  <c r="E60" i="36"/>
  <c r="C37" i="36"/>
  <c r="A37" i="36" s="1"/>
  <c r="E41" i="36"/>
  <c r="E63" i="36"/>
  <c r="E31" i="36"/>
  <c r="K60" i="36"/>
  <c r="E29" i="36"/>
  <c r="E36" i="36"/>
  <c r="C44" i="36"/>
  <c r="A44" i="36" s="1"/>
  <c r="E33" i="36"/>
  <c r="C25" i="36"/>
  <c r="A25" i="36" s="1"/>
  <c r="C47" i="36"/>
  <c r="A47" i="36" s="1"/>
  <c r="E38" i="36"/>
  <c r="K64" i="36"/>
  <c r="E67" i="36"/>
  <c r="E39" i="36"/>
  <c r="E53" i="36"/>
  <c r="K39" i="36"/>
  <c r="K54" i="36"/>
  <c r="C40" i="36"/>
  <c r="A40" i="36" s="1"/>
  <c r="C35" i="36"/>
  <c r="A35" i="36" s="1"/>
  <c r="C67" i="36"/>
  <c r="A67" i="36" s="1"/>
  <c r="E35" i="36"/>
  <c r="C20" i="36"/>
  <c r="A20" i="36" s="1"/>
  <c r="E24" i="36"/>
  <c r="K30" i="36"/>
  <c r="E50" i="36"/>
  <c r="C29" i="36"/>
  <c r="A29" i="36" s="1"/>
  <c r="K47" i="36"/>
  <c r="E59" i="36"/>
  <c r="E26" i="36"/>
  <c r="C54" i="36"/>
  <c r="A54" i="36" s="1"/>
  <c r="C42" i="36"/>
  <c r="A42" i="36" s="1"/>
  <c r="C68" i="36"/>
  <c r="A68" i="36" s="1"/>
  <c r="K20" i="36"/>
  <c r="C32" i="36"/>
  <c r="A32" i="36" s="1"/>
  <c r="K58" i="36"/>
  <c r="E47" i="36"/>
  <c r="C48" i="36"/>
  <c r="A48" i="36" s="1"/>
  <c r="K28" i="36"/>
  <c r="C56" i="36"/>
  <c r="A56" i="36" s="1"/>
  <c r="E65" i="36"/>
  <c r="E32" i="36"/>
  <c r="C21" i="36"/>
  <c r="A21" i="36" s="1"/>
  <c r="E62" i="36"/>
  <c r="E64" i="36"/>
  <c r="E46" i="36"/>
  <c r="E34" i="36"/>
  <c r="K40" i="36"/>
  <c r="C27" i="36"/>
  <c r="A27" i="36" s="1"/>
  <c r="E45" i="36"/>
  <c r="C61" i="36"/>
  <c r="A61" i="36" s="1"/>
  <c r="C34" i="36"/>
  <c r="A34" i="36" s="1"/>
  <c r="K16" i="36"/>
  <c r="E17" i="36"/>
  <c r="K25" i="36"/>
  <c r="K38" i="36"/>
  <c r="K31" i="36"/>
  <c r="K68" i="36"/>
  <c r="K44" i="36"/>
  <c r="K37" i="36"/>
  <c r="K43" i="36"/>
  <c r="K41" i="36"/>
  <c r="K66" i="36"/>
  <c r="C30" i="36"/>
  <c r="A30" i="36" s="1"/>
  <c r="K62" i="36"/>
  <c r="E44" i="36"/>
  <c r="C16" i="36"/>
  <c r="A16" i="36" s="1"/>
  <c r="C55" i="36"/>
  <c r="A55" i="36" s="1"/>
  <c r="K27" i="36"/>
  <c r="E25" i="36"/>
  <c r="K35" i="36"/>
  <c r="K34" i="36"/>
  <c r="E43" i="36"/>
  <c r="C17" i="36"/>
  <c r="A17" i="36" s="1"/>
  <c r="C64" i="36"/>
  <c r="A64" i="36" s="1"/>
  <c r="E19" i="36"/>
  <c r="E22" i="36"/>
  <c r="C36" i="36"/>
  <c r="A36" i="36" s="1"/>
  <c r="C23" i="36"/>
  <c r="A23" i="36" s="1"/>
  <c r="C52" i="36"/>
  <c r="A52" i="36" s="1"/>
  <c r="E27" i="36"/>
  <c r="C53" i="36"/>
  <c r="A53" i="36" s="1"/>
  <c r="C58" i="36"/>
  <c r="A58" i="36" s="1"/>
  <c r="K19" i="36"/>
  <c r="E21" i="36"/>
  <c r="C24" i="36"/>
  <c r="A24" i="36" s="1"/>
  <c r="K53" i="36"/>
  <c r="E68" i="36"/>
  <c r="K17" i="36"/>
  <c r="C43" i="36"/>
  <c r="A43" i="36" s="1"/>
  <c r="K63" i="36"/>
  <c r="K52" i="36"/>
  <c r="K57" i="36"/>
  <c r="C50" i="46"/>
  <c r="D49" i="46"/>
  <c r="E104" i="56"/>
  <c r="K104" i="56"/>
  <c r="F71" i="57"/>
  <c r="D71" i="57"/>
  <c r="K71" i="57"/>
  <c r="J71" i="57"/>
  <c r="I106" i="56"/>
  <c r="N105" i="56"/>
  <c r="I73" i="57"/>
  <c r="O72" i="57"/>
  <c r="A58" i="26"/>
  <c r="B58" i="26" s="1"/>
  <c r="C57" i="26"/>
  <c r="D57" i="26"/>
  <c r="I57" i="26"/>
  <c r="G57" i="26"/>
  <c r="H57" i="26"/>
  <c r="E57" i="26"/>
  <c r="J57" i="26"/>
  <c r="F57" i="26"/>
  <c r="A56" i="49"/>
  <c r="B55" i="49"/>
  <c r="H54" i="49"/>
  <c r="C54" i="49"/>
  <c r="E54" i="49"/>
  <c r="I54" i="49"/>
  <c r="L54" i="49"/>
  <c r="G54" i="49"/>
  <c r="K54" i="49"/>
  <c r="F54" i="49"/>
  <c r="D54" i="49"/>
  <c r="J54" i="49"/>
  <c r="B56" i="2"/>
  <c r="A57" i="2"/>
  <c r="AB54" i="27"/>
  <c r="U54" i="27"/>
  <c r="AI54" i="27"/>
  <c r="A57" i="27"/>
  <c r="B56" i="27"/>
  <c r="R54" i="2"/>
  <c r="AE54" i="2"/>
  <c r="A54" i="32"/>
  <c r="B53" i="32"/>
  <c r="E55" i="27"/>
  <c r="I55" i="27"/>
  <c r="M55" i="27"/>
  <c r="G55" i="27"/>
  <c r="K55" i="27"/>
  <c r="F55" i="27"/>
  <c r="N55" i="27"/>
  <c r="O55" i="27"/>
  <c r="J55" i="27"/>
  <c r="P55" i="27"/>
  <c r="D55" i="27"/>
  <c r="H55" i="27"/>
  <c r="L55" i="27"/>
  <c r="C55" i="27"/>
  <c r="F55" i="2"/>
  <c r="D55" i="2"/>
  <c r="H55" i="2"/>
  <c r="I55" i="2"/>
  <c r="J55" i="2"/>
  <c r="E55" i="2"/>
  <c r="C55" i="2"/>
  <c r="K55" i="2"/>
  <c r="G55" i="2"/>
  <c r="G71" i="57" l="1"/>
  <c r="K72" i="57"/>
  <c r="J72" i="57"/>
  <c r="F72" i="57"/>
  <c r="D72" i="57"/>
  <c r="M71" i="57"/>
  <c r="N57" i="36"/>
  <c r="M57" i="36"/>
  <c r="M17" i="36"/>
  <c r="N17" i="36"/>
  <c r="G21" i="36"/>
  <c r="H21" i="36"/>
  <c r="G27" i="36"/>
  <c r="H27" i="36"/>
  <c r="H22" i="36"/>
  <c r="G22" i="36"/>
  <c r="G43" i="36"/>
  <c r="H43" i="36"/>
  <c r="N27" i="36"/>
  <c r="M27" i="36"/>
  <c r="M62" i="36"/>
  <c r="N62" i="36"/>
  <c r="M43" i="36"/>
  <c r="N43" i="36"/>
  <c r="M31" i="36"/>
  <c r="N31" i="36"/>
  <c r="N16" i="36"/>
  <c r="M16" i="36"/>
  <c r="K79" i="36"/>
  <c r="G64" i="36"/>
  <c r="H64" i="36"/>
  <c r="G65" i="36"/>
  <c r="H65" i="36"/>
  <c r="H47" i="36"/>
  <c r="G47" i="36"/>
  <c r="G59" i="36"/>
  <c r="H59" i="36"/>
  <c r="M30" i="36"/>
  <c r="N30" i="36"/>
  <c r="M39" i="36"/>
  <c r="N39" i="36"/>
  <c r="M64" i="36"/>
  <c r="N64" i="36"/>
  <c r="H33" i="36"/>
  <c r="G33" i="36"/>
  <c r="M60" i="36"/>
  <c r="N60" i="36"/>
  <c r="N51" i="36"/>
  <c r="M51" i="36"/>
  <c r="H20" i="36"/>
  <c r="G20" i="36"/>
  <c r="H61" i="36"/>
  <c r="G61" i="36"/>
  <c r="H66" i="36"/>
  <c r="G66" i="36"/>
  <c r="N46" i="36"/>
  <c r="M46" i="36"/>
  <c r="G49" i="36"/>
  <c r="H49" i="36"/>
  <c r="M45" i="36"/>
  <c r="N45" i="36"/>
  <c r="G30" i="36"/>
  <c r="H30" i="36"/>
  <c r="N66" i="37"/>
  <c r="O66" i="37"/>
  <c r="I32" i="37"/>
  <c r="H32" i="37"/>
  <c r="O39" i="37"/>
  <c r="N39" i="37"/>
  <c r="I22" i="37"/>
  <c r="H22" i="37"/>
  <c r="I38" i="37"/>
  <c r="H38" i="37"/>
  <c r="O65" i="37"/>
  <c r="N65" i="37"/>
  <c r="N57" i="37"/>
  <c r="O57" i="37"/>
  <c r="N32" i="37"/>
  <c r="O32" i="37"/>
  <c r="N53" i="37"/>
  <c r="O53" i="37"/>
  <c r="O42" i="37"/>
  <c r="N42" i="37"/>
  <c r="O58" i="37"/>
  <c r="N58" i="37"/>
  <c r="H44" i="37"/>
  <c r="I44" i="37"/>
  <c r="H52" i="37"/>
  <c r="I52" i="37"/>
  <c r="I67" i="37"/>
  <c r="H67" i="37"/>
  <c r="E78" i="37"/>
  <c r="I55" i="37"/>
  <c r="H55" i="37"/>
  <c r="I37" i="37"/>
  <c r="H37" i="37"/>
  <c r="O33" i="37"/>
  <c r="N33" i="37"/>
  <c r="N47" i="37"/>
  <c r="O47" i="37"/>
  <c r="I20" i="37"/>
  <c r="H20" i="37"/>
  <c r="O54" i="37"/>
  <c r="N54" i="37"/>
  <c r="O31" i="37"/>
  <c r="N31" i="37"/>
  <c r="N14" i="37"/>
  <c r="O14" i="37"/>
  <c r="L78" i="37"/>
  <c r="I33" i="37"/>
  <c r="H33" i="37"/>
  <c r="O20" i="37"/>
  <c r="N20" i="37"/>
  <c r="I74" i="57"/>
  <c r="O74" i="57" s="1"/>
  <c r="O73" i="57"/>
  <c r="M52" i="36"/>
  <c r="N52" i="36"/>
  <c r="H68" i="36"/>
  <c r="G68" i="36"/>
  <c r="E79" i="36"/>
  <c r="N19" i="36"/>
  <c r="M19" i="36"/>
  <c r="H19" i="36"/>
  <c r="G19" i="36"/>
  <c r="M34" i="36"/>
  <c r="N34" i="36"/>
  <c r="N37" i="36"/>
  <c r="M37" i="36"/>
  <c r="M38" i="36"/>
  <c r="N38" i="36"/>
  <c r="M40" i="36"/>
  <c r="N40" i="36"/>
  <c r="H62" i="36"/>
  <c r="G62" i="36"/>
  <c r="N58" i="36"/>
  <c r="M58" i="36"/>
  <c r="M47" i="36"/>
  <c r="N47" i="36"/>
  <c r="H24" i="36"/>
  <c r="G24" i="36"/>
  <c r="G53" i="36"/>
  <c r="H53" i="36"/>
  <c r="G38" i="36"/>
  <c r="H38" i="36"/>
  <c r="G31" i="36"/>
  <c r="H31" i="36"/>
  <c r="G60" i="36"/>
  <c r="H60" i="36"/>
  <c r="H52" i="36"/>
  <c r="G52" i="36"/>
  <c r="M26" i="36"/>
  <c r="N26" i="36"/>
  <c r="H16" i="36"/>
  <c r="G16" i="36"/>
  <c r="M49" i="36"/>
  <c r="N49" i="36"/>
  <c r="M55" i="36"/>
  <c r="N55" i="36"/>
  <c r="H23" i="36"/>
  <c r="G23" i="36"/>
  <c r="M65" i="36"/>
  <c r="N65" i="36"/>
  <c r="G28" i="36"/>
  <c r="H28" i="36"/>
  <c r="M33" i="36"/>
  <c r="N33" i="36"/>
  <c r="N21" i="36"/>
  <c r="M21" i="36"/>
  <c r="N29" i="36"/>
  <c r="M29" i="36"/>
  <c r="N59" i="36"/>
  <c r="M59" i="36"/>
  <c r="J106" i="55"/>
  <c r="D106" i="55"/>
  <c r="H51" i="37"/>
  <c r="I51" i="37"/>
  <c r="I36" i="37"/>
  <c r="H36" i="37"/>
  <c r="I39" i="37"/>
  <c r="H39" i="37"/>
  <c r="H63" i="37"/>
  <c r="I63" i="37"/>
  <c r="N62" i="37"/>
  <c r="O62" i="37"/>
  <c r="N23" i="37"/>
  <c r="O23" i="37"/>
  <c r="I65" i="37"/>
  <c r="H65" i="37"/>
  <c r="H54" i="37"/>
  <c r="I54" i="37"/>
  <c r="N45" i="37"/>
  <c r="O45" i="37"/>
  <c r="O28" i="37"/>
  <c r="N28" i="37"/>
  <c r="O63" i="37"/>
  <c r="N63" i="37"/>
  <c r="N37" i="37"/>
  <c r="O37" i="37"/>
  <c r="N61" i="37"/>
  <c r="O61" i="37"/>
  <c r="N52" i="37"/>
  <c r="O52" i="37"/>
  <c r="H53" i="37"/>
  <c r="I53" i="37"/>
  <c r="O25" i="37"/>
  <c r="N25" i="37"/>
  <c r="H49" i="37"/>
  <c r="I49" i="37"/>
  <c r="H45" i="37"/>
  <c r="I45" i="37"/>
  <c r="O35" i="37"/>
  <c r="N35" i="37"/>
  <c r="O49" i="37"/>
  <c r="N49" i="37"/>
  <c r="N18" i="37"/>
  <c r="O18" i="37"/>
  <c r="O59" i="37"/>
  <c r="N59" i="37"/>
  <c r="N55" i="37"/>
  <c r="O55" i="37"/>
  <c r="O64" i="37"/>
  <c r="N64" i="37"/>
  <c r="K105" i="56"/>
  <c r="E105" i="56"/>
  <c r="L49" i="46"/>
  <c r="K49" i="46"/>
  <c r="J49" i="46"/>
  <c r="I49" i="46"/>
  <c r="H49" i="46"/>
  <c r="G49" i="46"/>
  <c r="F49" i="46"/>
  <c r="N49" i="46"/>
  <c r="E49" i="46"/>
  <c r="M63" i="36"/>
  <c r="N63" i="36"/>
  <c r="N53" i="36"/>
  <c r="M53" i="36"/>
  <c r="N35" i="36"/>
  <c r="M35" i="36"/>
  <c r="M66" i="36"/>
  <c r="N66" i="36"/>
  <c r="M44" i="36"/>
  <c r="N44" i="36"/>
  <c r="N25" i="36"/>
  <c r="M25" i="36"/>
  <c r="H34" i="36"/>
  <c r="G34" i="36"/>
  <c r="M28" i="36"/>
  <c r="N28" i="36"/>
  <c r="H39" i="36"/>
  <c r="G39" i="36"/>
  <c r="H36" i="36"/>
  <c r="G36" i="36"/>
  <c r="G63" i="36"/>
  <c r="H63" i="36"/>
  <c r="G57" i="36"/>
  <c r="H57" i="36"/>
  <c r="M56" i="36"/>
  <c r="N56" i="36"/>
  <c r="M48" i="36"/>
  <c r="N48" i="36"/>
  <c r="G48" i="36"/>
  <c r="H48" i="36"/>
  <c r="N61" i="36"/>
  <c r="M61" i="36"/>
  <c r="N24" i="36"/>
  <c r="M24" i="36"/>
  <c r="N67" i="36"/>
  <c r="M67" i="36"/>
  <c r="H54" i="36"/>
  <c r="G54" i="36"/>
  <c r="H42" i="36"/>
  <c r="G42" i="36"/>
  <c r="M32" i="36"/>
  <c r="N32" i="36"/>
  <c r="H55" i="36"/>
  <c r="G55" i="36"/>
  <c r="G37" i="36"/>
  <c r="H37" i="36"/>
  <c r="J107" i="55"/>
  <c r="D107" i="55"/>
  <c r="D90" i="36"/>
  <c r="K115" i="36"/>
  <c r="E150" i="36"/>
  <c r="K171" i="36"/>
  <c r="C131" i="36"/>
  <c r="A131" i="36" s="1"/>
  <c r="K161" i="36"/>
  <c r="E173" i="36"/>
  <c r="E134" i="36"/>
  <c r="K100" i="36"/>
  <c r="E111" i="36"/>
  <c r="K162" i="36"/>
  <c r="C138" i="36"/>
  <c r="A138" i="36" s="1"/>
  <c r="C139" i="36"/>
  <c r="A139" i="36" s="1"/>
  <c r="D154" i="36"/>
  <c r="C157" i="36"/>
  <c r="A157" i="36" s="1"/>
  <c r="K110" i="36"/>
  <c r="K148" i="36"/>
  <c r="D102" i="36"/>
  <c r="E157" i="36"/>
  <c r="C152" i="36"/>
  <c r="A152" i="36" s="1"/>
  <c r="E131" i="36"/>
  <c r="E164" i="36"/>
  <c r="E148" i="36"/>
  <c r="K164" i="36"/>
  <c r="C150" i="36"/>
  <c r="A150" i="36" s="1"/>
  <c r="E123" i="36"/>
  <c r="C162" i="36"/>
  <c r="A162" i="36" s="1"/>
  <c r="E133" i="36"/>
  <c r="C178" i="36"/>
  <c r="A178" i="36" s="1"/>
  <c r="E129" i="36"/>
  <c r="D160" i="36"/>
  <c r="E130" i="36"/>
  <c r="D145" i="36"/>
  <c r="K169" i="36"/>
  <c r="E114" i="36"/>
  <c r="K174" i="36"/>
  <c r="C147" i="36"/>
  <c r="A147" i="36" s="1"/>
  <c r="K165" i="36"/>
  <c r="C140" i="36"/>
  <c r="A140" i="36" s="1"/>
  <c r="E172" i="36"/>
  <c r="C151" i="36"/>
  <c r="A151" i="36" s="1"/>
  <c r="C96" i="36"/>
  <c r="A96" i="36" s="1"/>
  <c r="C125" i="36"/>
  <c r="A125" i="36" s="1"/>
  <c r="C124" i="36"/>
  <c r="A124" i="36" s="1"/>
  <c r="C143" i="36"/>
  <c r="A143" i="36" s="1"/>
  <c r="E100" i="36"/>
  <c r="K141" i="36"/>
  <c r="D128" i="36"/>
  <c r="C167" i="36"/>
  <c r="A167" i="36" s="1"/>
  <c r="K167" i="36"/>
  <c r="C129" i="36"/>
  <c r="A129" i="36" s="1"/>
  <c r="C141" i="36"/>
  <c r="A141" i="36" s="1"/>
  <c r="E143" i="36"/>
  <c r="E183" i="36"/>
  <c r="C122" i="36"/>
  <c r="A122" i="36" s="1"/>
  <c r="C153" i="36"/>
  <c r="A153" i="36" s="1"/>
  <c r="C120" i="36"/>
  <c r="A120" i="36" s="1"/>
  <c r="E151" i="36"/>
  <c r="K103" i="36"/>
  <c r="D181" i="36"/>
  <c r="K163" i="36"/>
  <c r="D166" i="36"/>
  <c r="C97" i="36"/>
  <c r="A97" i="36" s="1"/>
  <c r="K138" i="36"/>
  <c r="K98" i="36"/>
  <c r="C163" i="36"/>
  <c r="A163" i="36" s="1"/>
  <c r="D123" i="36"/>
  <c r="E162" i="36"/>
  <c r="K170" i="36"/>
  <c r="C181" i="36"/>
  <c r="A181" i="36" s="1"/>
  <c r="C99" i="36"/>
  <c r="A99" i="36" s="1"/>
  <c r="D155" i="36"/>
  <c r="C109" i="36"/>
  <c r="A109" i="36" s="1"/>
  <c r="C156" i="36"/>
  <c r="A156" i="36" s="1"/>
  <c r="E144" i="36"/>
  <c r="D136" i="36"/>
  <c r="E176" i="36"/>
  <c r="C103" i="36"/>
  <c r="A103" i="36" s="1"/>
  <c r="C158" i="36"/>
  <c r="A158" i="36" s="1"/>
  <c r="C135" i="36"/>
  <c r="A135" i="36" s="1"/>
  <c r="K153" i="36"/>
  <c r="D131" i="36"/>
  <c r="D133" i="36"/>
  <c r="E118" i="36"/>
  <c r="D140" i="36"/>
  <c r="E103" i="36"/>
  <c r="E141" i="36"/>
  <c r="C119" i="36"/>
  <c r="A119" i="36" s="1"/>
  <c r="E175" i="36"/>
  <c r="K183" i="36"/>
  <c r="D168" i="36"/>
  <c r="D137" i="36"/>
  <c r="E105" i="36"/>
  <c r="E124" i="36"/>
  <c r="E167" i="36"/>
  <c r="D109" i="36"/>
  <c r="D111" i="36"/>
  <c r="E107" i="36"/>
  <c r="K150" i="36"/>
  <c r="D114" i="36"/>
  <c r="C172" i="36"/>
  <c r="A172" i="36" s="1"/>
  <c r="E92" i="36"/>
  <c r="C106" i="36"/>
  <c r="A106" i="36" s="1"/>
  <c r="C170" i="36"/>
  <c r="A170" i="36" s="1"/>
  <c r="C161" i="36"/>
  <c r="A161" i="36" s="1"/>
  <c r="D183" i="36"/>
  <c r="D107" i="36"/>
  <c r="E182" i="36"/>
  <c r="K139" i="36"/>
  <c r="C177" i="36"/>
  <c r="A177" i="36" s="1"/>
  <c r="D178" i="36"/>
  <c r="D122" i="36"/>
  <c r="C132" i="36"/>
  <c r="A132" i="36" s="1"/>
  <c r="K179" i="36"/>
  <c r="K140" i="36"/>
  <c r="D182" i="36"/>
  <c r="D97" i="36"/>
  <c r="D143" i="36"/>
  <c r="C94" i="36"/>
  <c r="A94" i="36" s="1"/>
  <c r="E161" i="36"/>
  <c r="E109" i="36"/>
  <c r="C113" i="36"/>
  <c r="A113" i="36" s="1"/>
  <c r="E126" i="36"/>
  <c r="E132" i="36"/>
  <c r="E104" i="36"/>
  <c r="E178" i="36"/>
  <c r="D169" i="36"/>
  <c r="E158" i="36"/>
  <c r="E122" i="36"/>
  <c r="E140" i="36"/>
  <c r="C169" i="36"/>
  <c r="A169" i="36" s="1"/>
  <c r="E115" i="36"/>
  <c r="K122" i="36"/>
  <c r="D134" i="36"/>
  <c r="E135" i="36"/>
  <c r="E99" i="36"/>
  <c r="C123" i="36"/>
  <c r="A123" i="36" s="1"/>
  <c r="K144" i="36"/>
  <c r="K104" i="36"/>
  <c r="E121" i="36"/>
  <c r="C176" i="36"/>
  <c r="A176" i="36" s="1"/>
  <c r="C155" i="36"/>
  <c r="A155" i="36" s="1"/>
  <c r="C175" i="36"/>
  <c r="A175" i="36" s="1"/>
  <c r="E94" i="36"/>
  <c r="E139" i="36"/>
  <c r="D132" i="36"/>
  <c r="E146" i="36"/>
  <c r="E169" i="36"/>
  <c r="D146" i="36"/>
  <c r="C173" i="36"/>
  <c r="A173" i="36" s="1"/>
  <c r="K147" i="36"/>
  <c r="C146" i="36"/>
  <c r="A146" i="36" s="1"/>
  <c r="D98" i="36"/>
  <c r="K119" i="36"/>
  <c r="D176" i="36"/>
  <c r="C137" i="36"/>
  <c r="A137" i="36" s="1"/>
  <c r="D125" i="36"/>
  <c r="D167" i="36"/>
  <c r="D157" i="36"/>
  <c r="K117" i="36"/>
  <c r="E179" i="36"/>
  <c r="C108" i="36"/>
  <c r="A108" i="36" s="1"/>
  <c r="C116" i="36"/>
  <c r="A116" i="36" s="1"/>
  <c r="D112" i="36"/>
  <c r="K152" i="36"/>
  <c r="D150" i="36"/>
  <c r="C126" i="36"/>
  <c r="A126" i="36" s="1"/>
  <c r="E153" i="36"/>
  <c r="C133" i="36"/>
  <c r="A133" i="36" s="1"/>
  <c r="E163" i="36"/>
  <c r="D92" i="36"/>
  <c r="K149" i="36"/>
  <c r="K128" i="36"/>
  <c r="K155" i="36"/>
  <c r="D161" i="36"/>
  <c r="K120" i="36"/>
  <c r="K137" i="36"/>
  <c r="C182" i="36"/>
  <c r="A182" i="36" s="1"/>
  <c r="K105" i="36"/>
  <c r="D142" i="36"/>
  <c r="C98" i="36"/>
  <c r="A98" i="36" s="1"/>
  <c r="D148" i="36"/>
  <c r="C118" i="36"/>
  <c r="A118" i="36" s="1"/>
  <c r="K95" i="36"/>
  <c r="E165" i="36"/>
  <c r="D172" i="36"/>
  <c r="E170" i="36"/>
  <c r="D105" i="36"/>
  <c r="D135" i="36"/>
  <c r="C142" i="36"/>
  <c r="A142" i="36" s="1"/>
  <c r="E136" i="36"/>
  <c r="E120" i="36"/>
  <c r="K121" i="36"/>
  <c r="K159" i="36"/>
  <c r="D117" i="36"/>
  <c r="C159" i="36"/>
  <c r="A159" i="36" s="1"/>
  <c r="C101" i="36"/>
  <c r="A101" i="36" s="1"/>
  <c r="D170" i="36"/>
  <c r="C149" i="36"/>
  <c r="A149" i="36" s="1"/>
  <c r="K143" i="36"/>
  <c r="D108" i="36"/>
  <c r="C160" i="36"/>
  <c r="A160" i="36" s="1"/>
  <c r="C154" i="36"/>
  <c r="A154" i="36" s="1"/>
  <c r="D179" i="36"/>
  <c r="E168" i="36"/>
  <c r="E149" i="36"/>
  <c r="E177" i="36"/>
  <c r="D124" i="36"/>
  <c r="D163" i="36"/>
  <c r="C115" i="36"/>
  <c r="A115" i="36" s="1"/>
  <c r="K172" i="36"/>
  <c r="K154" i="36"/>
  <c r="E171" i="36"/>
  <c r="D153" i="36"/>
  <c r="C180" i="36"/>
  <c r="A180" i="36" s="1"/>
  <c r="E128" i="36"/>
  <c r="K182" i="36"/>
  <c r="K94" i="36"/>
  <c r="D149" i="36"/>
  <c r="E155" i="36"/>
  <c r="D93" i="36"/>
  <c r="C110" i="36"/>
  <c r="A110" i="36" s="1"/>
  <c r="K107" i="36"/>
  <c r="D110" i="36"/>
  <c r="D120" i="36"/>
  <c r="E97" i="36"/>
  <c r="D104" i="36"/>
  <c r="E156" i="36"/>
  <c r="D177" i="36"/>
  <c r="D159" i="36"/>
  <c r="E117" i="36"/>
  <c r="C144" i="36"/>
  <c r="A144" i="36" s="1"/>
  <c r="K114" i="36"/>
  <c r="C93" i="36"/>
  <c r="A93" i="36" s="1"/>
  <c r="D164" i="36"/>
  <c r="K136" i="36"/>
  <c r="C95" i="36"/>
  <c r="A95" i="36" s="1"/>
  <c r="E160" i="36"/>
  <c r="K129" i="36"/>
  <c r="K132" i="36"/>
  <c r="K157" i="36"/>
  <c r="K130" i="36"/>
  <c r="C164" i="36"/>
  <c r="A164" i="36" s="1"/>
  <c r="K173" i="36"/>
  <c r="E154" i="36"/>
  <c r="E96" i="36"/>
  <c r="D106" i="36"/>
  <c r="E138" i="36"/>
  <c r="K127" i="36"/>
  <c r="D165" i="36"/>
  <c r="C111" i="36"/>
  <c r="A111" i="36" s="1"/>
  <c r="D152" i="36"/>
  <c r="K176" i="36"/>
  <c r="C127" i="36"/>
  <c r="A127" i="36" s="1"/>
  <c r="K106" i="36"/>
  <c r="D180" i="36"/>
  <c r="D151" i="36"/>
  <c r="K175" i="36"/>
  <c r="D115" i="36"/>
  <c r="K93" i="36"/>
  <c r="D158" i="36"/>
  <c r="D116" i="36"/>
  <c r="C148" i="36"/>
  <c r="A148" i="36" s="1"/>
  <c r="D101" i="36"/>
  <c r="D130" i="36"/>
  <c r="E113" i="36"/>
  <c r="C179" i="36"/>
  <c r="A179" i="36" s="1"/>
  <c r="K112" i="36"/>
  <c r="D127" i="36"/>
  <c r="D96" i="36"/>
  <c r="C102" i="36"/>
  <c r="A102" i="36" s="1"/>
  <c r="K145" i="36"/>
  <c r="C166" i="36"/>
  <c r="A166" i="36" s="1"/>
  <c r="D141" i="36"/>
  <c r="E142" i="36"/>
  <c r="E174" i="36"/>
  <c r="D175" i="36"/>
  <c r="D173" i="36"/>
  <c r="C104" i="36"/>
  <c r="A104" i="36" s="1"/>
  <c r="C136" i="36"/>
  <c r="A136" i="36" s="1"/>
  <c r="C117" i="36"/>
  <c r="A117" i="36" s="1"/>
  <c r="C121" i="36"/>
  <c r="A121" i="36" s="1"/>
  <c r="C107" i="36"/>
  <c r="A107" i="36" s="1"/>
  <c r="D119" i="36"/>
  <c r="D100" i="36"/>
  <c r="K125" i="36"/>
  <c r="C145" i="36"/>
  <c r="A145" i="36" s="1"/>
  <c r="E166" i="36"/>
  <c r="C168" i="36"/>
  <c r="A168" i="36" s="1"/>
  <c r="K111" i="36"/>
  <c r="E112" i="36"/>
  <c r="C114" i="36"/>
  <c r="A114" i="36" s="1"/>
  <c r="E106" i="36"/>
  <c r="D126" i="36"/>
  <c r="K178" i="36"/>
  <c r="K151" i="36"/>
  <c r="C105" i="36"/>
  <c r="A105" i="36" s="1"/>
  <c r="D121" i="36"/>
  <c r="C128" i="36"/>
  <c r="A128" i="36" s="1"/>
  <c r="E116" i="36"/>
  <c r="C183" i="36"/>
  <c r="A183" i="36" s="1"/>
  <c r="K97" i="36"/>
  <c r="D118" i="36"/>
  <c r="K142" i="36"/>
  <c r="D129" i="36"/>
  <c r="K135" i="36"/>
  <c r="K116" i="36"/>
  <c r="K123" i="36"/>
  <c r="E110" i="36"/>
  <c r="K126" i="36"/>
  <c r="K96" i="36"/>
  <c r="D174" i="36"/>
  <c r="C112" i="36"/>
  <c r="A112" i="36" s="1"/>
  <c r="E125" i="36"/>
  <c r="E180" i="36"/>
  <c r="C130" i="36"/>
  <c r="A130" i="36" s="1"/>
  <c r="E119" i="36"/>
  <c r="C100" i="36"/>
  <c r="A100" i="36" s="1"/>
  <c r="K158" i="36"/>
  <c r="D94" i="36"/>
  <c r="E98" i="36"/>
  <c r="K131" i="36"/>
  <c r="E108" i="36"/>
  <c r="E181" i="36"/>
  <c r="K102" i="36"/>
  <c r="K146" i="36"/>
  <c r="K133" i="36"/>
  <c r="D138" i="36"/>
  <c r="K168" i="36"/>
  <c r="E159" i="36"/>
  <c r="K113" i="36"/>
  <c r="D171" i="36"/>
  <c r="E102" i="36"/>
  <c r="C174" i="36"/>
  <c r="A174" i="36" s="1"/>
  <c r="K160" i="36"/>
  <c r="K181" i="36"/>
  <c r="E95" i="36"/>
  <c r="C171" i="36"/>
  <c r="A171" i="36" s="1"/>
  <c r="E93" i="36"/>
  <c r="K109" i="36"/>
  <c r="E147" i="36"/>
  <c r="K166" i="36"/>
  <c r="E127" i="36"/>
  <c r="D113" i="36"/>
  <c r="D139" i="36"/>
  <c r="D95" i="36"/>
  <c r="K134" i="36"/>
  <c r="D144" i="36"/>
  <c r="C134" i="36"/>
  <c r="A134" i="36" s="1"/>
  <c r="K124" i="36"/>
  <c r="D162" i="36"/>
  <c r="K99" i="36"/>
  <c r="E145" i="36"/>
  <c r="K180" i="36"/>
  <c r="K118" i="36"/>
  <c r="K108" i="36"/>
  <c r="C165" i="36"/>
  <c r="A165" i="36" s="1"/>
  <c r="K156" i="36"/>
  <c r="E137" i="36"/>
  <c r="E152" i="36"/>
  <c r="D99" i="36"/>
  <c r="D156" i="36"/>
  <c r="D103" i="36"/>
  <c r="K177" i="36"/>
  <c r="D147" i="36"/>
  <c r="K101" i="36"/>
  <c r="E101" i="36"/>
  <c r="I43" i="37"/>
  <c r="H43" i="37"/>
  <c r="O41" i="37"/>
  <c r="N41" i="37"/>
  <c r="H61" i="37"/>
  <c r="I61" i="37"/>
  <c r="N44" i="37"/>
  <c r="O44" i="37"/>
  <c r="I28" i="37"/>
  <c r="H28" i="37"/>
  <c r="O48" i="37"/>
  <c r="N48" i="37"/>
  <c r="N26" i="37"/>
  <c r="O26" i="37"/>
  <c r="I17" i="37"/>
  <c r="H17" i="37"/>
  <c r="O50" i="37"/>
  <c r="N50" i="37"/>
  <c r="N56" i="37"/>
  <c r="O56" i="37"/>
  <c r="I58" i="37"/>
  <c r="H58" i="37"/>
  <c r="N29" i="37"/>
  <c r="O29" i="37"/>
  <c r="N40" i="37"/>
  <c r="O40" i="37"/>
  <c r="H41" i="37"/>
  <c r="I41" i="37"/>
  <c r="O30" i="37"/>
  <c r="N30" i="37"/>
  <c r="N21" i="37"/>
  <c r="O21" i="37"/>
  <c r="H34" i="37"/>
  <c r="I34" i="37"/>
  <c r="H42" i="37"/>
  <c r="I42" i="37"/>
  <c r="O22" i="37"/>
  <c r="N22" i="37"/>
  <c r="N51" i="37"/>
  <c r="O51" i="37"/>
  <c r="H27" i="37"/>
  <c r="I27" i="37"/>
  <c r="H25" i="37"/>
  <c r="I25" i="37"/>
  <c r="H62" i="37"/>
  <c r="I62" i="37"/>
  <c r="I24" i="37"/>
  <c r="H24" i="37"/>
  <c r="H29" i="37"/>
  <c r="I29" i="37"/>
  <c r="O19" i="37"/>
  <c r="N19" i="37"/>
  <c r="H26" i="37"/>
  <c r="I26" i="37"/>
  <c r="H57" i="37"/>
  <c r="I57" i="37"/>
  <c r="N24" i="37"/>
  <c r="O24" i="37"/>
  <c r="H16" i="37"/>
  <c r="I16" i="37"/>
  <c r="I107" i="56"/>
  <c r="N107" i="56" s="1"/>
  <c r="N106" i="56"/>
  <c r="C51" i="46"/>
  <c r="D50" i="46"/>
  <c r="G25" i="36"/>
  <c r="H25" i="36"/>
  <c r="H44" i="36"/>
  <c r="G44" i="36"/>
  <c r="N41" i="36"/>
  <c r="M41" i="36"/>
  <c r="N68" i="36"/>
  <c r="M68" i="36"/>
  <c r="G17" i="36"/>
  <c r="H17" i="36"/>
  <c r="H45" i="36"/>
  <c r="G45" i="36"/>
  <c r="G46" i="36"/>
  <c r="H46" i="36"/>
  <c r="H32" i="36"/>
  <c r="G32" i="36"/>
  <c r="N20" i="36"/>
  <c r="M20" i="36"/>
  <c r="G26" i="36"/>
  <c r="H26" i="36"/>
  <c r="H50" i="36"/>
  <c r="G50" i="36"/>
  <c r="G35" i="36"/>
  <c r="H35" i="36"/>
  <c r="N54" i="36"/>
  <c r="M54" i="36"/>
  <c r="G67" i="36"/>
  <c r="H67" i="36"/>
  <c r="H29" i="36"/>
  <c r="G29" i="36"/>
  <c r="H41" i="36"/>
  <c r="G41" i="36"/>
  <c r="M36" i="36"/>
  <c r="N36" i="36"/>
  <c r="M22" i="36"/>
  <c r="N22" i="36"/>
  <c r="H56" i="36"/>
  <c r="G56" i="36"/>
  <c r="G40" i="36"/>
  <c r="H40" i="36"/>
  <c r="N18" i="36"/>
  <c r="M18" i="36"/>
  <c r="M42" i="36"/>
  <c r="N42" i="36"/>
  <c r="M50" i="36"/>
  <c r="N50" i="36"/>
  <c r="G51" i="36"/>
  <c r="H51" i="36"/>
  <c r="H18" i="36"/>
  <c r="G18" i="36"/>
  <c r="M23" i="36"/>
  <c r="N23" i="36"/>
  <c r="G58" i="36"/>
  <c r="H58" i="36"/>
  <c r="H47" i="37"/>
  <c r="I47" i="37"/>
  <c r="H30" i="37"/>
  <c r="I30" i="37"/>
  <c r="I15" i="37"/>
  <c r="H15" i="37"/>
  <c r="I31" i="37"/>
  <c r="H31" i="37"/>
  <c r="N43" i="37"/>
  <c r="O43" i="37"/>
  <c r="H50" i="37"/>
  <c r="I50" i="37"/>
  <c r="I56" i="37"/>
  <c r="H56" i="37"/>
  <c r="H40" i="37"/>
  <c r="I40" i="37"/>
  <c r="N38" i="37"/>
  <c r="O38" i="37"/>
  <c r="I48" i="37"/>
  <c r="H48" i="37"/>
  <c r="H66" i="37"/>
  <c r="I66" i="37"/>
  <c r="I35" i="37"/>
  <c r="H35" i="37"/>
  <c r="I46" i="37"/>
  <c r="H46" i="37"/>
  <c r="O34" i="37"/>
  <c r="N34" i="37"/>
  <c r="O36" i="37"/>
  <c r="N36" i="37"/>
  <c r="O46" i="37"/>
  <c r="N46" i="37"/>
  <c r="H18" i="37"/>
  <c r="I18" i="37"/>
  <c r="I60" i="37"/>
  <c r="H60" i="37"/>
  <c r="O17" i="37"/>
  <c r="N17" i="37"/>
  <c r="H59" i="37"/>
  <c r="I59" i="37"/>
  <c r="I23" i="37"/>
  <c r="H23" i="37"/>
  <c r="I19" i="37"/>
  <c r="H19" i="37"/>
  <c r="N27" i="37"/>
  <c r="O27" i="37"/>
  <c r="N67" i="37"/>
  <c r="O67" i="37"/>
  <c r="I64" i="37"/>
  <c r="H64" i="37"/>
  <c r="H21" i="37"/>
  <c r="I21" i="37"/>
  <c r="O16" i="37"/>
  <c r="N16" i="37"/>
  <c r="O15" i="37"/>
  <c r="N15" i="37"/>
  <c r="N60" i="37"/>
  <c r="O60" i="37"/>
  <c r="A59" i="26"/>
  <c r="A60" i="26" s="1"/>
  <c r="B60" i="26" s="1"/>
  <c r="F58" i="26"/>
  <c r="E58" i="26"/>
  <c r="H58" i="26"/>
  <c r="J58" i="26"/>
  <c r="G58" i="26"/>
  <c r="D58" i="26"/>
  <c r="I58" i="26"/>
  <c r="C58" i="26"/>
  <c r="G55" i="49"/>
  <c r="K55" i="49"/>
  <c r="J55" i="49"/>
  <c r="L55" i="49"/>
  <c r="C55" i="49"/>
  <c r="D55" i="49"/>
  <c r="H55" i="49"/>
  <c r="E55" i="49"/>
  <c r="F55" i="49"/>
  <c r="I55" i="49"/>
  <c r="A57" i="49"/>
  <c r="B56" i="49"/>
  <c r="AE55" i="2"/>
  <c r="R55" i="2"/>
  <c r="C56" i="27"/>
  <c r="P56" i="27"/>
  <c r="M56" i="27"/>
  <c r="O56" i="27"/>
  <c r="D56" i="27"/>
  <c r="G56" i="27"/>
  <c r="K56" i="27"/>
  <c r="J56" i="27"/>
  <c r="F56" i="27"/>
  <c r="H56" i="27"/>
  <c r="L56" i="27"/>
  <c r="E56" i="27"/>
  <c r="N56" i="27"/>
  <c r="I56" i="27"/>
  <c r="U55" i="27"/>
  <c r="AB55" i="27"/>
  <c r="AI55" i="27"/>
  <c r="A55" i="32"/>
  <c r="B54" i="32"/>
  <c r="A58" i="27"/>
  <c r="B57" i="27"/>
  <c r="B57" i="2"/>
  <c r="A58" i="2"/>
  <c r="E56" i="2"/>
  <c r="D56" i="2"/>
  <c r="K56" i="2"/>
  <c r="F56" i="2"/>
  <c r="C56" i="2"/>
  <c r="I56" i="2"/>
  <c r="J56" i="2"/>
  <c r="G56" i="2"/>
  <c r="H56" i="2"/>
  <c r="N78" i="37" l="1"/>
  <c r="E107" i="56"/>
  <c r="K107" i="56"/>
  <c r="D110" i="37"/>
  <c r="E170" i="37"/>
  <c r="E94" i="37"/>
  <c r="L142" i="37"/>
  <c r="C177" i="37"/>
  <c r="A177" i="37" s="1"/>
  <c r="C132" i="37"/>
  <c r="A132" i="37" s="1"/>
  <c r="E96" i="37"/>
  <c r="D121" i="37"/>
  <c r="C112" i="37"/>
  <c r="A112" i="37" s="1"/>
  <c r="C178" i="37"/>
  <c r="A178" i="37" s="1"/>
  <c r="D113" i="37"/>
  <c r="C141" i="37"/>
  <c r="A141" i="37" s="1"/>
  <c r="L109" i="37"/>
  <c r="E164" i="37"/>
  <c r="L150" i="37"/>
  <c r="L171" i="37"/>
  <c r="D140" i="37"/>
  <c r="L156" i="37"/>
  <c r="E117" i="37"/>
  <c r="E105" i="37"/>
  <c r="D173" i="37"/>
  <c r="D137" i="37"/>
  <c r="E138" i="37"/>
  <c r="C106" i="37"/>
  <c r="A106" i="37" s="1"/>
  <c r="C134" i="37"/>
  <c r="A134" i="37" s="1"/>
  <c r="L92" i="37"/>
  <c r="E130" i="37"/>
  <c r="E111" i="37"/>
  <c r="D91" i="37"/>
  <c r="L159" i="37"/>
  <c r="C111" i="37"/>
  <c r="A111" i="37" s="1"/>
  <c r="L90" i="37"/>
  <c r="E147" i="37"/>
  <c r="L167" i="37"/>
  <c r="E134" i="37"/>
  <c r="L172" i="37"/>
  <c r="D159" i="37"/>
  <c r="C116" i="37"/>
  <c r="A116" i="37" s="1"/>
  <c r="C154" i="37"/>
  <c r="A154" i="37" s="1"/>
  <c r="L133" i="37"/>
  <c r="E108" i="37"/>
  <c r="C129" i="37"/>
  <c r="A129" i="37" s="1"/>
  <c r="L95" i="37"/>
  <c r="D147" i="37"/>
  <c r="C124" i="37"/>
  <c r="A124" i="37" s="1"/>
  <c r="D148" i="37"/>
  <c r="C150" i="37"/>
  <c r="A150" i="37" s="1"/>
  <c r="C107" i="37"/>
  <c r="A107" i="37" s="1"/>
  <c r="C126" i="37"/>
  <c r="A126" i="37" s="1"/>
  <c r="D171" i="37"/>
  <c r="D125" i="37"/>
  <c r="D172" i="37"/>
  <c r="L101" i="37"/>
  <c r="L125" i="37"/>
  <c r="C139" i="37"/>
  <c r="A139" i="37" s="1"/>
  <c r="L164" i="37"/>
  <c r="D142" i="37"/>
  <c r="L169" i="37"/>
  <c r="L120" i="37"/>
  <c r="C158" i="37"/>
  <c r="A158" i="37" s="1"/>
  <c r="E92" i="37"/>
  <c r="L166" i="37"/>
  <c r="L98" i="37"/>
  <c r="C167" i="37"/>
  <c r="A167" i="37" s="1"/>
  <c r="D100" i="37"/>
  <c r="C156" i="37"/>
  <c r="A156" i="37" s="1"/>
  <c r="E102" i="37"/>
  <c r="C164" i="37"/>
  <c r="A164" i="37" s="1"/>
  <c r="E161" i="37"/>
  <c r="D181" i="37"/>
  <c r="C163" i="37"/>
  <c r="A163" i="37" s="1"/>
  <c r="L118" i="37"/>
  <c r="E153" i="37"/>
  <c r="E98" i="37"/>
  <c r="C148" i="37"/>
  <c r="A148" i="37" s="1"/>
  <c r="C172" i="37"/>
  <c r="A172" i="37" s="1"/>
  <c r="C145" i="37"/>
  <c r="A145" i="37" s="1"/>
  <c r="L135" i="37"/>
  <c r="D109" i="37"/>
  <c r="L108" i="37"/>
  <c r="D128" i="37"/>
  <c r="C147" i="37"/>
  <c r="A147" i="37" s="1"/>
  <c r="C168" i="37"/>
  <c r="A168" i="37" s="1"/>
  <c r="D150" i="37"/>
  <c r="C102" i="37"/>
  <c r="A102" i="37" s="1"/>
  <c r="E172" i="37"/>
  <c r="L111" i="37"/>
  <c r="E131" i="37"/>
  <c r="E155" i="37"/>
  <c r="D105" i="37"/>
  <c r="D153" i="37"/>
  <c r="D162" i="37"/>
  <c r="E176" i="37"/>
  <c r="L97" i="37"/>
  <c r="C181" i="37"/>
  <c r="A181" i="37" s="1"/>
  <c r="C118" i="37"/>
  <c r="A118" i="37" s="1"/>
  <c r="D132" i="37"/>
  <c r="D154" i="37"/>
  <c r="D114" i="37"/>
  <c r="L170" i="37"/>
  <c r="C137" i="37"/>
  <c r="A137" i="37" s="1"/>
  <c r="D175" i="37"/>
  <c r="E104" i="37"/>
  <c r="D101" i="37"/>
  <c r="L114" i="37"/>
  <c r="E136" i="37"/>
  <c r="C159" i="37"/>
  <c r="A159" i="37" s="1"/>
  <c r="E150" i="37"/>
  <c r="D119" i="37"/>
  <c r="C155" i="37"/>
  <c r="A155" i="37" s="1"/>
  <c r="E182" i="37"/>
  <c r="E151" i="37"/>
  <c r="E124" i="37"/>
  <c r="D177" i="37"/>
  <c r="E118" i="37"/>
  <c r="L177" i="37"/>
  <c r="E121" i="37"/>
  <c r="D104" i="37"/>
  <c r="C174" i="37"/>
  <c r="A174" i="37" s="1"/>
  <c r="E101" i="37"/>
  <c r="E171" i="37"/>
  <c r="L106" i="37"/>
  <c r="D138" i="37"/>
  <c r="E149" i="37"/>
  <c r="C140" i="37"/>
  <c r="A140" i="37" s="1"/>
  <c r="D160" i="37"/>
  <c r="C110" i="37"/>
  <c r="A110" i="37" s="1"/>
  <c r="C94" i="37"/>
  <c r="A94" i="37" s="1"/>
  <c r="C120" i="37"/>
  <c r="A120" i="37" s="1"/>
  <c r="C103" i="37"/>
  <c r="A103" i="37" s="1"/>
  <c r="L144" i="37"/>
  <c r="D174" i="37"/>
  <c r="D118" i="37"/>
  <c r="D107" i="37"/>
  <c r="D131" i="37"/>
  <c r="C121" i="37"/>
  <c r="A121" i="37" s="1"/>
  <c r="L115" i="37"/>
  <c r="C176" i="37"/>
  <c r="A176" i="37" s="1"/>
  <c r="L179" i="37"/>
  <c r="L162" i="37"/>
  <c r="E145" i="37"/>
  <c r="E175" i="37"/>
  <c r="D179" i="37"/>
  <c r="E156" i="37"/>
  <c r="C143" i="37"/>
  <c r="A143" i="37" s="1"/>
  <c r="L129" i="37"/>
  <c r="C169" i="37"/>
  <c r="A169" i="37" s="1"/>
  <c r="E180" i="37"/>
  <c r="C146" i="37"/>
  <c r="A146" i="37" s="1"/>
  <c r="C173" i="37"/>
  <c r="A173" i="37" s="1"/>
  <c r="D176" i="37"/>
  <c r="L174" i="37"/>
  <c r="D165" i="37"/>
  <c r="D168" i="37"/>
  <c r="D152" i="37"/>
  <c r="C151" i="37"/>
  <c r="A151" i="37" s="1"/>
  <c r="D99" i="37"/>
  <c r="E109" i="37"/>
  <c r="D170" i="37"/>
  <c r="D115" i="37"/>
  <c r="E132" i="37"/>
  <c r="L112" i="37"/>
  <c r="L107" i="37"/>
  <c r="C97" i="37"/>
  <c r="A97" i="37" s="1"/>
  <c r="E165" i="37"/>
  <c r="D130" i="37"/>
  <c r="L128" i="37"/>
  <c r="E143" i="37"/>
  <c r="E142" i="37"/>
  <c r="E169" i="37"/>
  <c r="L154" i="37"/>
  <c r="L121" i="37"/>
  <c r="D135" i="37"/>
  <c r="L104" i="37"/>
  <c r="C101" i="37"/>
  <c r="A101" i="37" s="1"/>
  <c r="D180" i="37"/>
  <c r="C100" i="37"/>
  <c r="A100" i="37" s="1"/>
  <c r="D146" i="37"/>
  <c r="E129" i="37"/>
  <c r="L105" i="37"/>
  <c r="L143" i="37"/>
  <c r="D126" i="37"/>
  <c r="E125" i="37"/>
  <c r="D116" i="37"/>
  <c r="D124" i="37"/>
  <c r="D93" i="37"/>
  <c r="L122" i="37"/>
  <c r="L161" i="37"/>
  <c r="E168" i="37"/>
  <c r="D149" i="37"/>
  <c r="E160" i="37"/>
  <c r="D144" i="37"/>
  <c r="C130" i="37"/>
  <c r="A130" i="37" s="1"/>
  <c r="C170" i="37"/>
  <c r="A170" i="37" s="1"/>
  <c r="E126" i="37"/>
  <c r="E113" i="37"/>
  <c r="C93" i="37"/>
  <c r="A93" i="37" s="1"/>
  <c r="L124" i="37"/>
  <c r="C160" i="37"/>
  <c r="A160" i="37" s="1"/>
  <c r="L165" i="37"/>
  <c r="L157" i="37"/>
  <c r="L102" i="37"/>
  <c r="E159" i="37"/>
  <c r="C152" i="37"/>
  <c r="A152" i="37" s="1"/>
  <c r="E122" i="37"/>
  <c r="C153" i="37"/>
  <c r="A153" i="37" s="1"/>
  <c r="E103" i="37"/>
  <c r="D155" i="37"/>
  <c r="C171" i="37"/>
  <c r="A171" i="37" s="1"/>
  <c r="C117" i="37"/>
  <c r="A117" i="37" s="1"/>
  <c r="C165" i="37"/>
  <c r="A165" i="37" s="1"/>
  <c r="C149" i="37"/>
  <c r="A149" i="37" s="1"/>
  <c r="L116" i="37"/>
  <c r="D141" i="37"/>
  <c r="C144" i="37"/>
  <c r="A144" i="37" s="1"/>
  <c r="C122" i="37"/>
  <c r="A122" i="37" s="1"/>
  <c r="E93" i="37"/>
  <c r="C113" i="37"/>
  <c r="A113" i="37" s="1"/>
  <c r="D97" i="37"/>
  <c r="E146" i="37"/>
  <c r="E107" i="37"/>
  <c r="E97" i="37"/>
  <c r="C92" i="37"/>
  <c r="A92" i="37" s="1"/>
  <c r="L163" i="37"/>
  <c r="L138" i="37"/>
  <c r="C133" i="37"/>
  <c r="A133" i="37" s="1"/>
  <c r="L134" i="37"/>
  <c r="E115" i="37"/>
  <c r="D95" i="37"/>
  <c r="C99" i="37"/>
  <c r="A99" i="37" s="1"/>
  <c r="L147" i="37"/>
  <c r="L94" i="37"/>
  <c r="D151" i="37"/>
  <c r="L139" i="37"/>
  <c r="E177" i="37"/>
  <c r="L127" i="37"/>
  <c r="E140" i="37"/>
  <c r="C136" i="37"/>
  <c r="A136" i="37" s="1"/>
  <c r="L141" i="37"/>
  <c r="D92" i="37"/>
  <c r="E163" i="37"/>
  <c r="C96" i="37"/>
  <c r="A96" i="37" s="1"/>
  <c r="L132" i="37"/>
  <c r="E120" i="37"/>
  <c r="E127" i="37"/>
  <c r="E99" i="37"/>
  <c r="D163" i="37"/>
  <c r="E91" i="37"/>
  <c r="L123" i="37"/>
  <c r="L181" i="37"/>
  <c r="L148" i="37"/>
  <c r="D156" i="37"/>
  <c r="C135" i="37"/>
  <c r="A135" i="37" s="1"/>
  <c r="L173" i="37"/>
  <c r="L168" i="37"/>
  <c r="D106" i="37"/>
  <c r="L99" i="37"/>
  <c r="E157" i="37"/>
  <c r="L119" i="37"/>
  <c r="C131" i="37"/>
  <c r="A131" i="37" s="1"/>
  <c r="D136" i="37"/>
  <c r="C138" i="37"/>
  <c r="A138" i="37" s="1"/>
  <c r="C95" i="37"/>
  <c r="A95" i="37" s="1"/>
  <c r="E152" i="37"/>
  <c r="C128" i="37"/>
  <c r="A128" i="37" s="1"/>
  <c r="E174" i="37"/>
  <c r="C157" i="37"/>
  <c r="A157" i="37" s="1"/>
  <c r="E162" i="37"/>
  <c r="L131" i="37"/>
  <c r="D161" i="37"/>
  <c r="L91" i="37"/>
  <c r="L176" i="37"/>
  <c r="L152" i="37"/>
  <c r="L130" i="37"/>
  <c r="D143" i="37"/>
  <c r="E141" i="37"/>
  <c r="D167" i="37"/>
  <c r="D127" i="37"/>
  <c r="D123" i="37"/>
  <c r="L137" i="37"/>
  <c r="D166" i="37"/>
  <c r="L140" i="37"/>
  <c r="D158" i="37"/>
  <c r="D98" i="37"/>
  <c r="D169" i="37"/>
  <c r="D108" i="37"/>
  <c r="D182" i="37"/>
  <c r="L136" i="37"/>
  <c r="D94" i="37"/>
  <c r="E100" i="37"/>
  <c r="E173" i="37"/>
  <c r="C98" i="37"/>
  <c r="A98" i="37" s="1"/>
  <c r="D145" i="37"/>
  <c r="C179" i="37"/>
  <c r="A179" i="37" s="1"/>
  <c r="D112" i="37"/>
  <c r="L155" i="37"/>
  <c r="D111" i="37"/>
  <c r="E144" i="37"/>
  <c r="C161" i="37"/>
  <c r="A161" i="37" s="1"/>
  <c r="L126" i="37"/>
  <c r="C105" i="37"/>
  <c r="A105" i="37" s="1"/>
  <c r="C115" i="37"/>
  <c r="A115" i="37" s="1"/>
  <c r="L103" i="37"/>
  <c r="E166" i="37"/>
  <c r="L180" i="37"/>
  <c r="C182" i="37"/>
  <c r="A182" i="37" s="1"/>
  <c r="E112" i="37"/>
  <c r="D103" i="37"/>
  <c r="E95" i="37"/>
  <c r="D117" i="37"/>
  <c r="L110" i="37"/>
  <c r="L153" i="37"/>
  <c r="E123" i="37"/>
  <c r="D157" i="37"/>
  <c r="C119" i="37"/>
  <c r="A119" i="37" s="1"/>
  <c r="C104" i="37"/>
  <c r="A104" i="37" s="1"/>
  <c r="E154" i="37"/>
  <c r="L93" i="37"/>
  <c r="E106" i="37"/>
  <c r="L158" i="37"/>
  <c r="L96" i="37"/>
  <c r="D120" i="37"/>
  <c r="C127" i="37"/>
  <c r="A127" i="37" s="1"/>
  <c r="C114" i="37"/>
  <c r="A114" i="37" s="1"/>
  <c r="C142" i="37"/>
  <c r="A142" i="37" s="1"/>
  <c r="C123" i="37"/>
  <c r="A123" i="37" s="1"/>
  <c r="L145" i="37"/>
  <c r="D102" i="37"/>
  <c r="D122" i="37"/>
  <c r="E178" i="37"/>
  <c r="E128" i="37"/>
  <c r="L100" i="37"/>
  <c r="C108" i="37"/>
  <c r="A108" i="37" s="1"/>
  <c r="C166" i="37"/>
  <c r="A166" i="37" s="1"/>
  <c r="E133" i="37"/>
  <c r="E181" i="37"/>
  <c r="E137" i="37"/>
  <c r="L113" i="37"/>
  <c r="L149" i="37"/>
  <c r="E114" i="37"/>
  <c r="L178" i="37"/>
  <c r="E179" i="37"/>
  <c r="C91" i="37"/>
  <c r="A91" i="37" s="1"/>
  <c r="E116" i="37"/>
  <c r="L160" i="37"/>
  <c r="L117" i="37"/>
  <c r="D164" i="37"/>
  <c r="E148" i="37"/>
  <c r="D96" i="37"/>
  <c r="D178" i="37"/>
  <c r="E119" i="37"/>
  <c r="C162" i="37"/>
  <c r="A162" i="37" s="1"/>
  <c r="D134" i="37"/>
  <c r="D133" i="37"/>
  <c r="E110" i="37"/>
  <c r="L175" i="37"/>
  <c r="E158" i="37"/>
  <c r="C125" i="37"/>
  <c r="A125" i="37" s="1"/>
  <c r="D139" i="37"/>
  <c r="D129" i="37"/>
  <c r="L146" i="37"/>
  <c r="E135" i="37"/>
  <c r="E167" i="37"/>
  <c r="C180" i="37"/>
  <c r="A180" i="37" s="1"/>
  <c r="L182" i="37"/>
  <c r="E139" i="37"/>
  <c r="C109" i="37"/>
  <c r="A109" i="37" s="1"/>
  <c r="L151" i="37"/>
  <c r="C175" i="37"/>
  <c r="A175" i="37" s="1"/>
  <c r="N177" i="36"/>
  <c r="M177" i="36"/>
  <c r="H152" i="36"/>
  <c r="G152" i="36"/>
  <c r="M108" i="36"/>
  <c r="N108" i="36"/>
  <c r="M99" i="36"/>
  <c r="N99" i="36"/>
  <c r="N109" i="36"/>
  <c r="M109" i="36"/>
  <c r="N181" i="36"/>
  <c r="M181" i="36"/>
  <c r="G181" i="36"/>
  <c r="H181" i="36"/>
  <c r="M123" i="36"/>
  <c r="N123" i="36"/>
  <c r="N142" i="36"/>
  <c r="M142" i="36"/>
  <c r="H116" i="36"/>
  <c r="G116" i="36"/>
  <c r="M151" i="36"/>
  <c r="N151" i="36"/>
  <c r="H166" i="36"/>
  <c r="G166" i="36"/>
  <c r="H174" i="36"/>
  <c r="G174" i="36"/>
  <c r="M145" i="36"/>
  <c r="N145" i="36"/>
  <c r="M112" i="36"/>
  <c r="N112" i="36"/>
  <c r="M93" i="36"/>
  <c r="N93" i="36"/>
  <c r="H138" i="36"/>
  <c r="G138" i="36"/>
  <c r="N173" i="36"/>
  <c r="M173" i="36"/>
  <c r="M132" i="36"/>
  <c r="N132" i="36"/>
  <c r="N136" i="36"/>
  <c r="M136" i="36"/>
  <c r="H156" i="36"/>
  <c r="G156" i="36"/>
  <c r="G155" i="36"/>
  <c r="H155" i="36"/>
  <c r="G128" i="36"/>
  <c r="H128" i="36"/>
  <c r="N154" i="36"/>
  <c r="M154" i="36"/>
  <c r="N143" i="36"/>
  <c r="M143" i="36"/>
  <c r="H120" i="36"/>
  <c r="G120" i="36"/>
  <c r="M95" i="36"/>
  <c r="N95" i="36"/>
  <c r="M120" i="36"/>
  <c r="N120" i="36"/>
  <c r="N149" i="36"/>
  <c r="M149" i="36"/>
  <c r="H153" i="36"/>
  <c r="G153" i="36"/>
  <c r="M117" i="36"/>
  <c r="N117" i="36"/>
  <c r="H169" i="36"/>
  <c r="G169" i="36"/>
  <c r="G94" i="36"/>
  <c r="H94" i="36"/>
  <c r="H121" i="36"/>
  <c r="G121" i="36"/>
  <c r="G99" i="36"/>
  <c r="H99" i="36"/>
  <c r="G115" i="36"/>
  <c r="H115" i="36"/>
  <c r="H158" i="36"/>
  <c r="G158" i="36"/>
  <c r="H132" i="36"/>
  <c r="G132" i="36"/>
  <c r="H161" i="36"/>
  <c r="G161" i="36"/>
  <c r="H182" i="36"/>
  <c r="G182" i="36"/>
  <c r="H118" i="36"/>
  <c r="G118" i="36"/>
  <c r="H162" i="36"/>
  <c r="G162" i="36"/>
  <c r="M138" i="36"/>
  <c r="N138" i="36"/>
  <c r="G172" i="36"/>
  <c r="H172" i="36"/>
  <c r="M174" i="36"/>
  <c r="N174" i="36"/>
  <c r="G130" i="36"/>
  <c r="H130" i="36"/>
  <c r="H133" i="36"/>
  <c r="G133" i="36"/>
  <c r="M164" i="36"/>
  <c r="N164" i="36"/>
  <c r="N110" i="36"/>
  <c r="M110" i="36"/>
  <c r="G134" i="36"/>
  <c r="H134" i="36"/>
  <c r="M171" i="36"/>
  <c r="N171" i="36"/>
  <c r="O78" i="37"/>
  <c r="N79" i="36"/>
  <c r="G72" i="57"/>
  <c r="M79" i="36"/>
  <c r="N50" i="46"/>
  <c r="L50" i="46"/>
  <c r="K50" i="46"/>
  <c r="J50" i="46"/>
  <c r="I50" i="46"/>
  <c r="H50" i="46"/>
  <c r="G50" i="46"/>
  <c r="F50" i="46"/>
  <c r="E50" i="46"/>
  <c r="G101" i="36"/>
  <c r="H101" i="36"/>
  <c r="H137" i="36"/>
  <c r="G137" i="36"/>
  <c r="M118" i="36"/>
  <c r="N118" i="36"/>
  <c r="N134" i="36"/>
  <c r="M134" i="36"/>
  <c r="H127" i="36"/>
  <c r="G127" i="36"/>
  <c r="G93" i="36"/>
  <c r="H93" i="36"/>
  <c r="N160" i="36"/>
  <c r="M160" i="36"/>
  <c r="N113" i="36"/>
  <c r="M113" i="36"/>
  <c r="M133" i="36"/>
  <c r="N133" i="36"/>
  <c r="G108" i="36"/>
  <c r="H108" i="36"/>
  <c r="N158" i="36"/>
  <c r="M158" i="36"/>
  <c r="G180" i="36"/>
  <c r="H180" i="36"/>
  <c r="N96" i="36"/>
  <c r="M96" i="36"/>
  <c r="M116" i="36"/>
  <c r="N116" i="36"/>
  <c r="N178" i="36"/>
  <c r="M178" i="36"/>
  <c r="G112" i="36"/>
  <c r="H112" i="36"/>
  <c r="G142" i="36"/>
  <c r="H142" i="36"/>
  <c r="M106" i="36"/>
  <c r="N106" i="36"/>
  <c r="N129" i="36"/>
  <c r="M129" i="36"/>
  <c r="G117" i="36"/>
  <c r="H117" i="36"/>
  <c r="M107" i="36"/>
  <c r="N107" i="36"/>
  <c r="M172" i="36"/>
  <c r="N172" i="36"/>
  <c r="G177" i="36"/>
  <c r="H177" i="36"/>
  <c r="G136" i="36"/>
  <c r="H136" i="36"/>
  <c r="G170" i="36"/>
  <c r="H170" i="36"/>
  <c r="N105" i="36"/>
  <c r="M105" i="36"/>
  <c r="M147" i="36"/>
  <c r="N147" i="36"/>
  <c r="H146" i="36"/>
  <c r="G146" i="36"/>
  <c r="N104" i="36"/>
  <c r="M104" i="36"/>
  <c r="G135" i="36"/>
  <c r="H135" i="36"/>
  <c r="G126" i="36"/>
  <c r="H126" i="36"/>
  <c r="M140" i="36"/>
  <c r="N140" i="36"/>
  <c r="N150" i="36"/>
  <c r="M150" i="36"/>
  <c r="H167" i="36"/>
  <c r="G167" i="36"/>
  <c r="H141" i="36"/>
  <c r="G141" i="36"/>
  <c r="G144" i="36"/>
  <c r="H144" i="36"/>
  <c r="M103" i="36"/>
  <c r="N103" i="36"/>
  <c r="N141" i="36"/>
  <c r="M141" i="36"/>
  <c r="G114" i="36"/>
  <c r="H114" i="36"/>
  <c r="H148" i="36"/>
  <c r="G148" i="36"/>
  <c r="H157" i="36"/>
  <c r="G157" i="36"/>
  <c r="N162" i="36"/>
  <c r="M162" i="36"/>
  <c r="G173" i="36"/>
  <c r="H173" i="36"/>
  <c r="H150" i="36"/>
  <c r="G150" i="36"/>
  <c r="H79" i="36"/>
  <c r="I78" i="37"/>
  <c r="C52" i="46"/>
  <c r="D51" i="46"/>
  <c r="M101" i="36"/>
  <c r="N101" i="36"/>
  <c r="M156" i="36"/>
  <c r="N156" i="36"/>
  <c r="M180" i="36"/>
  <c r="N180" i="36"/>
  <c r="N124" i="36"/>
  <c r="M124" i="36"/>
  <c r="N166" i="36"/>
  <c r="M166" i="36"/>
  <c r="G159" i="36"/>
  <c r="H159" i="36"/>
  <c r="M146" i="36"/>
  <c r="N146" i="36"/>
  <c r="N131" i="36"/>
  <c r="M131" i="36"/>
  <c r="G125" i="36"/>
  <c r="H125" i="36"/>
  <c r="M126" i="36"/>
  <c r="N126" i="36"/>
  <c r="M135" i="36"/>
  <c r="N135" i="36"/>
  <c r="N97" i="36"/>
  <c r="M97" i="36"/>
  <c r="M111" i="36"/>
  <c r="N111" i="36"/>
  <c r="M125" i="36"/>
  <c r="N125" i="36"/>
  <c r="G113" i="36"/>
  <c r="H113" i="36"/>
  <c r="N175" i="36"/>
  <c r="M175" i="36"/>
  <c r="H96" i="36"/>
  <c r="G96" i="36"/>
  <c r="N130" i="36"/>
  <c r="M130" i="36"/>
  <c r="H160" i="36"/>
  <c r="G160" i="36"/>
  <c r="H97" i="36"/>
  <c r="G97" i="36"/>
  <c r="M94" i="36"/>
  <c r="N94" i="36"/>
  <c r="G149" i="36"/>
  <c r="H149" i="36"/>
  <c r="M159" i="36"/>
  <c r="N159" i="36"/>
  <c r="N155" i="36"/>
  <c r="M155" i="36"/>
  <c r="H163" i="36"/>
  <c r="G163" i="36"/>
  <c r="N119" i="36"/>
  <c r="M119" i="36"/>
  <c r="N144" i="36"/>
  <c r="M144" i="36"/>
  <c r="H140" i="36"/>
  <c r="G140" i="36"/>
  <c r="H178" i="36"/>
  <c r="G178" i="36"/>
  <c r="M179" i="36"/>
  <c r="N179" i="36"/>
  <c r="G92" i="36"/>
  <c r="H92" i="36"/>
  <c r="E200" i="36"/>
  <c r="H200" i="36" s="1"/>
  <c r="G107" i="36"/>
  <c r="H107" i="36"/>
  <c r="G124" i="36"/>
  <c r="H124" i="36"/>
  <c r="M183" i="36"/>
  <c r="N183" i="36"/>
  <c r="K200" i="36"/>
  <c r="N200" i="36" s="1"/>
  <c r="H103" i="36"/>
  <c r="G103" i="36"/>
  <c r="G151" i="36"/>
  <c r="H151" i="36"/>
  <c r="H183" i="36"/>
  <c r="G183" i="36"/>
  <c r="M167" i="36"/>
  <c r="N167" i="36"/>
  <c r="H100" i="36"/>
  <c r="G100" i="36"/>
  <c r="N165" i="36"/>
  <c r="M165" i="36"/>
  <c r="M169" i="36"/>
  <c r="N169" i="36"/>
  <c r="H129" i="36"/>
  <c r="G129" i="36"/>
  <c r="G123" i="36"/>
  <c r="H123" i="36"/>
  <c r="H164" i="36"/>
  <c r="G164" i="36"/>
  <c r="H111" i="36"/>
  <c r="G111" i="36"/>
  <c r="M161" i="36"/>
  <c r="N161" i="36"/>
  <c r="M115" i="36"/>
  <c r="N115" i="36"/>
  <c r="G79" i="36"/>
  <c r="K73" i="57"/>
  <c r="J73" i="57"/>
  <c r="D73" i="57"/>
  <c r="F73" i="57"/>
  <c r="H78" i="37"/>
  <c r="M72" i="57"/>
  <c r="K106" i="56"/>
  <c r="E106" i="56"/>
  <c r="G145" i="36"/>
  <c r="H145" i="36"/>
  <c r="H147" i="36"/>
  <c r="G147" i="36"/>
  <c r="H95" i="36"/>
  <c r="G95" i="36"/>
  <c r="G102" i="36"/>
  <c r="H102" i="36"/>
  <c r="N168" i="36"/>
  <c r="M168" i="36"/>
  <c r="N102" i="36"/>
  <c r="M102" i="36"/>
  <c r="G98" i="36"/>
  <c r="H98" i="36"/>
  <c r="H119" i="36"/>
  <c r="G119" i="36"/>
  <c r="H110" i="36"/>
  <c r="G110" i="36"/>
  <c r="G106" i="36"/>
  <c r="H106" i="36"/>
  <c r="N176" i="36"/>
  <c r="M176" i="36"/>
  <c r="N127" i="36"/>
  <c r="M127" i="36"/>
  <c r="H154" i="36"/>
  <c r="G154" i="36"/>
  <c r="M157" i="36"/>
  <c r="N157" i="36"/>
  <c r="M114" i="36"/>
  <c r="N114" i="36"/>
  <c r="M182" i="36"/>
  <c r="N182" i="36"/>
  <c r="H171" i="36"/>
  <c r="G171" i="36"/>
  <c r="G168" i="36"/>
  <c r="H168" i="36"/>
  <c r="M121" i="36"/>
  <c r="N121" i="36"/>
  <c r="H165" i="36"/>
  <c r="G165" i="36"/>
  <c r="M137" i="36"/>
  <c r="N137" i="36"/>
  <c r="N128" i="36"/>
  <c r="M128" i="36"/>
  <c r="N152" i="36"/>
  <c r="M152" i="36"/>
  <c r="G179" i="36"/>
  <c r="H179" i="36"/>
  <c r="H139" i="36"/>
  <c r="G139" i="36"/>
  <c r="N122" i="36"/>
  <c r="M122" i="36"/>
  <c r="G122" i="36"/>
  <c r="H122" i="36"/>
  <c r="H104" i="36"/>
  <c r="G104" i="36"/>
  <c r="G109" i="36"/>
  <c r="H109" i="36"/>
  <c r="M139" i="36"/>
  <c r="N139" i="36"/>
  <c r="H105" i="36"/>
  <c r="G105" i="36"/>
  <c r="G175" i="36"/>
  <c r="H175" i="36"/>
  <c r="M153" i="36"/>
  <c r="N153" i="36"/>
  <c r="G176" i="36"/>
  <c r="H176" i="36"/>
  <c r="M170" i="36"/>
  <c r="N170" i="36"/>
  <c r="M98" i="36"/>
  <c r="N98" i="36"/>
  <c r="N163" i="36"/>
  <c r="M163" i="36"/>
  <c r="H143" i="36"/>
  <c r="G143" i="36"/>
  <c r="G131" i="36"/>
  <c r="H131" i="36"/>
  <c r="N148" i="36"/>
  <c r="M148" i="36"/>
  <c r="M100" i="36"/>
  <c r="N100" i="36"/>
  <c r="K74" i="57"/>
  <c r="K103" i="57" s="1"/>
  <c r="J74" i="57"/>
  <c r="F74" i="57"/>
  <c r="D74" i="57"/>
  <c r="G110" i="38"/>
  <c r="G95" i="38"/>
  <c r="G72" i="38"/>
  <c r="G78" i="38"/>
  <c r="E41" i="38"/>
  <c r="C91" i="38"/>
  <c r="D77" i="38"/>
  <c r="D84" i="38"/>
  <c r="E98" i="38"/>
  <c r="D104" i="38"/>
  <c r="G109" i="38"/>
  <c r="G43" i="38"/>
  <c r="D106" i="38"/>
  <c r="E36" i="38"/>
  <c r="D78" i="38"/>
  <c r="C82" i="38"/>
  <c r="C90" i="38"/>
  <c r="C62" i="38"/>
  <c r="C87" i="38"/>
  <c r="E115" i="38"/>
  <c r="C92" i="38"/>
  <c r="D93" i="38"/>
  <c r="C58" i="38"/>
  <c r="G65" i="38"/>
  <c r="E78" i="38"/>
  <c r="D46" i="38"/>
  <c r="C120" i="38"/>
  <c r="C78" i="38"/>
  <c r="C83" i="38"/>
  <c r="D117" i="38"/>
  <c r="E58" i="38"/>
  <c r="G56" i="38"/>
  <c r="D86" i="38"/>
  <c r="G52" i="38"/>
  <c r="G90" i="38"/>
  <c r="E102" i="38"/>
  <c r="E61" i="38"/>
  <c r="D53" i="38"/>
  <c r="E116" i="38"/>
  <c r="E54" i="38"/>
  <c r="E89" i="38"/>
  <c r="D98" i="38"/>
  <c r="C89" i="38"/>
  <c r="D102" i="38"/>
  <c r="E75" i="38"/>
  <c r="D54" i="38"/>
  <c r="D79" i="38"/>
  <c r="D37" i="38"/>
  <c r="G92" i="38"/>
  <c r="D95" i="38"/>
  <c r="G91" i="38"/>
  <c r="D60" i="38"/>
  <c r="C39" i="38"/>
  <c r="E65" i="38"/>
  <c r="G113" i="38"/>
  <c r="E67" i="38"/>
  <c r="G44" i="38"/>
  <c r="C73" i="38"/>
  <c r="G69" i="38"/>
  <c r="D66" i="38"/>
  <c r="D94" i="38"/>
  <c r="C84" i="38"/>
  <c r="D118" i="38"/>
  <c r="C104" i="38"/>
  <c r="D114" i="38"/>
  <c r="C65" i="38"/>
  <c r="G50" i="38"/>
  <c r="G70" i="38"/>
  <c r="C68" i="38"/>
  <c r="G54" i="38"/>
  <c r="G103" i="38"/>
  <c r="C43" i="38"/>
  <c r="E85" i="38"/>
  <c r="C100" i="38"/>
  <c r="C117" i="38"/>
  <c r="C53" i="38"/>
  <c r="C107" i="38"/>
  <c r="G111" i="38"/>
  <c r="G68" i="38"/>
  <c r="E104" i="38"/>
  <c r="C108" i="38"/>
  <c r="G75" i="38"/>
  <c r="E71" i="38"/>
  <c r="C116" i="38"/>
  <c r="D103" i="38"/>
  <c r="C101" i="38"/>
  <c r="C60" i="38"/>
  <c r="D33" i="38"/>
  <c r="C33" i="38"/>
  <c r="C76" i="38"/>
  <c r="D80" i="38"/>
  <c r="E114" i="38"/>
  <c r="E83" i="38"/>
  <c r="G96" i="38"/>
  <c r="C115" i="38"/>
  <c r="D35" i="38"/>
  <c r="C93" i="38"/>
  <c r="E44" i="38"/>
  <c r="G67" i="38"/>
  <c r="E56" i="38"/>
  <c r="E49" i="38"/>
  <c r="D108" i="38"/>
  <c r="D115" i="38"/>
  <c r="G89" i="38"/>
  <c r="D49" i="38"/>
  <c r="E64" i="38"/>
  <c r="C94" i="38"/>
  <c r="G108" i="38"/>
  <c r="C47" i="38"/>
  <c r="D100" i="38"/>
  <c r="G73" i="38"/>
  <c r="C102" i="38"/>
  <c r="D89" i="38"/>
  <c r="D71" i="38"/>
  <c r="E108" i="38"/>
  <c r="D90" i="38"/>
  <c r="D62" i="38"/>
  <c r="G37" i="38"/>
  <c r="D51" i="38"/>
  <c r="C111" i="38"/>
  <c r="E112" i="38"/>
  <c r="D55" i="38"/>
  <c r="D65" i="38"/>
  <c r="E88" i="38"/>
  <c r="G101" i="38"/>
  <c r="D42" i="38"/>
  <c r="C61" i="38"/>
  <c r="C119" i="38"/>
  <c r="E60" i="38"/>
  <c r="E106" i="38"/>
  <c r="E57" i="38"/>
  <c r="E40" i="38"/>
  <c r="D99" i="38"/>
  <c r="G74" i="38"/>
  <c r="G48" i="38"/>
  <c r="G51" i="38"/>
  <c r="D110" i="38"/>
  <c r="D50" i="38"/>
  <c r="G83" i="38"/>
  <c r="C41" i="38"/>
  <c r="D57" i="38"/>
  <c r="C74" i="38"/>
  <c r="E51" i="38"/>
  <c r="D72" i="38"/>
  <c r="C52" i="38"/>
  <c r="E109" i="38"/>
  <c r="C70" i="38"/>
  <c r="E47" i="38"/>
  <c r="D75" i="38"/>
  <c r="D97" i="38"/>
  <c r="E45" i="38"/>
  <c r="G40" i="38"/>
  <c r="E37" i="38"/>
  <c r="E96" i="38"/>
  <c r="E69" i="38"/>
  <c r="C49" i="38"/>
  <c r="D58" i="38"/>
  <c r="E59" i="38"/>
  <c r="G59" i="38"/>
  <c r="E70" i="38"/>
  <c r="C77" i="38"/>
  <c r="E97" i="38"/>
  <c r="G80" i="38"/>
  <c r="G87" i="38"/>
  <c r="D67" i="38"/>
  <c r="E103" i="38"/>
  <c r="C69" i="38"/>
  <c r="E90" i="38"/>
  <c r="C37" i="38"/>
  <c r="E38" i="38"/>
  <c r="C56" i="38"/>
  <c r="D59" i="38"/>
  <c r="E82" i="38"/>
  <c r="E62" i="38"/>
  <c r="D73" i="38"/>
  <c r="G112" i="38"/>
  <c r="C98" i="38"/>
  <c r="G77" i="38"/>
  <c r="C55" i="38"/>
  <c r="C113" i="38"/>
  <c r="D111" i="38"/>
  <c r="C42" i="38"/>
  <c r="G55" i="38"/>
  <c r="D82" i="38"/>
  <c r="C51" i="38"/>
  <c r="C66" i="38"/>
  <c r="G117" i="38"/>
  <c r="E92" i="38"/>
  <c r="G39" i="38"/>
  <c r="D43" i="38"/>
  <c r="G76" i="38"/>
  <c r="E80" i="38"/>
  <c r="C59" i="38"/>
  <c r="G71" i="38"/>
  <c r="G58" i="38"/>
  <c r="D61" i="38"/>
  <c r="D74" i="38"/>
  <c r="E35" i="38"/>
  <c r="D113" i="38"/>
  <c r="C86" i="38"/>
  <c r="G36" i="38"/>
  <c r="D107" i="38"/>
  <c r="C40" i="38"/>
  <c r="D120" i="38"/>
  <c r="D119" i="38"/>
  <c r="G98" i="38"/>
  <c r="E66" i="38"/>
  <c r="C88" i="38"/>
  <c r="D83" i="38"/>
  <c r="G107" i="38"/>
  <c r="G116" i="38"/>
  <c r="D116" i="38"/>
  <c r="E87" i="38"/>
  <c r="C80" i="38"/>
  <c r="C118" i="38"/>
  <c r="G86" i="38"/>
  <c r="D69" i="38"/>
  <c r="G38" i="38"/>
  <c r="C36" i="38"/>
  <c r="E48" i="38"/>
  <c r="D64" i="38"/>
  <c r="C67" i="38"/>
  <c r="D48" i="38"/>
  <c r="G106" i="38"/>
  <c r="G41" i="38"/>
  <c r="D39" i="38"/>
  <c r="G120" i="38"/>
  <c r="G104" i="38"/>
  <c r="E53" i="38"/>
  <c r="C95" i="38"/>
  <c r="G99" i="38"/>
  <c r="C48" i="38"/>
  <c r="D88" i="38"/>
  <c r="E99" i="38"/>
  <c r="D76" i="38"/>
  <c r="E118" i="38"/>
  <c r="G100" i="38"/>
  <c r="G42" i="38"/>
  <c r="C63" i="38"/>
  <c r="E113" i="38"/>
  <c r="E93" i="38"/>
  <c r="G85" i="38"/>
  <c r="G82" i="38"/>
  <c r="E43" i="38"/>
  <c r="G115" i="38"/>
  <c r="G64" i="38"/>
  <c r="E76" i="38"/>
  <c r="G119" i="38"/>
  <c r="E81" i="38"/>
  <c r="E107" i="38"/>
  <c r="E86" i="38"/>
  <c r="G81" i="38"/>
  <c r="C106" i="38"/>
  <c r="G63" i="38"/>
  <c r="G60" i="38"/>
  <c r="G46" i="38"/>
  <c r="E117" i="38"/>
  <c r="G93" i="38"/>
  <c r="E111" i="38"/>
  <c r="D112" i="38"/>
  <c r="D41" i="38"/>
  <c r="E94" i="38"/>
  <c r="E105" i="38"/>
  <c r="D68" i="38"/>
  <c r="E63" i="38"/>
  <c r="D105" i="38"/>
  <c r="E39" i="38"/>
  <c r="C38" i="38"/>
  <c r="C50" i="38"/>
  <c r="C103" i="38"/>
  <c r="E120" i="38"/>
  <c r="C85" i="38"/>
  <c r="G88" i="38"/>
  <c r="G105" i="38"/>
  <c r="C110" i="38"/>
  <c r="D85" i="38"/>
  <c r="D56" i="38"/>
  <c r="E74" i="38"/>
  <c r="C54" i="38"/>
  <c r="C96" i="38"/>
  <c r="D81" i="38"/>
  <c r="G94" i="38"/>
  <c r="G57" i="38"/>
  <c r="E101" i="38"/>
  <c r="G35" i="38"/>
  <c r="D70" i="38"/>
  <c r="E42" i="38"/>
  <c r="C99" i="38"/>
  <c r="E79" i="38"/>
  <c r="C79" i="38"/>
  <c r="G53" i="38"/>
  <c r="E73" i="38"/>
  <c r="G84" i="38"/>
  <c r="E68" i="38"/>
  <c r="G49" i="38"/>
  <c r="C114" i="38"/>
  <c r="E52" i="38"/>
  <c r="C72" i="38"/>
  <c r="C71" i="38"/>
  <c r="D52" i="38"/>
  <c r="D91" i="38"/>
  <c r="D63" i="38"/>
  <c r="D40" i="38"/>
  <c r="C64" i="38"/>
  <c r="C45" i="38"/>
  <c r="G79" i="38"/>
  <c r="D109" i="38"/>
  <c r="E50" i="38"/>
  <c r="E84" i="38"/>
  <c r="D45" i="38"/>
  <c r="D44" i="38"/>
  <c r="E46" i="38"/>
  <c r="E77" i="38"/>
  <c r="C81" i="38"/>
  <c r="D92" i="38"/>
  <c r="G47" i="38"/>
  <c r="C57" i="38"/>
  <c r="G102" i="38"/>
  <c r="D96" i="38"/>
  <c r="E91" i="38"/>
  <c r="C97" i="38"/>
  <c r="E100" i="38"/>
  <c r="E55" i="38"/>
  <c r="D36" i="38"/>
  <c r="E110" i="38"/>
  <c r="C44" i="38"/>
  <c r="C46" i="38"/>
  <c r="C105" i="38"/>
  <c r="C112" i="38"/>
  <c r="G118" i="38"/>
  <c r="C35" i="38"/>
  <c r="G114" i="38"/>
  <c r="C109" i="38"/>
  <c r="E119" i="38"/>
  <c r="G45" i="38"/>
  <c r="G97" i="38"/>
  <c r="G62" i="38"/>
  <c r="G66" i="38"/>
  <c r="G61" i="38"/>
  <c r="D101" i="38"/>
  <c r="D87" i="38"/>
  <c r="D47" i="38"/>
  <c r="D38" i="38"/>
  <c r="C75" i="38"/>
  <c r="E72" i="38"/>
  <c r="E95" i="38"/>
  <c r="E60" i="26"/>
  <c r="F60" i="26"/>
  <c r="J60" i="26"/>
  <c r="H60" i="26"/>
  <c r="G60" i="26"/>
  <c r="C60" i="26"/>
  <c r="I60" i="26"/>
  <c r="D60" i="26"/>
  <c r="B59" i="26"/>
  <c r="A61" i="26"/>
  <c r="B61" i="26" s="1"/>
  <c r="I61" i="26" s="1"/>
  <c r="F56" i="49"/>
  <c r="G56" i="49"/>
  <c r="J56" i="49"/>
  <c r="L56" i="49"/>
  <c r="H56" i="49"/>
  <c r="E56" i="49"/>
  <c r="I56" i="49"/>
  <c r="C56" i="49"/>
  <c r="D56" i="49"/>
  <c r="K56" i="49"/>
  <c r="B57" i="49"/>
  <c r="A58" i="49"/>
  <c r="A56" i="32"/>
  <c r="B55" i="32"/>
  <c r="A59" i="27"/>
  <c r="B58" i="27"/>
  <c r="B58" i="2"/>
  <c r="A59" i="2"/>
  <c r="AB56" i="27"/>
  <c r="U56" i="27"/>
  <c r="AI56" i="27"/>
  <c r="AE56" i="2"/>
  <c r="R56" i="2"/>
  <c r="E57" i="2"/>
  <c r="J57" i="2"/>
  <c r="G57" i="2"/>
  <c r="D57" i="2"/>
  <c r="C57" i="2"/>
  <c r="F57" i="2"/>
  <c r="I57" i="2"/>
  <c r="H57" i="2"/>
  <c r="K57" i="2"/>
  <c r="O57" i="27"/>
  <c r="E57" i="27"/>
  <c r="H57" i="27"/>
  <c r="P57" i="27"/>
  <c r="M57" i="27"/>
  <c r="F57" i="27"/>
  <c r="J57" i="27"/>
  <c r="C57" i="27"/>
  <c r="G57" i="27"/>
  <c r="K57" i="27"/>
  <c r="N57" i="27"/>
  <c r="I57" i="27"/>
  <c r="D57" i="27"/>
  <c r="L57" i="27"/>
  <c r="K258" i="36" l="1"/>
  <c r="M73" i="57"/>
  <c r="G73" i="57"/>
  <c r="I158" i="37"/>
  <c r="H158" i="37"/>
  <c r="H123" i="37"/>
  <c r="I123" i="37"/>
  <c r="N152" i="37"/>
  <c r="O152" i="37"/>
  <c r="H140" i="37"/>
  <c r="I140" i="37"/>
  <c r="H107" i="37"/>
  <c r="I107" i="37"/>
  <c r="O116" i="37"/>
  <c r="N116" i="37"/>
  <c r="H122" i="37"/>
  <c r="I122" i="37"/>
  <c r="I165" i="37"/>
  <c r="H165" i="37"/>
  <c r="O115" i="37"/>
  <c r="N115" i="37"/>
  <c r="I171" i="37"/>
  <c r="H171" i="37"/>
  <c r="I124" i="37"/>
  <c r="H124" i="37"/>
  <c r="H176" i="37"/>
  <c r="I176" i="37"/>
  <c r="H161" i="37"/>
  <c r="I161" i="37"/>
  <c r="I108" i="37"/>
  <c r="H108" i="37"/>
  <c r="H147" i="37"/>
  <c r="I147" i="37"/>
  <c r="M74" i="57"/>
  <c r="M103" i="57" s="1"/>
  <c r="M115" i="57" s="1"/>
  <c r="J103" i="57"/>
  <c r="O182" i="37"/>
  <c r="N182" i="37"/>
  <c r="N178" i="37"/>
  <c r="O178" i="37"/>
  <c r="O180" i="37"/>
  <c r="N180" i="37"/>
  <c r="O131" i="37"/>
  <c r="N131" i="37"/>
  <c r="O99" i="37"/>
  <c r="N99" i="37"/>
  <c r="I163" i="37"/>
  <c r="H163" i="37"/>
  <c r="O157" i="37"/>
  <c r="N157" i="37"/>
  <c r="H142" i="37"/>
  <c r="I142" i="37"/>
  <c r="I132" i="37"/>
  <c r="H132" i="37"/>
  <c r="H145" i="37"/>
  <c r="I145" i="37"/>
  <c r="I121" i="37"/>
  <c r="H121" i="37"/>
  <c r="O114" i="37"/>
  <c r="N114" i="37"/>
  <c r="I155" i="37"/>
  <c r="H155" i="37"/>
  <c r="I153" i="37"/>
  <c r="H153" i="37"/>
  <c r="H92" i="37"/>
  <c r="I92" i="37"/>
  <c r="N101" i="37"/>
  <c r="O101" i="37"/>
  <c r="O109" i="37"/>
  <c r="N109" i="37"/>
  <c r="J143" i="57"/>
  <c r="K115" i="57"/>
  <c r="G200" i="36"/>
  <c r="M200" i="36"/>
  <c r="N51" i="46"/>
  <c r="L51" i="46"/>
  <c r="K51" i="46"/>
  <c r="J51" i="46"/>
  <c r="I51" i="46"/>
  <c r="H51" i="46"/>
  <c r="G51" i="46"/>
  <c r="F51" i="46"/>
  <c r="E51" i="46"/>
  <c r="E258" i="36"/>
  <c r="O151" i="37"/>
  <c r="N151" i="37"/>
  <c r="O175" i="37"/>
  <c r="N175" i="37"/>
  <c r="H148" i="37"/>
  <c r="I148" i="37"/>
  <c r="I116" i="37"/>
  <c r="H116" i="37"/>
  <c r="I114" i="37"/>
  <c r="H114" i="37"/>
  <c r="H181" i="37"/>
  <c r="I181" i="37"/>
  <c r="N100" i="37"/>
  <c r="O100" i="37"/>
  <c r="N158" i="37"/>
  <c r="O158" i="37"/>
  <c r="O153" i="37"/>
  <c r="N153" i="37"/>
  <c r="H166" i="37"/>
  <c r="I166" i="37"/>
  <c r="N126" i="37"/>
  <c r="O126" i="37"/>
  <c r="O155" i="37"/>
  <c r="N155" i="37"/>
  <c r="N136" i="37"/>
  <c r="O136" i="37"/>
  <c r="N137" i="37"/>
  <c r="O137" i="37"/>
  <c r="H141" i="37"/>
  <c r="I141" i="37"/>
  <c r="N176" i="37"/>
  <c r="O176" i="37"/>
  <c r="I162" i="37"/>
  <c r="H162" i="37"/>
  <c r="H152" i="37"/>
  <c r="I152" i="37"/>
  <c r="I91" i="37"/>
  <c r="H91" i="37"/>
  <c r="I120" i="37"/>
  <c r="H120" i="37"/>
  <c r="N127" i="37"/>
  <c r="O127" i="37"/>
  <c r="O94" i="37"/>
  <c r="N94" i="37"/>
  <c r="H115" i="37"/>
  <c r="I115" i="37"/>
  <c r="O163" i="37"/>
  <c r="N163" i="37"/>
  <c r="I146" i="37"/>
  <c r="H146" i="37"/>
  <c r="O165" i="37"/>
  <c r="N165" i="37"/>
  <c r="I113" i="37"/>
  <c r="H113" i="37"/>
  <c r="N161" i="37"/>
  <c r="O161" i="37"/>
  <c r="N105" i="37"/>
  <c r="O105" i="37"/>
  <c r="N121" i="37"/>
  <c r="O121" i="37"/>
  <c r="H143" i="37"/>
  <c r="I143" i="37"/>
  <c r="N174" i="37"/>
  <c r="O174" i="37"/>
  <c r="I180" i="37"/>
  <c r="H180" i="37"/>
  <c r="H156" i="37"/>
  <c r="I156" i="37"/>
  <c r="O162" i="37"/>
  <c r="N162" i="37"/>
  <c r="H149" i="37"/>
  <c r="I149" i="37"/>
  <c r="I101" i="37"/>
  <c r="H101" i="37"/>
  <c r="N177" i="37"/>
  <c r="O177" i="37"/>
  <c r="I151" i="37"/>
  <c r="H151" i="37"/>
  <c r="H150" i="37"/>
  <c r="I150" i="37"/>
  <c r="N170" i="37"/>
  <c r="O170" i="37"/>
  <c r="I131" i="37"/>
  <c r="H131" i="37"/>
  <c r="O108" i="37"/>
  <c r="N108" i="37"/>
  <c r="N118" i="37"/>
  <c r="O118" i="37"/>
  <c r="O164" i="37"/>
  <c r="N164" i="37"/>
  <c r="N133" i="37"/>
  <c r="O133" i="37"/>
  <c r="O172" i="37"/>
  <c r="N172" i="37"/>
  <c r="N90" i="37"/>
  <c r="O90" i="37"/>
  <c r="L199" i="37"/>
  <c r="H111" i="37"/>
  <c r="I111" i="37"/>
  <c r="I105" i="37"/>
  <c r="H105" i="37"/>
  <c r="N171" i="37"/>
  <c r="O171" i="37"/>
  <c r="N142" i="37"/>
  <c r="O142" i="37"/>
  <c r="H137" i="37"/>
  <c r="I137" i="37"/>
  <c r="I154" i="37"/>
  <c r="H154" i="37"/>
  <c r="O123" i="37"/>
  <c r="N123" i="37"/>
  <c r="I93" i="37"/>
  <c r="H93" i="37"/>
  <c r="O143" i="37"/>
  <c r="N143" i="37"/>
  <c r="G74" i="57"/>
  <c r="G103" i="57" s="1"/>
  <c r="G115" i="57" s="1"/>
  <c r="D103" i="57"/>
  <c r="C53" i="46"/>
  <c r="D52" i="46"/>
  <c r="H167" i="37"/>
  <c r="I167" i="37"/>
  <c r="I110" i="37"/>
  <c r="H110" i="37"/>
  <c r="I119" i="37"/>
  <c r="H119" i="37"/>
  <c r="N149" i="37"/>
  <c r="O149" i="37"/>
  <c r="H133" i="37"/>
  <c r="I133" i="37"/>
  <c r="I128" i="37"/>
  <c r="H128" i="37"/>
  <c r="O145" i="37"/>
  <c r="N145" i="37"/>
  <c r="I106" i="37"/>
  <c r="H106" i="37"/>
  <c r="O110" i="37"/>
  <c r="N110" i="37"/>
  <c r="H112" i="37"/>
  <c r="I112" i="37"/>
  <c r="N103" i="37"/>
  <c r="O103" i="37"/>
  <c r="I173" i="37"/>
  <c r="H173" i="37"/>
  <c r="N91" i="37"/>
  <c r="O91" i="37"/>
  <c r="N119" i="37"/>
  <c r="O119" i="37"/>
  <c r="O168" i="37"/>
  <c r="N168" i="37"/>
  <c r="N148" i="37"/>
  <c r="O148" i="37"/>
  <c r="N132" i="37"/>
  <c r="O132" i="37"/>
  <c r="N141" i="37"/>
  <c r="O141" i="37"/>
  <c r="I177" i="37"/>
  <c r="H177" i="37"/>
  <c r="N147" i="37"/>
  <c r="O147" i="37"/>
  <c r="O134" i="37"/>
  <c r="N134" i="37"/>
  <c r="I103" i="37"/>
  <c r="H103" i="37"/>
  <c r="H159" i="37"/>
  <c r="I159" i="37"/>
  <c r="H126" i="37"/>
  <c r="I126" i="37"/>
  <c r="I160" i="37"/>
  <c r="H160" i="37"/>
  <c r="N122" i="37"/>
  <c r="O122" i="37"/>
  <c r="I125" i="37"/>
  <c r="H125" i="37"/>
  <c r="H129" i="37"/>
  <c r="I129" i="37"/>
  <c r="N154" i="37"/>
  <c r="O154" i="37"/>
  <c r="O128" i="37"/>
  <c r="N128" i="37"/>
  <c r="N107" i="37"/>
  <c r="O107" i="37"/>
  <c r="O179" i="37"/>
  <c r="N179" i="37"/>
  <c r="O144" i="37"/>
  <c r="N144" i="37"/>
  <c r="H118" i="37"/>
  <c r="I118" i="37"/>
  <c r="H182" i="37"/>
  <c r="I182" i="37"/>
  <c r="E199" i="37"/>
  <c r="I104" i="37"/>
  <c r="H104" i="37"/>
  <c r="O111" i="37"/>
  <c r="N111" i="37"/>
  <c r="I102" i="37"/>
  <c r="H102" i="37"/>
  <c r="N98" i="37"/>
  <c r="O98" i="37"/>
  <c r="N120" i="37"/>
  <c r="O120" i="37"/>
  <c r="N95" i="37"/>
  <c r="O95" i="37"/>
  <c r="H134" i="37"/>
  <c r="I134" i="37"/>
  <c r="I130" i="37"/>
  <c r="H130" i="37"/>
  <c r="I138" i="37"/>
  <c r="H138" i="37"/>
  <c r="I117" i="37"/>
  <c r="H117" i="37"/>
  <c r="O150" i="37"/>
  <c r="N150" i="37"/>
  <c r="I96" i="37"/>
  <c r="H96" i="37"/>
  <c r="H94" i="37"/>
  <c r="I94" i="37"/>
  <c r="O146" i="37"/>
  <c r="N146" i="37"/>
  <c r="O160" i="37"/>
  <c r="N160" i="37"/>
  <c r="N96" i="37"/>
  <c r="O96" i="37"/>
  <c r="I95" i="37"/>
  <c r="H95" i="37"/>
  <c r="I127" i="37"/>
  <c r="H127" i="37"/>
  <c r="N138" i="37"/>
  <c r="O138" i="37"/>
  <c r="H168" i="37"/>
  <c r="I168" i="37"/>
  <c r="E137" i="38"/>
  <c r="E193" i="38" s="1"/>
  <c r="G137" i="38"/>
  <c r="G193" i="38" s="1"/>
  <c r="F103" i="57"/>
  <c r="H139" i="37"/>
  <c r="I139" i="37"/>
  <c r="I135" i="37"/>
  <c r="H135" i="37"/>
  <c r="N117" i="37"/>
  <c r="O117" i="37"/>
  <c r="I179" i="37"/>
  <c r="H179" i="37"/>
  <c r="O113" i="37"/>
  <c r="N113" i="37"/>
  <c r="H178" i="37"/>
  <c r="I178" i="37"/>
  <c r="O93" i="37"/>
  <c r="N93" i="37"/>
  <c r="I144" i="37"/>
  <c r="H144" i="37"/>
  <c r="H100" i="37"/>
  <c r="I100" i="37"/>
  <c r="O140" i="37"/>
  <c r="N140" i="37"/>
  <c r="O130" i="37"/>
  <c r="N130" i="37"/>
  <c r="H174" i="37"/>
  <c r="I174" i="37"/>
  <c r="I157" i="37"/>
  <c r="H157" i="37"/>
  <c r="O173" i="37"/>
  <c r="N173" i="37"/>
  <c r="O181" i="37"/>
  <c r="N181" i="37"/>
  <c r="H99" i="37"/>
  <c r="I99" i="37"/>
  <c r="N139" i="37"/>
  <c r="O139" i="37"/>
  <c r="H97" i="37"/>
  <c r="I97" i="37"/>
  <c r="N102" i="37"/>
  <c r="O102" i="37"/>
  <c r="N124" i="37"/>
  <c r="O124" i="37"/>
  <c r="O104" i="37"/>
  <c r="N104" i="37"/>
  <c r="H169" i="37"/>
  <c r="I169" i="37"/>
  <c r="O112" i="37"/>
  <c r="N112" i="37"/>
  <c r="I109" i="37"/>
  <c r="H109" i="37"/>
  <c r="N129" i="37"/>
  <c r="O129" i="37"/>
  <c r="H175" i="37"/>
  <c r="I175" i="37"/>
  <c r="N106" i="37"/>
  <c r="O106" i="37"/>
  <c r="I136" i="37"/>
  <c r="H136" i="37"/>
  <c r="O97" i="37"/>
  <c r="N97" i="37"/>
  <c r="H172" i="37"/>
  <c r="I172" i="37"/>
  <c r="N135" i="37"/>
  <c r="O135" i="37"/>
  <c r="I98" i="37"/>
  <c r="H98" i="37"/>
  <c r="O166" i="37"/>
  <c r="N166" i="37"/>
  <c r="O169" i="37"/>
  <c r="N169" i="37"/>
  <c r="N125" i="37"/>
  <c r="O125" i="37"/>
  <c r="N167" i="37"/>
  <c r="O167" i="37"/>
  <c r="O159" i="37"/>
  <c r="N159" i="37"/>
  <c r="O92" i="37"/>
  <c r="N92" i="37"/>
  <c r="N156" i="37"/>
  <c r="O156" i="37"/>
  <c r="I164" i="37"/>
  <c r="H164" i="37"/>
  <c r="I170" i="37"/>
  <c r="H170" i="37"/>
  <c r="D61" i="26"/>
  <c r="C61" i="26"/>
  <c r="A62" i="26"/>
  <c r="B62" i="26" s="1"/>
  <c r="E62" i="26" s="1"/>
  <c r="E61" i="26"/>
  <c r="G61" i="26"/>
  <c r="F61" i="26"/>
  <c r="H61" i="26"/>
  <c r="J61" i="26"/>
  <c r="J59" i="26"/>
  <c r="H59" i="26"/>
  <c r="I59" i="26"/>
  <c r="F59" i="26"/>
  <c r="E59" i="26"/>
  <c r="G59" i="26"/>
  <c r="C59" i="26"/>
  <c r="D59" i="26"/>
  <c r="B58" i="49"/>
  <c r="A59" i="49"/>
  <c r="E57" i="49"/>
  <c r="C57" i="49"/>
  <c r="G57" i="49"/>
  <c r="F57" i="49"/>
  <c r="J57" i="49"/>
  <c r="K57" i="49"/>
  <c r="H57" i="49"/>
  <c r="I57" i="49"/>
  <c r="L57" i="49"/>
  <c r="D57" i="49"/>
  <c r="B59" i="2"/>
  <c r="A60" i="2"/>
  <c r="E58" i="27"/>
  <c r="M58" i="27"/>
  <c r="P58" i="27"/>
  <c r="F58" i="27"/>
  <c r="J58" i="27"/>
  <c r="G58" i="27"/>
  <c r="K58" i="27"/>
  <c r="O58" i="27"/>
  <c r="H58" i="27"/>
  <c r="I58" i="27"/>
  <c r="D58" i="27"/>
  <c r="L58" i="27"/>
  <c r="C58" i="27"/>
  <c r="N58" i="27"/>
  <c r="AE57" i="2"/>
  <c r="R57" i="2"/>
  <c r="F58" i="2"/>
  <c r="H58" i="2"/>
  <c r="I58" i="2"/>
  <c r="K58" i="2"/>
  <c r="C58" i="2"/>
  <c r="E58" i="2"/>
  <c r="D58" i="2"/>
  <c r="J58" i="2"/>
  <c r="G58" i="2"/>
  <c r="B59" i="27"/>
  <c r="A60" i="27"/>
  <c r="AB57" i="27"/>
  <c r="AI57" i="27"/>
  <c r="U57" i="27"/>
  <c r="A57" i="32"/>
  <c r="B56" i="32"/>
  <c r="H199" i="37" l="1"/>
  <c r="J115" i="57"/>
  <c r="G143" i="57"/>
  <c r="N52" i="46"/>
  <c r="L52" i="46"/>
  <c r="K52" i="46"/>
  <c r="G52" i="46"/>
  <c r="F52" i="46"/>
  <c r="J52" i="46"/>
  <c r="I52" i="46"/>
  <c r="H52" i="46"/>
  <c r="E52" i="46"/>
  <c r="I199" i="37"/>
  <c r="E257" i="37"/>
  <c r="C54" i="46"/>
  <c r="D53" i="46"/>
  <c r="N199" i="37"/>
  <c r="F115" i="57"/>
  <c r="J141" i="57"/>
  <c r="D115" i="57"/>
  <c r="G141" i="57"/>
  <c r="O199" i="37"/>
  <c r="L257" i="37"/>
  <c r="I62" i="26"/>
  <c r="J62" i="26"/>
  <c r="C62" i="26"/>
  <c r="D62" i="26"/>
  <c r="F62" i="26"/>
  <c r="G62" i="26"/>
  <c r="H62" i="26"/>
  <c r="A63" i="26"/>
  <c r="B63" i="26" s="1"/>
  <c r="E63" i="26" s="1"/>
  <c r="A60" i="49"/>
  <c r="B59" i="49"/>
  <c r="K58" i="49"/>
  <c r="C58" i="49"/>
  <c r="G58" i="49"/>
  <c r="I58" i="49"/>
  <c r="J58" i="49"/>
  <c r="D58" i="49"/>
  <c r="L58" i="49"/>
  <c r="H58" i="49"/>
  <c r="E58" i="49"/>
  <c r="F58" i="49"/>
  <c r="B60" i="2"/>
  <c r="A61" i="2"/>
  <c r="B57" i="32"/>
  <c r="A58" i="32"/>
  <c r="A61" i="27"/>
  <c r="B60" i="27"/>
  <c r="J59" i="2"/>
  <c r="K59" i="2"/>
  <c r="F59" i="2"/>
  <c r="C59" i="2"/>
  <c r="H59" i="2"/>
  <c r="E59" i="2"/>
  <c r="I59" i="2"/>
  <c r="D59" i="2"/>
  <c r="G59" i="2"/>
  <c r="P59" i="27"/>
  <c r="E59" i="27"/>
  <c r="L59" i="27"/>
  <c r="N59" i="27"/>
  <c r="C59" i="27"/>
  <c r="K59" i="27"/>
  <c r="I59" i="27"/>
  <c r="O59" i="27"/>
  <c r="J59" i="27"/>
  <c r="G59" i="27"/>
  <c r="H59" i="27"/>
  <c r="D59" i="27"/>
  <c r="M59" i="27"/>
  <c r="F59" i="27"/>
  <c r="AB58" i="27"/>
  <c r="AI58" i="27"/>
  <c r="U58" i="27"/>
  <c r="R58" i="2"/>
  <c r="AE58" i="2"/>
  <c r="K53" i="46" l="1"/>
  <c r="N53" i="46"/>
  <c r="J53" i="46"/>
  <c r="I53" i="46"/>
  <c r="H53" i="46"/>
  <c r="G53" i="46"/>
  <c r="L53" i="46"/>
  <c r="E53" i="46"/>
  <c r="F53" i="46"/>
  <c r="C55" i="46"/>
  <c r="D54" i="46"/>
  <c r="I63" i="26"/>
  <c r="D63" i="26"/>
  <c r="G63" i="26"/>
  <c r="C63" i="26"/>
  <c r="A64" i="26"/>
  <c r="B64" i="26" s="1"/>
  <c r="I64" i="26" s="1"/>
  <c r="H63" i="26"/>
  <c r="J63" i="26"/>
  <c r="F63" i="26"/>
  <c r="F59" i="49"/>
  <c r="L59" i="49"/>
  <c r="D59" i="49"/>
  <c r="E59" i="49"/>
  <c r="I59" i="49"/>
  <c r="J59" i="49"/>
  <c r="K59" i="49"/>
  <c r="H59" i="49"/>
  <c r="C59" i="49"/>
  <c r="G59" i="49"/>
  <c r="A61" i="49"/>
  <c r="B60" i="49"/>
  <c r="B61" i="2"/>
  <c r="A62" i="2"/>
  <c r="R59" i="2"/>
  <c r="AE59" i="2"/>
  <c r="B61" i="27"/>
  <c r="A62" i="27"/>
  <c r="D60" i="2"/>
  <c r="F60" i="2"/>
  <c r="K60" i="2"/>
  <c r="J60" i="2"/>
  <c r="E60" i="2"/>
  <c r="G60" i="2"/>
  <c r="C60" i="2"/>
  <c r="H60" i="2"/>
  <c r="I60" i="2"/>
  <c r="B58" i="32"/>
  <c r="A59" i="32"/>
  <c r="N60" i="27"/>
  <c r="C60" i="27"/>
  <c r="P60" i="27"/>
  <c r="J60" i="27"/>
  <c r="K60" i="27"/>
  <c r="F60" i="27"/>
  <c r="G60" i="27"/>
  <c r="O60" i="27"/>
  <c r="L60" i="27"/>
  <c r="E60" i="27"/>
  <c r="H60" i="27"/>
  <c r="M60" i="27"/>
  <c r="I60" i="27"/>
  <c r="D60" i="27"/>
  <c r="U59" i="27"/>
  <c r="AI59" i="27"/>
  <c r="AB59" i="27"/>
  <c r="N54" i="46" l="1"/>
  <c r="L54" i="46"/>
  <c r="J54" i="46"/>
  <c r="I54" i="46"/>
  <c r="H54" i="46"/>
  <c r="G54" i="46"/>
  <c r="F54" i="46"/>
  <c r="K54" i="46"/>
  <c r="E54" i="46"/>
  <c r="C56" i="46"/>
  <c r="D55" i="46"/>
  <c r="J64" i="26"/>
  <c r="F64" i="26"/>
  <c r="A65" i="26"/>
  <c r="B65" i="26" s="1"/>
  <c r="C65" i="26" s="1"/>
  <c r="G64" i="26"/>
  <c r="D64" i="26"/>
  <c r="C64" i="26"/>
  <c r="H64" i="26"/>
  <c r="E64" i="26"/>
  <c r="L60" i="49"/>
  <c r="D60" i="49"/>
  <c r="C60" i="49"/>
  <c r="G60" i="49"/>
  <c r="H60" i="49"/>
  <c r="F60" i="49"/>
  <c r="I60" i="49"/>
  <c r="E60" i="49"/>
  <c r="J60" i="49"/>
  <c r="K60" i="49"/>
  <c r="A62" i="49"/>
  <c r="B61" i="49"/>
  <c r="AB60" i="27"/>
  <c r="U60" i="27"/>
  <c r="AI60" i="27"/>
  <c r="B62" i="27"/>
  <c r="A63" i="27"/>
  <c r="N61" i="27"/>
  <c r="C61" i="27"/>
  <c r="D61" i="27"/>
  <c r="L61" i="27"/>
  <c r="O61" i="27"/>
  <c r="I61" i="27"/>
  <c r="M61" i="27"/>
  <c r="E61" i="27"/>
  <c r="H61" i="27"/>
  <c r="F61" i="27"/>
  <c r="J61" i="27"/>
  <c r="P61" i="27"/>
  <c r="G61" i="27"/>
  <c r="K61" i="27"/>
  <c r="R60" i="2"/>
  <c r="AE60" i="2"/>
  <c r="B62" i="2"/>
  <c r="A63" i="2"/>
  <c r="B59" i="32"/>
  <c r="A60" i="32"/>
  <c r="C61" i="2"/>
  <c r="G61" i="2"/>
  <c r="I61" i="2"/>
  <c r="H61" i="2"/>
  <c r="K61" i="2"/>
  <c r="J61" i="2"/>
  <c r="F61" i="2"/>
  <c r="E61" i="2"/>
  <c r="D61" i="2"/>
  <c r="N55" i="46" l="1"/>
  <c r="L55" i="46"/>
  <c r="K55" i="46"/>
  <c r="J55" i="46"/>
  <c r="I55" i="46"/>
  <c r="H55" i="46"/>
  <c r="G55" i="46"/>
  <c r="F55" i="46"/>
  <c r="E55" i="46"/>
  <c r="C57" i="46"/>
  <c r="D56" i="46"/>
  <c r="A66" i="26"/>
  <c r="B66" i="26" s="1"/>
  <c r="G66" i="26" s="1"/>
  <c r="D65" i="26"/>
  <c r="E65" i="26"/>
  <c r="I65" i="26"/>
  <c r="A67" i="26"/>
  <c r="B67" i="26" s="1"/>
  <c r="H65" i="26"/>
  <c r="G65" i="26"/>
  <c r="J65" i="26"/>
  <c r="F65" i="26"/>
  <c r="F61" i="49"/>
  <c r="H61" i="49"/>
  <c r="E61" i="49"/>
  <c r="K61" i="49"/>
  <c r="D61" i="49"/>
  <c r="G61" i="49"/>
  <c r="I61" i="49"/>
  <c r="C61" i="49"/>
  <c r="J61" i="49"/>
  <c r="L61" i="49"/>
  <c r="A63" i="49"/>
  <c r="B62" i="49"/>
  <c r="E62" i="27"/>
  <c r="I62" i="27"/>
  <c r="M62" i="27"/>
  <c r="O62" i="27"/>
  <c r="J62" i="27"/>
  <c r="N62" i="27"/>
  <c r="G62" i="27"/>
  <c r="K62" i="27"/>
  <c r="H62" i="27"/>
  <c r="P62" i="27"/>
  <c r="C62" i="27"/>
  <c r="D62" i="27"/>
  <c r="L62" i="27"/>
  <c r="F62" i="27"/>
  <c r="B63" i="2"/>
  <c r="A64" i="2"/>
  <c r="A61" i="32"/>
  <c r="B60" i="32"/>
  <c r="R61" i="2"/>
  <c r="AE61" i="2"/>
  <c r="C62" i="2"/>
  <c r="F62" i="2"/>
  <c r="E62" i="2"/>
  <c r="I62" i="2"/>
  <c r="K62" i="2"/>
  <c r="G62" i="2"/>
  <c r="D62" i="2"/>
  <c r="H62" i="2"/>
  <c r="J62" i="2"/>
  <c r="AB61" i="27"/>
  <c r="U61" i="27"/>
  <c r="AI61" i="27"/>
  <c r="B63" i="27"/>
  <c r="A64" i="27"/>
  <c r="N56" i="46" l="1"/>
  <c r="L56" i="46"/>
  <c r="K56" i="46"/>
  <c r="J56" i="46"/>
  <c r="I56" i="46"/>
  <c r="H56" i="46"/>
  <c r="F56" i="46"/>
  <c r="E56" i="46"/>
  <c r="G56" i="46"/>
  <c r="C58" i="46"/>
  <c r="D57" i="46"/>
  <c r="H66" i="26"/>
  <c r="I66" i="26"/>
  <c r="A68" i="26"/>
  <c r="B68" i="26" s="1"/>
  <c r="J66" i="26"/>
  <c r="D66" i="26"/>
  <c r="C66" i="26"/>
  <c r="F66" i="26"/>
  <c r="E66" i="26"/>
  <c r="K62" i="49"/>
  <c r="D62" i="49"/>
  <c r="J62" i="49"/>
  <c r="C62" i="49"/>
  <c r="G62" i="49"/>
  <c r="I62" i="49"/>
  <c r="L62" i="49"/>
  <c r="H62" i="49"/>
  <c r="F62" i="49"/>
  <c r="E62" i="49"/>
  <c r="A64" i="49"/>
  <c r="B63" i="49"/>
  <c r="U62" i="27"/>
  <c r="AI62" i="27"/>
  <c r="AB62" i="27"/>
  <c r="I63" i="27"/>
  <c r="M63" i="27"/>
  <c r="O63" i="27"/>
  <c r="G63" i="27"/>
  <c r="F63" i="27"/>
  <c r="N63" i="27"/>
  <c r="D63" i="27"/>
  <c r="J63" i="27"/>
  <c r="P63" i="27"/>
  <c r="E63" i="27"/>
  <c r="H63" i="27"/>
  <c r="L63" i="27"/>
  <c r="C63" i="27"/>
  <c r="K63" i="27"/>
  <c r="J67" i="26"/>
  <c r="F67" i="26"/>
  <c r="C67" i="26"/>
  <c r="H67" i="26"/>
  <c r="G67" i="26"/>
  <c r="I67" i="26"/>
  <c r="D67" i="26"/>
  <c r="E67" i="26"/>
  <c r="R62" i="2"/>
  <c r="AE62" i="2"/>
  <c r="B64" i="2"/>
  <c r="A65" i="2"/>
  <c r="B64" i="27"/>
  <c r="A65" i="27"/>
  <c r="B61" i="32"/>
  <c r="A62" i="32"/>
  <c r="H63" i="2"/>
  <c r="K63" i="2"/>
  <c r="F63" i="2"/>
  <c r="J63" i="2"/>
  <c r="E63" i="2"/>
  <c r="G63" i="2"/>
  <c r="D63" i="2"/>
  <c r="C63" i="2"/>
  <c r="I63" i="2"/>
  <c r="N57" i="46" l="1"/>
  <c r="L57" i="46"/>
  <c r="K57" i="46"/>
  <c r="J57" i="46"/>
  <c r="I57" i="46"/>
  <c r="H57" i="46"/>
  <c r="G57" i="46"/>
  <c r="F57" i="46"/>
  <c r="E57" i="46"/>
  <c r="C59" i="46"/>
  <c r="D58" i="46"/>
  <c r="A69" i="26"/>
  <c r="A70" i="26" s="1"/>
  <c r="C63" i="49"/>
  <c r="F63" i="49"/>
  <c r="I63" i="49"/>
  <c r="G63" i="49"/>
  <c r="J63" i="49"/>
  <c r="E63" i="49"/>
  <c r="K63" i="49"/>
  <c r="H63" i="49"/>
  <c r="D63" i="49"/>
  <c r="L63" i="49"/>
  <c r="B64" i="49"/>
  <c r="A65" i="49"/>
  <c r="J64" i="27"/>
  <c r="M64" i="27"/>
  <c r="E64" i="27"/>
  <c r="C64" i="27"/>
  <c r="G64" i="27"/>
  <c r="K64" i="27"/>
  <c r="O64" i="27"/>
  <c r="D64" i="27"/>
  <c r="H64" i="27"/>
  <c r="L64" i="27"/>
  <c r="P64" i="27"/>
  <c r="F64" i="27"/>
  <c r="N64" i="27"/>
  <c r="I64" i="27"/>
  <c r="AE63" i="2"/>
  <c r="R63" i="2"/>
  <c r="B65" i="2"/>
  <c r="A66" i="2"/>
  <c r="AI63" i="27"/>
  <c r="AB63" i="27"/>
  <c r="U63" i="27"/>
  <c r="B65" i="27"/>
  <c r="A66" i="27"/>
  <c r="D64" i="2"/>
  <c r="C64" i="2"/>
  <c r="K64" i="2"/>
  <c r="G64" i="2"/>
  <c r="I64" i="2"/>
  <c r="F64" i="2"/>
  <c r="J64" i="2"/>
  <c r="H64" i="2"/>
  <c r="E64" i="2"/>
  <c r="A63" i="32"/>
  <c r="B62" i="32"/>
  <c r="G68" i="26"/>
  <c r="F68" i="26"/>
  <c r="E68" i="26"/>
  <c r="I68" i="26"/>
  <c r="H68" i="26"/>
  <c r="J68" i="26"/>
  <c r="D68" i="26"/>
  <c r="C68" i="26"/>
  <c r="N58" i="46" l="1"/>
  <c r="L58" i="46"/>
  <c r="K58" i="46"/>
  <c r="J58" i="46"/>
  <c r="I58" i="46"/>
  <c r="H58" i="46"/>
  <c r="G58" i="46"/>
  <c r="F58" i="46"/>
  <c r="E58" i="46"/>
  <c r="C60" i="46"/>
  <c r="D59" i="46"/>
  <c r="B69" i="26"/>
  <c r="D69" i="26" s="1"/>
  <c r="A66" i="49"/>
  <c r="B65" i="49"/>
  <c r="K64" i="49"/>
  <c r="I64" i="49"/>
  <c r="D64" i="49"/>
  <c r="H64" i="49"/>
  <c r="J64" i="49"/>
  <c r="C64" i="49"/>
  <c r="F64" i="49"/>
  <c r="G64" i="49"/>
  <c r="L64" i="49"/>
  <c r="E64" i="49"/>
  <c r="A64" i="32"/>
  <c r="B63" i="32"/>
  <c r="A67" i="27"/>
  <c r="B66" i="27"/>
  <c r="U64" i="27"/>
  <c r="AI64" i="27"/>
  <c r="AB64" i="27"/>
  <c r="B66" i="2"/>
  <c r="A67" i="2"/>
  <c r="B70" i="26"/>
  <c r="A71" i="26"/>
  <c r="F65" i="27"/>
  <c r="J65" i="27"/>
  <c r="I65" i="27"/>
  <c r="M65" i="27"/>
  <c r="G65" i="27"/>
  <c r="K65" i="27"/>
  <c r="E65" i="27"/>
  <c r="H65" i="27"/>
  <c r="D65" i="27"/>
  <c r="L65" i="27"/>
  <c r="C65" i="27"/>
  <c r="O65" i="27"/>
  <c r="N65" i="27"/>
  <c r="P65" i="27"/>
  <c r="E69" i="26"/>
  <c r="AE64" i="2"/>
  <c r="R64" i="2"/>
  <c r="K65" i="2"/>
  <c r="I65" i="2"/>
  <c r="F65" i="2"/>
  <c r="G65" i="2"/>
  <c r="D65" i="2"/>
  <c r="C65" i="2"/>
  <c r="J65" i="2"/>
  <c r="E65" i="2"/>
  <c r="H65" i="2"/>
  <c r="H69" i="26" l="1"/>
  <c r="J69" i="26"/>
  <c r="N59" i="46"/>
  <c r="L59" i="46"/>
  <c r="K59" i="46"/>
  <c r="J59" i="46"/>
  <c r="I59" i="46"/>
  <c r="H59" i="46"/>
  <c r="G59" i="46"/>
  <c r="F59" i="46"/>
  <c r="E59" i="46"/>
  <c r="C61" i="46"/>
  <c r="D60" i="46"/>
  <c r="F69" i="26"/>
  <c r="C69" i="26"/>
  <c r="I69" i="26"/>
  <c r="G69" i="26"/>
  <c r="D65" i="49"/>
  <c r="L65" i="49"/>
  <c r="C65" i="49"/>
  <c r="F65" i="49"/>
  <c r="J65" i="49"/>
  <c r="I65" i="49"/>
  <c r="G65" i="49"/>
  <c r="E65" i="49"/>
  <c r="K65" i="49"/>
  <c r="H65" i="49"/>
  <c r="A67" i="49"/>
  <c r="B66" i="49"/>
  <c r="AE65" i="2"/>
  <c r="R65" i="2"/>
  <c r="H70" i="26"/>
  <c r="C70" i="26"/>
  <c r="J70" i="26"/>
  <c r="G70" i="26"/>
  <c r="I70" i="26"/>
  <c r="D70" i="26"/>
  <c r="F70" i="26"/>
  <c r="E70" i="26"/>
  <c r="D66" i="2"/>
  <c r="H66" i="2"/>
  <c r="J66" i="2"/>
  <c r="G66" i="2"/>
  <c r="F66" i="2"/>
  <c r="E66" i="2"/>
  <c r="I66" i="2"/>
  <c r="K66" i="2"/>
  <c r="C66" i="2"/>
  <c r="F66" i="27"/>
  <c r="E66" i="27"/>
  <c r="G66" i="27"/>
  <c r="L66" i="27"/>
  <c r="J66" i="27"/>
  <c r="H66" i="27"/>
  <c r="O66" i="27"/>
  <c r="C66" i="27"/>
  <c r="K66" i="27"/>
  <c r="M66" i="27"/>
  <c r="P66" i="27"/>
  <c r="D66" i="27"/>
  <c r="I66" i="27"/>
  <c r="N66" i="27"/>
  <c r="B67" i="27"/>
  <c r="A68" i="27"/>
  <c r="AB65" i="27"/>
  <c r="U65" i="27"/>
  <c r="AI65" i="27"/>
  <c r="B71" i="26"/>
  <c r="A72" i="26"/>
  <c r="B67" i="2"/>
  <c r="A68" i="2"/>
  <c r="A65" i="32"/>
  <c r="B64" i="32"/>
  <c r="N60" i="46" l="1"/>
  <c r="L60" i="46"/>
  <c r="K60" i="46"/>
  <c r="I60" i="46"/>
  <c r="F60" i="46"/>
  <c r="H60" i="46"/>
  <c r="G60" i="46"/>
  <c r="E60" i="46"/>
  <c r="J60" i="46"/>
  <c r="C62" i="46"/>
  <c r="D61" i="46"/>
  <c r="J66" i="49"/>
  <c r="I66" i="49"/>
  <c r="E66" i="49"/>
  <c r="G66" i="49"/>
  <c r="L66" i="49"/>
  <c r="C66" i="49"/>
  <c r="K66" i="49"/>
  <c r="H66" i="49"/>
  <c r="D66" i="49"/>
  <c r="F66" i="49"/>
  <c r="A68" i="49"/>
  <c r="B67" i="49"/>
  <c r="B72" i="26"/>
  <c r="A73" i="26"/>
  <c r="J71" i="26"/>
  <c r="F71" i="26"/>
  <c r="E71" i="26"/>
  <c r="C71" i="26"/>
  <c r="D71" i="26"/>
  <c r="H71" i="26"/>
  <c r="G71" i="26"/>
  <c r="I71" i="26"/>
  <c r="B68" i="27"/>
  <c r="A69" i="27"/>
  <c r="AB66" i="27"/>
  <c r="AI66" i="27"/>
  <c r="U66" i="27"/>
  <c r="B68" i="2"/>
  <c r="A69" i="2"/>
  <c r="N67" i="27"/>
  <c r="H67" i="27"/>
  <c r="P67" i="27"/>
  <c r="D67" i="27"/>
  <c r="O67" i="27"/>
  <c r="I67" i="27"/>
  <c r="M67" i="27"/>
  <c r="E67" i="27"/>
  <c r="L67" i="27"/>
  <c r="F67" i="27"/>
  <c r="J67" i="27"/>
  <c r="C67" i="27"/>
  <c r="G67" i="27"/>
  <c r="K67" i="27"/>
  <c r="A66" i="32"/>
  <c r="B65" i="32"/>
  <c r="H67" i="2"/>
  <c r="D67" i="2"/>
  <c r="I67" i="2"/>
  <c r="J67" i="2"/>
  <c r="E67" i="2"/>
  <c r="K67" i="2"/>
  <c r="G67" i="2"/>
  <c r="C67" i="2"/>
  <c r="F67" i="2"/>
  <c r="R66" i="2"/>
  <c r="AE66" i="2"/>
  <c r="N61" i="46" l="1"/>
  <c r="K61" i="46"/>
  <c r="L61" i="46"/>
  <c r="J61" i="46"/>
  <c r="I61" i="46"/>
  <c r="H61" i="46"/>
  <c r="G61" i="46"/>
  <c r="E61" i="46"/>
  <c r="F61" i="46"/>
  <c r="C63" i="46"/>
  <c r="D62" i="46"/>
  <c r="L67" i="49"/>
  <c r="K67" i="49"/>
  <c r="C67" i="49"/>
  <c r="G67" i="49"/>
  <c r="H67" i="49"/>
  <c r="F67" i="49"/>
  <c r="I67" i="49"/>
  <c r="J67" i="49"/>
  <c r="D67" i="49"/>
  <c r="E67" i="49"/>
  <c r="A69" i="49"/>
  <c r="B68" i="49"/>
  <c r="B69" i="2"/>
  <c r="A70" i="2"/>
  <c r="R67" i="2"/>
  <c r="AE67" i="2"/>
  <c r="A67" i="32"/>
  <c r="B66" i="32"/>
  <c r="D68" i="2"/>
  <c r="K68" i="2"/>
  <c r="C68" i="2"/>
  <c r="G68" i="2"/>
  <c r="E68" i="2"/>
  <c r="F68" i="2"/>
  <c r="J68" i="2"/>
  <c r="H68" i="2"/>
  <c r="I68" i="2"/>
  <c r="B69" i="27"/>
  <c r="A70" i="27"/>
  <c r="B73" i="26"/>
  <c r="A74" i="26"/>
  <c r="AB67" i="27"/>
  <c r="AI67" i="27"/>
  <c r="U67" i="27"/>
  <c r="H68" i="27"/>
  <c r="O68" i="27"/>
  <c r="C68" i="27"/>
  <c r="G68" i="27"/>
  <c r="N68" i="27"/>
  <c r="F68" i="27"/>
  <c r="E68" i="27"/>
  <c r="I68" i="27"/>
  <c r="M68" i="27"/>
  <c r="L68" i="27"/>
  <c r="J68" i="27"/>
  <c r="P68" i="27"/>
  <c r="D68" i="27"/>
  <c r="K68" i="27"/>
  <c r="F72" i="26"/>
  <c r="H72" i="26"/>
  <c r="C72" i="26"/>
  <c r="J72" i="26"/>
  <c r="I72" i="26"/>
  <c r="D72" i="26"/>
  <c r="E72" i="26"/>
  <c r="G72" i="26"/>
  <c r="N62" i="46" l="1"/>
  <c r="L62" i="46"/>
  <c r="J62" i="46"/>
  <c r="I62" i="46"/>
  <c r="H62" i="46"/>
  <c r="G62" i="46"/>
  <c r="F62" i="46"/>
  <c r="E62" i="46"/>
  <c r="K62" i="46"/>
  <c r="C64" i="46"/>
  <c r="D63" i="46"/>
  <c r="C68" i="49"/>
  <c r="E68" i="49"/>
  <c r="D68" i="49"/>
  <c r="G68" i="49"/>
  <c r="I68" i="49"/>
  <c r="K68" i="49"/>
  <c r="H68" i="49"/>
  <c r="F68" i="49"/>
  <c r="L68" i="49"/>
  <c r="J68" i="49"/>
  <c r="A70" i="49"/>
  <c r="B69" i="49"/>
  <c r="J73" i="26"/>
  <c r="C73" i="26"/>
  <c r="D73" i="26"/>
  <c r="F73" i="26"/>
  <c r="G73" i="26"/>
  <c r="I73" i="26"/>
  <c r="E73" i="26"/>
  <c r="H73" i="26"/>
  <c r="AB68" i="27"/>
  <c r="U68" i="27"/>
  <c r="AI68" i="27"/>
  <c r="A71" i="27"/>
  <c r="B70" i="27"/>
  <c r="B67" i="32"/>
  <c r="A68" i="32"/>
  <c r="M69" i="27"/>
  <c r="F69" i="27"/>
  <c r="G69" i="27"/>
  <c r="K69" i="27"/>
  <c r="O69" i="27"/>
  <c r="P69" i="27"/>
  <c r="H69" i="27"/>
  <c r="J69" i="27"/>
  <c r="D69" i="27"/>
  <c r="I69" i="27"/>
  <c r="L69" i="27"/>
  <c r="C69" i="27"/>
  <c r="E69" i="27"/>
  <c r="N69" i="27"/>
  <c r="R68" i="2"/>
  <c r="AE68" i="2"/>
  <c r="B70" i="2"/>
  <c r="A71" i="2"/>
  <c r="B74" i="26"/>
  <c r="A75" i="26"/>
  <c r="I69" i="2"/>
  <c r="F69" i="2"/>
  <c r="G69" i="2"/>
  <c r="D69" i="2"/>
  <c r="C69" i="2"/>
  <c r="J69" i="2"/>
  <c r="E69" i="2"/>
  <c r="H69" i="2"/>
  <c r="K69" i="2"/>
  <c r="N63" i="46" l="1"/>
  <c r="L63" i="46"/>
  <c r="K63" i="46"/>
  <c r="J63" i="46"/>
  <c r="I63" i="46"/>
  <c r="H63" i="46"/>
  <c r="G63" i="46"/>
  <c r="F63" i="46"/>
  <c r="E63" i="46"/>
  <c r="C65" i="46"/>
  <c r="D64" i="46"/>
  <c r="K69" i="49"/>
  <c r="J69" i="49"/>
  <c r="C69" i="49"/>
  <c r="L69" i="49"/>
  <c r="F69" i="49"/>
  <c r="E69" i="49"/>
  <c r="G69" i="49"/>
  <c r="H69" i="49"/>
  <c r="I69" i="49"/>
  <c r="D69" i="49"/>
  <c r="B70" i="49"/>
  <c r="A71" i="49"/>
  <c r="AE69" i="2"/>
  <c r="R69" i="2"/>
  <c r="G74" i="26"/>
  <c r="I74" i="26"/>
  <c r="H74" i="26"/>
  <c r="E74" i="26"/>
  <c r="D74" i="26"/>
  <c r="C74" i="26"/>
  <c r="J74" i="26"/>
  <c r="F74" i="26"/>
  <c r="B71" i="27"/>
  <c r="A72" i="27"/>
  <c r="B71" i="2"/>
  <c r="A72" i="2"/>
  <c r="B68" i="32"/>
  <c r="A69" i="32"/>
  <c r="F70" i="2"/>
  <c r="H70" i="2"/>
  <c r="E70" i="2"/>
  <c r="K70" i="2"/>
  <c r="G70" i="2"/>
  <c r="D70" i="2"/>
  <c r="I70" i="2"/>
  <c r="C70" i="2"/>
  <c r="J70" i="2"/>
  <c r="B75" i="26"/>
  <c r="A76" i="26"/>
  <c r="AB69" i="27"/>
  <c r="U69" i="27"/>
  <c r="AI69" i="27"/>
  <c r="H70" i="27"/>
  <c r="L70" i="27"/>
  <c r="F70" i="27"/>
  <c r="N70" i="27"/>
  <c r="M70" i="27"/>
  <c r="I70" i="27"/>
  <c r="C70" i="27"/>
  <c r="J70" i="27"/>
  <c r="O70" i="27"/>
  <c r="D70" i="27"/>
  <c r="G70" i="27"/>
  <c r="K70" i="27"/>
  <c r="P70" i="27"/>
  <c r="E70" i="27"/>
  <c r="N64" i="46" l="1"/>
  <c r="L64" i="46"/>
  <c r="K64" i="46"/>
  <c r="H64" i="46"/>
  <c r="G64" i="46"/>
  <c r="J64" i="46"/>
  <c r="F64" i="46"/>
  <c r="I64" i="46"/>
  <c r="E64" i="46"/>
  <c r="C66" i="46"/>
  <c r="D65" i="46"/>
  <c r="A72" i="49"/>
  <c r="B71" i="49"/>
  <c r="H70" i="49"/>
  <c r="D70" i="49"/>
  <c r="J70" i="49"/>
  <c r="K70" i="49"/>
  <c r="I70" i="49"/>
  <c r="E70" i="49"/>
  <c r="L70" i="49"/>
  <c r="G70" i="49"/>
  <c r="C70" i="49"/>
  <c r="F70" i="49"/>
  <c r="B72" i="2"/>
  <c r="A73" i="2"/>
  <c r="B76" i="26"/>
  <c r="A77" i="26"/>
  <c r="F71" i="2"/>
  <c r="J71" i="2"/>
  <c r="D71" i="2"/>
  <c r="G71" i="2"/>
  <c r="I71" i="2"/>
  <c r="E71" i="2"/>
  <c r="C71" i="2"/>
  <c r="K71" i="2"/>
  <c r="H71" i="2"/>
  <c r="U70" i="27"/>
  <c r="AB70" i="27"/>
  <c r="AI70" i="27"/>
  <c r="F75" i="26"/>
  <c r="I75" i="26"/>
  <c r="J75" i="26"/>
  <c r="G75" i="26"/>
  <c r="D75" i="26"/>
  <c r="C75" i="26"/>
  <c r="H75" i="26"/>
  <c r="E75" i="26"/>
  <c r="A70" i="32"/>
  <c r="B69" i="32"/>
  <c r="A73" i="27"/>
  <c r="B72" i="27"/>
  <c r="R70" i="2"/>
  <c r="AE70" i="2"/>
  <c r="C71" i="27"/>
  <c r="G71" i="27"/>
  <c r="K71" i="27"/>
  <c r="O71" i="27"/>
  <c r="H71" i="27"/>
  <c r="P71" i="27"/>
  <c r="D71" i="27"/>
  <c r="L71" i="27"/>
  <c r="I71" i="27"/>
  <c r="M71" i="27"/>
  <c r="E71" i="27"/>
  <c r="F71" i="27"/>
  <c r="J71" i="27"/>
  <c r="N71" i="27"/>
  <c r="L65" i="46" l="1"/>
  <c r="K65" i="46"/>
  <c r="J65" i="46"/>
  <c r="I65" i="46"/>
  <c r="H65" i="46"/>
  <c r="G65" i="46"/>
  <c r="F65" i="46"/>
  <c r="N65" i="46"/>
  <c r="E65" i="46"/>
  <c r="C67" i="46"/>
  <c r="D66" i="46"/>
  <c r="E71" i="49"/>
  <c r="H71" i="49"/>
  <c r="G71" i="49"/>
  <c r="K71" i="49"/>
  <c r="I71" i="49"/>
  <c r="L71" i="49"/>
  <c r="C71" i="49"/>
  <c r="J71" i="49"/>
  <c r="D71" i="49"/>
  <c r="F71" i="49"/>
  <c r="A73" i="49"/>
  <c r="B72" i="49"/>
  <c r="M72" i="27"/>
  <c r="L72" i="27"/>
  <c r="H72" i="27"/>
  <c r="P72" i="27"/>
  <c r="D72" i="27"/>
  <c r="G72" i="27"/>
  <c r="K72" i="27"/>
  <c r="O72" i="27"/>
  <c r="C72" i="27"/>
  <c r="E72" i="27"/>
  <c r="I72" i="27"/>
  <c r="F72" i="27"/>
  <c r="J72" i="27"/>
  <c r="N72" i="27"/>
  <c r="B77" i="26"/>
  <c r="A78" i="26"/>
  <c r="B73" i="27"/>
  <c r="A74" i="27"/>
  <c r="F76" i="26"/>
  <c r="C76" i="26"/>
  <c r="H76" i="26"/>
  <c r="G76" i="26"/>
  <c r="D76" i="26"/>
  <c r="I76" i="26"/>
  <c r="J76" i="26"/>
  <c r="E76" i="26"/>
  <c r="U71" i="27"/>
  <c r="AB71" i="27"/>
  <c r="AI71" i="27"/>
  <c r="B73" i="2"/>
  <c r="A74" i="2"/>
  <c r="A71" i="32"/>
  <c r="B70" i="32"/>
  <c r="AE71" i="2"/>
  <c r="R71" i="2"/>
  <c r="D72" i="2"/>
  <c r="C72" i="2"/>
  <c r="I72" i="2"/>
  <c r="G72" i="2"/>
  <c r="K72" i="2"/>
  <c r="E72" i="2"/>
  <c r="J72" i="2"/>
  <c r="H72" i="2"/>
  <c r="F72" i="2"/>
  <c r="N66" i="46" l="1"/>
  <c r="L66" i="46"/>
  <c r="K66" i="46"/>
  <c r="J66" i="46"/>
  <c r="I66" i="46"/>
  <c r="H66" i="46"/>
  <c r="G66" i="46"/>
  <c r="F66" i="46"/>
  <c r="E66" i="46"/>
  <c r="C68" i="46"/>
  <c r="D67" i="46"/>
  <c r="C72" i="49"/>
  <c r="E72" i="49"/>
  <c r="I72" i="49"/>
  <c r="F72" i="49"/>
  <c r="L72" i="49"/>
  <c r="G72" i="49"/>
  <c r="H72" i="49"/>
  <c r="D72" i="49"/>
  <c r="K72" i="49"/>
  <c r="J72" i="49"/>
  <c r="A74" i="49"/>
  <c r="B73" i="49"/>
  <c r="A75" i="27"/>
  <c r="B74" i="27"/>
  <c r="AE72" i="2"/>
  <c r="R72" i="2"/>
  <c r="B71" i="32"/>
  <c r="A72" i="32"/>
  <c r="AB72" i="27"/>
  <c r="U72" i="27"/>
  <c r="AI72" i="27"/>
  <c r="B74" i="2"/>
  <c r="A75" i="2"/>
  <c r="C73" i="2"/>
  <c r="K73" i="2"/>
  <c r="D73" i="2"/>
  <c r="E73" i="2"/>
  <c r="H73" i="2"/>
  <c r="F73" i="2"/>
  <c r="G73" i="2"/>
  <c r="J73" i="2"/>
  <c r="I73" i="2"/>
  <c r="B78" i="26"/>
  <c r="A79" i="26"/>
  <c r="D73" i="27"/>
  <c r="H73" i="27"/>
  <c r="L73" i="27"/>
  <c r="I73" i="27"/>
  <c r="K73" i="27"/>
  <c r="P73" i="27"/>
  <c r="C73" i="27"/>
  <c r="E73" i="27"/>
  <c r="N73" i="27"/>
  <c r="J73" i="27"/>
  <c r="M73" i="27"/>
  <c r="O73" i="27"/>
  <c r="G73" i="27"/>
  <c r="F73" i="27"/>
  <c r="J77" i="26"/>
  <c r="D77" i="26"/>
  <c r="E77" i="26"/>
  <c r="F77" i="26"/>
  <c r="G77" i="26"/>
  <c r="I77" i="26"/>
  <c r="C77" i="26"/>
  <c r="H77" i="26"/>
  <c r="N67" i="46" l="1"/>
  <c r="L67" i="46"/>
  <c r="K67" i="46"/>
  <c r="J67" i="46"/>
  <c r="I67" i="46"/>
  <c r="H67" i="46"/>
  <c r="G67" i="46"/>
  <c r="F67" i="46"/>
  <c r="E67" i="46"/>
  <c r="C69" i="46"/>
  <c r="D68" i="46"/>
  <c r="I73" i="49"/>
  <c r="L73" i="49"/>
  <c r="D73" i="49"/>
  <c r="E73" i="49"/>
  <c r="J73" i="49"/>
  <c r="F73" i="49"/>
  <c r="K73" i="49"/>
  <c r="H73" i="49"/>
  <c r="C73" i="49"/>
  <c r="G73" i="49"/>
  <c r="B74" i="49"/>
  <c r="A75" i="49"/>
  <c r="B75" i="2"/>
  <c r="A76" i="2"/>
  <c r="B79" i="26"/>
  <c r="A80" i="26"/>
  <c r="E74" i="2"/>
  <c r="C74" i="2"/>
  <c r="I74" i="2"/>
  <c r="J74" i="2"/>
  <c r="G74" i="2"/>
  <c r="K74" i="2"/>
  <c r="H74" i="2"/>
  <c r="D74" i="2"/>
  <c r="F74" i="2"/>
  <c r="A73" i="32"/>
  <c r="B72" i="32"/>
  <c r="C74" i="27"/>
  <c r="O74" i="27"/>
  <c r="H74" i="27"/>
  <c r="P74" i="27"/>
  <c r="E74" i="27"/>
  <c r="J74" i="27"/>
  <c r="L74" i="27"/>
  <c r="F74" i="27"/>
  <c r="N74" i="27"/>
  <c r="G74" i="27"/>
  <c r="K74" i="27"/>
  <c r="D74" i="27"/>
  <c r="I74" i="27"/>
  <c r="M74" i="27"/>
  <c r="AI73" i="27"/>
  <c r="U73" i="27"/>
  <c r="AB73" i="27"/>
  <c r="C78" i="26"/>
  <c r="E78" i="26"/>
  <c r="H78" i="26"/>
  <c r="F78" i="26"/>
  <c r="D78" i="26"/>
  <c r="I78" i="26"/>
  <c r="J78" i="26"/>
  <c r="G78" i="26"/>
  <c r="AE73" i="2"/>
  <c r="R73" i="2"/>
  <c r="A76" i="27"/>
  <c r="B75" i="27"/>
  <c r="N68" i="46" l="1"/>
  <c r="L68" i="46"/>
  <c r="K68" i="46"/>
  <c r="G68" i="46"/>
  <c r="J68" i="46"/>
  <c r="F68" i="46"/>
  <c r="I68" i="46"/>
  <c r="E68" i="46"/>
  <c r="H68" i="46"/>
  <c r="C70" i="46"/>
  <c r="D69" i="46"/>
  <c r="A76" i="49"/>
  <c r="B75" i="49"/>
  <c r="H74" i="49"/>
  <c r="C74" i="49"/>
  <c r="L74" i="49"/>
  <c r="J74" i="49"/>
  <c r="F74" i="49"/>
  <c r="K74" i="49"/>
  <c r="D74" i="49"/>
  <c r="E74" i="49"/>
  <c r="I74" i="49"/>
  <c r="G74" i="49"/>
  <c r="A74" i="32"/>
  <c r="B73" i="32"/>
  <c r="B76" i="2"/>
  <c r="A77" i="2"/>
  <c r="A77" i="27"/>
  <c r="B76" i="27"/>
  <c r="R74" i="2"/>
  <c r="AE74" i="2"/>
  <c r="K75" i="2"/>
  <c r="G75" i="2"/>
  <c r="J75" i="2"/>
  <c r="H75" i="2"/>
  <c r="F75" i="2"/>
  <c r="C75" i="2"/>
  <c r="I75" i="2"/>
  <c r="D75" i="2"/>
  <c r="E75" i="2"/>
  <c r="D75" i="27"/>
  <c r="H75" i="27"/>
  <c r="I75" i="27"/>
  <c r="N75" i="27"/>
  <c r="G75" i="27"/>
  <c r="E75" i="27"/>
  <c r="J75" i="27"/>
  <c r="P75" i="27"/>
  <c r="K75" i="27"/>
  <c r="O75" i="27"/>
  <c r="L75" i="27"/>
  <c r="F75" i="27"/>
  <c r="M75" i="27"/>
  <c r="C75" i="27"/>
  <c r="AI74" i="27"/>
  <c r="AB74" i="27"/>
  <c r="U74" i="27"/>
  <c r="B80" i="26"/>
  <c r="A81" i="26"/>
  <c r="D79" i="26"/>
  <c r="E79" i="26"/>
  <c r="F79" i="26"/>
  <c r="C79" i="26"/>
  <c r="J79" i="26"/>
  <c r="G79" i="26"/>
  <c r="H79" i="26"/>
  <c r="I79" i="26"/>
  <c r="K69" i="46" l="1"/>
  <c r="N69" i="46"/>
  <c r="J69" i="46"/>
  <c r="I69" i="46"/>
  <c r="H69" i="46"/>
  <c r="G69" i="46"/>
  <c r="F69" i="46"/>
  <c r="E69" i="46"/>
  <c r="L69" i="46"/>
  <c r="C71" i="46"/>
  <c r="D70" i="46"/>
  <c r="H75" i="49"/>
  <c r="F75" i="49"/>
  <c r="G75" i="49"/>
  <c r="E75" i="49"/>
  <c r="K75" i="49"/>
  <c r="D75" i="49"/>
  <c r="I75" i="49"/>
  <c r="J75" i="49"/>
  <c r="C75" i="49"/>
  <c r="L75" i="49"/>
  <c r="A77" i="49"/>
  <c r="B76" i="49"/>
  <c r="B77" i="2"/>
  <c r="A78" i="2"/>
  <c r="J80" i="26"/>
  <c r="F80" i="26"/>
  <c r="I80" i="26"/>
  <c r="C80" i="26"/>
  <c r="G80" i="26"/>
  <c r="D80" i="26"/>
  <c r="E80" i="26"/>
  <c r="H80" i="26"/>
  <c r="C76" i="2"/>
  <c r="G76" i="2"/>
  <c r="H76" i="2"/>
  <c r="E76" i="2"/>
  <c r="K76" i="2"/>
  <c r="F76" i="2"/>
  <c r="D76" i="2"/>
  <c r="I76" i="2"/>
  <c r="J76" i="2"/>
  <c r="B81" i="26"/>
  <c r="A82" i="26"/>
  <c r="N76" i="27"/>
  <c r="P76" i="27"/>
  <c r="I76" i="27"/>
  <c r="E76" i="27"/>
  <c r="M76" i="27"/>
  <c r="K76" i="27"/>
  <c r="C76" i="27"/>
  <c r="G76" i="27"/>
  <c r="O76" i="27"/>
  <c r="H76" i="27"/>
  <c r="D76" i="27"/>
  <c r="L76" i="27"/>
  <c r="F76" i="27"/>
  <c r="J76" i="27"/>
  <c r="AI75" i="27"/>
  <c r="AB75" i="27"/>
  <c r="U75" i="27"/>
  <c r="AE75" i="2"/>
  <c r="R75" i="2"/>
  <c r="A78" i="27"/>
  <c r="B77" i="27"/>
  <c r="B74" i="32"/>
  <c r="A75" i="32"/>
  <c r="N70" i="46" l="1"/>
  <c r="L70" i="46"/>
  <c r="J70" i="46"/>
  <c r="I70" i="46"/>
  <c r="H70" i="46"/>
  <c r="G70" i="46"/>
  <c r="F70" i="46"/>
  <c r="E70" i="46"/>
  <c r="K70" i="46"/>
  <c r="C72" i="46"/>
  <c r="D71" i="46"/>
  <c r="K76" i="49"/>
  <c r="J76" i="49"/>
  <c r="F76" i="49"/>
  <c r="L76" i="49"/>
  <c r="D76" i="49"/>
  <c r="E76" i="49"/>
  <c r="G76" i="49"/>
  <c r="I76" i="49"/>
  <c r="H76" i="49"/>
  <c r="C76" i="49"/>
  <c r="B77" i="49"/>
  <c r="A78" i="49"/>
  <c r="I77" i="27"/>
  <c r="N77" i="27"/>
  <c r="C77" i="27"/>
  <c r="M77" i="27"/>
  <c r="O77" i="27"/>
  <c r="H77" i="27"/>
  <c r="P77" i="27"/>
  <c r="J77" i="27"/>
  <c r="D77" i="27"/>
  <c r="G77" i="27"/>
  <c r="E77" i="27"/>
  <c r="L77" i="27"/>
  <c r="F77" i="27"/>
  <c r="K77" i="27"/>
  <c r="B78" i="27"/>
  <c r="A79" i="27"/>
  <c r="B75" i="32"/>
  <c r="A76" i="32"/>
  <c r="AB76" i="27"/>
  <c r="U76" i="27"/>
  <c r="AI76" i="27"/>
  <c r="E81" i="26"/>
  <c r="D81" i="26"/>
  <c r="C81" i="26"/>
  <c r="F81" i="26"/>
  <c r="J81" i="26"/>
  <c r="H81" i="26"/>
  <c r="I81" i="26"/>
  <c r="G81" i="26"/>
  <c r="R76" i="2"/>
  <c r="AE76" i="2"/>
  <c r="B78" i="2"/>
  <c r="A79" i="2"/>
  <c r="B82" i="26"/>
  <c r="A83" i="26"/>
  <c r="E77" i="2"/>
  <c r="C77" i="2"/>
  <c r="F77" i="2"/>
  <c r="J77" i="2"/>
  <c r="G77" i="2"/>
  <c r="K77" i="2"/>
  <c r="I77" i="2"/>
  <c r="H77" i="2"/>
  <c r="D77" i="2"/>
  <c r="N71" i="46" l="1"/>
  <c r="L71" i="46"/>
  <c r="K71" i="46"/>
  <c r="J71" i="46"/>
  <c r="I71" i="46"/>
  <c r="H71" i="46"/>
  <c r="G71" i="46"/>
  <c r="F71" i="46"/>
  <c r="E71" i="46"/>
  <c r="C73" i="46"/>
  <c r="D72" i="46"/>
  <c r="A79" i="49"/>
  <c r="B78" i="49"/>
  <c r="L77" i="49"/>
  <c r="E77" i="49"/>
  <c r="C77" i="49"/>
  <c r="H77" i="49"/>
  <c r="G77" i="49"/>
  <c r="J77" i="49"/>
  <c r="I77" i="49"/>
  <c r="F77" i="49"/>
  <c r="K77" i="49"/>
  <c r="D77" i="49"/>
  <c r="B79" i="27"/>
  <c r="A80" i="27"/>
  <c r="B79" i="2"/>
  <c r="A80" i="2"/>
  <c r="B80" i="2" s="1"/>
  <c r="I78" i="27"/>
  <c r="M78" i="27"/>
  <c r="J78" i="27"/>
  <c r="N78" i="27"/>
  <c r="D78" i="27"/>
  <c r="L78" i="27"/>
  <c r="C78" i="27"/>
  <c r="F78" i="27"/>
  <c r="O78" i="27"/>
  <c r="E78" i="27"/>
  <c r="G78" i="27"/>
  <c r="K78" i="27"/>
  <c r="H78" i="27"/>
  <c r="P78" i="27"/>
  <c r="B83" i="26"/>
  <c r="A84" i="26"/>
  <c r="R77" i="2"/>
  <c r="AE77" i="2"/>
  <c r="I82" i="26"/>
  <c r="J82" i="26"/>
  <c r="G82" i="26"/>
  <c r="H82" i="26"/>
  <c r="F82" i="26"/>
  <c r="D82" i="26"/>
  <c r="E82" i="26"/>
  <c r="C82" i="26"/>
  <c r="K78" i="2"/>
  <c r="G78" i="2"/>
  <c r="I78" i="2"/>
  <c r="J78" i="2"/>
  <c r="H78" i="2"/>
  <c r="C78" i="2"/>
  <c r="D78" i="2"/>
  <c r="F78" i="2"/>
  <c r="E78" i="2"/>
  <c r="B76" i="32"/>
  <c r="A77" i="32"/>
  <c r="AI77" i="27"/>
  <c r="U77" i="27"/>
  <c r="AB77" i="27"/>
  <c r="N72" i="46" l="1"/>
  <c r="L72" i="46"/>
  <c r="K72" i="46"/>
  <c r="J72" i="46"/>
  <c r="F72" i="46"/>
  <c r="I72" i="46"/>
  <c r="H72" i="46"/>
  <c r="E72" i="46"/>
  <c r="G72" i="46"/>
  <c r="C74" i="46"/>
  <c r="D73" i="46"/>
  <c r="I78" i="49"/>
  <c r="F78" i="49"/>
  <c r="D78" i="49"/>
  <c r="K78" i="49"/>
  <c r="G78" i="49"/>
  <c r="H78" i="49"/>
  <c r="E78" i="49"/>
  <c r="L78" i="49"/>
  <c r="J78" i="49"/>
  <c r="C78" i="49"/>
  <c r="B79" i="49"/>
  <c r="A80" i="49"/>
  <c r="R78" i="2"/>
  <c r="AE78" i="2"/>
  <c r="B80" i="27"/>
  <c r="A81" i="27"/>
  <c r="AI78" i="27"/>
  <c r="U78" i="27"/>
  <c r="AB78" i="27"/>
  <c r="A78" i="32"/>
  <c r="B77" i="32"/>
  <c r="D79" i="27"/>
  <c r="E79" i="27"/>
  <c r="P79" i="27"/>
  <c r="N79" i="27"/>
  <c r="I79" i="27"/>
  <c r="O79" i="27"/>
  <c r="H79" i="27"/>
  <c r="K79" i="27"/>
  <c r="M79" i="27"/>
  <c r="L79" i="27"/>
  <c r="J79" i="27"/>
  <c r="F79" i="27"/>
  <c r="G79" i="27"/>
  <c r="C79" i="27"/>
  <c r="B84" i="26"/>
  <c r="A85" i="26"/>
  <c r="F80" i="2"/>
  <c r="I80" i="2"/>
  <c r="K80" i="2"/>
  <c r="C80" i="2"/>
  <c r="E80" i="2"/>
  <c r="H80" i="2"/>
  <c r="G80" i="2"/>
  <c r="D80" i="2"/>
  <c r="J80" i="2"/>
  <c r="H83" i="26"/>
  <c r="I83" i="26"/>
  <c r="E83" i="26"/>
  <c r="C83" i="26"/>
  <c r="D83" i="26"/>
  <c r="G83" i="26"/>
  <c r="J83" i="26"/>
  <c r="F83" i="26"/>
  <c r="E79" i="2"/>
  <c r="C79" i="2"/>
  <c r="F79" i="2"/>
  <c r="J79" i="2"/>
  <c r="G79" i="2"/>
  <c r="I79" i="2"/>
  <c r="H79" i="2"/>
  <c r="D79" i="2"/>
  <c r="K79" i="2"/>
  <c r="N73" i="46" l="1"/>
  <c r="L73" i="46"/>
  <c r="K73" i="46"/>
  <c r="J73" i="46"/>
  <c r="I73" i="46"/>
  <c r="H73" i="46"/>
  <c r="G73" i="46"/>
  <c r="F73" i="46"/>
  <c r="E73" i="46"/>
  <c r="C75" i="46"/>
  <c r="D74" i="46"/>
  <c r="B80" i="49"/>
  <c r="A81" i="49"/>
  <c r="J79" i="49"/>
  <c r="K79" i="49"/>
  <c r="L79" i="49"/>
  <c r="E79" i="49"/>
  <c r="H79" i="49"/>
  <c r="F79" i="49"/>
  <c r="I79" i="49"/>
  <c r="G79" i="49"/>
  <c r="D79" i="49"/>
  <c r="C79" i="49"/>
  <c r="AE79" i="2"/>
  <c r="R79" i="2"/>
  <c r="E84" i="26"/>
  <c r="J84" i="26"/>
  <c r="G84" i="26"/>
  <c r="I84" i="26"/>
  <c r="C84" i="26"/>
  <c r="F84" i="26"/>
  <c r="D84" i="26"/>
  <c r="H84" i="26"/>
  <c r="B78" i="32"/>
  <c r="A79" i="32"/>
  <c r="R80" i="2"/>
  <c r="AE80" i="2"/>
  <c r="B81" i="27"/>
  <c r="A82" i="27"/>
  <c r="B85" i="26"/>
  <c r="A86" i="26"/>
  <c r="U79" i="27"/>
  <c r="AI79" i="27"/>
  <c r="AB79" i="27"/>
  <c r="J80" i="27"/>
  <c r="L80" i="27"/>
  <c r="D80" i="27"/>
  <c r="P80" i="27"/>
  <c r="E80" i="27"/>
  <c r="I80" i="27"/>
  <c r="M80" i="27"/>
  <c r="C80" i="27"/>
  <c r="G80" i="27"/>
  <c r="K80" i="27"/>
  <c r="O80" i="27"/>
  <c r="F80" i="27"/>
  <c r="N80" i="27"/>
  <c r="H80" i="27"/>
  <c r="N74" i="46" l="1"/>
  <c r="L74" i="46"/>
  <c r="K74" i="46"/>
  <c r="J74" i="46"/>
  <c r="I74" i="46"/>
  <c r="H74" i="46"/>
  <c r="G74" i="46"/>
  <c r="F74" i="46"/>
  <c r="E74" i="46"/>
  <c r="C76" i="46"/>
  <c r="D75" i="46"/>
  <c r="A82" i="49"/>
  <c r="B81" i="49"/>
  <c r="K80" i="49"/>
  <c r="E80" i="49"/>
  <c r="H80" i="49"/>
  <c r="D80" i="49"/>
  <c r="G80" i="49"/>
  <c r="F80" i="49"/>
  <c r="J80" i="49"/>
  <c r="I80" i="49"/>
  <c r="C80" i="49"/>
  <c r="L80" i="49"/>
  <c r="A83" i="27"/>
  <c r="B82" i="27"/>
  <c r="B79" i="32"/>
  <c r="A80" i="32"/>
  <c r="D81" i="27"/>
  <c r="P81" i="27"/>
  <c r="C81" i="27"/>
  <c r="K81" i="27"/>
  <c r="F81" i="27"/>
  <c r="G81" i="27"/>
  <c r="M81" i="27"/>
  <c r="I81" i="27"/>
  <c r="O81" i="27"/>
  <c r="H81" i="27"/>
  <c r="L81" i="27"/>
  <c r="E81" i="27"/>
  <c r="J81" i="27"/>
  <c r="N81" i="27"/>
  <c r="B86" i="26"/>
  <c r="A87" i="26"/>
  <c r="AI80" i="27"/>
  <c r="U80" i="27"/>
  <c r="AB80" i="27"/>
  <c r="D85" i="26"/>
  <c r="C85" i="26"/>
  <c r="E85" i="26"/>
  <c r="F85" i="26"/>
  <c r="J85" i="26"/>
  <c r="H85" i="26"/>
  <c r="I85" i="26"/>
  <c r="G85" i="26"/>
  <c r="N75" i="46" l="1"/>
  <c r="L75" i="46"/>
  <c r="K75" i="46"/>
  <c r="J75" i="46"/>
  <c r="I75" i="46"/>
  <c r="H75" i="46"/>
  <c r="G75" i="46"/>
  <c r="F75" i="46"/>
  <c r="E75" i="46"/>
  <c r="C77" i="46"/>
  <c r="D76" i="46"/>
  <c r="I81" i="49"/>
  <c r="L81" i="49"/>
  <c r="J81" i="49"/>
  <c r="F81" i="49"/>
  <c r="E81" i="49"/>
  <c r="C81" i="49"/>
  <c r="D81" i="49"/>
  <c r="H81" i="49"/>
  <c r="G81" i="49"/>
  <c r="K81" i="49"/>
  <c r="B82" i="49"/>
  <c r="A83" i="49"/>
  <c r="B87" i="26"/>
  <c r="A88" i="26"/>
  <c r="A81" i="32"/>
  <c r="B80" i="32"/>
  <c r="G86" i="26"/>
  <c r="J86" i="26"/>
  <c r="H86" i="26"/>
  <c r="C86" i="26"/>
  <c r="F86" i="26"/>
  <c r="E86" i="26"/>
  <c r="I86" i="26"/>
  <c r="D86" i="26"/>
  <c r="AI81" i="27"/>
  <c r="U81" i="27"/>
  <c r="AB81" i="27"/>
  <c r="K82" i="27"/>
  <c r="N82" i="27"/>
  <c r="G82" i="27"/>
  <c r="F82" i="27"/>
  <c r="M82" i="27"/>
  <c r="O82" i="27"/>
  <c r="H82" i="27"/>
  <c r="P82" i="27"/>
  <c r="D82" i="27"/>
  <c r="J82" i="27"/>
  <c r="C82" i="27"/>
  <c r="I82" i="27"/>
  <c r="L82" i="27"/>
  <c r="E82" i="27"/>
  <c r="B83" i="27"/>
  <c r="A84" i="27"/>
  <c r="N76" i="46" l="1"/>
  <c r="L76" i="46"/>
  <c r="K76" i="46"/>
  <c r="I76" i="46"/>
  <c r="E76" i="46"/>
  <c r="H76" i="46"/>
  <c r="G76" i="46"/>
  <c r="J76" i="46"/>
  <c r="F76" i="46"/>
  <c r="C78" i="46"/>
  <c r="D77" i="46"/>
  <c r="A84" i="49"/>
  <c r="B83" i="49"/>
  <c r="E82" i="49"/>
  <c r="K82" i="49"/>
  <c r="F82" i="49"/>
  <c r="H82" i="49"/>
  <c r="I82" i="49"/>
  <c r="D82" i="49"/>
  <c r="G82" i="49"/>
  <c r="J82" i="49"/>
  <c r="C82" i="49"/>
  <c r="L82" i="49"/>
  <c r="H83" i="27"/>
  <c r="L83" i="27"/>
  <c r="N83" i="27"/>
  <c r="E83" i="27"/>
  <c r="K83" i="27"/>
  <c r="G83" i="27"/>
  <c r="P83" i="27"/>
  <c r="M83" i="27"/>
  <c r="I83" i="27"/>
  <c r="O83" i="27"/>
  <c r="F83" i="27"/>
  <c r="J83" i="27"/>
  <c r="C83" i="27"/>
  <c r="D83" i="27"/>
  <c r="A85" i="27"/>
  <c r="B84" i="27"/>
  <c r="AB82" i="27"/>
  <c r="U82" i="27"/>
  <c r="AI82" i="27"/>
  <c r="B81" i="32"/>
  <c r="A82" i="32"/>
  <c r="B88" i="26"/>
  <c r="A89" i="26"/>
  <c r="H87" i="26"/>
  <c r="C87" i="26"/>
  <c r="F87" i="26"/>
  <c r="E87" i="26"/>
  <c r="G87" i="26"/>
  <c r="D87" i="26"/>
  <c r="J87" i="26"/>
  <c r="I87" i="26"/>
  <c r="N77" i="46" l="1"/>
  <c r="K77" i="46"/>
  <c r="L77" i="46"/>
  <c r="J77" i="46"/>
  <c r="I77" i="46"/>
  <c r="H77" i="46"/>
  <c r="G77" i="46"/>
  <c r="F77" i="46"/>
  <c r="E77" i="46"/>
  <c r="C79" i="46"/>
  <c r="D78" i="46"/>
  <c r="G83" i="49"/>
  <c r="D83" i="49"/>
  <c r="C83" i="49"/>
  <c r="K83" i="49"/>
  <c r="E83" i="49"/>
  <c r="J83" i="49"/>
  <c r="F83" i="49"/>
  <c r="H83" i="49"/>
  <c r="I83" i="49"/>
  <c r="L83" i="49"/>
  <c r="B84" i="49"/>
  <c r="A85" i="49"/>
  <c r="F88" i="26"/>
  <c r="D88" i="26"/>
  <c r="J88" i="26"/>
  <c r="C88" i="26"/>
  <c r="G88" i="26"/>
  <c r="H88" i="26"/>
  <c r="E88" i="26"/>
  <c r="I88" i="26"/>
  <c r="E84" i="27"/>
  <c r="I84" i="27"/>
  <c r="M84" i="27"/>
  <c r="O84" i="27"/>
  <c r="G84" i="27"/>
  <c r="K84" i="27"/>
  <c r="H84" i="27"/>
  <c r="P84" i="27"/>
  <c r="D84" i="27"/>
  <c r="L84" i="27"/>
  <c r="J84" i="27"/>
  <c r="N84" i="27"/>
  <c r="F84" i="27"/>
  <c r="C84" i="27"/>
  <c r="B89" i="26"/>
  <c r="A90" i="26"/>
  <c r="B85" i="27"/>
  <c r="A86" i="27"/>
  <c r="U83" i="27"/>
  <c r="AI83" i="27"/>
  <c r="AB83" i="27"/>
  <c r="A83" i="32"/>
  <c r="B82" i="32"/>
  <c r="N78" i="46" l="1"/>
  <c r="L78" i="46"/>
  <c r="J78" i="46"/>
  <c r="I78" i="46"/>
  <c r="H78" i="46"/>
  <c r="G78" i="46"/>
  <c r="F78" i="46"/>
  <c r="E78" i="46"/>
  <c r="K78" i="46"/>
  <c r="C80" i="46"/>
  <c r="D79" i="46"/>
  <c r="A86" i="49"/>
  <c r="B85" i="49"/>
  <c r="G84" i="49"/>
  <c r="I84" i="49"/>
  <c r="F84" i="49"/>
  <c r="D84" i="49"/>
  <c r="C84" i="49"/>
  <c r="H84" i="49"/>
  <c r="L84" i="49"/>
  <c r="K84" i="49"/>
  <c r="E84" i="49"/>
  <c r="J84" i="49"/>
  <c r="B90" i="26"/>
  <c r="A91" i="26"/>
  <c r="A87" i="27"/>
  <c r="B86" i="27"/>
  <c r="AB84" i="27"/>
  <c r="AI84" i="27"/>
  <c r="U84" i="27"/>
  <c r="N85" i="27"/>
  <c r="P85" i="27"/>
  <c r="E85" i="27"/>
  <c r="H85" i="27"/>
  <c r="L85" i="27"/>
  <c r="F85" i="27"/>
  <c r="K85" i="27"/>
  <c r="J85" i="27"/>
  <c r="O85" i="27"/>
  <c r="I85" i="27"/>
  <c r="C85" i="27"/>
  <c r="G85" i="27"/>
  <c r="M85" i="27"/>
  <c r="D85" i="27"/>
  <c r="A84" i="32"/>
  <c r="B83" i="32"/>
  <c r="F89" i="26"/>
  <c r="E89" i="26"/>
  <c r="H89" i="26"/>
  <c r="G89" i="26"/>
  <c r="C89" i="26"/>
  <c r="J89" i="26"/>
  <c r="D89" i="26"/>
  <c r="I89" i="26"/>
  <c r="N79" i="46" l="1"/>
  <c r="L79" i="46"/>
  <c r="K79" i="46"/>
  <c r="J79" i="46"/>
  <c r="I79" i="46"/>
  <c r="H79" i="46"/>
  <c r="G79" i="46"/>
  <c r="F79" i="46"/>
  <c r="E79" i="46"/>
  <c r="C81" i="46"/>
  <c r="D80" i="46"/>
  <c r="D85" i="49"/>
  <c r="G85" i="49"/>
  <c r="K85" i="49"/>
  <c r="I85" i="49"/>
  <c r="J85" i="49"/>
  <c r="C85" i="49"/>
  <c r="E85" i="49"/>
  <c r="F85" i="49"/>
  <c r="L85" i="49"/>
  <c r="H85" i="49"/>
  <c r="A87" i="49"/>
  <c r="B86" i="49"/>
  <c r="A85" i="32"/>
  <c r="B84" i="32"/>
  <c r="AB85" i="27"/>
  <c r="U85" i="27"/>
  <c r="AI85" i="27"/>
  <c r="L86" i="27"/>
  <c r="C86" i="27"/>
  <c r="G86" i="27"/>
  <c r="K86" i="27"/>
  <c r="O86" i="27"/>
  <c r="E86" i="27"/>
  <c r="J86" i="27"/>
  <c r="P86" i="27"/>
  <c r="H86" i="27"/>
  <c r="M86" i="27"/>
  <c r="F86" i="27"/>
  <c r="I86" i="27"/>
  <c r="D86" i="27"/>
  <c r="N86" i="27"/>
  <c r="B87" i="27"/>
  <c r="A88" i="27"/>
  <c r="B91" i="26"/>
  <c r="A92" i="26"/>
  <c r="J90" i="26"/>
  <c r="D90" i="26"/>
  <c r="I90" i="26"/>
  <c r="H90" i="26"/>
  <c r="E90" i="26"/>
  <c r="C90" i="26"/>
  <c r="F90" i="26"/>
  <c r="G90" i="26"/>
  <c r="N80" i="46" l="1"/>
  <c r="L80" i="46"/>
  <c r="K80" i="46"/>
  <c r="H80" i="46"/>
  <c r="G80" i="46"/>
  <c r="E80" i="46"/>
  <c r="J80" i="46"/>
  <c r="F80" i="46"/>
  <c r="I80" i="46"/>
  <c r="C82" i="46"/>
  <c r="D81" i="46"/>
  <c r="L86" i="49"/>
  <c r="F86" i="49"/>
  <c r="H86" i="49"/>
  <c r="I86" i="49"/>
  <c r="G86" i="49"/>
  <c r="J86" i="49"/>
  <c r="D86" i="49"/>
  <c r="E86" i="49"/>
  <c r="C86" i="49"/>
  <c r="K86" i="49"/>
  <c r="A88" i="49"/>
  <c r="B87" i="49"/>
  <c r="B88" i="27"/>
  <c r="A89" i="27"/>
  <c r="E87" i="27"/>
  <c r="D87" i="27"/>
  <c r="O87" i="27"/>
  <c r="N87" i="27"/>
  <c r="M87" i="27"/>
  <c r="F87" i="27"/>
  <c r="J87" i="27"/>
  <c r="C87" i="27"/>
  <c r="I87" i="27"/>
  <c r="K87" i="27"/>
  <c r="L87" i="27"/>
  <c r="H87" i="27"/>
  <c r="P87" i="27"/>
  <c r="G87" i="27"/>
  <c r="B92" i="26"/>
  <c r="A93" i="26"/>
  <c r="A86" i="32"/>
  <c r="B85" i="32"/>
  <c r="D91" i="26"/>
  <c r="C91" i="26"/>
  <c r="H91" i="26"/>
  <c r="I91" i="26"/>
  <c r="J91" i="26"/>
  <c r="G91" i="26"/>
  <c r="E91" i="26"/>
  <c r="F91" i="26"/>
  <c r="AB86" i="27"/>
  <c r="U86" i="27"/>
  <c r="AI86" i="27"/>
  <c r="L81" i="46" l="1"/>
  <c r="K81" i="46"/>
  <c r="J81" i="46"/>
  <c r="I81" i="46"/>
  <c r="H81" i="46"/>
  <c r="G81" i="46"/>
  <c r="F81" i="46"/>
  <c r="N81" i="46"/>
  <c r="E81" i="46"/>
  <c r="C83" i="46"/>
  <c r="D82" i="46"/>
  <c r="K87" i="49"/>
  <c r="D87" i="49"/>
  <c r="H87" i="49"/>
  <c r="F87" i="49"/>
  <c r="G87" i="49"/>
  <c r="C87" i="49"/>
  <c r="L87" i="49"/>
  <c r="I87" i="49"/>
  <c r="E87" i="49"/>
  <c r="J87" i="49"/>
  <c r="A89" i="49"/>
  <c r="B88" i="49"/>
  <c r="A87" i="32"/>
  <c r="B86" i="32"/>
  <c r="B93" i="26"/>
  <c r="A94" i="26"/>
  <c r="AB87" i="27"/>
  <c r="AI87" i="27"/>
  <c r="U87" i="27"/>
  <c r="A90" i="27"/>
  <c r="B89" i="27"/>
  <c r="J92" i="26"/>
  <c r="H92" i="26"/>
  <c r="E92" i="26"/>
  <c r="D92" i="26"/>
  <c r="F92" i="26"/>
  <c r="I92" i="26"/>
  <c r="G92" i="26"/>
  <c r="C92" i="26"/>
  <c r="M88" i="27"/>
  <c r="C88" i="27"/>
  <c r="H88" i="27"/>
  <c r="O88" i="27"/>
  <c r="J88" i="27"/>
  <c r="F88" i="27"/>
  <c r="K88" i="27"/>
  <c r="D88" i="27"/>
  <c r="P88" i="27"/>
  <c r="E88" i="27"/>
  <c r="I88" i="27"/>
  <c r="G88" i="27"/>
  <c r="L88" i="27"/>
  <c r="N88" i="27"/>
  <c r="N82" i="46" l="1"/>
  <c r="L82" i="46"/>
  <c r="K82" i="46"/>
  <c r="J82" i="46"/>
  <c r="I82" i="46"/>
  <c r="H82" i="46"/>
  <c r="G82" i="46"/>
  <c r="F82" i="46"/>
  <c r="E82" i="46"/>
  <c r="C84" i="46"/>
  <c r="D83" i="46"/>
  <c r="D88" i="49"/>
  <c r="H88" i="49"/>
  <c r="G88" i="49"/>
  <c r="E88" i="49"/>
  <c r="I88" i="49"/>
  <c r="K88" i="49"/>
  <c r="L88" i="49"/>
  <c r="F88" i="49"/>
  <c r="J88" i="49"/>
  <c r="C88" i="49"/>
  <c r="A90" i="49"/>
  <c r="B89" i="49"/>
  <c r="B90" i="27"/>
  <c r="A91" i="27"/>
  <c r="B94" i="26"/>
  <c r="A95" i="26"/>
  <c r="AB88" i="27"/>
  <c r="U88" i="27"/>
  <c r="AI88" i="27"/>
  <c r="E93" i="26"/>
  <c r="D93" i="26"/>
  <c r="H93" i="26"/>
  <c r="C93" i="26"/>
  <c r="I93" i="26"/>
  <c r="J93" i="26"/>
  <c r="G93" i="26"/>
  <c r="F93" i="26"/>
  <c r="O89" i="27"/>
  <c r="P89" i="27"/>
  <c r="G89" i="27"/>
  <c r="H89" i="27"/>
  <c r="L89" i="27"/>
  <c r="I89" i="27"/>
  <c r="N89" i="27"/>
  <c r="M89" i="27"/>
  <c r="C89" i="27"/>
  <c r="J89" i="27"/>
  <c r="E89" i="27"/>
  <c r="F89" i="27"/>
  <c r="K89" i="27"/>
  <c r="D89" i="27"/>
  <c r="A88" i="32"/>
  <c r="B87" i="32"/>
  <c r="N83" i="46" l="1"/>
  <c r="L83" i="46"/>
  <c r="K83" i="46"/>
  <c r="J83" i="46"/>
  <c r="I83" i="46"/>
  <c r="H83" i="46"/>
  <c r="G83" i="46"/>
  <c r="F83" i="46"/>
  <c r="E83" i="46"/>
  <c r="C85" i="46"/>
  <c r="D84" i="46"/>
  <c r="L89" i="49"/>
  <c r="G89" i="49"/>
  <c r="J89" i="49"/>
  <c r="E89" i="49"/>
  <c r="F89" i="49"/>
  <c r="H89" i="49"/>
  <c r="I89" i="49"/>
  <c r="C89" i="49"/>
  <c r="D89" i="49"/>
  <c r="K89" i="49"/>
  <c r="B90" i="49"/>
  <c r="A91" i="49"/>
  <c r="B95" i="26"/>
  <c r="A96" i="26"/>
  <c r="J94" i="26"/>
  <c r="I94" i="26"/>
  <c r="G94" i="26"/>
  <c r="H94" i="26"/>
  <c r="E94" i="26"/>
  <c r="D94" i="26"/>
  <c r="F94" i="26"/>
  <c r="C94" i="26"/>
  <c r="A89" i="32"/>
  <c r="B88" i="32"/>
  <c r="AI89" i="27"/>
  <c r="U89" i="27"/>
  <c r="AB89" i="27"/>
  <c r="B91" i="27"/>
  <c r="A92" i="27"/>
  <c r="J90" i="27"/>
  <c r="C90" i="27"/>
  <c r="G90" i="27"/>
  <c r="O90" i="27"/>
  <c r="D90" i="27"/>
  <c r="H90" i="27"/>
  <c r="K90" i="27"/>
  <c r="P90" i="27"/>
  <c r="F90" i="27"/>
  <c r="N90" i="27"/>
  <c r="L90" i="27"/>
  <c r="I90" i="27"/>
  <c r="E90" i="27"/>
  <c r="M90" i="27"/>
  <c r="N84" i="46" l="1"/>
  <c r="L84" i="46"/>
  <c r="K84" i="46"/>
  <c r="G84" i="46"/>
  <c r="J84" i="46"/>
  <c r="F84" i="46"/>
  <c r="I84" i="46"/>
  <c r="E84" i="46"/>
  <c r="H84" i="46"/>
  <c r="C86" i="46"/>
  <c r="D85" i="46"/>
  <c r="B91" i="49"/>
  <c r="A92" i="49"/>
  <c r="F90" i="49"/>
  <c r="G90" i="49"/>
  <c r="J90" i="49"/>
  <c r="E90" i="49"/>
  <c r="I90" i="49"/>
  <c r="H90" i="49"/>
  <c r="L90" i="49"/>
  <c r="C90" i="49"/>
  <c r="K90" i="49"/>
  <c r="D90" i="49"/>
  <c r="B96" i="26"/>
  <c r="A97" i="26"/>
  <c r="AI90" i="27"/>
  <c r="AB90" i="27"/>
  <c r="U90" i="27"/>
  <c r="A93" i="27"/>
  <c r="B92" i="27"/>
  <c r="I95" i="26"/>
  <c r="F95" i="26"/>
  <c r="D95" i="26"/>
  <c r="E95" i="26"/>
  <c r="J95" i="26"/>
  <c r="C95" i="26"/>
  <c r="H95" i="26"/>
  <c r="G95" i="26"/>
  <c r="K91" i="27"/>
  <c r="I91" i="27"/>
  <c r="F91" i="27"/>
  <c r="P91" i="27"/>
  <c r="N91" i="27"/>
  <c r="L91" i="27"/>
  <c r="G91" i="27"/>
  <c r="O91" i="27"/>
  <c r="C91" i="27"/>
  <c r="E91" i="27"/>
  <c r="J91" i="27"/>
  <c r="D91" i="27"/>
  <c r="H91" i="27"/>
  <c r="M91" i="27"/>
  <c r="A90" i="32"/>
  <c r="B89" i="32"/>
  <c r="K85" i="46" l="1"/>
  <c r="N85" i="46"/>
  <c r="J85" i="46"/>
  <c r="I85" i="46"/>
  <c r="H85" i="46"/>
  <c r="G85" i="46"/>
  <c r="F85" i="46"/>
  <c r="E85" i="46"/>
  <c r="L85" i="46"/>
  <c r="C87" i="46"/>
  <c r="D86" i="46"/>
  <c r="A93" i="49"/>
  <c r="B92" i="49"/>
  <c r="J91" i="49"/>
  <c r="D91" i="49"/>
  <c r="C91" i="49"/>
  <c r="F91" i="49"/>
  <c r="L91" i="49"/>
  <c r="G91" i="49"/>
  <c r="E91" i="49"/>
  <c r="H91" i="49"/>
  <c r="K91" i="49"/>
  <c r="I91" i="49"/>
  <c r="U91" i="27"/>
  <c r="AB91" i="27"/>
  <c r="AI91" i="27"/>
  <c r="B93" i="27"/>
  <c r="A94" i="27"/>
  <c r="B97" i="26"/>
  <c r="A98" i="26"/>
  <c r="A91" i="32"/>
  <c r="B90" i="32"/>
  <c r="K92" i="27"/>
  <c r="D92" i="27"/>
  <c r="O92" i="27"/>
  <c r="C92" i="27"/>
  <c r="L92" i="27"/>
  <c r="H92" i="27"/>
  <c r="E92" i="27"/>
  <c r="I92" i="27"/>
  <c r="M92" i="27"/>
  <c r="F92" i="27"/>
  <c r="J92" i="27"/>
  <c r="N92" i="27"/>
  <c r="G92" i="27"/>
  <c r="P92" i="27"/>
  <c r="J96" i="26"/>
  <c r="F96" i="26"/>
  <c r="D96" i="26"/>
  <c r="C96" i="26"/>
  <c r="G96" i="26"/>
  <c r="H96" i="26"/>
  <c r="I96" i="26"/>
  <c r="E96" i="26"/>
  <c r="N86" i="46" l="1"/>
  <c r="L86" i="46"/>
  <c r="K86" i="46"/>
  <c r="J86" i="46"/>
  <c r="I86" i="46"/>
  <c r="H86" i="46"/>
  <c r="G86" i="46"/>
  <c r="F86" i="46"/>
  <c r="E86" i="46"/>
  <c r="C88" i="46"/>
  <c r="D87" i="46"/>
  <c r="E92" i="49"/>
  <c r="L92" i="49"/>
  <c r="F92" i="49"/>
  <c r="K92" i="49"/>
  <c r="H92" i="49"/>
  <c r="D92" i="49"/>
  <c r="G92" i="49"/>
  <c r="J92" i="49"/>
  <c r="I92" i="49"/>
  <c r="C92" i="49"/>
  <c r="B93" i="49"/>
  <c r="A94" i="49"/>
  <c r="B91" i="32"/>
  <c r="A92" i="32"/>
  <c r="J93" i="27"/>
  <c r="C93" i="27"/>
  <c r="E93" i="27"/>
  <c r="H93" i="27"/>
  <c r="F93" i="27"/>
  <c r="K93" i="27"/>
  <c r="L93" i="27"/>
  <c r="G93" i="27"/>
  <c r="I93" i="27"/>
  <c r="N93" i="27"/>
  <c r="M93" i="27"/>
  <c r="P93" i="27"/>
  <c r="D93" i="27"/>
  <c r="O93" i="27"/>
  <c r="B98" i="26"/>
  <c r="A99" i="26"/>
  <c r="F97" i="26"/>
  <c r="D97" i="26"/>
  <c r="E97" i="26"/>
  <c r="C97" i="26"/>
  <c r="G97" i="26"/>
  <c r="J97" i="26"/>
  <c r="H97" i="26"/>
  <c r="I97" i="26"/>
  <c r="AB92" i="27"/>
  <c r="U92" i="27"/>
  <c r="AI92" i="27"/>
  <c r="A95" i="27"/>
  <c r="B94" i="27"/>
  <c r="N87" i="46" l="1"/>
  <c r="L87" i="46"/>
  <c r="K87" i="46"/>
  <c r="J87" i="46"/>
  <c r="I87" i="46"/>
  <c r="H87" i="46"/>
  <c r="G87" i="46"/>
  <c r="F87" i="46"/>
  <c r="E87" i="46"/>
  <c r="C89" i="46"/>
  <c r="D88" i="46"/>
  <c r="B94" i="49"/>
  <c r="A95" i="49"/>
  <c r="I93" i="49"/>
  <c r="G93" i="49"/>
  <c r="K93" i="49"/>
  <c r="C93" i="49"/>
  <c r="D93" i="49"/>
  <c r="H93" i="49"/>
  <c r="L93" i="49"/>
  <c r="E93" i="49"/>
  <c r="F93" i="49"/>
  <c r="J93" i="49"/>
  <c r="O94" i="27"/>
  <c r="D94" i="27"/>
  <c r="J94" i="27"/>
  <c r="M94" i="27"/>
  <c r="P94" i="27"/>
  <c r="F94" i="27"/>
  <c r="G94" i="27"/>
  <c r="K94" i="27"/>
  <c r="I94" i="27"/>
  <c r="E94" i="27"/>
  <c r="H94" i="27"/>
  <c r="C94" i="27"/>
  <c r="L94" i="27"/>
  <c r="N94" i="27"/>
  <c r="A96" i="27"/>
  <c r="B95" i="27"/>
  <c r="U93" i="27"/>
  <c r="AB93" i="27"/>
  <c r="AI93" i="27"/>
  <c r="B99" i="26"/>
  <c r="A100" i="26"/>
  <c r="B100" i="26" s="1"/>
  <c r="A93" i="32"/>
  <c r="B92" i="32"/>
  <c r="J98" i="26"/>
  <c r="E98" i="26"/>
  <c r="C98" i="26"/>
  <c r="I98" i="26"/>
  <c r="D98" i="26"/>
  <c r="G98" i="26"/>
  <c r="H98" i="26"/>
  <c r="F98" i="26"/>
  <c r="N88" i="46" l="1"/>
  <c r="L88" i="46"/>
  <c r="K88" i="46"/>
  <c r="J88" i="46"/>
  <c r="F88" i="46"/>
  <c r="I88" i="46"/>
  <c r="H88" i="46"/>
  <c r="G88" i="46"/>
  <c r="E88" i="46"/>
  <c r="C90" i="46"/>
  <c r="D89" i="46"/>
  <c r="B95" i="49"/>
  <c r="A96" i="49"/>
  <c r="G94" i="49"/>
  <c r="I94" i="49"/>
  <c r="H94" i="49"/>
  <c r="F94" i="49"/>
  <c r="D94" i="49"/>
  <c r="C94" i="49"/>
  <c r="K94" i="49"/>
  <c r="L94" i="49"/>
  <c r="E94" i="49"/>
  <c r="J94" i="49"/>
  <c r="H99" i="26"/>
  <c r="I99" i="26"/>
  <c r="F99" i="26"/>
  <c r="J99" i="26"/>
  <c r="E99" i="26"/>
  <c r="D99" i="26"/>
  <c r="G99" i="26"/>
  <c r="C99" i="26"/>
  <c r="I95" i="27"/>
  <c r="J95" i="27"/>
  <c r="G95" i="27"/>
  <c r="M95" i="27"/>
  <c r="D95" i="27"/>
  <c r="N95" i="27"/>
  <c r="E95" i="27"/>
  <c r="F95" i="27"/>
  <c r="O95" i="27"/>
  <c r="K95" i="27"/>
  <c r="C95" i="27"/>
  <c r="L95" i="27"/>
  <c r="P95" i="27"/>
  <c r="H95" i="27"/>
  <c r="A97" i="27"/>
  <c r="B96" i="27"/>
  <c r="A94" i="32"/>
  <c r="B93" i="32"/>
  <c r="U94" i="27"/>
  <c r="AB94" i="27"/>
  <c r="AI94" i="27"/>
  <c r="E100" i="26"/>
  <c r="G100" i="26"/>
  <c r="H100" i="26"/>
  <c r="F100" i="26"/>
  <c r="J100" i="26"/>
  <c r="D100" i="26"/>
  <c r="I100" i="26"/>
  <c r="C100" i="26"/>
  <c r="N89" i="46" l="1"/>
  <c r="L89" i="46"/>
  <c r="J89" i="46"/>
  <c r="I89" i="46"/>
  <c r="H89" i="46"/>
  <c r="G89" i="46"/>
  <c r="F89" i="46"/>
  <c r="K89" i="46"/>
  <c r="E89" i="46"/>
  <c r="C91" i="46"/>
  <c r="D90" i="46"/>
  <c r="K95" i="49"/>
  <c r="D95" i="49"/>
  <c r="E95" i="49"/>
  <c r="L95" i="49"/>
  <c r="I95" i="49"/>
  <c r="F95" i="49"/>
  <c r="J95" i="49"/>
  <c r="C95" i="49"/>
  <c r="G95" i="49"/>
  <c r="H95" i="49"/>
  <c r="B96" i="49"/>
  <c r="A97" i="49"/>
  <c r="M96" i="27"/>
  <c r="O96" i="27"/>
  <c r="I96" i="27"/>
  <c r="J96" i="27"/>
  <c r="G96" i="27"/>
  <c r="H96" i="27"/>
  <c r="N96" i="27"/>
  <c r="K96" i="27"/>
  <c r="L96" i="27"/>
  <c r="E96" i="27"/>
  <c r="D96" i="27"/>
  <c r="F96" i="27"/>
  <c r="P96" i="27"/>
  <c r="C96" i="27"/>
  <c r="B97" i="27"/>
  <c r="A98" i="27"/>
  <c r="AI95" i="27"/>
  <c r="AB95" i="27"/>
  <c r="U95" i="27"/>
  <c r="B94" i="32"/>
  <c r="A95" i="32"/>
  <c r="N90" i="46" l="1"/>
  <c r="L90" i="46"/>
  <c r="K90" i="46"/>
  <c r="J90" i="46"/>
  <c r="I90" i="46"/>
  <c r="H90" i="46"/>
  <c r="G90" i="46"/>
  <c r="F90" i="46"/>
  <c r="E90" i="46"/>
  <c r="C92" i="46"/>
  <c r="D91" i="46"/>
  <c r="C96" i="49"/>
  <c r="K96" i="49"/>
  <c r="H96" i="49"/>
  <c r="F96" i="49"/>
  <c r="E96" i="49"/>
  <c r="L96" i="49"/>
  <c r="G96" i="49"/>
  <c r="D96" i="49"/>
  <c r="I96" i="49"/>
  <c r="J96" i="49"/>
  <c r="A98" i="49"/>
  <c r="B97" i="49"/>
  <c r="B95" i="32"/>
  <c r="A96" i="32"/>
  <c r="A99" i="27"/>
  <c r="B98" i="27"/>
  <c r="AB96" i="27"/>
  <c r="U96" i="27"/>
  <c r="AI96" i="27"/>
  <c r="M97" i="27"/>
  <c r="N97" i="27"/>
  <c r="O97" i="27"/>
  <c r="J97" i="27"/>
  <c r="F97" i="27"/>
  <c r="D97" i="27"/>
  <c r="H97" i="27"/>
  <c r="P97" i="27"/>
  <c r="E97" i="27"/>
  <c r="I97" i="27"/>
  <c r="L97" i="27"/>
  <c r="C97" i="27"/>
  <c r="K97" i="27"/>
  <c r="G97" i="27"/>
  <c r="N91" i="46" l="1"/>
  <c r="L91" i="46"/>
  <c r="K91" i="46"/>
  <c r="J91" i="46"/>
  <c r="I91" i="46"/>
  <c r="H91" i="46"/>
  <c r="G91" i="46"/>
  <c r="F91" i="46"/>
  <c r="E91" i="46"/>
  <c r="C93" i="46"/>
  <c r="D92" i="46"/>
  <c r="B98" i="49"/>
  <c r="A99" i="49"/>
  <c r="G97" i="49"/>
  <c r="J97" i="49"/>
  <c r="L97" i="49"/>
  <c r="K97" i="49"/>
  <c r="D97" i="49"/>
  <c r="H97" i="49"/>
  <c r="F97" i="49"/>
  <c r="C97" i="49"/>
  <c r="E97" i="49"/>
  <c r="I97" i="49"/>
  <c r="J98" i="27"/>
  <c r="O98" i="27"/>
  <c r="D98" i="27"/>
  <c r="G98" i="27"/>
  <c r="K98" i="27"/>
  <c r="P98" i="27"/>
  <c r="F98" i="27"/>
  <c r="H98" i="27"/>
  <c r="L98" i="27"/>
  <c r="M98" i="27"/>
  <c r="I98" i="27"/>
  <c r="N98" i="27"/>
  <c r="E98" i="27"/>
  <c r="C98" i="27"/>
  <c r="AI97" i="27"/>
  <c r="AB97" i="27"/>
  <c r="U97" i="27"/>
  <c r="A100" i="27"/>
  <c r="B100" i="27" s="1"/>
  <c r="B99" i="27"/>
  <c r="A97" i="32"/>
  <c r="B96" i="32"/>
  <c r="N92" i="46" l="1"/>
  <c r="L92" i="46"/>
  <c r="K92" i="46"/>
  <c r="I92" i="46"/>
  <c r="E92" i="46"/>
  <c r="H92" i="46"/>
  <c r="G92" i="46"/>
  <c r="J92" i="46"/>
  <c r="F92" i="46"/>
  <c r="C94" i="46"/>
  <c r="D93" i="46"/>
  <c r="A100" i="49"/>
  <c r="B99" i="49"/>
  <c r="L98" i="49"/>
  <c r="E98" i="49"/>
  <c r="G98" i="49"/>
  <c r="C98" i="49"/>
  <c r="D98" i="49"/>
  <c r="J98" i="49"/>
  <c r="I98" i="49"/>
  <c r="H98" i="49"/>
  <c r="K98" i="49"/>
  <c r="F98" i="49"/>
  <c r="A98" i="32"/>
  <c r="B97" i="32"/>
  <c r="E99" i="27"/>
  <c r="F99" i="27"/>
  <c r="G99" i="27"/>
  <c r="M99" i="27"/>
  <c r="N99" i="27"/>
  <c r="H99" i="27"/>
  <c r="C99" i="27"/>
  <c r="K99" i="27"/>
  <c r="O99" i="27"/>
  <c r="J99" i="27"/>
  <c r="I99" i="27"/>
  <c r="P99" i="27"/>
  <c r="L99" i="27"/>
  <c r="D99" i="27"/>
  <c r="N100" i="27"/>
  <c r="F100" i="27"/>
  <c r="J100" i="27"/>
  <c r="O100" i="27"/>
  <c r="L100" i="27"/>
  <c r="P100" i="27"/>
  <c r="K100" i="27"/>
  <c r="D100" i="27"/>
  <c r="M100" i="27"/>
  <c r="C100" i="27"/>
  <c r="I100" i="27"/>
  <c r="G100" i="27"/>
  <c r="E100" i="27"/>
  <c r="H100" i="27"/>
  <c r="AA7" i="28"/>
  <c r="AH7" i="28"/>
  <c r="Z7" i="28"/>
  <c r="AI7" i="28"/>
  <c r="Y7" i="28"/>
  <c r="AO7" i="28"/>
  <c r="AB7" i="28"/>
  <c r="AN7" i="28"/>
  <c r="AC7" i="28"/>
  <c r="AE7" i="28"/>
  <c r="X7" i="28"/>
  <c r="AG7" i="28"/>
  <c r="W7" i="28"/>
  <c r="AJ7" i="28"/>
  <c r="AP7" i="28"/>
  <c r="AD7" i="28"/>
  <c r="AF7" i="28"/>
  <c r="AB98" i="27"/>
  <c r="U98" i="27"/>
  <c r="AI98" i="27"/>
  <c r="N93" i="46" l="1"/>
  <c r="L93" i="46"/>
  <c r="K93" i="46"/>
  <c r="J93" i="46"/>
  <c r="I93" i="46"/>
  <c r="H93" i="46"/>
  <c r="G93" i="46"/>
  <c r="F93" i="46"/>
  <c r="E93" i="46"/>
  <c r="C95" i="46"/>
  <c r="D94" i="46"/>
  <c r="G99" i="49"/>
  <c r="K99" i="49"/>
  <c r="H99" i="49"/>
  <c r="J99" i="49"/>
  <c r="F99" i="49"/>
  <c r="C99" i="49"/>
  <c r="I99" i="49"/>
  <c r="L99" i="49"/>
  <c r="E99" i="49"/>
  <c r="D99" i="49"/>
  <c r="A101" i="49"/>
  <c r="B100" i="49"/>
  <c r="AB100" i="27"/>
  <c r="U100" i="27"/>
  <c r="AI100" i="27"/>
  <c r="AI99" i="27"/>
  <c r="AB99" i="27"/>
  <c r="U99" i="27"/>
  <c r="B98" i="32"/>
  <c r="A99" i="32"/>
  <c r="N94" i="46" l="1"/>
  <c r="L94" i="46"/>
  <c r="K94" i="46"/>
  <c r="J94" i="46"/>
  <c r="I94" i="46"/>
  <c r="H94" i="46"/>
  <c r="G94" i="46"/>
  <c r="F94" i="46"/>
  <c r="E94" i="46"/>
  <c r="C96" i="46"/>
  <c r="D95" i="46"/>
  <c r="B101" i="49"/>
  <c r="A102" i="49"/>
  <c r="K100" i="49"/>
  <c r="F100" i="49"/>
  <c r="G100" i="49"/>
  <c r="C100" i="49"/>
  <c r="E100" i="49"/>
  <c r="J100" i="49"/>
  <c r="I100" i="49"/>
  <c r="D100" i="49"/>
  <c r="H100" i="49"/>
  <c r="L100" i="49"/>
  <c r="B99" i="32"/>
  <c r="A100" i="32"/>
  <c r="N95" i="46" l="1"/>
  <c r="L95" i="46"/>
  <c r="K95" i="46"/>
  <c r="J95" i="46"/>
  <c r="I95" i="46"/>
  <c r="H95" i="46"/>
  <c r="G95" i="46"/>
  <c r="F95" i="46"/>
  <c r="E95" i="46"/>
  <c r="C97" i="46"/>
  <c r="D96" i="46"/>
  <c r="A103" i="49"/>
  <c r="B102" i="49"/>
  <c r="D101" i="49"/>
  <c r="L101" i="49"/>
  <c r="I101" i="49"/>
  <c r="F101" i="49"/>
  <c r="H101" i="49"/>
  <c r="K101" i="49"/>
  <c r="E101" i="49"/>
  <c r="J101" i="49"/>
  <c r="G101" i="49"/>
  <c r="C101" i="49"/>
  <c r="A101" i="32"/>
  <c r="B100" i="32"/>
  <c r="N96" i="46" l="1"/>
  <c r="L96" i="46"/>
  <c r="K96" i="46"/>
  <c r="H96" i="46"/>
  <c r="G96" i="46"/>
  <c r="E96" i="46"/>
  <c r="J96" i="46"/>
  <c r="F96" i="46"/>
  <c r="I96" i="46"/>
  <c r="C98" i="46"/>
  <c r="D97" i="46"/>
  <c r="D102" i="49"/>
  <c r="C102" i="49"/>
  <c r="H102" i="49"/>
  <c r="G102" i="49"/>
  <c r="J102" i="49"/>
  <c r="E102" i="49"/>
  <c r="K102" i="49"/>
  <c r="L102" i="49"/>
  <c r="I102" i="49"/>
  <c r="F102" i="49"/>
  <c r="A104" i="49"/>
  <c r="B103" i="49"/>
  <c r="A102" i="32"/>
  <c r="B101" i="32"/>
  <c r="L97" i="46" l="1"/>
  <c r="K97" i="46"/>
  <c r="J97" i="46"/>
  <c r="I97" i="46"/>
  <c r="H97" i="46"/>
  <c r="G97" i="46"/>
  <c r="F97" i="46"/>
  <c r="E97" i="46"/>
  <c r="N97" i="46"/>
  <c r="C99" i="46"/>
  <c r="D98" i="46"/>
  <c r="B104" i="49"/>
  <c r="A105" i="49"/>
  <c r="L103" i="49"/>
  <c r="J103" i="49"/>
  <c r="E103" i="49"/>
  <c r="C103" i="49"/>
  <c r="H103" i="49"/>
  <c r="G103" i="49"/>
  <c r="I103" i="49"/>
  <c r="K103" i="49"/>
  <c r="F103" i="49"/>
  <c r="D103" i="49"/>
  <c r="A103" i="32"/>
  <c r="B102" i="32"/>
  <c r="N98" i="46" l="1"/>
  <c r="L98" i="46"/>
  <c r="K98" i="46"/>
  <c r="J98" i="46"/>
  <c r="I98" i="46"/>
  <c r="H98" i="46"/>
  <c r="G98" i="46"/>
  <c r="F98" i="46"/>
  <c r="E98" i="46"/>
  <c r="C100" i="46"/>
  <c r="D99" i="46"/>
  <c r="A106" i="49"/>
  <c r="B105" i="49"/>
  <c r="K104" i="49"/>
  <c r="D104" i="49"/>
  <c r="C104" i="49"/>
  <c r="G104" i="49"/>
  <c r="J104" i="49"/>
  <c r="H104" i="49"/>
  <c r="I104" i="49"/>
  <c r="L104" i="49"/>
  <c r="F104" i="49"/>
  <c r="E104" i="49"/>
  <c r="A104" i="32"/>
  <c r="B103" i="32"/>
  <c r="N99" i="46" l="1"/>
  <c r="L99" i="46"/>
  <c r="K99" i="46"/>
  <c r="J99" i="46"/>
  <c r="I99" i="46"/>
  <c r="H99" i="46"/>
  <c r="G99" i="46"/>
  <c r="F99" i="46"/>
  <c r="E99" i="46"/>
  <c r="C101" i="46"/>
  <c r="D100" i="46"/>
  <c r="I105" i="49"/>
  <c r="H105" i="49"/>
  <c r="E105" i="49"/>
  <c r="D105" i="49"/>
  <c r="L105" i="49"/>
  <c r="F105" i="49"/>
  <c r="J105" i="49"/>
  <c r="G105" i="49"/>
  <c r="K105" i="49"/>
  <c r="C105" i="49"/>
  <c r="A107" i="49"/>
  <c r="B106" i="49"/>
  <c r="A105" i="32"/>
  <c r="B104" i="32"/>
  <c r="N100" i="46" l="1"/>
  <c r="L100" i="46"/>
  <c r="K100" i="46"/>
  <c r="G100" i="46"/>
  <c r="J100" i="46"/>
  <c r="F100" i="46"/>
  <c r="I100" i="46"/>
  <c r="E100" i="46"/>
  <c r="H100" i="46"/>
  <c r="C102" i="46"/>
  <c r="D101" i="46"/>
  <c r="L106" i="49"/>
  <c r="G106" i="49"/>
  <c r="H106" i="49"/>
  <c r="F106" i="49"/>
  <c r="D106" i="49"/>
  <c r="I106" i="49"/>
  <c r="J106" i="49"/>
  <c r="E106" i="49"/>
  <c r="C106" i="49"/>
  <c r="K106" i="49"/>
  <c r="B107" i="49"/>
  <c r="A108" i="49"/>
  <c r="A106" i="32"/>
  <c r="B105" i="32"/>
  <c r="K101" i="46" l="1"/>
  <c r="N101" i="46"/>
  <c r="J101" i="46"/>
  <c r="I101" i="46"/>
  <c r="H101" i="46"/>
  <c r="G101" i="46"/>
  <c r="F101" i="46"/>
  <c r="L101" i="46"/>
  <c r="E101" i="46"/>
  <c r="C103" i="46"/>
  <c r="D102" i="46"/>
  <c r="L107" i="49"/>
  <c r="I107" i="49"/>
  <c r="F107" i="49"/>
  <c r="C107" i="49"/>
  <c r="E107" i="49"/>
  <c r="D107" i="49"/>
  <c r="H107" i="49"/>
  <c r="J107" i="49"/>
  <c r="G107" i="49"/>
  <c r="K107" i="49"/>
  <c r="A109" i="49"/>
  <c r="B108" i="49"/>
  <c r="A107" i="32"/>
  <c r="B106" i="32"/>
  <c r="N102" i="46" l="1"/>
  <c r="L102" i="46"/>
  <c r="K102" i="46"/>
  <c r="J102" i="46"/>
  <c r="I102" i="46"/>
  <c r="H102" i="46"/>
  <c r="G102" i="46"/>
  <c r="F102" i="46"/>
  <c r="E102" i="46"/>
  <c r="C104" i="46"/>
  <c r="D103" i="46"/>
  <c r="B109" i="49"/>
  <c r="A110" i="49"/>
  <c r="G108" i="49"/>
  <c r="H108" i="49"/>
  <c r="F108" i="49"/>
  <c r="K108" i="49"/>
  <c r="C108" i="49"/>
  <c r="I108" i="49"/>
  <c r="L108" i="49"/>
  <c r="J108" i="49"/>
  <c r="D108" i="49"/>
  <c r="E108" i="49"/>
  <c r="B107" i="32"/>
  <c r="A108" i="32"/>
  <c r="B108" i="32" s="1"/>
  <c r="N103" i="46" l="1"/>
  <c r="L103" i="46"/>
  <c r="K103" i="46"/>
  <c r="J103" i="46"/>
  <c r="I103" i="46"/>
  <c r="H103" i="46"/>
  <c r="G103" i="46"/>
  <c r="F103" i="46"/>
  <c r="E103" i="46"/>
  <c r="C105" i="46"/>
  <c r="D105" i="46" s="1"/>
  <c r="D104" i="46"/>
  <c r="A111" i="49"/>
  <c r="B110" i="49"/>
  <c r="H109" i="49"/>
  <c r="C109" i="49"/>
  <c r="G109" i="49"/>
  <c r="J109" i="49"/>
  <c r="D109" i="49"/>
  <c r="I109" i="49"/>
  <c r="E109" i="49"/>
  <c r="K109" i="49"/>
  <c r="L109" i="49"/>
  <c r="F109" i="49"/>
  <c r="L5" i="46"/>
  <c r="J5" i="46"/>
  <c r="N5" i="46"/>
  <c r="I5" i="46"/>
  <c r="G5" i="46"/>
  <c r="F5" i="46"/>
  <c r="K5" i="46"/>
  <c r="H5" i="46"/>
  <c r="E5" i="46"/>
  <c r="N104" i="46" l="1"/>
  <c r="L104" i="46"/>
  <c r="K104" i="46"/>
  <c r="J104" i="46"/>
  <c r="F104" i="46"/>
  <c r="I104" i="46"/>
  <c r="H104" i="46"/>
  <c r="E104" i="46"/>
  <c r="G104" i="46"/>
  <c r="N105" i="46"/>
  <c r="L105" i="46"/>
  <c r="J105" i="46"/>
  <c r="I105" i="46"/>
  <c r="H105" i="46"/>
  <c r="G105" i="46"/>
  <c r="F105" i="46"/>
  <c r="E105" i="46"/>
  <c r="K105" i="46"/>
  <c r="K110" i="49"/>
  <c r="J110" i="49"/>
  <c r="F110" i="49"/>
  <c r="C110" i="49"/>
  <c r="G110" i="49"/>
  <c r="I110" i="49"/>
  <c r="H110" i="49"/>
  <c r="D110" i="49"/>
  <c r="L110" i="49"/>
  <c r="E110" i="49"/>
  <c r="B111" i="49"/>
  <c r="A112" i="49"/>
  <c r="F111" i="49" l="1"/>
  <c r="G111" i="49"/>
  <c r="E111" i="49"/>
  <c r="H111" i="49"/>
  <c r="L111" i="49"/>
  <c r="D111" i="49"/>
  <c r="C111" i="49"/>
  <c r="K111" i="49"/>
  <c r="J111" i="49"/>
  <c r="I111" i="49"/>
  <c r="B112" i="49"/>
  <c r="A113" i="49"/>
  <c r="F112" i="49" l="1"/>
  <c r="G112" i="49"/>
  <c r="K112" i="49"/>
  <c r="C112" i="49"/>
  <c r="H112" i="49"/>
  <c r="I112" i="49"/>
  <c r="L112" i="49"/>
  <c r="J112" i="49"/>
  <c r="D112" i="49"/>
  <c r="E112" i="49"/>
  <c r="A114" i="49"/>
  <c r="B113" i="49"/>
  <c r="J113" i="49" l="1"/>
  <c r="D113" i="49"/>
  <c r="K113" i="49"/>
  <c r="G113" i="49"/>
  <c r="C113" i="49"/>
  <c r="H113" i="49"/>
  <c r="I113" i="49"/>
  <c r="F113" i="49"/>
  <c r="L113" i="49"/>
  <c r="E113" i="49"/>
  <c r="B114" i="49"/>
  <c r="A115" i="49"/>
  <c r="D114" i="49" l="1"/>
  <c r="F114" i="49"/>
  <c r="G114" i="49"/>
  <c r="C114" i="49"/>
  <c r="E114" i="49"/>
  <c r="L114" i="49"/>
  <c r="I114" i="49"/>
  <c r="K114" i="49"/>
  <c r="H114" i="49"/>
  <c r="J114" i="49"/>
  <c r="B115" i="49"/>
  <c r="A116" i="49"/>
  <c r="A117" i="49" l="1"/>
  <c r="B116" i="49"/>
  <c r="K115" i="49"/>
  <c r="G115" i="49"/>
  <c r="I115" i="49"/>
  <c r="H115" i="49"/>
  <c r="F115" i="49"/>
  <c r="J115" i="49"/>
  <c r="L115" i="49"/>
  <c r="E115" i="49"/>
  <c r="D115" i="49"/>
  <c r="C115" i="49"/>
  <c r="K116" i="49" l="1"/>
  <c r="D116" i="49"/>
  <c r="I116" i="49"/>
  <c r="C116" i="49"/>
  <c r="G116" i="49"/>
  <c r="F116" i="49"/>
  <c r="E116" i="49"/>
  <c r="L116" i="49"/>
  <c r="H116" i="49"/>
  <c r="J116" i="49"/>
  <c r="B117" i="49"/>
  <c r="A118" i="49"/>
  <c r="A119" i="49" l="1"/>
  <c r="B118" i="49"/>
  <c r="D117" i="49"/>
  <c r="G117" i="49"/>
  <c r="J117" i="49"/>
  <c r="F117" i="49"/>
  <c r="I117" i="49"/>
  <c r="E117" i="49"/>
  <c r="C117" i="49"/>
  <c r="K117" i="49"/>
  <c r="L117" i="49"/>
  <c r="H117" i="49"/>
  <c r="L118" i="49" l="1"/>
  <c r="I118" i="49"/>
  <c r="K118" i="49"/>
  <c r="H118" i="49"/>
  <c r="E118" i="49"/>
  <c r="J118" i="49"/>
  <c r="D118" i="49"/>
  <c r="F118" i="49"/>
  <c r="C118" i="49"/>
  <c r="G118" i="49"/>
  <c r="B119" i="49"/>
  <c r="A120" i="49"/>
  <c r="G119" i="49" l="1"/>
  <c r="J119" i="49"/>
  <c r="K119" i="49"/>
  <c r="C119" i="49"/>
  <c r="D119" i="49"/>
  <c r="L119" i="49"/>
  <c r="H119" i="49"/>
  <c r="F119" i="49"/>
  <c r="I119" i="49"/>
  <c r="E119" i="49"/>
  <c r="A121" i="49"/>
  <c r="B120" i="49"/>
  <c r="L120" i="49" l="1"/>
  <c r="C120" i="49"/>
  <c r="H120" i="49"/>
  <c r="I120" i="49"/>
  <c r="G120" i="49"/>
  <c r="K120" i="49"/>
  <c r="E120" i="49"/>
  <c r="F120" i="49"/>
  <c r="J120" i="49"/>
  <c r="D120" i="49"/>
  <c r="B121" i="49"/>
  <c r="A122" i="49"/>
  <c r="K121" i="49" l="1"/>
  <c r="D121" i="49"/>
  <c r="G121" i="49"/>
  <c r="F121" i="49"/>
  <c r="L121" i="49"/>
  <c r="I121" i="49"/>
  <c r="H121" i="49"/>
  <c r="C121" i="49"/>
  <c r="J121" i="49"/>
  <c r="E121" i="49"/>
  <c r="B122" i="49"/>
  <c r="A123" i="49"/>
  <c r="J122" i="49" l="1"/>
  <c r="F122" i="49"/>
  <c r="E122" i="49"/>
  <c r="C122" i="49"/>
  <c r="L122" i="49"/>
  <c r="D122" i="49"/>
  <c r="K122" i="49"/>
  <c r="H122" i="49"/>
  <c r="G122" i="49"/>
  <c r="I122" i="49"/>
  <c r="B123" i="49"/>
  <c r="A124" i="49"/>
  <c r="A125" i="49" l="1"/>
  <c r="B124" i="49"/>
  <c r="C123" i="49"/>
  <c r="I123" i="49"/>
  <c r="G123" i="49"/>
  <c r="J123" i="49"/>
  <c r="E123" i="49"/>
  <c r="L123" i="49"/>
  <c r="K123" i="49"/>
  <c r="F123" i="49"/>
  <c r="D123" i="49"/>
  <c r="H123" i="49"/>
  <c r="F124" i="49" l="1"/>
  <c r="L124" i="49"/>
  <c r="G124" i="49"/>
  <c r="C124" i="49"/>
  <c r="E124" i="49"/>
  <c r="H124" i="49"/>
  <c r="K124" i="49"/>
  <c r="J124" i="49"/>
  <c r="D124" i="49"/>
  <c r="I124" i="49"/>
  <c r="B125" i="49"/>
  <c r="A126" i="49"/>
  <c r="A127" i="49" l="1"/>
  <c r="B126" i="49"/>
  <c r="F125" i="49"/>
  <c r="I125" i="49"/>
  <c r="H125" i="49"/>
  <c r="K125" i="49"/>
  <c r="J125" i="49"/>
  <c r="G125" i="49"/>
  <c r="C125" i="49"/>
  <c r="E125" i="49"/>
  <c r="L125" i="49"/>
  <c r="D125" i="49"/>
  <c r="F126" i="49" l="1"/>
  <c r="H126" i="49"/>
  <c r="C126" i="49"/>
  <c r="G126" i="49"/>
  <c r="K126" i="49"/>
  <c r="J126" i="49"/>
  <c r="I126" i="49"/>
  <c r="D126" i="49"/>
  <c r="L126" i="49"/>
  <c r="E126" i="49"/>
  <c r="B127" i="49"/>
  <c r="A128" i="49"/>
  <c r="F127" i="49" l="1"/>
  <c r="J127" i="49"/>
  <c r="K127" i="49"/>
  <c r="G127" i="49"/>
  <c r="C127" i="49"/>
  <c r="H127" i="49"/>
  <c r="L127" i="49"/>
  <c r="D127" i="49"/>
  <c r="I127" i="49"/>
  <c r="E127" i="49"/>
  <c r="A129" i="49"/>
  <c r="B128" i="49"/>
  <c r="E128" i="49" l="1"/>
  <c r="L128" i="49"/>
  <c r="I128" i="49"/>
  <c r="D128" i="49"/>
  <c r="H128" i="49"/>
  <c r="F128" i="49"/>
  <c r="C128" i="49"/>
  <c r="J128" i="49"/>
  <c r="G128" i="49"/>
  <c r="K128" i="49"/>
  <c r="A130" i="49"/>
  <c r="B129" i="49"/>
  <c r="K129" i="49" l="1"/>
  <c r="H129" i="49"/>
  <c r="C129" i="49"/>
  <c r="E129" i="49"/>
  <c r="I129" i="49"/>
  <c r="G129" i="49"/>
  <c r="J129" i="49"/>
  <c r="L129" i="49"/>
  <c r="F129" i="49"/>
  <c r="D129" i="49"/>
  <c r="B130" i="49"/>
  <c r="A131" i="49"/>
  <c r="B131" i="49" l="1"/>
  <c r="A132" i="49"/>
  <c r="I130" i="49"/>
  <c r="H130" i="49"/>
  <c r="L130" i="49"/>
  <c r="D130" i="49"/>
  <c r="K130" i="49"/>
  <c r="C130" i="49"/>
  <c r="J130" i="49"/>
  <c r="E130" i="49"/>
  <c r="F130" i="49"/>
  <c r="G130" i="49"/>
  <c r="A133" i="49" l="1"/>
  <c r="B132" i="49"/>
  <c r="J131" i="49"/>
  <c r="L131" i="49"/>
  <c r="H131" i="49"/>
  <c r="E131" i="49"/>
  <c r="F131" i="49"/>
  <c r="G131" i="49"/>
  <c r="I131" i="49"/>
  <c r="D131" i="49"/>
  <c r="K131" i="49"/>
  <c r="C131" i="49"/>
  <c r="E132" i="49" l="1"/>
  <c r="H132" i="49"/>
  <c r="K132" i="49"/>
  <c r="F132" i="49"/>
  <c r="J132" i="49"/>
  <c r="D132" i="49"/>
  <c r="I132" i="49"/>
  <c r="L132" i="49"/>
  <c r="C132" i="49"/>
  <c r="G132" i="49"/>
  <c r="B133" i="49"/>
  <c r="A134" i="49"/>
  <c r="B134" i="49" l="1"/>
  <c r="A135" i="49"/>
  <c r="C133" i="49"/>
  <c r="D133" i="49"/>
  <c r="E133" i="49"/>
  <c r="F133" i="49"/>
  <c r="K133" i="49"/>
  <c r="H133" i="49"/>
  <c r="L133" i="49"/>
  <c r="G133" i="49"/>
  <c r="J133" i="49"/>
  <c r="I133" i="49"/>
  <c r="A136" i="49" l="1"/>
  <c r="B135" i="49"/>
  <c r="E134" i="49"/>
  <c r="C134" i="49"/>
  <c r="I134" i="49"/>
  <c r="G134" i="49"/>
  <c r="K134" i="49"/>
  <c r="F134" i="49"/>
  <c r="H134" i="49"/>
  <c r="D134" i="49"/>
  <c r="J134" i="49"/>
  <c r="L134" i="49"/>
  <c r="I135" i="49" l="1"/>
  <c r="F135" i="49"/>
  <c r="J135" i="49"/>
  <c r="E135" i="49"/>
  <c r="C135" i="49"/>
  <c r="D135" i="49"/>
  <c r="K135" i="49"/>
  <c r="H135" i="49"/>
  <c r="G135" i="49"/>
  <c r="L135" i="49"/>
  <c r="B136" i="49"/>
  <c r="A137" i="49"/>
  <c r="B137" i="49" l="1"/>
  <c r="A138" i="49"/>
  <c r="L136" i="49"/>
  <c r="D136" i="49"/>
  <c r="I136" i="49"/>
  <c r="J136" i="49"/>
  <c r="K136" i="49"/>
  <c r="F136" i="49"/>
  <c r="C136" i="49"/>
  <c r="H136" i="49"/>
  <c r="E136" i="49"/>
  <c r="G136" i="49"/>
  <c r="B138" i="49" l="1"/>
  <c r="A139" i="49"/>
  <c r="E137" i="49"/>
  <c r="F137" i="49"/>
  <c r="J137" i="49"/>
  <c r="K137" i="49"/>
  <c r="C137" i="49"/>
  <c r="H137" i="49"/>
  <c r="G137" i="49"/>
  <c r="I137" i="49"/>
  <c r="D137" i="49"/>
  <c r="L137" i="49"/>
  <c r="B139" i="49" l="1"/>
  <c r="A140" i="49"/>
  <c r="I138" i="49"/>
  <c r="F138" i="49"/>
  <c r="G138" i="49"/>
  <c r="D138" i="49"/>
  <c r="J138" i="49"/>
  <c r="L138" i="49"/>
  <c r="H138" i="49"/>
  <c r="E138" i="49"/>
  <c r="C138" i="49"/>
  <c r="K138" i="49"/>
  <c r="A141" i="49" l="1"/>
  <c r="B140" i="49"/>
  <c r="J139" i="49"/>
  <c r="I139" i="49"/>
  <c r="D139" i="49"/>
  <c r="L139" i="49"/>
  <c r="E139" i="49"/>
  <c r="F139" i="49"/>
  <c r="C139" i="49"/>
  <c r="H139" i="49"/>
  <c r="K139" i="49"/>
  <c r="G139" i="49"/>
  <c r="H140" i="49" l="1"/>
  <c r="L140" i="49"/>
  <c r="K140" i="49"/>
  <c r="D140" i="49"/>
  <c r="C140" i="49"/>
  <c r="I140" i="49"/>
  <c r="E140" i="49"/>
  <c r="F140" i="49"/>
  <c r="G140" i="49"/>
  <c r="J140" i="49"/>
  <c r="B141" i="49"/>
  <c r="A142" i="49"/>
  <c r="K141" i="49" l="1"/>
  <c r="C141" i="49"/>
  <c r="J141" i="49"/>
  <c r="G141" i="49"/>
  <c r="F141" i="49"/>
  <c r="E141" i="49"/>
  <c r="D141" i="49"/>
  <c r="H141" i="49"/>
  <c r="I141" i="49"/>
  <c r="L141" i="49"/>
  <c r="B142" i="49"/>
  <c r="A143" i="49"/>
  <c r="B143" i="49" l="1"/>
  <c r="A144" i="49"/>
  <c r="J142" i="49"/>
  <c r="I142" i="49"/>
  <c r="H142" i="49"/>
  <c r="F142" i="49"/>
  <c r="L142" i="49"/>
  <c r="D142" i="49"/>
  <c r="K142" i="49"/>
  <c r="E142" i="49"/>
  <c r="C142" i="49"/>
  <c r="G142" i="49"/>
  <c r="A145" i="49" l="1"/>
  <c r="B144" i="49"/>
  <c r="C143" i="49"/>
  <c r="I143" i="49"/>
  <c r="L143" i="49"/>
  <c r="H143" i="49"/>
  <c r="K143" i="49"/>
  <c r="E143" i="49"/>
  <c r="F143" i="49"/>
  <c r="D143" i="49"/>
  <c r="G143" i="49"/>
  <c r="J143" i="49"/>
  <c r="D144" i="49" l="1"/>
  <c r="C144" i="49"/>
  <c r="K144" i="49"/>
  <c r="F144" i="49"/>
  <c r="I144" i="49"/>
  <c r="E144" i="49"/>
  <c r="L144" i="49"/>
  <c r="H144" i="49"/>
  <c r="J144" i="49"/>
  <c r="G144" i="49"/>
  <c r="A146" i="49"/>
  <c r="B145" i="49"/>
  <c r="H145" i="49" l="1"/>
  <c r="I145" i="49"/>
  <c r="K145" i="49"/>
  <c r="C145" i="49"/>
  <c r="F145" i="49"/>
  <c r="E145" i="49"/>
  <c r="G145" i="49"/>
  <c r="J145" i="49"/>
  <c r="L145" i="49"/>
  <c r="D145" i="49"/>
  <c r="B146" i="49"/>
  <c r="A147" i="49"/>
  <c r="B147" i="49" l="1"/>
  <c r="A148" i="49"/>
  <c r="H146" i="49"/>
  <c r="L146" i="49"/>
  <c r="C146" i="49"/>
  <c r="G146" i="49"/>
  <c r="E146" i="49"/>
  <c r="D146" i="49"/>
  <c r="J146" i="49"/>
  <c r="K146" i="49"/>
  <c r="F146" i="49"/>
  <c r="I146" i="49"/>
  <c r="A149" i="49" l="1"/>
  <c r="B148" i="49"/>
  <c r="L147" i="49"/>
  <c r="F147" i="49"/>
  <c r="I147" i="49"/>
  <c r="K147" i="49"/>
  <c r="C147" i="49"/>
  <c r="H147" i="49"/>
  <c r="J147" i="49"/>
  <c r="D147" i="49"/>
  <c r="E147" i="49"/>
  <c r="G147" i="49"/>
  <c r="D148" i="49" l="1"/>
  <c r="L148" i="49"/>
  <c r="H148" i="49"/>
  <c r="F148" i="49"/>
  <c r="K148" i="49"/>
  <c r="I148" i="49"/>
  <c r="E148" i="49"/>
  <c r="J148" i="49"/>
  <c r="C148" i="49"/>
  <c r="G148" i="49"/>
  <c r="A150" i="49"/>
  <c r="B150" i="49" s="1"/>
  <c r="B149" i="49"/>
  <c r="X8" i="50" l="1"/>
  <c r="U8" i="50"/>
  <c r="N8" i="50"/>
  <c r="Q8" i="50"/>
  <c r="T8" i="50"/>
  <c r="O8" i="50"/>
  <c r="F149" i="49"/>
  <c r="J149" i="49"/>
  <c r="D149" i="49"/>
  <c r="L149" i="49"/>
  <c r="H149" i="49"/>
  <c r="I149" i="49"/>
  <c r="G149" i="49"/>
  <c r="C149" i="49"/>
  <c r="K149" i="49"/>
  <c r="E149" i="49"/>
  <c r="P8" i="50"/>
  <c r="R8" i="50"/>
  <c r="G150" i="49"/>
  <c r="I150" i="49"/>
  <c r="E150" i="49"/>
  <c r="H150" i="49"/>
  <c r="C150" i="49"/>
  <c r="K150" i="49"/>
  <c r="L150" i="49"/>
  <c r="J150" i="49"/>
  <c r="D150" i="49"/>
  <c r="F150" i="49"/>
  <c r="W8" i="50"/>
  <c r="V8" i="50"/>
</calcChain>
</file>

<file path=xl/sharedStrings.xml><?xml version="1.0" encoding="utf-8"?>
<sst xmlns="http://schemas.openxmlformats.org/spreadsheetml/2006/main" count="11309" uniqueCount="4971">
  <si>
    <t>Version 8</t>
  </si>
  <si>
    <t>French</t>
  </si>
  <si>
    <t>Version number</t>
  </si>
  <si>
    <t>Date</t>
  </si>
  <si>
    <t>Changes made</t>
  </si>
  <si>
    <t>Made by</t>
  </si>
  <si>
    <t>At request of</t>
  </si>
  <si>
    <t xml:space="preserve">• First version of PR Reporting Template
</t>
  </si>
  <si>
    <t>Tanaka Ndowa</t>
  </si>
  <si>
    <t>• updated excel mapping of financial start date
• updated mapping of coverage indicator country column
• corrected formulas for PR expenditure and LFA expenditure for cost input</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</si>
  <si>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</si>
  <si>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</si>
  <si>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</si>
  <si>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</si>
  <si>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•Corrected ordering on LFA Cost Input
• Corrected Formula on PR and LFA expenditure import as it was cutting off midway down</t>
  </si>
  <si>
    <t>Tanaka ndowa</t>
  </si>
  <si>
    <t>• Corrected PR expenditure 7A, 7B and cash forecast for the manual entry records
•  Finalised translations</t>
  </si>
  <si>
    <t>Updated digital certificate - valid from 10th June to 22nd October,2019</t>
  </si>
  <si>
    <t>Shashikanta Patowary</t>
  </si>
  <si>
    <t>Updated digital certificate - valid till 16th October,2020</t>
  </si>
  <si>
    <t>IRT_Mitigating_actions_status</t>
  </si>
  <si>
    <t>Year_of_result</t>
  </si>
  <si>
    <t>Source</t>
  </si>
  <si>
    <t>Verification_Method</t>
  </si>
  <si>
    <t>WPTM_Progress</t>
  </si>
  <si>
    <t>In Progress</t>
  </si>
  <si>
    <t>HMIS</t>
  </si>
  <si>
    <t>Not Verified</t>
  </si>
  <si>
    <t>Not Started</t>
  </si>
  <si>
    <t>COVER SHEET</t>
  </si>
  <si>
    <t>Delayed</t>
  </si>
  <si>
    <t>Patient records</t>
  </si>
  <si>
    <t>Desk Review</t>
  </si>
  <si>
    <t>Started</t>
  </si>
  <si>
    <t>Training records</t>
  </si>
  <si>
    <t>Other</t>
  </si>
  <si>
    <t>Advancing</t>
  </si>
  <si>
    <t>Burundi</t>
  </si>
  <si>
    <t>Met</t>
  </si>
  <si>
    <t>MICS (Multiple Indicator Cluster Survey)</t>
  </si>
  <si>
    <t>Completed</t>
  </si>
  <si>
    <t>Multi</t>
  </si>
  <si>
    <t>DHS/DHS+ (Demographic and Health Survey)</t>
  </si>
  <si>
    <t>BDI-C-UNDP</t>
  </si>
  <si>
    <t>AIS (AIDS Indicator Survey)</t>
  </si>
  <si>
    <t>United Nations Development Programme</t>
  </si>
  <si>
    <t>BSS (Behavioral Surveillance Survey)</t>
  </si>
  <si>
    <t>Health Facility survey</t>
  </si>
  <si>
    <t>SAMS (Service Availability Mapping Survey)</t>
  </si>
  <si>
    <t>USD</t>
  </si>
  <si>
    <t>Households survey</t>
  </si>
  <si>
    <t>BIF</t>
  </si>
  <si>
    <t>Specific surveys and research (specify)</t>
  </si>
  <si>
    <t>Reports (specify)</t>
  </si>
  <si>
    <t>Reporting Period Start Date</t>
  </si>
  <si>
    <t>Vital and disease-specific registry</t>
  </si>
  <si>
    <t>Reporting Period End Date</t>
  </si>
  <si>
    <t>Operational Research</t>
  </si>
  <si>
    <t>Financial Period Start Date</t>
  </si>
  <si>
    <t>Health Provider survey</t>
  </si>
  <si>
    <t>Disbursement Execution Start Date</t>
  </si>
  <si>
    <t>National Health Account</t>
  </si>
  <si>
    <t>Disbursement Execution End Date</t>
  </si>
  <si>
    <t>Administrative records</t>
  </si>
  <si>
    <t>Disbursement Buffer Start Date</t>
  </si>
  <si>
    <t>R&amp;R TB system, quarterly reports</t>
  </si>
  <si>
    <t>Disbursement Buffer End Date</t>
  </si>
  <si>
    <t>R&amp;R TB system, yearly management report </t>
  </si>
  <si>
    <t>TB prevalence survey</t>
  </si>
  <si>
    <t>TB patient register</t>
  </si>
  <si>
    <t>PR Import Date</t>
  </si>
  <si>
    <t>TB laboratory register</t>
  </si>
  <si>
    <t>LFA Import date</t>
  </si>
  <si>
    <t>TB treatment card</t>
  </si>
  <si>
    <t>Specify- Reports, Surveys, Questionnaires etc.</t>
  </si>
  <si>
    <t>Being Uploaded from PR Template</t>
  </si>
  <si>
    <t>MIS (Malaria Indicator Survey)</t>
  </si>
  <si>
    <t>Cost Input or Cost Grouping</t>
  </si>
  <si>
    <t>Situation Analysis</t>
  </si>
  <si>
    <t>Key informant survey</t>
  </si>
  <si>
    <t>Surveillance systems</t>
  </si>
  <si>
    <t>Modelled</t>
  </si>
  <si>
    <t>Other survey, specify</t>
  </si>
  <si>
    <t>IBBS</t>
  </si>
  <si>
    <t>Progress Update</t>
  </si>
  <si>
    <t>Grant Name</t>
  </si>
  <si>
    <t>Disbursement Request</t>
  </si>
  <si>
    <t>Last PR of Implementation Period</t>
  </si>
  <si>
    <t>Version</t>
  </si>
  <si>
    <t>Tab Name</t>
  </si>
  <si>
    <t>Opt-In/Opt-out Progress Report</t>
  </si>
  <si>
    <t>Opt-In/Opt-out Disbursement Request</t>
  </si>
  <si>
    <t>Opt-In/Opt-Out Last Progress Rep. of IP</t>
  </si>
  <si>
    <t>[Tab Name]</t>
  </si>
  <si>
    <t>[Opt-In/Opt-out Progress Report]</t>
  </si>
  <si>
    <t>[Opt-In/Opt-out Disbursement Request]</t>
  </si>
  <si>
    <t>[Opt-In/Opt-Out Last Progress Rep. of IP]</t>
  </si>
  <si>
    <t>Impact Outcome Indicators_1A</t>
  </si>
  <si>
    <t>Coverage Indicators_1B</t>
  </si>
  <si>
    <t>LFA_Findings&amp;Recommendations_6</t>
  </si>
  <si>
    <t>Disaggregation_1A</t>
  </si>
  <si>
    <t>Grant Management_4</t>
  </si>
  <si>
    <t>PR Cash Reconciliation_2A,B,C,D</t>
  </si>
  <si>
    <t>Semi-Annual Cash Forecast_8AA</t>
  </si>
  <si>
    <t>LFA Expenditure_7B</t>
  </si>
  <si>
    <t>Procurement_3</t>
  </si>
  <si>
    <t>Request and Recommendation_8B</t>
  </si>
  <si>
    <t>Budget Variance_2F</t>
  </si>
  <si>
    <t>PR Authorization_9A</t>
  </si>
  <si>
    <t>PR-LFA Evaluation_5</t>
  </si>
  <si>
    <t>PR Expenditure_7A</t>
  </si>
  <si>
    <t>WPTM_1C</t>
  </si>
  <si>
    <t>SR_Cash Reconciliation_2E</t>
  </si>
  <si>
    <t>Annual Cash Forecast_8A</t>
  </si>
  <si>
    <t>Financial Triggers_10</t>
  </si>
  <si>
    <t>Disaggregation_1B</t>
  </si>
  <si>
    <t>LFA Authorization_9B</t>
  </si>
  <si>
    <r>
      <t xml:space="preserve">Sheet </t>
    </r>
    <r>
      <rPr>
        <b/>
        <sz val="10"/>
        <rFont val="Arial"/>
        <family val="2"/>
      </rPr>
      <t>LFA_Findings&amp;Recommendations_6</t>
    </r>
  </si>
  <si>
    <t>Record Type Id</t>
  </si>
  <si>
    <t>Record Type ID</t>
  </si>
  <si>
    <t>01236000000OMQ7AAO</t>
  </si>
  <si>
    <t>IP Id</t>
  </si>
  <si>
    <t>Record ID</t>
  </si>
  <si>
    <t>a1K36000006Uv9HEAS</t>
  </si>
  <si>
    <t>a1Y36000002HsCiEAK</t>
  </si>
  <si>
    <t>Fetching RP Dates to filter out Grant Requirements</t>
  </si>
  <si>
    <t>Sheet Name</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</si>
  <si>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and
3. Were due for reporting in previous periods but were never reported on
4. Data validation checks are being performed on entered data in the columns. Any issues identified that are not resolved should be explained</t>
    </r>
  </si>
  <si>
    <t>Mapping</t>
  </si>
  <si>
    <t>Data validation checks on PR data</t>
  </si>
  <si>
    <t>Data Validation checks on LFA data</t>
  </si>
  <si>
    <t>Global Fund Validated Result</t>
  </si>
  <si>
    <t>Global Fund comments</t>
  </si>
  <si>
    <t>Data validation checks on GF data</t>
  </si>
  <si>
    <t>D#</t>
  </si>
  <si>
    <t>%</t>
  </si>
  <si>
    <t>N#</t>
  </si>
  <si>
    <t xml:space="preserve">Selon l’estimation modélisée de l’OMS, les cas TBMR attendus sont estimés à 3.3 pour 100.000 habitants. Tenant compte du fait que la population de l’année 2019 est estimée à 12044164, et que le Programme TB a notifié 64 cas TBMR en 2019,  le taux de prévalence des cas TBMR est de 16% (64 cas notifiés sur 397 cas TBMR attendus). 
Si nous tenons compte de la cible TBMR fixée à 61 par la Réunion de Haut niveau de New York, la cible a été légèrement dépassée.
La prévalence TB MR et TB RR pour le Burundi sera renseignée dans le Global WHO Report 2020. 
</t>
  </si>
  <si>
    <t>Le PNILT renseigne dans son rapport qu'il y a eu 3cas de décès sur la cohorte de 2018, ce qui donne un taux de mortalité pour la tuberculose de 2,8décès/100 000 hab conformément à la définition de "me_indicatorguidancesheets-annexb-tb_sheet_en". 
Numérateur: Number of deaths caused by TB
(all forms) in HIV-negative people per year, according  to the ICD10 definition
Dénominateur: Number of people in the population x 100,000
Ce taux pour le Burundi  sera renseigné dans le Global WHO Report 2020.</t>
  </si>
  <si>
    <t xml:space="preserve">En 2019, le taux d'incidence de la tuberculose a été de 56,7 pour 100 000 hab. Il a été déterminé conforméméent à la définition de cet indicateur (voir cadre de performance).
 'Numérateur : Nombre de nouveaux cas et récidives de tuberculose se produisant au cours de l'anné
Dénominateur: Population générale pendant une période de temps donné, le tout rapporté pour 100000 habitants.
Il sera ajusté avec le rapport de 2019 de l'OMS.
Référence est faite à l’estimation de la population réajustée par l’ISTEEBU qui comptabilise 12044164 habitants en 2019. Etant donné que le PNILT a enregistré 6827 TTF en 2019, le taux d’incidence de la tuberculose est de 57 TTF/100000 habitants. 
La population rapportée par celle de la Direction Nationale d’Information Sanitaire (DSNIS) étant différente de celle estimée par l’ISTEEBU, il revient au PR de statuer sur quelle population est à considérer afin que le PNUD et le PNILT détiennent les mêmes données.
Ce taux est obtenu sur base d’une estimation modélisée de l’OMS qui paraitra dans le rapport global de 2020
</t>
  </si>
  <si>
    <t xml:space="preserve">Le taux de déclaration des cas de TTF pour l'année 2019 a été de 56,7 TTF /100000 hab. Il a été renseigné conformément à la définition proposée par le FM dans "me_indicatorguidancesheets-annexb-tb_sheet_en".
Number of all forms of TB cases (i.e. bacteriologically confirmed plus clinically diagnosed) reported [in a specified area] to the national health authority in the past year (new and relapse).
Denominator: Total population in the specified area x 100,000.
</t>
  </si>
  <si>
    <t>Le taux  de succès thérapeutique est de 94%. La bonne performance s’expliquerait par :
(i) la disponibilité des médicaments à tous les niveaux de la pyramide sanitaire ;
(ii) le renforcement des capacités des prestataires/techniciens de promotion de la santé lors de la subvention TB 2016-2017 ; 
(iii) le suivi rigoureux des patients mis sous traitement antituberculeux ;
(iv) l’application du Traitement Directement Observé (TDO),
(v) la supervision de qualité des CDT et CT par les coordonnateurs provinciaux et par le niveau central du PNILT</t>
  </si>
  <si>
    <t>En 2019, le pourcentage de cas notifié de la TBMR est de 40,78%. Il a été calculé sur base de la cible surestimée de 157 et conformément à la définition du cadre de performance.
Numérateur: Nombre de cas notifiés de tuberculose pharmacorésistante bactériologiquement confirmée (tuberculose résistante à la rifampicine et/ou tuberculose multirésistante)
Dénominateur: Tous les cas estimés TB/MR
Si cet indicateur était rapporté conformément à la cible ajustée (61) lors de la Réunion de Haut Niveau de New York du 26 Septembre 2018, ce pourcentage serait de 105%</t>
  </si>
  <si>
    <t xml:space="preserve">Sur 50 patients TBMR enregistrés en 2018, 46 ont été traités avec succès, soit 92%.
La bonne performance s’expliquerait par :
(i) la disponibilité des médicaments de 2ème ligne;
(ii) l’assistance psychologique, nutritionnelle et médicale donnée aux patients TBMR
(iii) l’hospitalisation des malades TBMR pendant la phase intensive jusqu’à la négativation des crachats, généralement entre 4 et 5 mois
(iv) l’application du Traitement Directement Observé (TDO) et post hospitalisation 
(v) le renforcement des capacités des prestataires/techniciens de promotion de la santé lors de la subvention TB 2016-2017 ; 
(vi) le suivi rigoureux des patients mis sous traitement antituberculeux de 2ème ligne ;
(vii) la supervision de qualité des CDT et CT par les coordonnateurs provinciaux et par le niveau central du PNILT
</t>
  </si>
  <si>
    <t xml:space="preserve">Le taux de couverture est de 77%. Nous l'avons renseigné conformément à la définition du cadre de performance. 
Numérateur: Nombre de nouveaux cas et rechutes TB notifiés et traités 
Dénominateur: Nombre estimé de cas de TB  (toutes formes de TB –bactériologiquement confirmées et cliniquement diagnostiquées) dans la même année
La performance du Programme initialement fixée à 85% ,n'a pas été atteinte.  Ce taux sera ajusté avec le Rapport de l'OMS </t>
  </si>
  <si>
    <t>Le PR ne peut pas renseigner cet indicateur car l'outil approprié pour le suivi de la cohorte est le logiciel Sidainfo car il permet de saisir les données individuelles. Pour le moment,ce logiciel n'est pas fonctionnel dans tous  les sites ARV pendant qu'il n'est pas à jour même là où il est installé.Lors du précédent PU, le PR s'était arrangé pour renseigner cet indicateur en utilisant les données de DHIS2, ce mode de calcul n'a pas été approuvé par le FM</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</si>
  <si>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</si>
  <si>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Mapping ID</t>
  </si>
  <si>
    <t xml:space="preserve">Impact / Outcome </t>
  </si>
  <si>
    <t>Standard Impact/Outcome Indicator</t>
  </si>
  <si>
    <t>Name to display</t>
  </si>
  <si>
    <t>Standard Indicator (English)</t>
  </si>
  <si>
    <t>Standard Indicator (French)</t>
  </si>
  <si>
    <t>Standard Indicator (Spanish)</t>
  </si>
  <si>
    <t>Custom Impact/Outcome Indicator</t>
  </si>
  <si>
    <t>Baseline
(ifapplicable)</t>
  </si>
  <si>
    <t>Target</t>
  </si>
  <si>
    <t>Year of target</t>
  </si>
  <si>
    <t>Report Due Date</t>
  </si>
  <si>
    <t>Geography</t>
  </si>
  <si>
    <t>Comments</t>
  </si>
  <si>
    <t>Result</t>
  </si>
  <si>
    <t>Year of Result</t>
  </si>
  <si>
    <t>Comments on results on Impact/Outcome indicators and data sources, and any other comments</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</si>
  <si>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</si>
  <si>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</si>
  <si>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</si>
  <si>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Impact Indicator Number</t>
  </si>
  <si>
    <t>Salesforce ID</t>
  </si>
  <si>
    <t>Value</t>
  </si>
  <si>
    <t>Year</t>
  </si>
  <si>
    <t>Impact Indicator Name</t>
  </si>
  <si>
    <t>Custom Impact Indicator</t>
  </si>
  <si>
    <t>Impact Indicator Name FR</t>
  </si>
  <si>
    <t>Impact Indicator Name ES</t>
  </si>
  <si>
    <t>Custom Impact Indicator Local</t>
  </si>
  <si>
    <t>Baseline Value</t>
  </si>
  <si>
    <t>Baseline Year</t>
  </si>
  <si>
    <t>Target N#</t>
  </si>
  <si>
    <t>Target D#</t>
  </si>
  <si>
    <t>Target %</t>
  </si>
  <si>
    <t>Year of Target</t>
  </si>
  <si>
    <t>Country (Name)</t>
  </si>
  <si>
    <t>Comment</t>
  </si>
  <si>
    <t>Result N#  (PR)</t>
  </si>
  <si>
    <t>Result D# (PR)</t>
  </si>
  <si>
    <t>Result % (PR)</t>
  </si>
  <si>
    <t>Year of Result (PR)</t>
  </si>
  <si>
    <t>Data Source Result (PR)</t>
  </si>
  <si>
    <t>Comments (PR)</t>
  </si>
  <si>
    <t>Verification Method (LFA)</t>
  </si>
  <si>
    <t>Verified Result N#  (LFA)</t>
  </si>
  <si>
    <t>Verified Result D# (LFA)</t>
  </si>
  <si>
    <t>Verified Result % (LFA)</t>
  </si>
  <si>
    <t>Year of Result (LFA)</t>
  </si>
  <si>
    <t>Data Source Result (LFA)</t>
  </si>
  <si>
    <t>Comments (LFA)</t>
  </si>
  <si>
    <t>[Impact Indicator Name]</t>
  </si>
  <si>
    <t>[Custom Impact Indicator]</t>
  </si>
  <si>
    <t>[Impact Indicator Name FR]</t>
  </si>
  <si>
    <t>[Impact Indicator Name ES]</t>
  </si>
  <si>
    <t>[Custom Impact Indicator Local]</t>
  </si>
  <si>
    <t>[Baseline Value]</t>
  </si>
  <si>
    <t>[Baseline Year]</t>
  </si>
  <si>
    <t>[Target N#]</t>
  </si>
  <si>
    <t>[Target D#]</t>
  </si>
  <si>
    <t>[Target %]</t>
  </si>
  <si>
    <t>[Year of Target]</t>
  </si>
  <si>
    <t>[Report Due Date]</t>
  </si>
  <si>
    <t>[Country (Name)]</t>
  </si>
  <si>
    <t>[Comment]</t>
  </si>
  <si>
    <t>[Impact Indicator Number]</t>
  </si>
  <si>
    <t>a1H3600000769A1EAI</t>
  </si>
  <si>
    <t>TB I-4(M): RR-TB and/or MDR-TB prevalence among new TB patients: Proportion of new TB cases with RR-TB and/or MDR-TB</t>
  </si>
  <si>
    <t>TB I-4(M): Prévalence de TB-RR et/ou TB-MR parmi les nouveaux cas détectés: Proportion de nouveaux cas de tuberculose avec TB-RR et/ou TB-MR</t>
  </si>
  <si>
    <t>TB I-4(M): Prevalencia de RR-TB y/o MDR-TB en los nuevos casos de TB:  Proporción de nuevos casos de TB con RR-TB y/o MDR-TB</t>
  </si>
  <si>
    <t>3.2</t>
  </si>
  <si>
    <t>2015</t>
  </si>
  <si>
    <t>2018</t>
  </si>
  <si>
    <t>The numerator is the number of new cases of tuberculosis that are resistant to Rifampicin (RR-TB) and/or multidrug-resistant (MDR-TB), multiplied by 100.
The denominator is the total number of new tuberculosis cases that test positive for sensitivity to drugs/have a positive GeneXpert test result.
'The WHO Global TB Annual Report 2016 estimates that the prevalence of MDR-TB in new pulmonary cases is 3.2 percent and 14 percent for retreatment cases, which comes to 210 cases of MDR-TB in 2018, 224 MDR-TB cases in 2019 and 235 MDR-TB cases in 2020. 
With regard to the use in the next few years of GeneXpert in initial tuberculosis diagnosis, coupled with a high rate of therapeutic success (≥ 90%), the target of the Program has been maintained at 70 percent of the WHO figures above, i.e. 147 MDR-TB cases in 2018, 157 MDR-TB cases in 2019 and 165 MDR-TB cases in 2020.
The national resistance survey for 2017, the results of which are expected in October 2018, will reveal the true extent of resistance in Burundi.</t>
  </si>
  <si>
    <t>a1H3600000769A0EAI</t>
  </si>
  <si>
    <t>TB I-3(M): TB mortality rate per 100,000 population</t>
  </si>
  <si>
    <t>TB I-3(M): Taux de mortalité par tuberculose (pour 100 000 habitants)</t>
  </si>
  <si>
    <t>TB I-3(M): Tasa de mortalidad de la tuberculosis por 100,000 habitantes</t>
  </si>
  <si>
    <t>3.8</t>
  </si>
  <si>
    <t>2016</t>
  </si>
  <si>
    <t>The numerator is the total number of deaths due to tuberculosis (all forms), regardless of the HIV status, each year
The denominator is the total number of TB cases (all forms), per 100,000 
WHO recommends measuring the number of deaths from tuberculosis using a national registry system in which the causes of death are coded according to the International Classification of Diseases (ICD-10). The latter has not yet been implemented in Burundi. Furthermore, in Burundi, no post-mortem is done to identify cause of death. For the time being, the system used in Burundi is the registration of deaths due to tuberculosis. For the 2015 cohort, of 6,969 AFTB cases, 371 deaths were thus recorded - a mortality rate of 5.3 percent.
The strategy to end tuberculosis aims to reduce mortality by 35 percent by 2020. An annual reduction of 0.5 percent is projected compared to the mortality rate in 2015.
The estimated mortality rate is thus 3.8 in 2016, 3.0 in 2018, 2.7 in 2019 and 2.3 in 2020.
There is high mortality among TB/HIV coinfected patients (10.8 percent in the 2015 cohort).
Strategies to reduce mortality among TB/HIV co-infected patients include screening for TB in PLHIV, implementing IPT in TB-negative patients with HIV, and initiating ART  promptly using the "test and treat" approach adopted in Burundi in September 2016.</t>
  </si>
  <si>
    <t>a1H36000007699zEAA</t>
  </si>
  <si>
    <t>TB I-2: TB incidence rate per 100,000 population</t>
  </si>
  <si>
    <t>TB I-2: Taux d'incidence de la tuberculose (pour 100 000 habitants)</t>
  </si>
  <si>
    <t>TB I-2: Tasa de incidencia de la tuberculosis por 100,000 habitantes</t>
  </si>
  <si>
    <t>122</t>
  </si>
  <si>
    <t>Numerator:: number of new and recurring cases of tuberculosis during the year
Denominator: general population during a given time period, reported per 100,000 inhabitants
According to the 2016 WHO Report, the estimated incidence rate for Burundi, including HIV/ TB coinfection, is 122 per 100,000 population for the year 2015.
After 2015, the End TB Strategy set a target of reducing the incidence of TB by 20 percent by 2020. Based on the estimated incidence of 122/100,000 in 2015, the expected incidence rates for each of the years from 2017 to 2020 are therefore 117, 112, 107, 102 and 98. With the acquisition of powerful diagnostic tools (GeneXpert, Xray, etc.) we expect improved performance in terms of the notification of TB cases. It is therefore possible that, with increased diagnostic capacity, the reported incidence of tuberculosis may not decline as rapidly as the national target predicts and may even increase at the beginning of the program.</t>
  </si>
  <si>
    <t>Outcome Indicator Name</t>
  </si>
  <si>
    <t>Custom Outcome Indicator</t>
  </si>
  <si>
    <t>Outcome Indicator Name FR</t>
  </si>
  <si>
    <t>Outcome Indicator Name ES</t>
  </si>
  <si>
    <t>Custom Outcome Indicator Local</t>
  </si>
  <si>
    <t>Outcome Indicator Number</t>
  </si>
  <si>
    <t>[Outcome Indicator Name]</t>
  </si>
  <si>
    <t>[Custom Outcome Indicator]</t>
  </si>
  <si>
    <t>[Outcome Indicator Name FR]</t>
  </si>
  <si>
    <t>[Outcome Indicator Name ES]</t>
  </si>
  <si>
    <t>[Custom Outcome Indicator Local]</t>
  </si>
  <si>
    <t>[Outcome Indicator Number]</t>
  </si>
  <si>
    <t>a1W36000003KH6PEAW</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</si>
  <si>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</si>
  <si>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</si>
  <si>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</si>
  <si>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76</t>
  </si>
  <si>
    <t>2019</t>
  </si>
  <si>
    <t>The numerator is the number of cases of AFTB (bateriologically confirmed and with clinical diagnosis) against a denominator of 100,000 inhabitants.
The database used is from 2016. Target calculations for 2018-2020 are based on AFTB results obtained by the PNILT in 2016, adjusted for the general population using recent data from the Burundian Institute of Statistics and Economic Studies (ISTEEBU).
The main strategies to be implemented to improve the target are:
(a) Strengthening the microscopy laboratory network by:
(i) introducing Xpert as an initial diagnostic technique for all assumed TB cases withTB screening at all levels of the health pyramid, with a view to meeting targets more quickly (the End TB Strategy);
(ii) using LED fluorescence microscopes in non-GeneXpert sites.
(b) Increased detection and reporting of TB cases in accordance with the End TB strategy: detection of 90 percent of TB cases in general and 90 percent of TB cases in high-risk groups by:
(i) continuing passive screening for patients presenting spontaneously to TTCs with symptoms of TB (cough lasting longer than 2 weeks) who do not belong to high-risk groups;
(ii) the gradual replacement of microscopes with GeneXpert devices even for cases of drug-susceptible TB;
(iii) using GenXpert Omni devices as planned for 2017 in health centres in order to solve the issue of sample transportation;
(iv) implementing screening in at-risk groups through the systematic use of mobile digital X-rays for new PLHIV, contact cases and active screening in prisons and refugees/displaced populations;
(v) the systematic use of GeneXpert Mobile Digital X-ray for PLHIV on ART and children with TB signs without microscopic evidence;
(vi) active screening as a pilot approach for patients with diabetes in some health facilities, to be scaled up after evaluation;
(vii) strengthening the strategy of community participation.
The Global Fund's contribution to reaching the target is estimated at 90%, with the remainder of costs (10%) met by the Government (premises, salaries, operating costs and so on) and by the NGO Action Damien which provides bonuses to staff at CNR Kibumbu and CATB.</t>
  </si>
  <si>
    <t>a1W36000003KH6QEAW</t>
  </si>
  <si>
    <t>TB O-2a: Treatment success rate of all forms of TB- bacteriologically confirmed plus clinically diagnosed, new and relapse cases</t>
  </si>
  <si>
    <t>TB O-2a: Taux de succès thérapeutique, toutes formes confondues- bactériologiquement confirmés et cliniquement diagnostiqués, nouveaux cas et récidives</t>
  </si>
  <si>
    <t>TB O-2a: Tasa de éxito del tratamiento de casos de TB todas las formas - confirmados bacteriológicamente y con diagnóstico clínico, casos nuevos y recaídas</t>
  </si>
  <si>
    <t>92.7%</t>
  </si>
  <si>
    <t>The numerator is the number of successfully treated cases of AFTB that are bacteriologically confirmed and with a clinical diagnosis. 
The denominator is the total number of bacteriologically confirmed cases registered for treatment during the same period. 
The End TB Strategy advocates a "90-90-90" target (90 percent screening of the general population, 90 percent screening in high-risk groups, and 90 percent therapeutic success). According to the PNILT's 2016 activity report, the success rate for AFTB is 92.7 percent (6429/6969, 2015 cohort).
As the country managed to exceed the WHO target, it was deemed necessary to maintain the therapeutic success rate for AFTB at over 90 percent. 
The main interventions relate to (i) the continuing and uninterrupted availability of quality drugs; (ii) the regularity of supervision in all care centers in all provinces; (iii) documentation of interventions that reduce the number of cases where treatment is abandoned, and ensure they are regularly monitored; (iv) the maintenance of a telephone network for following up patients and transfers, and a move towards a system based on applications and smartphone-based geolocalization; v) introduction of new paediatric TB formulations; vi) the continuation of IPT in TB-free child TB contacts under five years of age. </t>
  </si>
  <si>
    <t>a1W36000003KH6REAW</t>
  </si>
  <si>
    <t>TB O-6: Notification of RR-TB and/or MDR-TB cases – Percentage of notified cases of bacteriologically confirmed, drug resistant RR-TB and/or MDR-TB as a proportion of all estimated RR-TB and/or MDR-TB cases</t>
  </si>
  <si>
    <t>TB O-6: Notification des cas de TB-RR et/ou TB-MR  - Pourcentage de cas notifiés bactériologiquement confirmés, résistants aux médicaments TB-RR et/ou TB-MR** en tant que proportion de tous les cas estimés TB-RR et/ou TB-MR</t>
  </si>
  <si>
    <t>TB O-6: Notificación de casos TB-RR y/o TB-MDR - Porcentaje de casos notificados de RR-TB y/o MDR-TB bacteriologicamente confirmados, como una proporción de todos los casos estimados de TB-RR y/o TB-MDR</t>
  </si>
  <si>
    <t>41%</t>
  </si>
  <si>
    <t>Numerator: the number of notified cases of bacteriologically confirmed drug-resistant TB (tuberculosis resistant to rifampicin and/or MDR-TB)
Denominator: All estimated cases of MDR-TB.
According to the 2016 WHO report, the rate of MDR-TB is 3.2 percent in PTB+NC and 14 percent in retreatment cases. Based on this WHO estimate, the WHO target in 2016 was 193 MDR-TB cases. However, the PNILT only tested 80 MDR-TB cases, or 41 percent (80/193).
According to the PNILT 2016 report, the 80 cases of MDR-TB were as follows: 7 new MDR-TB patients were identified among the 4,343 PTB+NC (0.2 percent), and 73 MDR-TB cases were  individuals previously treated for TB (73/334 retreatment cases, or 22 percent).
Between 2018 and 2020, set against the WHO estimate for Burundi, the TB programme plans to increase the number of detected MDR-TB cases from 41 percent to 70 percent.
The main interventions relate to contact tracing of MDR-TB, screening for MDR-TB among PTB+ cases and contacts, PTB+ with positive testing at 2 months and/or 3 months, screening for MDR-TB in TB/HIV co-infected cases and among the prison population.
Powerful diagnostic tools such as GeneXpert and sensitivity tests will be used to achieve the desired results.
The contribution of the Global Fund to reaching the target is estimated at 90 percent, with the remainder of costs (10 percent) met by the Government to cover premises, salaries, operating costs and so on, and by the NGO Action Damien which provides bonuses to staff at CNR Kibumbu and CATB.</t>
  </si>
  <si>
    <t>a1W36000003KH6SEAW</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</si>
  <si>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</si>
  <si>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</si>
  <si>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</si>
  <si>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90.2%</t>
  </si>
  <si>
    <t>The numerator is the number of cases of bacteriologically confirmed tuberculosis resistant to rifampicin and/or MDR-TB that have been started on second-line tuberculosis treatment during the assessment period and successfully treated, multiplied by 100 (successful treatment refers to patients who are cured and those who completed treatment).
The denominator is the total number of cases of bacteriologically confirmed TB resistant to rifampicin and/or MDR-TB that were started on second-line tuberculosis drugs during the assessment period.
The base value used is that for the 2015 cohort.
The PNILT's 2016 activity report shows a therapeutic success rate of 37/41, or 90.2 percent.
The goal is to maintain a therapeutic success rate of over 90 percent for the period 2018 to 2020.
The main interventions relate to (1) continuous and uninterrupted availability of quality first-line anti-TB drugs at all levels of the health system; (2) the continuation of the 9-month short-term MDR-TB regimen adopted by WHO; 3) nutritional and psychological support; 4) monitoring of response to treatment and management of side effects.</t>
  </si>
  <si>
    <t>a1W36000003KH6TEAW</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</si>
  <si>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</si>
  <si>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</si>
  <si>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</si>
  <si>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58%</t>
  </si>
  <si>
    <t>Numerator: The number of new cases and relapses reported and treated
Denominator: The estimated number of cases of TB (AFTB -  bacteriologically confirmed and with clinical diagnosis) in the same year
According to the 2016 WHO Report for Burundi, there were 122 AFTB per 100,000 population for 2015, i.e. 11,985 estimated cases of AFTB.
The 2015 PNILT report states that 6,969 AFTB cases were reported and started on treatment, i.e. 58 percent (6969/11985) of the cases estimated in Burundi.
The Program intends to increase this figure to 85 percent by 2020.</t>
  </si>
  <si>
    <t>a1W36000003KH6UEAW</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</si>
  <si>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</si>
  <si>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</si>
  <si>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</si>
  <si>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90%</t>
  </si>
  <si>
    <t>Numerator: Number of adults and children still on antiretroviral therapy (ART) 12 months after commencing treatment.
Denominator: Total number of adults and children who commenced ART in the 12 months prior to the reporting period, including those who died after commencing ART, treatment drop-outs, and those lost to follow-up in the 12th month.
The baseline figure of 90 percent (F: 91 percent; M: 88 percent; under 15 years: 93 percent; 15 years and older: 90 percent) comes from the 2015 NACP/STI annual report. This indicator will be measured annually using data from the AIDSinfo database, and the annual figure will be reported in the PUDR for the first half of the following year. The data will be disaggregated by survival (12, 24, 36 and 60 months), gender (M and F) and age range (under 15 years and 15 years and older). The target for 2022 stands at 95 percent. There are plans to reconfigure AIDSinfo to include other variables and strengthen the database, and to expand AIDSinfo use to other treatment sites. We will measure this indicator based on AIDSinfo data concerning people living with HIV (PLHIV).  There are also plans to use health mediators to support PLHIV in the community and keep them on treatment, and to build PLHIV treatment capacities among service providers (which will also boost treatment adherence and the retention rate).</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</si>
  <si>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</si>
  <si>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t>ID</t>
  </si>
  <si>
    <t>LFA comments</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</si>
  <si>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</si>
  <si>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Standard Impact Indicator Name</t>
  </si>
  <si>
    <t>Standard Impact Indicator Name - French</t>
  </si>
  <si>
    <t>Standard Impact Indicator Name - Spanish</t>
  </si>
  <si>
    <t>Disaggregation</t>
  </si>
  <si>
    <t>Category</t>
  </si>
  <si>
    <t>Baseline</t>
  </si>
  <si>
    <t>Disaggregation Report Year</t>
  </si>
  <si>
    <t xml:space="preserve">Comments </t>
  </si>
  <si>
    <t>Disaggregation ES</t>
  </si>
  <si>
    <t>Disaggregation FR</t>
  </si>
  <si>
    <t>Category ES</t>
  </si>
  <si>
    <t>Category FR</t>
  </si>
  <si>
    <t>Comments Local</t>
  </si>
  <si>
    <t>Baseline Source Local</t>
  </si>
  <si>
    <t>Baseline Source</t>
  </si>
  <si>
    <t>Result Value (PR)</t>
  </si>
  <si>
    <t>Result Source (PR)</t>
  </si>
  <si>
    <t>Verified Result Value (LFA)</t>
  </si>
  <si>
    <t>[Disaggregation]</t>
  </si>
  <si>
    <t>[Category]</t>
  </si>
  <si>
    <t>[Baseline Source]</t>
  </si>
  <si>
    <t>[Report Year]</t>
  </si>
  <si>
    <t>[Comments]</t>
  </si>
  <si>
    <t>[Disaggregation ES]</t>
  </si>
  <si>
    <t>[Disaggregation FR]</t>
  </si>
  <si>
    <t>[Category ES]</t>
  </si>
  <si>
    <t>[Category FR]</t>
  </si>
  <si>
    <t>[Comments Local]</t>
  </si>
  <si>
    <t>[Baseline Source Local]</t>
  </si>
  <si>
    <t xml:space="preserve">outcome indicator </t>
  </si>
  <si>
    <t>Report Year</t>
  </si>
  <si>
    <t>Result Comments (PR)</t>
  </si>
  <si>
    <t>Verified Result Source (LFA)</t>
  </si>
  <si>
    <t>Verified Result Comments (LFA)</t>
  </si>
  <si>
    <t>Comments (GF)</t>
  </si>
  <si>
    <t xml:space="preserve"> </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</si>
  <si>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 Data validation checks are being performed on entered data in the columns. Any issues identified that are not resolved should be explained</t>
    </r>
  </si>
  <si>
    <t>Geographic Area</t>
  </si>
  <si>
    <t>Reverse Indicator?</t>
  </si>
  <si>
    <t>Achivement Ratio</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</si>
  <si>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</si>
  <si>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</si>
  <si>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</si>
  <si>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Vue d’ensemble : 
Source des données: cet indicateur a été renseigné grâce au rapport du 2è semestre 2019 du PNILT après consultation des outils primaires de collecte des données (registres ) lors des ateliers de validation trimestrielle des données.
Le nombre de cas déclarés de tuberculose, toutes formes confondues, bactériologiquement confirmés et cliniquement diagnostiqués, nouveaux cas et récidives durant le 2è semestre 2019 est de 3359 soit une performance de 76%.   
Analyse des données :
Le numérateur est le nombre de cas notifiés, toutes formes de tuberculose : bactériologiquement confirmée et cliniquement diagnostiquée (nouveaux cas et récidives). Ainsi, le nombre total de cas de tuberculose toute forme confondue diagnostiquée et notifiée au cours de la période de rapportage est de 3359.
La performance (76%) du 2è semestre 2019 est légèrement inférieure à celle du 2ème semestre 2018 (80% : N=3375) du 1er semestre 2019 (78% : N=3468).
Observations / Commentaires :
Cette performance s’expliquerait par : 
-une absence de moyens radiologiques (Radiographie à rayons X, Échographe) de dépistage précoce des cas présumés de tuberculose chez les groupes à haut risque notamment les enfants, les PVVIH, les réfugiés/déplacés ;
-un transport des échantillons non standardisés ; 
-le screening TB qui n’est pas systématique pour tous les PVVIH et dans tous les sites de prise en charge;
-un relâchement des prestataires dans la présomption des cas de tuberculose et par conséquent dans le dépistage des cas ;
-une faible contribution des ASC dans la recherche active des cas présumés de Tuberculose et la référence communautaire 
Solutions/Recommendations:
En vue d’améliorer la performance de cet indicateur, les actions suivantes sont préconisées : 
-sensibiliser les prestataires à accroitre leur niveau d’alerte dans la détection précoce des signes de la tuberculose et le dépistage des cas ;
-renforcer les supervisions formatives des GASC tout en les incitant à une recherche active des cas TB et à la référence des cas présumés ; 
-justifier à temps les avances reçues pour éviter tout retard à la mise en œuvre des activités ; 
-rentabiliser les comités provinciaux de lutte contre la coïnfection TB/VIH ; 
- Renforcer la collaboration avec la CRB pour une implication effective des ASC dans la recherche des cas et la référence des cas présumés tuberculeux 
- Faciliter les missions de supervision des coordonnateurs provinciaux pour la TB
- Continuer les sensibilisations aux prestataires pour la collecte et le transport des échantillons vers les CDT pour analyse
- Susciter l’implication des comités provinciaux de lutte contre la coïnfection TB/VIH à une lutte effective de cette comorbidité  
-renforcer l’observance des directives de screening TB chez les PVVIH au niveau des sites de prise en charge VIH;</t>
  </si>
  <si>
    <t>Vue d’ensemble :
Cet indicateur a été renseigné dans le rapport du 2è semestre 2019 du PNILT après consultation des registres patients lors des ateliers de vérification, validation et diffusion des données.
Le taux de succès thérapeutique toutes formes confondues est de 93,4% soit une performance de 101% .
Analyse des données : 
Le numérateur est le nombre de cas de tuberculose bactériologiquement confirmée pour une période donnée traités avec succès ("guéri" et "traitement complété").  Il est de 3152. Ce numérateur a été trouvé en considérant tous les cas guéris et déclarés traitement terminé pendant la période de rapportage parmi les cas bactériologiquement confirmés nouveaux cas et les rechutes, cohorte du 2ème semestre 2018 qui avaient été mis sous traitement antiTB.
Le dénominateur est le nombre total de cas de tuberculose bactériologiquement confirmée, enregistrés pour le traitement au cours de la même période. Il est de 3375. Ce dénominateur a été déterminé en prenant en compte tous les cas bactériologiquement confirmés nouveaux cas et les rechutes cohorte du 2è semestre 2018.
Observations / Commentaires :
La performance de cet indicateur est satisfaisante. Elle est superposable à celle du 2è semestre 2018 (102%). Elle s’expliquerait par :
-une disponibilité des médicaments à tous les niveaux de la pyramide sanitaire;
-le suivi rigoureux des patients mis sous traitement antituberculeux ;
-le respect du protocole du Traitement Directement Observé (TDO),
-la réactivation du réseau flotte de communication permettant d'évaluer les cas transférés et de réduire les perdus de vue ;
Solutions/Recommandations :
Pour maintenir la bonne performance de cet indicateur, les actions suivantes doivent être prises :
-renforcer toutes les actions ayant permis d’atteindre cette performance en vue de la maintenir ;
-mettre à contribution la communauté (ASC) dans le soutien et le suivi des patients sous traitement antituberculeux, ce qui permettrait de l’améliorer advantage.</t>
  </si>
  <si>
    <t>Vue d’ensemble :
La performance des laboratoires présentant des performances satisfaisantes d’assurance qualité externe pour la microscopie de frottis, parmi le nombre total de laboratoires effectuant des analyses par microscopie de frottis était de 97% au 3er trimestre2019.
Analyse des données :
-Le numérateur est le nombre de laboratoires présentant des performances satisfaisantes pour la microscopie de frottis. Il est de 165.
-Le dénominateur est le nombre total de laboratoires effectuant des analyses par microscopie de frottis. Il est de 170
Le retard de vérification des avances par le PNILT a influé sur la mise en œuvre des activités y compris la réalisation des ateliers de validation des données. Ainsi la performance renseignée ici se rapporte aux résultats d’analyse des lames du 3è trimestre 2019. 
Ainsi, la collecte des lames pour le contrôle qualité des lames du 4 ètrimestre2019 a eu lieu mais les résultats en février 2020 mais les résultats ne sont pas encore disponibles.
Ces résultats du contrôle de qualité par rapport aux lames du 4è trimestre 2019 seront renseignés lors du prochain PU, dans la partie commentaire.  
Solutions/Recommandations :
Les mesures suivantes doivent être prises pour pallier cette situation dans l’avenir :
-justifier à temps les avances reçues pour éviter tout retard dans le décaissement et par conséquent dans la mise en œuvre des activités ;
- confier l’activité de validation des données et de collecte des lames aux coordonnateurs provinciaux pendant que le PNILT jouerait le rôle de coordination ;
-faire un suivi des résultats des analyses des lames déposées au LNR et les communiquer dans les délais requis pour des fins de rapportage.
-prise des dispositions par le PR pour la vérification active des données sur site. Cette méthodologie sera mise en œuvre de concert avec la DSNIS et les M&amp;E des SRs et pourra ainsi faire place aux ateliers de Validation des données.</t>
  </si>
  <si>
    <t>Vue d’ensemble :
Source des données : cet indicateur a été renseigné grâce au rapport du 2è semestre 2019 du PNILT après consultation des outils primaires de collecte des données (registres) lors des ateliers de validation trimestrielle des données.
Le taux de réalisation et la performance de cet indicateur sont de 100%. 
Analyse des données :
Au cours de la période de rapportage aucun des 170 CDT n’a déclaré avoir connu une rupture de stock en médicaments antituberculeux. La même performance a été enregistrée au 1 er semestre 2019.
-Le numérateur est le nombre de centres de dépistage et traitement (CDT) n'ayant pas connu de ruptures de stock de plus d'une semaine en médicaments antituberculeux de première ligne durant le trimestre. Il est de 170. 
-Le dénominateur est le nombre total de CDT. Il est de 170.  Ce nombre correspond au nombre de CDT dont dispose le pays.
Observations / Commentaires :
Cette performance s’expliquerait par : 
-la présence des coordonnateurs TB qui font le suivi de la gestion des intrants TB et leur appuie dans la quantification et la commande ; 
-l’existence et l’utilisation des outils de gestion des intrants TB dans tous les CDT,
-l’existence d’un stock résiduel de médicaments achetés par le Fonds Mondial au cours de la subvention TB 2016-2017,
-les ateliers de validation des données qui permettent une connaissance exacte du nombre de tuberculeux et de quantifier les intrants nécessaires pour la période future. 
-le suivi de la dynamique des stocks disponibles à la CAMEBU par le PR et le SR et 
- la planification des approvisionnements
Solutions/Recommandations :
Toutes les parties prenantes doivent s’engager à maintenir cette performance par le renforcement de toutes les actions ayant permis de l’atteindre.</t>
  </si>
  <si>
    <t xml:space="preserve">Vue d’ensemble : 
Source des données : cet indicateur a été renseigné grâce au rapport du 2è semestre 2019 du PNILT après consultation des outils primaires de collecte des données (registres) lors des ateliers de validation trimestrielle des données.
Le nombre d'enfants âgés de moins de 5 ans en contact avec des patients tuberculeux qui ont commencé un traitement préventif à l'isoniazide est de 599 soit une performance de 81%.
Analyse des données :
Cette performance (N=599) est supérieure à celle du 2ème semestre 2018 (N=455). Elle est cependant inférieure à celle du 1er semestre 2019(N=615).
Le numérateur est le nombre d'enfants âgés de moins de 5 ans en contact avec des patients atteints de tuberculose et qui ont commencé un traitement préventif par l’isoniazide (TPI). Il est de 599 au cours de la période de rapportage.
Observations / Commentaires :
En analysant ce rapport de S2 2019, on note une amélioration de la performance comparativement à celle du 2è semestre 2018. 
Même si elle est bonne, cette performance dénote l’existence des enfants dans la communauté, enfants qui ne sont pas mis sous prophylaxie par défaut de moyens de diagnostics appropriés pour éliminer une tuberculose évolutive.
Ainsi, l’amélioration du plateau technique de certaines structures en appareils d’échographies et de radiologies permettrait de relever davantage la performance de cet indicateur.
Solutions/Recommandations :
Il faut maintenir la performance de cet indicateur et prendre les actions suivantes pour l’améliorer :
-confier l’activité de recherche des cas contacts de la tuberculose aux coordonnateurs TB en collaboration avec les CDT, les CT et les GASC et les ASC ;
-rechercher systématiquement l’existence d’enfants de moins de 5 ans dans la famille d’un tuberculeux tousseurs et dépister la tuberculose chez ces enfants conformément aux directives TB ;
-faire un suivi rapprocher des malades tuberculeux en vue d’apprécier son entourage immédiat ;
-encourager les FOSA à utiliser les moyens de diagnostics disponibles chez les enfants. ;
-la mise à contribution des relais communautaires dans la recherche des cas contacts.
-la sensibilisation des ménages au cours des descentes sur la recherche des cas contacts TB et TB/MR. 
-l’approvisionnement régulier en INH pour enfants
-la supervision par les niveaux central, intermédiaire et opérationnel 
</t>
  </si>
  <si>
    <t>Vue d’ensemble :  
Source des données : cet indicateur a été renseigné grâce au rapport du 2è semestrie2019 du PNILT après consultation des outils primaires de collecte des données (registres) lors des ateliers de validation trimestrielle des données.
Durant le 2è semestre 2019, le nombre de cas de tuberculose (toutes formes confondues) déclarés par les agents de santé communautaire est de 174 correspondants à une performance de 13%.
Analyse des données :
Cet indicateur a été renseigné par le rapport du 2è semestriel 2019 du PNILT après consultation des registres de laboratoire des CDT où sont consignés les noms des ASC qui ont référés ou accompagnés les personnes présumées TB, cela lors des ateliers de validation.
Cette performance réalisée (13 % : N=174) est comparable à celle du 2è semestre 2018 (14% : N=182) mais inférieure à celle du 1er semestre 2019(18% : N=245)
Le numérateur est le nombre de cas déclarés de tuberculose (toutes formes confondues) par les prestataires au niveau communautaire. 
Observations / Commentaires :
Le résultat de cet indicateur reste en deçà des cibles contractuelles. Les raisons liées à cette faiblesse s’expliqueraient par : 
-la surestimation de la cible au vu des résultats des années antérieures pour cet indicateur (514 en 2015, 382 en 2016 soit une contribution de 4% et une contribution de 8% en 2017) ;
-une probable démotivation des ASC 
-le fait que plusieurs ASC ne soient pas encore formées sur la tuberculose et les autres thématiques liés à leur cahier de charge conformément au manuel des agents de santé communautaire ;
-les sites qui n’enregistrent pas systématiquement les noms des ASC qui ont référés ou accompagnés le cas présumé TB ;
-faible encadrement des ASC par les centres de santé.
Solutions/Recommandations :
En vue d’améliorer la performance de cet indicateur, les actions suivantes doivent être prise :
-instruire les CDT et CT à un enregistrement systématique de tous les ASC qui réfèrent les cas présumés TB dans le registre de dépistage laboratoire ou sur le bon de transfert de l’échantillon de crachat ;
-renforcer les sensibilisations des ASC à la recherche des cas présumés de tuberculose et à leur référence vers les CDT ;
-renforcer l’encadrement des ASC au travers des supervisions dans la communauté et l’organisation des réunions de coordination des interventions communautaires dans les FOSA ;
-faire participer les techniciens de promotion de la santé dans les ateliers de validation des données tuberculose ; 
-faire un plaidoyer auprès du DPSHA pour la formation des ASC non encore formés.
-Mobiliser les ressources pour un recyclage des ASC déjà formés
-Organiser une table ronde pour engager une discussion sur le système de motivation des ASC
-revoir à la baisse les cibles de cet indicateur tenant compte des réalités du terrain</t>
  </si>
  <si>
    <t xml:space="preserve">Vue d’ensemble :
Source des données : cet indicateur a été renseigné grâce au rapport du 2è semestre2019 du PNILT après consultation des outils primaires de collecte des données (registres) lors des ateliers de validation trimestrielle des données.
Durant le 2è semestre 2019, le taux de réalisation de cet indicateur est de 99% correspondant à un taux d’accomplissement de 103%.
Analyse des données :
Cette performance, est superposable à celle du 2è semestre 2018 (103%) mais supérieure à celle du 1er semestre 2019 (99%). 
-Le numérateur est le nombre de patients atteints de tuberculose enregistrés pendant la période de rapportage dont le résultat du test VIH est enregistré dans le registre de la tuberculose au moment du diagnostic de la tuberculose. Il est de 3325
-Le dénominateur est le nombre total de patients atteints de tuberculose enregistrés au cours de la période de rapportage. Il est de 3 359.
Observations / Commentaires :
Cette bonne performance s’expliquerait par :  
-une bonne intégration des services TB et VIH dans les structures de soins ;
-les activités de renforcement des capacités des prestataires de soins en matière de Counseling et dépistage du VIH initié par le prestataire chez les tuberculeux ; 
-la disponibilité des tests VIH au niveau des sites de prise en charge ; 
-les supervisions régulières des CDT et CT effectuées par les coordonnateurs provinciaux et le niveau central (PNILT et du PNLS) contribuant à l’amélioration des prestations de services au niveau des CDT et CT.
Solutions/Recommandations :
En vue de maintenir la performance de cet indicateur voire, l’améliorer davantage pour arriver à réaliser un test VIH à 100% des tuberculeux, les actions suivantes doivent être prises :
-poursuivre l’amélioration de la qualité du counseling pré test VIH et post test VIH ;
-renforcer la collaboration avec le PNLS dans la lutte contre la coïnfection TB et VIH ;
-susciter l’implication des prestataires à la lutte contre la coïnfection TB/VIH à travers le dépistage systématique du VIH chez tout tuberculeux et la recherche active de la tuberculose chez tout PVVIH (screening) ;
-Approvisionnement régulièrement la CAMEBU et les CDV, CT et CDT, en intrants de dépistage </t>
  </si>
  <si>
    <t>Vue d’ensemble :
Source des données : cet indicateur a été renseigné grâce au rapport du 2è semestre2019 du PNILT après consultation des outils primaires de collecte des données (registres) lors des ateliers de validation trimestrielle des données.
Le taux de réalisation au 2è semestre 2019 pour cet indicateur est de 100% soit un taux d’accomplissement de 104%.
Analyse des données :
Le numérateur est le nombre de patients atteints de tuberculose et séropositifs au VIH, enregistrés au cours de la période de communication de l'information, qui reçoivent une thérapie antirétrovirale (qui ont commencé ou qui poursuivent une thérapie antirétrovirale initiée précédemment). Il est de 262.
Le dénominateur est le nombre total de patients atteints de tuberculose et séropositifs au VIH enregistrés au cours de la période de rapportage. Il est de 262.
Observations / Commentaires :
La performance réalisée est légèrement supérieure à celle du 2è semestre 2018 (102%) mais superposable à celle du 1er semestre 2019 (103%). En effet, tous les patients tuberculeux coinfectés au VIH étaient sous ARV. 
Solutions/Recommandations :
En vue de maintenir la performance de cet indicateur, le PR recommande au PNILT de :
-continuer à améliorer la qualité du counseling pré test VIH et post test VIH ;
-renforcer la collaboration avec le PNLS dans la lutte contre la coïnfection TB et VIH ;
-assurer la disponibilité des directives de prise en charge de la tuberculose, du VIH et de la coïnfection TB/VIH au niveau des FOSA, s’assurer de la maîtrise de leur contenu et de leur mise en application ;
-assurer la disponibilité des ARV au CDT et sites de prise en charge ;
-accorder un soutien de qualité aux malades coinfectés TB/ PVVH</t>
  </si>
  <si>
    <t>Vue d’ensemble :
Source des données : cet indicateur a été renseigné grâce au rapport du 2è semestre 2019 du PNILT après consultation des outils primaires de collecte des données (registres) du centre national de la prise en charge de la TBMR lors des ateliers de validation des données.
Au 2è semestre 2019, le nombre de cas de tuberculose, résistante à la rifampicine et/ou tuberculose multirésistante diagnostiqué et confirmé est de 35 correspondants à un taux d’accomplissement de 45% 
Analyse des données :
Le numérateur est le nombre de cas notifiés de tuberculose pharmacorésistante bactériologiquement confirmée (tuberculose résistante à la rifampicine et/ou tuberculose multirésistante). Il est de 35.  
Observations / Commentaires :
La performance réalisée (45% : n=35) est faible mais elle est supérieure à celle du 2è semestre 2018 (41% : n=30) et celle du 1er semestre 2019 (37% : n=29). 
Selon les données des années antérieures, la moyenne annuelle des cas de TBMR diagnostiqués de 2014 à 2018 était de 54 cas.
Cette performance serait tributaire essentiellement de :
-la surestimation des cibles de cet indicateur (ce qui aurait été confirmé par la réunion de haut niveau de New York tenue en septembre 2018, qui fixait les cibles à 61 pour 2019). 
-la sous-utilisation des appareils GèneXpert suite au problème de transport des échantillons requis à partir des CT et CDT ;
Solutions/Recommandations :
En vue d’améliorer la performance de cet indicateur, le PR et le PNILT devraient utiliser la cible ajustée conformément à la réunion de Haut niveau tenue en Septembre 2018 à New York. 
Ailleurs, le PR recommande au PNILT, d’accélérer l’organisation de la mise en œuvre du plan de transport des échantillons des crachats des CT, CDT vers les appareils GèneXpert et de ceux derniers vers le LNR ;</t>
  </si>
  <si>
    <t>Vue d’ensemble :
Source des données : cet indicateur a été renseigné grâce au rapport du 2è semestre 2019 du PNILT après consultation des outils primaires de collecte des données (registres) du centre national de la prise en charge de la TBMR lors des ateliers de validation des données.
Au 2è semestre 2019, le nombre de cas de tuberculose, résistante à la rifampicine et/ou tuberculose multirésistante soumis au traitement est de 35 soit un taux d’accomplissement de 100%. Donc, la  performance de 45% qui se dégage automatiquement résulte d’une erreur de formule.
Analyse des données 
Le numérateur est le nombre de cas de tuberculose pharmacorésistante (tuberculose résistante à la rifampicine et/ou tuberculose multirésistante) enregistrés et ayant commencé un régime thérapeutique prescrit contre la tuberculose multirésistante au cours de la période de rapportage. Il est de 35.
Le dénominateur devrait être le nombre de cas de tuberculose pharmacorésistante (tuberculose résistante à la rifampicine et/ou tuberculose multirésistante) enregistrés au cours de la période de rapportage. Il est alors de 35 car tous les cas diagnostiqués ont été traités. Le cadre de performance présente un dénominateur de (79), cible qui était attendue, ce qui fausse la performance d’autant plus que le traitement ne peut se faire qu’aux seuls cas réellement diagnostiqués.
Observations / Commentaires :
La performance réalisée (100%) est satisfaisante. 
Cette même performance a été réalisée au 2è semestre 2018 et au 1er semestre 2019 
Ceci a été possible grâce à :
-la disponibilité des médicaments de 2ème ligne acquis sur financement du Fonds Mondial ;
-approvisionnement régulier du Centre National de prise en charge de TBMR de Kibumbu ;
-existence d’un dispositif pour le transport vers le centre de Kibumbu de tout malade diagnostiqué TBMR ;
-engagement des prestataires à mettre systématiquement sous traitement tout cas de TBMR.
Solutions/Recommandations :
Toutes les actions déjà entreprises ainsi que celles devant concourir au maintien de cette performance doivent être prises</t>
  </si>
  <si>
    <t>Vue d’ensemble :
Source des données : cet indicateur a été renseigné grâce au rapport du 2è semestre 2019 du PNILT après consultation des outils primaires de collecte des données (registres) lors des ateliers de validation trimestrielle des données.
Le nombre de CDT est de 170.  Les CT rapportent leurs données aux CDT comme le stipule les directives nationales. Toutes les formations sanitaires (FOSA) sont des CT potentiels.
Au cours du2è semestre 2019, 100% des CDT ont présentés leurs rapports dans les délais. 
Analyse des données : 
Selon les Directives Nationales, les CT (CDS) rapportent auprès des CDT de leur aire sanitaire. Ces derniers (CDT) sont les seuls à compiler les données et à les transmettre à l'échelon supérieur selon la pyramide sanitaire.
Selon les données transmises par le PNILT, les CDT ont transmis leurs rapports à temps tant que leurs rapports sont disponibles lors de l’atelier de validation des données. 
Le numérateur est le nombre de CDT présentant leurs rapports dans les délais selon les directives nationales. Il est de 170
Le dénominateur est le nombre total de CDT(N=170).
Observations / Commentaires :
La performance réalisée (100%) est satisfaisante.  Cette même performance a été réalisé au 2è semestre 2018 et au 1er trimestre 2019.
Solutions/Recommandations :
Quoi cette performance soit bonne, le PR recommande au PNILT :
-	d’exiger la transmission, par les coordonnateurs provinciaux, des rapports compilés des CDT avant le 10 du mois suivant le trimestre concerné, conformément au plan de suivi-évaluation de la subvention TB/VIH et Paludisme. 
-	de rendre disponible ces rapports dans l’archivage du PNILT
-	d’ajuster ces rapports conformément aux résultats des ateliers provinciaux de validation des données.</t>
  </si>
  <si>
    <t xml:space="preserve">
Vue d’ensemble :
Source des données : données de DHIS2, extraites en date du 12 mars 2020
Le taux de réalisation de cet indicateur est de 78,13% , correspondant à un taux d’accomplissement de 105%.
Analyse des données :
La performance réalisée est supérieure à celle de décembre 2018 (102% : N=62093) et celle du 1er semestre 2019 ( (102% : N=61849). Cela est dû au fait que les files actives de DHIS2 avaient été multiplié chaque fois par un facteur de correction de 0,9515 conformément aux résultats de la vérification de la file active des personnes vivant avec le VIH sous ARV au Burundi (juin 2018) vérification qui a été réalisée par Measure-Evaluation avec l’outil DQA. En plus, on signale que le 1er semestre 2019, environ 80 sites n’avaient pas rapporté leurs données dans DHIS au mois de juin.
Le numérateur est le nombre d'adultes (femmes enceintes comprises) et d’enfants qui reçoivent actuellement un traitement antirétroviral conformément au protocole de traitement approuvé au niveau national. Il est de 63702.
Le dénominateur est le nombre estimé de tous les adultes et enfants vivant avec le VIH, les femmes enceintes séropositives, les enfants séropositifs, les coinfectés VIH/TB, HSH séropositifs et PS séropositives attendu en fin juin 2019. Il est de 81 533.
Observations / Commentaires :
Cette performance quoi que supérieure à celle rapportée antérieurement, elle ne reflète pas la situation réelle car il y a des données de certains sites qui n’ont pas été prises en compte. En effet, en date du 12mars2020, certains districts sanitaires et Médecins provinciaux n’avaient pas encore validé leurs données. Donc, ces données n’ont pas été rapportées car non visibles dans DHIS2.  
En supposant que le mois d’Août avait des données complètes (FA=68417), selon la modélisation nous aurions en fin décembre 2019, près de 69 000 PVVIH sous ARV. Ainsi, cette file active sera mise à jour après la validation des données de toutes les provinces par les chefs des districts et Médecins provinciaux.
Solutions/Recommandations :
En vue d’améliorer la performance de cet indicateur les actions suivantes sont proposées et doivent être rapidement mûries : 
-à la DSNIS, faire respecter les échéances de rapportage et de validation des données par les différents niveaux de la pyramide sanitaire conformément au nouveau manuel du SNIS
-améliorer le rapportage des sites par un bon suivi des données rapporter dans DHIS2 et une relance systématique des sites ; 
- Organiser conjointement et régulièrement avec le PNLS et autres partenaires VIH des missions de vérification et nettoyage des données au niveau des sites ayant des problèmes de rapportage des données
-Effectuer une triangulation des données par : (i) niveau du site par une revue hebdomadaires des données (ii) niveau district par l’équipe du site avec le concours du conseiller technique, de l’équipe cadre de district et le point focal VIH provincial ; (iii) niveau national organiser des missions de validation des trois programmes avec la DSNIS au niveau provincial et District ;
-Assurer la rétention des patients PVVIH aux traitements grâce aux activités de sensibilisation ;
-Assurer une disponibilité continue des intrants ARV</t>
  </si>
  <si>
    <t>Vue d’ensemble : 
Source des données : DHIS2 : données extraites en date du 13 mars 2020
Durant la période de rapportage, le nombre de sites ARV était de 844. Parmi eux, 96 sites ont notifié avoir connu une rupture de stock d’au moins 14 jours pour l’une au moins des huit molécules antirétrovirales requises, sélectionnées par PNLS. Cela représente 11,3%.  
Analyse des données 
Les molécules considérées sont les suivantes : TDF/3TC/EFV (300/300/600mg), AZT/3TC(300/150mg), EFV(300mg), TDF/3TC(300/300mg), NVP (200mg) et AZT/3TC/NVP(60/30/50mg), l’AZT/3TC(60/30mg), ABC/3TC(60/30mg).
-Le numérateur est le nombre d'établissements de santé dispensant des thérapies antirétrovirales avec une rupture de stock pour au moins l'un des médicaments antirétroviraux requis durant deux semaines au cours de la période de rapportage. Il est de 96.  
-Le dénominateur est le nombre de sites ARV durant la période de rapportage. Il est de 844.
Observations / Commentaires 
La performance de 120% qui se dégage automatiquement dans le template du PUDR a peu de sens selon notre entendement. Dans le cadre de performance et dans le template du PUDR, la performance de cet indicateur devrait concerner les formations sanitaires qui n’ont pas connu une rupture de stock en lieu et place du calcul de la performance des formations sanitaires qui ont connu une rupture de stock. La cible serait alors de 95% au lieu de 5%. 
La proportion de sites ARV qui ont connu une rupture de stock d’au moins 14 jours étant de 11,3%, celle n’ayant pas connu de rupture de stock d’au moins 14jours est de 88,7%. Ainsi la performance deviendrait 88,7%/95%=93,3%. 
Cet indicateur souffre toujours d’une mauvaise compréhension de la part des prestataires d’où un rapportage erroné. Cela a été constaté au cours des missions de supervision et à l’occasion des ateliers de validation des données. En effet, il existe des sites qui mentionnent des jours de rupture de stock qui dépassent même les jours du mois, d’autres ne sont pas des sites ARV mais mentionnent avoir connu des ruptures de stock tandis que de vrais sites ARV notifient une rupture de stock pour des molécules dont la structure n’a pas besoin pendant ce moment. Cela est confirmé par le fichier qui a été extrait de DHIS2. Certains sites (centre de santé), indiquent qu’ils ont connu une rupture de stock pour toutes les molécules et durant toute la période de rapportage. Il s’agit alors d’une fausse rupture de stock pour la plupart. Les provinces les plus concernées sont Muyinga, Karuzi et Mwaro. 
Solutions/Recommandations 
Pour maintenir et améliorer la performance de cet indicateur, les mesures suivantes vont doivent être prises et renforcées :
-	Réaliser une supervision conjointe PNLS/PNUD dans les provinces qui font beaucoup de saisies de rupture de stock en ARV 
-	Renforcer les compétences des prestataires sur la compréhension et le rapportage de cet indicateur lors des supervisions et à toute occasion de rencontre avec  les prestataires tel lors des ateliers de  validation des données.
-	faire assurer un suivi régulier de la qualité des données saisies et la correction des erreurs par les conseillers techniques provinciaux ; 
-	Collaborer avec la DSNIS pour faciliter la correction des erreurs de saisie de cet indicateur et d’autres dans DHIS2 chaque fois que de besoin</t>
  </si>
  <si>
    <t>Vue d'ensemble :
Source des données : données de DHIS2, extraites en date du 12mars 2020
Le taux d’accomplissement pour cet indicateur est de 85%. 
Analyse des données :
Le numérateur est le nombre de femmes enceintes venues en CPN1, dépistées et qui ont récupéré les résultats dans la période de janvier au 31 décembre 2019. Il est de 417986.
Le dénominateur est le nombre estimé de femmes enceintes dans les 12 derniers mois (Nombre de Grossesses attendues par année = PT x 0,05). Il est de 549577.
Au cours de l’année 2019, le nombre de femmes enceintes venues en CPN et dépistées pour le VIH était de 426544. Parmi elles, 417986 ont récupéré les résultats en CPN1, soit 98%.  Ce taux pourra être ajusté après la disponibilité des données de tous les sites dans DHIS2.
Observations / Commentaires :
Cette performance quoi que bonne, elle est inférieure à celle enregistrée au cours de l’année 2018 (99% : N=421858/534608). Comparée à celle du 1er semestre 2019 (215434/274789), la performance annuelle réalisée montre une chute de la performance au 2è semestre 2019.
Solutions / Recommandations :
Pour maintenir et améliorer cette performance, le PR recommande au PNLS de : 
-renforcer les activités d’information, communication et éducation pour une bonne utilisation des services CPN par les femmes enceintes ;
-Poursuivre la mise en œuvre des activités de mobilisation des leaders administratifs et religieux autour de la PTME et la CPN  
-mobiliser les prestataires pour la réalisation des CPN et le counseling pour le test VIH
-faire un counseling et dépistage systématique de toutes les femmes venues en CPN ;
-encourager les femmes dépistées à la récupération des résultats ;  
-sensibiliser les maris à accompagner leurs épouses pour les CPN</t>
  </si>
  <si>
    <t>Vue d’ensemble 
Source des données :données de DHIS2 extraites en date du 12 mars 2020
Au cours du 2emestre 2019, le taux d’accomplissement des femmes enceintes séropositives au VIH qui ont reçu des antirétroviraux durant leur grossesse était de 71%. 
Analyse des données 
Le numérateur est le nombre de femmes enceintes séropositives au VIH ayant reçu un traitement antirétroviral au cours des 12 derniers mois afin de réduire le risque de transmission de la mère à l'enfant pendant la grossesse et l'accouchement. Il est de 3914.
Le dénominateur est le nombre attendu de femmes enceintes séropositives attendues durant l’année. Il est de 5771.
Observations / Commentaires 
La performance réalisée au 2è semestre 2019 est inférieure à celle de 2018 (104% : N=5552/5613) et du 1er semestre 2019 (119% : N=3297/2886). Le fait que cet indicateur avait connu une performance élevée en 2018 et au 1er semestre 2019, était lié aux erreurs des données de DHIS2.
Toutefois, la performance de cet indicateur pourra s’améliorer lors de la prise en compte des données de tous les sites dans DHIS2 après la validation de ces données par les Médecins chefs des districts et les Médecins provinciaux. 
Solutions/Recommandations :
En vue d’améliorer progressivement la performance de cet indicateur, le SR_PNLS doit mettre en œuvre les actions suivantes :
-renforcer les compétences des prestataires sur la compréhension des indicateurs VIH en général et la PTME en particulier ;
-Renforcer les supervisions des sites de prise en charge y compris les sites PTME pour assister les points focaux SIS dans l’exercice de saisie et de vérification des données ;
-assurer un suivi régulier de la qualité des données saisies et la correction des erreurs (par les conseillers techniques provinciaux) ; 
-collaborer avec la DSNIS pour améliorer progressivement le paramétrage de certains indicateurs ; 
-proposer une validation des données en deux temps : (i) niveau du district avec le concours du conseiller technique, de l’équipe cadre de district et le point focal VIH provincial ; (ii) organiser des missions de validation des trois programmes avec la DSNIS au niveau provincial ;
- Organiser des missions de supervision pour formation sur site des prestataires des sites à très faible qualité des données</t>
  </si>
  <si>
    <t xml:space="preserve">Vue d'ensemble 
Source des données : données DHIS2 extraites en date du 12mars2020
En fin de l’année 2019, la proportion de nourrissons qui ont bénéficié d’un dépistage au VIH dans les deux mois après leur naissance, est de 60% soit une performance de 80%. 
Analyse des données
Le numérateur est le nombre de nourrissons qui ont bénéficié un dépistage du VIH dans les deux mois après leur naissance, au cours de la période de rapportage. Il est de 3467.
-Le dénominateur est le nombre de femmes enceintes séropositives au VIH ayant accouché au cours des 6 derniers mois. Il est de 5771.
Le nombre de femmes enceintes séropositives au VIH ayant accouché devrait être inférieur au dénominateur estimé ce qui contribue à la baisse de la performance de l'indicateur. Cette approximation a été convenue dans les rapports précédents avec le GFATM.
Observations / Commentaires 
La performance réalisée pour les nourrissons qui ont bénéficié du dépistage au VIH dans les deux mois après leur naissance est passée de 55% (2207/5613) en fin décembre 2018 à 80% (3467/57771) au 2è semestre 2019. Cependant, cette performance (80%) reste inférieure à celle réalisée au 1er semestre 2019 (84% : N=1813/2886).
La performance de cet indicateur pourra s’améliorer lors de la prise en compte des données de tous les sites dans DHIS2 après la validation de ces données par les Médecins chefs des districts et les Médecins provinciaux. 
Cette bonne performance serait due :
-aux sensibilisations des prestataires à la collecte et au transport des échantillons PCR ;
-au système de maintenance des appareils qui a permis de prévenir les pannes et la promptitude dans la réparation de ceux qui étaient momentanément en dysfonctionnement ;
-à la disponibilité des intrants PCR et l’organisation de la collecte et le transport des échantillons par les Conseillers techniques ;
-au remboursement des frais inhérents au transport des échantillons vers les laboratoires Abott ;
-à une prise de conscience progressive par les prestataires pour le suivi des nouveaux nés et des enfants infectés et affectés par le VIH ;
- à l’approche systématique de réalisation des PCR selon le protocole national et une amélioration de la notification des cas.
Solutions/Recommandations 
En vue d’avoir une amélioration continue de la performance de cet indicateur, les actions suivantes doivent être suivies :
-maintenir toutes les actions qui ont permis d’atteindre la performance actuelle ;
-mettre en œuvre les recommandations du plan opérationnel de la charge virale en rapport avec la collecte, le transport des échantillons PCR ainsi que le rendu des résultats ;
-mettre en œuvre les recommandations d’amélioration du dépistage précoce chez les enfants y compris l’utilisation des appareils GeneXpert;
-Fournir régulièrement aux conseillers techniques la logistique nécessaire pour le transport des échantillons ;
-renforcer les sensibilisations des prestataires sur l’importance du suivi clinique et biologique du nouveau-né et de l’enfant à risque du VIH
-assurer l’approvisionnement continue des sites en intrants PCR ;
-Faire un plaidoyer pour la formation des utilisateurs des appareils PCR sur la maintenance préventive ;
-susciter l’implication des prestataires à la réalisation systématique des PCR chez tous les enfants nés des mères VIH+ 
</t>
  </si>
  <si>
    <t>Vue d’ensemble : 
Source des données=DHIS2 : données extraites en date du 12mars2020
Les résultats montrent qu'au cours de la période de juillet à décembre 2019, 49,2% des PVVIH ont bénéficié un screening pour la tuberculose ce qui correspond à un taux d’accomplissement de 70%.
Analyse des données 
La performance de 70%, comparée à celle de S1 2019 (72%=31353/61849), pourrait être jugée à tort d’inférieure. En effet, la performance aurait été de 74% si la file active avait été multipliée par le facteur de correction (0,9515) comme on en avait fait lors du 1er semestre2019. 
-Le numérateur devrait être le nombre d'adultes et d'enfants pris en charge pour le VIH qui ont été testés pour la tuberculose et dont le résultat a été enregistré au cours de leur dernière visite. Cependant, le système d’information sanitaire ne pouvant pas capter la seule dernière visite, le numérateur devient la moyenne des screening réalisés durant la période de rapportage. Il est obtenu en additionnant les screening réalisés dans les 6mois en divisant le résultat obtenu par 6.  Il est de 31353.
-Le dénominateur est le nombre total d'adultes et d’enfants pris en charge pour le VIH au cours de la période de rapportage. Il procède de la file active rapportée pour la période. Il est de 63702. 
Observations / Commentaires 
La performance réalisée est bonne.
La performance de cet indicateur pourra s’améliorer lors de la prise en compte des données de tous les sites dans DHIS2 après leur validation par les Médecins chefs des districts et les Médecins provinciaux.
La performance de cet indicateur pourra s’améliorer lors de la prise en compte des données de tous les sites dans DHIS2 après la validation de ces données par les Médecins chefs des districts et les Médecins provinciaux.  
Solutions/Recommandations 
En vue de maintenir voire améliorer la performance de cet indicateur, le SR PNLS doit prendre les actions suivantes :
-améliorer la complétude et la promptitude des données VIH dans DHIS2 ;
-rendre disponible l’INH au niveau des FOSA en vue d’inciter les prestataires à la pratique du screening
-renforcer les séances d’information aux prestataires sur l’importance du screening de la tuberculose chez les PVVIH et à sa réalisation systématique du screening chez tout PVVIH à chaque visite. 
-Mobiliser les ressources pour le recyclage nouveaux prestataires non encore formés sur la prise en charge du VIH, de la tuberculose et la coïnfection TB/VIH</t>
  </si>
  <si>
    <t>Vue d’ensemble  
Source des données=DHIS2 : données extraites en date du 12mars2020
Au cours du 2è semestre 2019, la proportion de personnes vivant avec le VIH nouvellement enrôlées dans les soins du VIH qui ont commencé le traitement préventif de la TB est de 43%, correspondant à un taux de réalisation de 115%. 
Analyse des données 
La performance de 115% réalisée pour cet indicateur au cours du 2è semestre 2020 est supérieure à celle du 1er semestre 2019 (110% =4147/10071). Cependant, en comparant les chiffres bruts, nous réalisons que le nombre d'adultes et d'enfants nouvellement pris en charge pour le VIH, c.-à-d. enrôlés aux soins (pré-TAR et TAR) et qui ont également reçu au moins une dose d’INH au cours de la période de rapportage est inférieur (3987) à celui rapporté en S1_2019 (4147). La même tendance s’observe pour les dénominateurs : Nombre total d'adultes et d'enfants nouvellement pris en charge pour le VIH au cours de la période de rapportage : 3987 en S2 2019 et 10071 en S1 2019.
Cela serait dû essentiellement par le fait que :
-	Les données sont incomplètes : en effet, les données de certains sites ne sont pas visibles dans DHIS2 pour quelques mois y compris le mois de décembre (car non encore validé par les niveaux opérationnels et intermédiaires) ou/et
-	Les aberrations ont été corrigées car les Médecins chefs et les Médecins provinciaux ont l’obligation de vérifier systématiquement toutes les données avant de les valider 
Le numérateur est le nombre d'adultes et d'enfants nouvellement pris en charge pour le VIH, c.-à-d. enrôlés aux soins (pré-TAR et TAR) et qui ont également démarré (ayant reçu au moins une dose) de la prophylaxie à l'isoniazide au cours de la période de rapportage. Il est de 3987.
Le dénominateur est le nombre total d'adultes et d'enfants nouvellement pris en charge pour le VIH au cours de la période de rapportage. Ce dénominateur a été mis à jour conformément au nombre de PVVIH nouvellement enrôlé dans les soins durant cette période. Ainsi, les personnes diagnostiquées PVVIH en pré traitement sous Cotrimoxazole, en traitement ARV sans Cotrimoxazole et en traitement ARV avec Cotrimoxazole ou diagnostiquées VIH en attente du traitement ARV et du Cotrimoxazole ont été pris en compte dans le dénominateur. Il devient alors 9262.
La performance de cet indicateur pourra s’améliorer lors de la prise en compte des données de tous les sites dans DHIS2 après la validation de ces données par les Médecins chefs des districts et les Médecins provinciaux. 
Solutions/Recommandations 
En vue de maintenir la performance de cet indicateur, il est recommandé de prendre/renforcer les actions suivantes :
-accélérer le passage à échelle de la prophylaxie à l’INH et prendre des dispositions nécessaires pour qu’il soit disponible au niveau des sites ARV ;
-Renforcer le suivi de la gestion de l’INH au niveau des sites ainsi que le système de son rapportage
-Confronter les kits distribués au nombre de PVVH déjà soumis sous prophylaxie et dresser le rapport
-faire un suivi de l’enrôlement des PVVIH sous INH au niveau des sites afin d’anticiper les éventuelles péremptions vu qu’un PVVIH n’est enrôlé qu’une fois dans les 5ans pour une prophylaxie de 6 mois ;
-renforcer les sensibilisations des prestataires au screening systématique des PVVIH à chaque contact avec la structure et l’enrôlement à l’INH conformément aux directives de coïnfection TB/VIH ;
-S’assurer de la disponibilité de l’outil récemment révisé pour la collecte des données sur les prestations de la coïnfection TB/VIH ;
-continuer le plaidoyer au Ministère de la santé Publique en faveur d’une amélioration continue de la qualité des données de DHIS2</t>
  </si>
  <si>
    <t>Vue d’ensemble :
 Source des données=DHIS2 : données extraites en date du 12mars2020
 En fin décembre 2019, le nombre de personnes dépistées pour le VIH et ayant reçu leurs résultats (tout âge et sexe confondus) durant la période de rapportage était de 978399 soit une performance de 89%. Ce nombre inclus également les femmes enceintes (417986), les HSH et les PS. 
Analyse des données 
Cette performance (N=978399) comparée à celle du 2è semestre 2018 (N= 2008439) est nettement inférieure ce qui est par ailleurs un effet souhaité. En effet, sur 1 029 372 personnes conseillées et dépistées au VIH, 978399 ont récupéré leurs résultats durant l’année 2019 soit un taux de retrait de 95%. 
Le nombre de tests attendus était de 1 097 727.
Cette performance serait liée à l’appropriation par les prestataires de la nouvelle approche de dépistage du VIH. En effet, en vue d’être efficient dans le dépistage, il est recommandé aujourd’hui de privilégier le dépistage indexé, le dépistage ciblé ainsi que le self testing.  C’est l’adoption de cette approche qui justifierait la baisse des tests réalisés ce qui est un effet souhaité.
La performance de cet indicateur sera ajustée lors de la prise en compte des données de tous les sites dans DHIS2 après la validation de ces données par les Médecins chefs des districts et les Médecins provinciaux. 
Solutions/Recommandations 
Pour maintenir cette performance, il est recommandé la mise en œuvre des actions suivantes :
-veiller à la disponibilité permanente des réactifs de dépistage ;
-renforcer les compétences des prestataires sur la nouvelle approche de dépistage : l’index testing, le dépistage ciblé et le self testing;
-mettre à profit les résultats du self testing et envisager le passage à échelle dans d’autres provinces</t>
  </si>
  <si>
    <t>Vue d’ensemble :
Source des données : cet indicateur a été renseigné grâce au rapport annuel de la CRB (compilation des rapports de l’ANSS) et celui du Projet Linkages 
Au cours de l’année 2019, la proportion de HSH qui a bénéficié un programmes de prévention du VIH est de 137,6%, ce qui donne un taux d’accomplissement de 120%. 
Analyse des données :
On constate qu’il y a eu un dépassement de la performance. Si on compare le taux de réalisation de 2019 (137,6% N=14801/10755) à celui de 2018 (97,7%  :N=10280/10522), on constate que celui de 2019 est de loin supérieur.  
Parmi les 14801 HSH touchés par les messages de prévention du VIH :
-7494 ont été rapportés au 1er semestre par la CRB via l’ANSS qui encadre les pairs éducateurs dans les provinces de Cibitoke, Gitega, Rumonge et Makamba; le Projet Linkages sur financement de PEPFAR/USAID, SIDACTION et les médiateurs de santé dans les structures où ils sont affectés.
-7307 ont été rapportés de juillet à décembre 2019 par  la CRB et le Projet Linkages .
-Le numérateur est le nombre d'hommes ayant des rapports sexuels avec des hommes qui ont bénéficié de programmes de prévention du VIH (IEC/CCC, préservatifs, gel, références et soutien - dépistage, IST ; soins pré-TAR et TAR). Il est de 14801.
-Le dénominateur est le nombre estimé d'hommes ayant des rapports sexuels avec des hommes au niveau national. Il est de 10755.
Observations / Commentaires :
Le dépassement de la performance s’expliquerait par trois faits essentiels :
-les PE ont multiplié les séances de sensibilisation grâce à l’encadrement des responsables (conseiller psychosocial et médecin) des centres de convivialité.
- L’existence des MSM qui seraient intéressaient par les informations de prévention du VIH et qui seraient par conséquent touchés par ces messages plus d’1 fois dans l’année
- La contribution de SIDACTION et les Médiateurs dans l’offre des services de prévention aux HSH au 1er semestre 2019, 
Solutions / Recommandations :
En vue de maintenir une bonne performance de cet indicateur, le PR recommande à la CRB :
- de maintenir les efforts actuels dans l’offre du paquet des services de prévention du VIH aux HSH ;
- de mettre en place un dispositif de vérification, contrôle et correction des doublons dans le rapportage
-de mettre à la disposition des PE les manuels ou aide-mémoires contenant des thèmes de prévention du VIH à développer au cours des entretiens avec les HSH ;
-de faire des supervisions formatives aux PE en vue de renforcer leurs capacités sur le lieu de travail ; 
-de s’assurer que chaque HSH rapporté a reçu au moins 4 thèmes au minimum parmi les thèmes suivants : distribution et utilisation des préservatifs, gel, références et soutien - dépistage, IST, soins pré-TAR et TAR en quatre séances par mois pour qu’il soit rapportée.</t>
  </si>
  <si>
    <t>Vue d’ensemble :
Source des données : cet indicateur a été renseigné grâce au rapport annuel de la CRB (compilation des rapports de l’ANSS) et celui du Projet Linkages.
Au cours de l’année 2019, la proportion d'hommes ayant des rapports sexuels avec des hommes qui ont fait un test VIH et qui connaissent les résultats est de 60,8%, soit un taux d’accomplissement de 89%.
Analyse des données :
Cette performance est superposable à celle de 2018 (90%). Cependant, le nombre de ceux qui se sont faits dépistés et qui connaissent les résultats (6544), comparé à celui de ceux qui ont bénéficié le programme de prévention (14801), nous réalisons que plus de la moitié des HSH se sont pas faits dépister ( soit 58% N=8257).
Parmi les 6544 HSH qui ont fait le test VIH et qui connaissent les résultats :
-3296 ont été rapportés au 1er semestre par la CRB via l’ANSS qui encadrent les pairs éducateurs (Cibitoke, Gitega, Rumonge et Makamba), le Projet Linkages, sIDACTION et les Médiateurs de santé.
-3248 ont été rapportés de juillet à décembre 2019 par la CRB et le Projet Linkages sur financement de PEPFAR/USAID.
Le numérateur : est nombre d'hommes ayant des rapports sexuels avec des hommes qui ont fait un test VIH au cours de la période de rapportage et connaissent les résultats. Il est de 6544
Le dénominateur : Nombre estimé d'hommes ayant des rapports sexuels avec des hommes au niveau national. Il est de 10755.
Observations / Commentaires :
Cette performance s’expliquerait par :
-Parmi les HSH qui suivent le programme de prévention, certains connaissent déjà leur statut sérologique pendant que d’autres refuseraient de se faire dépister.
- Le fait que les services de dépistage ne se faisaient pas dans les centres de convivialité, cela constituant une restriction pour les HSH à se faire dépister dans les structures de soins par crainte de la stigmatisation et discrimination
Solutions / Recommandations :
Dans le but de maintenir une bonne performance pour cet indicateur, il est recommandé de :
-faire la promotion de l’autotest dans le dépistage du VIH ;
-intégrer les centres de convivialité à l’intérieur des structures associatives, ce qui faciliterait l’adhésion des HSH au dépistage
-multiplier et les séances de sensibilisation des HSH à l’utilisation des formations sanitaires pour le dépistage du VIH ;
-sensibiliser les prestataires à l’offre des services de dépistage du VIH aux HSM et au respect de la confidentialité.
- Mettre à jour les données et la cartographie des HSH à travers l’étude IBBS
- Envisager un système de codification ou d’attribution d’un identifiant unique pour une bonne traçabilité des déplacements des HSH et en vue d’éviter les doublons dans le rapportage</t>
  </si>
  <si>
    <t>Vue d’ensemble :
Source des données : cet indicateur a été renseigné grâce au rapport annuel de la CRB (compilation de ceux de YEZU MWIZA) et celui du Projet Linkages. 
Au cours de l’année 2019, la proportion de professionnels du sexe qui ont bénéficié un paquet défini de services de prévention du VIH est de 84,2%, soit un taux d’accomplissement de 99%.
Analyse des données 
La performance de 99% réalisée au cours de l’année 2019 est supérieure à celle de 2018 (85,2%). 
Sur les 49 989 PS qui ont bénéficié un paquet défini de services de prévention du VIH :
-23733 ont été rapportés au 1er semestre par la CRB via l’ANSS qui encadrent les pairs éducateurs (Cibitoke, Gitega, Rumonge et Makamba) et le Projet Linkages sur financement de PEPFAR/USAID.
-26 256 ont été rapportés de juillet à décembre 2019 par la CRB et le Projet Linkages. 
-Le numérateur c’est le nombre de professionnels du sexe ayant bénéficié du paquet défini de services de prévention du VIH. Il est de 49989. 
-Le dénominateur est le nombre estimé d'hommes ayant des rapports sexuels avec des hommes au niveau national. Il est de 59 354. 
Observations / Commentaires :
La bonne performance réalisée au cours de l’année 2019, serait tributaire : 
- d’une amélioration des séances de sensibilisation, faites par les PE grâce à l’encadrement des responsables  (conseiller psychosocial et médecin des centres de convivialité)en quantité et qualité.
- des PS qui seraient intéressaient par les informations de prévention du VIH et qui seraient par conséquent touchées par ces messages plus d’1 fois dans l’année.
Solutions / Recommandations :
Pour le maintien de la performance, la CRB et ses partenaires doivent :
-renforcer les prestations des PE à offrir les services de prévention aux PS et à une utilisation des centres de convivialité ;
-mettre à la disposition des PE les manuels ou aide-mémoires contenant des thèmes de prévention du VIH à développer au cours des entretiens avec les PS ;
-faire des supervisions formatives aux PE en vue de renforcer leurs capacités sur le lieu de travail.</t>
  </si>
  <si>
    <t>Vue d’ensemble :
Source des données : cet indicateur a été renseigné grâce au rapport annuel de la CRB (compilation des rapports de YEZUMWIZA) et celui du Projet Linkages 
Au cours de l’année 2019, la proportion de professionnels du sexe qui ont fait un test VIH et qui connaissent les résultats est de 63,3%, soit un taux d’accomplissement de 89%.
Analyse des données :
Cette performance est de loin supérieure à celle de 2018 (74%). Cependant, le nombre de ceux qui se sont faits dépistés et qui connaissent les résultats (37 590), comparé à celui de ceux qui ont bénéficié le programme de prévention (49 989), nous réalisons que près d'1/4 de PS ne se sont pas fait dépister ( soit 24% N=12399).
Parmi les 37590 PS qui ont fait le test VIH et qui connaissent les résultats :
-16835 ont été rapportés au 1er semestre par la CRB à travers les rapports de YEZUMWIZA qui encadrent les pairs éducateurs dans les provinces de Cibitoke, Gitega, Rumonge et Makamba et ceux du Projet Linkages sur financement de PEPFAR/USAID
- 20755 ont été rapportés de juillet à décembre 2019 par la CRB et le Projet Linkages.
Le numérateur est le nombre de professionnels du sexe ayant bénéficié du paquet défini de services de prévention du VIH. Il est de 37 590 
Le dénominateur est une estimation du nombre de professionnels du sexe au niveau national. Il est de 59354.
Observations / Commentaires :
Cela s’expliquerait par le fait que :
- Parmi les PS qui suivent le programme de prévention, certaines connaissent déjà leur statut sérologique pendant que d’autres refuseraient de se faire dépister.
- Le fait que les services de dépistage ne se faisaient pas dans les centres de convivialité a constitué un frein aux PS à se faire dépister dans les structures de soins par crainte de la stigmatisation et discrimination
Solutions / Recommandations :
Dans le but de maintenir une bonne performance pour cet indicateur, il est recommandé de :
-faire la promotion de l’autotest dans le dépistage du VIH chez les PS ;
-intégrer les centres de convivialité à l’intérieur des structures associatives, ce qui faciliterait l’adhésion des PS au dépistage
-multiplier et les séances de sensibilisation des PS à l’utilisation des formations sanitaires pour le dépistage du VIH ;
-sensibiliser les prestataires à l’offre des services de dépistage du VIH aux populations clés et au respect de la confidentialité.
-Mettre à jour les données et la cartographie des PS à travers l’étude IBBS
-Envisager un système de codification ou d’attribution d’un identifiant unique pour une bonne traçabilité des déplacements des PS mais aussi dans le but d’éviter les doublons dans le rapportage.</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</si>
  <si>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</si>
  <si>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Module</t>
  </si>
  <si>
    <t>Standard Coverage Indicator Name</t>
  </si>
  <si>
    <t>Custom Coverage Indicator Name</t>
  </si>
  <si>
    <t>Standard Coverage Indicator Name - French</t>
  </si>
  <si>
    <t>Standard Coverage Indicator Name - Spanish</t>
  </si>
  <si>
    <t>Custom Coverage Indicator Name - local</t>
  </si>
  <si>
    <t>Target Cumulative?</t>
  </si>
  <si>
    <t>Comments:
Reasons for programmatic deviation from intended target and deviations from the related workplan activities</t>
  </si>
  <si>
    <t>Coverage Indicator Number</t>
  </si>
  <si>
    <t>Reverse Indicator</t>
  </si>
  <si>
    <t>Module Name ES</t>
  </si>
  <si>
    <t>Module Name FR</t>
  </si>
  <si>
    <t>Baseline Source - Local</t>
  </si>
  <si>
    <t>Geographic Coverage</t>
  </si>
  <si>
    <t>Baseline N#</t>
  </si>
  <si>
    <t>Baseline D#</t>
  </si>
  <si>
    <t>Baseline %</t>
  </si>
  <si>
    <t>Verified Result N# (LFA)</t>
  </si>
  <si>
    <t>[Record ID]</t>
  </si>
  <si>
    <t>[Module Name]</t>
  </si>
  <si>
    <t>[Coverage Indicator Name]</t>
  </si>
  <si>
    <t>[Custom Coverage Indicator Name - EN]</t>
  </si>
  <si>
    <t>[Coverage Indicator Name  - FR]</t>
  </si>
  <si>
    <t>[Coverage Indicator Name - ES]</t>
  </si>
  <si>
    <t>[Custom Coverage Indicator Name - Local]</t>
  </si>
  <si>
    <t>[Geographic Coverage]</t>
  </si>
  <si>
    <t>[Rating Cumulation Type]</t>
  </si>
  <si>
    <t>[Reversed indicator]</t>
  </si>
  <si>
    <t>[Baseline N#]</t>
  </si>
  <si>
    <t>[Baseline D#]</t>
  </si>
  <si>
    <t>[Baseline %]</t>
  </si>
  <si>
    <t>[Year]</t>
  </si>
  <si>
    <t>[Coverage Indicator Number]</t>
  </si>
  <si>
    <t>[Module Name ES]</t>
  </si>
  <si>
    <t>[Module Name FR]</t>
  </si>
  <si>
    <t>[Baseline Source - Local]</t>
  </si>
  <si>
    <t>a173600000BjghuAAB</t>
  </si>
  <si>
    <t>TB care and prevention</t>
  </si>
  <si>
    <t>TCP-1(M): Number of notified cases of all forms of TB-(i.e. bacteriologically confirmed + clinically diagnosed), includes new and relapse cases</t>
  </si>
  <si>
    <t>TCP-1(M): Nombre de cas déclarés de tuberculose, toutes formes confondues, bactériologiquement confirmés et cliniquement diagnostiqués, nouveaux cas et récidives</t>
  </si>
  <si>
    <t>TCP-1(M): Número de casos notificados de todas las formas de TB (i.e. confirmados bacteriológicamente y con diagnóstico clínico) incluye casos nuevos y recaídas</t>
  </si>
  <si>
    <t>National</t>
  </si>
  <si>
    <t>N-Non-cumulative</t>
  </si>
  <si>
    <t>PNILT Annual Report</t>
  </si>
  <si>
    <t>The numerator is the number of notified cases of all forms of tuberculosis (AFTB) with bacteriological confirmation and a clinical diagnosis (new cases and recurrences).
The calculation was based on the AFTB results from the PNILT (National Integrated Leprosy and Tuberculosis Control Program) in late 2016, increased annually by 5 percent relative to the general population.
Current and planned interventions will facilitate the detection of 8,447, 8,870 and 9,313 new cases and relapses in 2018, 2019 and 2020 respectively. Adult targets are 7,626, 7,999 and 8,376 cases; child targets are 449, 494 and 558 cases (7%, 10% and 13% more than the previous year) for 2018, 2019 and 2020.
In the context of the early detection and diagnosis of tuberculosis (TB), the main intervention strategy during the grant implementation period will focus on (i) strengthening the microscopy laboratory network; (ii) improving the detection and reporting of TB cases in line with the "End TB" strategy: detecting 90% of cases of TB in a non-specific population and 90% of TB cases in at-risk groups; (iii ) screening for TB in PLHIV; (iv) ensuring adequate follow-up of TB patients undergoing treatment, and patients with TB/HIV and MDR-TB, aiming for a therapeutic success rate of ≥ 90% and ensuring coverage pf ARV treatment.
The actual contribution of the Burundian government to TB control has not been quantified, in particular the cost of infrastructure, human resources in testing and treatment centres (TTCs) and treatment centres (TCs), and the operation of such centers. However, through direct cofinancing and willingness to pay, there is an annual allocation for TB control, to the amount of 692,640,665 BIF in 2018, 726,872,692 BIF in 2019 and 763,216,326 BIF in 2020 respectively, i.e. 406,864 USD in 2018, 426,972 USD in 2019 and 448,320 USD in 2020. This amount is primarily intended for the purchase of drugs to combat side-effects, and to support the Tuberculosis Centre in Bujumbura, as well as MDR-TB cases and the National Programme.
Where gaps are not covered financially, funding has been requested as part of the Poverty Assessment and Analysis Report (PAAR) for (i) infection control activities, (ii) follow-up activities for TB patients undergoing treatment; and (iii) activities relating to the prevention of tuberculosis.
Prisoners:
In 2016, 70 prisoners were screened thanks to contributions from all stakeholders, including the community.
According to reported cases of AFTB in 2013, the rate was 1,027 per 100,000 in prisons (Mpimba). According to 2016-2017 performance framework estimates, 85 cases were retained for two years, allowing us to set the following targets: 100 cases among prisoners in 2018, 98 in 2019 and 96 in 2020.
PLANNED STRATEGIES (PRISONERS)
- Strengthening the coordination of interventions for prisoners for TB control,
- Continued training of "champion prisoners" in TB/HIV, malaria, sexual and reproductive health (SRH), and prevention of mother-to-child transmission (PMTCT)
- Provision of data collection tools
- Distribution of materials (umbrellas, briefcases, registers) to help champion prisoners  raise awareness of TB 
- Radio advertising targeting specific groups including prisoners (according to the approved communication plan) to convey messages about HIV prevention, HIV and STI screening, TB, ETMS/IMCI, SR, and early NPC/CPoN, breastfeeding, and sexual and gender-based violence (SGBV)
- Screening of TB for incoming and outgoing prisoners
- Formative supervision in the country's 11 prisons.
Refugees:
Numerator: the number of AFTB cases notified among refugees.
The baseline value is for cases reported in refugee camps (11 cases), in 2013 (PNILT).
Planned activities include raising awareness among and mobilizing leaders in refugee camps, systematic screening for TB in refugee camps, training for refugee leaders in TB/HIV/PMTCT, and raising awareness of TB control.
Estimated targets were as follows:
- Refugee population (4 main camps): 37,788 (2013)
According to reported cases of AFTB in 2013, the rate was 29 per 100,000 in refugee camps. The reporting rate may be lower than in the general population (83 per 100,000 in 2013) due to low coverage of services. A rate of 89 and 92 per 100,000 was therefore applied for 2016 and 2017 respectively, based on estimates of the PNILT reporting rate. This gives an estimated number of AFTB cases (allowing for a theoretical 2% increase in population size): 38 cases among refugees in 2018, 40 in 2019 and 42 in 2020.
During the NFM funding period, 100 peer educators from the 4 main displaced persons camps were trained in issues relating to TB, includng other topics such as SR/PMTCT/NUTRITION/SGBV/MALARIA.
The population sizes of the camps are:  Musasa : 6453; Gasorwe: 8102; Kavumu: 12570; Bwagiriza: 8942
In each of the camps, the targets are 30%, 30% and 40% of the population ion 2018, 2019 and 2020.
An SSR has been selected and is responsible for organizing activities including reporting. Reports are submitted monthly by the SSR to the CRB. The data collection tools in 2016 did allow us to disaggregate the indicator. To solve this, we will develop a tool that will allow us to ascertain this indicator.
Biannual results among prisoners and refugees will be reported in the comments on the TCP-1 indicator.
GF covers 100% of the TB drug costs (as per programmatic gap tables).</t>
  </si>
  <si>
    <t>Atención y prevención de tuberculosis</t>
  </si>
  <si>
    <t>Prise en charge et prévention de la tuberculose</t>
  </si>
  <si>
    <t>Rapport annuel du PNILT</t>
  </si>
  <si>
    <t>a173600000BjghvAAB</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</si>
  <si>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</si>
  <si>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t>
  </si>
  <si>
    <t>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t>
  </si>
  <si>
    <t>The numerator is the number of bacteriologically confirmed cases of TB in a given period that have been successfully treated ("cured" and "completed treatment").
The denominator is the total number of bacteriologically  confirmed cases recorded on  treatment during the same period.
All TB cases that are detected should be treated.
The End TB Strategy advocates a "90-90-90" target (90% screening of the general population, 90% screening in high-risk groups, and 90% therapeutic success).
As the country managed to exceed the WHO target, it was deemed necessary to maintain the therapeutic success rate for AFTB at 92.3% between 2018 and 2020.
The main interventions relate to (1) the continuing and uninterrupted availability of quality first-line anti-tuberculosis drugs at all levels of the health system; (2) the regularity of supervision in all care centers in all provinces; (3) documentation of interventions that reduce the number of cases where treatment is abandoned, and ensure their regular follow-up; (4) the maintenance of a telephone network for following up patients and transfers, and a move towards a system based on applications and smartphone-based geolocalization; 5) introduction of new paediatric TB formulations; 6) the continuation of 5 years of preventive treatment with isoniazid in TB-free child TB contacts. </t>
  </si>
  <si>
    <t>a173600000BjghwAAB</t>
  </si>
  <si>
    <t>TCP-3: Percentage of laboratories showing adequate performance in external quality assurance for smear microscopy among the total number of laboratories that undertake smear microscopy during the reporting period</t>
  </si>
  <si>
    <t>TCP-3: Pourcentage de laboratoires présentant des performances satisfaisantes d’assurance qualité externe pour la microscopie de frottis, parmi le nombre total de laboratoires effectuant des analyses par microscopie de frottis pendant la période</t>
  </si>
  <si>
    <t>TCP-3: Porcentaje de laboratorios que demuestran un desempeño adecuado en el aseguramiento de la calidad externa para microscopía de frotis entre el número total de laboratorios que realizan microscopia de frotis durante el período</t>
  </si>
  <si>
    <t>The numerator is the number of laboratories with satisfactory performance for smear microscopy.
The denominator is the total number of laboratories performing smear microscopy analysis.
Currently, the country has 170 Testing and Treatment Centers (TTCs) and 1 National Reference Center for MDR-TB cases in Kibumbu, all of which are involved in quality control of TB screening slides.
After each data validation and dissemination workshop, a sample of 13 slides is drawn by the TTC and NRC in Kibumbu for quality control and analysis by the NRL.
In the event of underperformance of a particular TTC, formative supervision is organized by the NRL.
With performance exceeding 99%, the target is set at 100% for each year.
Satisfactory performance is defined as the achievement of satisfactory results (without major errors) in the quality control of TB screening slides received from the TTC/NRC Kibumbu by the NRL; this involves a re-reading of the TTC slides by 2 NRL technicians, and the results are compared with those initially reported by the TTC or NRC Kibumbu.</t>
  </si>
  <si>
    <t>a173600000BjghxAAB</t>
  </si>
  <si>
    <t>TCP-4: Percentage of reporting units reporting no stock-outs of anti-TB drugs on the last day of the quarter</t>
  </si>
  <si>
    <t>TCP-4: Pourcentage d'entités déclarantes (districts ou unités de gestion de base) n’ayant communiqué aucune rupture de stocks des médicaments antituberculeux de première intention au dernier jour du trimestre</t>
  </si>
  <si>
    <t>TCP-4: Porcentaje de establecimientos reportando no desabastecimiento de drogas de primera línea para el tratamiento de TB al último día del trimestre</t>
  </si>
  <si>
    <t>The numerator is the number of TTCs with no stock-outs lasting more then one week for first-line anti-tuberculosis drugs during the quarter.
The denominator is the total number of TTCs.
In order to include all health facilities, a decentralized approach was initiated as part of the Tuberculosis Program by establishing a system for the collection and transport of sputum.
Upon diagnosis of a positive case by a non-TTC health facility, a drug kit is put together and made available to the facility Thus, 5 to 6 health facilities (897/170 TTCs) will be supplied with medicines by a TTC from their catchment area.
Previous results for this indicator have been very satisfactory (100%), and the program intends to maintain this level of performance for the 2018-2020 funding period. This will be possible by building on the factors that have contributed to the successes seen to date.
There is a need to continue collaboration between the Government of Burundi, GDF/WHO and the Global Fund to ensure the continued availability of medicines and training and formative supervision of drug stock managers at all levels, including supply chain.
In addition, the current distribution system, which operates according to a centripetal distribution method, will be maintained across the country.
To all intents and purposes, any health center is a potential Treatment Center (TC). The latter is supplied by the TTCs, hence this document refers solely to TTCs.</t>
  </si>
  <si>
    <t>a173600000BjghyAAB</t>
  </si>
  <si>
    <t>TCP-5: Number of children &lt;5 in contact with TB patients who began isonizide preventive therapy</t>
  </si>
  <si>
    <t>TCP-5: Nombre d'enfants âgés de moins de 5 en contact avec des patients tuberculeux qui ont commencé un traitement préventif à l'isoniazide</t>
  </si>
  <si>
    <t>TCP-5: Número de niños menores de 5 años en contacto con pacientes de tuberculosis que empezaron a recibir  tratamiento preventivo con isoniazida (TPI)</t>
  </si>
  <si>
    <t>Numerator: The number of children under 5 years with TB contacts who have started isoniazid preventive treatment (IPT).
The results for 2016 show a 5 percent rate of AFTB in children. If powerful diagnostic tools are available, notification rates among children could increase by 7 percent in 2018, 10 percent in 2019 and 13 percent in 2020. 
The interventions and strategies to be implemented relate to the use of GeneXpert in children in contact with PTB+.</t>
  </si>
  <si>
    <t>a173600000BjghzAAB</t>
  </si>
  <si>
    <t>TCP-7c: Number of notified TB cases (all forms) contributed by non-national TB program providers – community referrals</t>
  </si>
  <si>
    <t>TCP-7c: Nombre de cas déclarés de tuberculose (toutes formes confondues) par les prestataires extérieurs au programme national de lutte contre la tuberculose — services communautaires</t>
  </si>
  <si>
    <t>TCP-7c: Número de casos de TB notificados (todas las formas) a traves de proveedores no-PNT- referidos por la comunidad</t>
  </si>
  <si>
    <t>Numerator: Number of notified TB cases (all forms) from the community level (by community health workers)
In 2016, 382 people were screened (PTB+) for TB as a result of the community contribution, which accounted for 4% of the total number expected. With GASC expected to be operational by late 2017, the community contribution could account for as much of 30% of the target as recommended by the national program.
(CP PNILT: 8,447 in 2018, 8,870 in 2019 and 9,313 in 2020), with each year equivalent to the target set for the 2018-2020 funding, which is 2,534 in 2018; 2,661 in 2019 and 2,794 in 2020. 
As part of their activities, ASCs will refer to suspected cases of TB seen in the community (coughing for more than 15 days) in DTCs, which will then carry out TB testing in collaboration with providers, and data on detected cases resulting from the ASC references will be collected; this data will be used to report on the indicator.</t>
  </si>
  <si>
    <t>a173600000Bjgi0AAB</t>
  </si>
  <si>
    <t>TB/HIV</t>
  </si>
  <si>
    <t>TB/HIV-5: Percentage of registered new and relapse TB patients with documented HIV status</t>
  </si>
  <si>
    <t>TB/HIV-5: Pourcentage de nouveaux patients TB et de rechute enregistrés dont le statut VIH est documenté</t>
  </si>
  <si>
    <t>TB/HIV-5: Porcentaje de casos  de TB nuevos y recaídas notificados con estatus de VIH documentado</t>
  </si>
  <si>
    <t>Numerator: The number of TB patients recorded during the reporting period whose HIV test is recorded in the TB registry at the time of TB diagnosis.
Denominator: The total number of TB patients recorded during the reporting period.
The preferred approach is for counselling and testing of HIV to be initiated by the provider.  This ensures that every TB patient is aware of the need to be tested for HIV.
HIV testing rates among TB patients are already high (96 percent in 2016).
The PNILT intends to maintain this level for the period 2018 to 2020. Consequently, 8,109 of 8,447, 8,515 of 8,870 and 8,941 of 9,313 patients will be tested for HIV in each year of the period from 2018 to 2020.
The service package aimed at achieving the outcome includes: (i) screening initiated by the provider; (ii) a joint approach to TB and HIV control; (iii) capacity building of coordination and cooperation among providers; (iv) the use of systematic digital radiography in addition to GeneXpert for new PLHIV; (v) the use of systematic digital radiography in addition to GeneXpert for PLHIV on ART for presumed TB excluding microscopy; (vii) the use of a TB Lamp (TB screening from urine) as a pilot intervention in HIV sites in Bujumbura for PLHIV with TB and a CD4 count of &lt;100.</t>
  </si>
  <si>
    <t>TB/VIH</t>
  </si>
  <si>
    <t>Tuberculose/VIH</t>
  </si>
  <si>
    <t>a173600000Bjgi1AAB</t>
  </si>
  <si>
    <t>TB/HIV-6(M): Percentage of HIV-positive new and relapse TB patients on ART during TB treatment</t>
  </si>
  <si>
    <t>TB/HIV-6(M): Pourcentage de nouveaux patients  tuberculeux et de rechutes, séropositifs au VIH, sous traitement antirétroviral au cours du traitement de la tuberculose</t>
  </si>
  <si>
    <t>TB/HIV-6(M): Porcentaje de casos de TB nuevos y recaídas VIH+ en TARV durante el tratamiento para la tuberculosis</t>
  </si>
  <si>
    <t>The numerator is the number of TB patients who are HIV+, recording during the information communication period, and who are receiving ART (who have commenced or who are continuing previously initiated ART). 
The denominator is the total number of TB and HIV+ patients recording during the reporting period. 
The estimated incidence of HIV in TB patients in Burundi is 17% (WHO 2016 Report). 
For the period 2018-2020, the assumption of 17% HIV+ patients in HIV-tested TB patients (of the 96% of AFTB tested) has been maintained. Thus, the number of HIV-positive TB patients is: 1,379 in 2018, 1,448 in 2019 and 1,520 in 2020.
With the application of task delegation,  awareness raising during data validation, joint supervision and the constant availability of ART in all TTCs, ART coverage in TB/HIV patients should be 100% but, as the technical platform is not yet operational in all TTCs, PNILT intends to increase this ART coverage from 91% in 2016 to 96% for the period 2018 to 2020.
The number of patients coinfected with TB/HIV and on ART will thus be 1,323 of 1,379 in 2018, 1,390 of 1,448 in 2019 and 1,459 of 1,520 in 2020. 
The service package will comprise (i) capacity building in coordination and cooperation among national programs and communicators in relation to TB/HIV management; (ii) HIV screening, treatment and care among TB patients; (iii) active searching for, diagnosis and treatment of TB among PLHIV; (iv) TB prevention (IPT and TB infection control). 
The Global Fund is contributing more than 95 percent. The Government's share is estimated at 5 percent (staff, infrastructure, TTC/TC running).</t>
  </si>
  <si>
    <t>a173600000Bjgi2AAB</t>
  </si>
  <si>
    <t>MDR-TB</t>
  </si>
  <si>
    <t>MDR TB-2(M): Number of TB cases with RR-TB and/or MDR-TB notified</t>
  </si>
  <si>
    <t>MDR TB-2(M): Nombre de cas de tuberculose, résistante à la rifampicine et/ou tuberculose multirésistante confirmés</t>
  </si>
  <si>
    <t>MDR TB-2(M): Número de casos TB-RR y/o TB-MDR notificados</t>
  </si>
  <si>
    <t>Numerator: Number of notified cases of bacteriologically confirmed TB (rifampicin-resistant TB and/or multidrug-resistant TB) 
Targets are cumulative and represent 70 percent of estimated MDR-TB cases in Burundi: 147 in 2018, 157 in 2019 and 165 in 2020 (out of an estimated total of 210, 224 and 235).
These estimates are based on the 2015 WHO Report published in 2016: of new cases of TB, 3.2 percent were estimated to be MDR-TB, and 14 percent of retreatment cases involved MDR-TB.
Based on the WHO estimates for Burundi, an annual increase of 70 percent was applied.
The suspected MDR-TB cases undergo GeneXpert, culture and sensitivity tests.
The main activities financed by the Global Fund to meet targets include the detection of MDR-TB cases (procurement of GeneXpert devices, inputs and other related supplies), medical care (procurement of second-line therapies, in addition to the government allocation, and support for managing side effects), and psychosocial and nutritional support.
The key challenge is the low reporting rate of MDR-TB cases.
Strategies to overcome these challenges include (i) the use of GeneXpert for retreatment cases, patients testing positive in the third, fifth, sixth and/or eighth month of treatment, MDR-TB contact cases, patients with TB/HIV coinfection, PLHIV, children, and care providers in contact with MDR-TB cases; (ii) culture and sensitivity testing only if Xpert Rifampicin + and (iii) treatment of all MDR-TB cases.</t>
  </si>
  <si>
    <t>Paquete para TB-MR</t>
  </si>
  <si>
    <t>Tuberculose multirésistante</t>
  </si>
  <si>
    <t>a173600000Bjgi3AAB</t>
  </si>
  <si>
    <t>MDR TB-3(M): Number of cases with RR-TB and/or MDR-TB that began second-line treatment</t>
  </si>
  <si>
    <t>MDR TB-3(M): Nombre de cas de tuberculose résistante à la rifampicine et/ou tuberculose multirésistante qui ont commencé un traitement de deuxième intention</t>
  </si>
  <si>
    <t>MDR TB-3(M): Número de casos TB-RR y/o TB-MDR que iniciaron tratamiento con drogas de segunda línea</t>
  </si>
  <si>
    <t>Numerator: The number of recorded drug-resistant TB cases (RR-TB and/or MDR-TB) that began a treatment regime for multidrug-resistant tuberculosis during the reporting period
All MDR-TB cases are generally placed on treatment.
The  source of data is the MDR-TB Registry.
All MDR-TB patients on  treatment benefit from comprehensive care (medical, psychosocial and nutritional).
Medical follow-up of MDR-TB patients is carried out in accordance with national guidelines on MDR-TB.
The 9-month WHO-approved short course is operational in Burundi.
The baseline is 80 MDR-TB cases receiving nutritional support (100%) by 2016. Dietary support consists of meeting the the nutritional needs of MDR-TB patients in hospital until a negative sputum test is obtained, which is usually between 4 and 5 months. After discharge, MDR-TB patients are followed up as outpatients for the 9-month treatment period.
The target is to provide this nutritional support to 147 patients in 2018, 157 in 2019 and 165 in 2020.
The targets will be adjusted according to the number of cases detected and placed on treatment.
The cost of MDR-TB treatment drugs is covered 100% by the GF (as per programmatic gap tables).</t>
  </si>
  <si>
    <t>a173600000Bjgi4AAB</t>
  </si>
  <si>
    <t>RSSH: Health management information systems and M&amp;E</t>
  </si>
  <si>
    <t>M&amp;E-1: Percentage of HMIS or other routine reporting units submitting timely reports according to national guidelines</t>
  </si>
  <si>
    <t>M&amp;E-1: Pourcentage d’entités déclarantes présentant leurs rapports dans les délais selon les directives nationales</t>
  </si>
  <si>
    <t>M&amp;E-1: Porcentaje de unidades notificadoras de sistemas rutinarios de información en salud que presentan informes oportunamente conforme a las directrices nacionales</t>
  </si>
  <si>
    <t>Numerator: The number of TTCs reporting in the timeframe set out by the national guidelines
Denominator: All 170 TTCs.
The number of reporting TTCs is 170. According to national guidelines, TCs report to TTCs in their catchment area. TTCs alone compile the data to be transmitted to the next tier of the healthcare system.
In the first half of 2017, of 2,320 PTB+ reported, 219 new patients were referred by 487 TCs, or 9% of the total number referred.
The completeness of the TTC reports will also be noted during the PU/DRs.
The number of health facilities (non-TTCs) reporting to TTCs (of the total number of health facilities electing to carry out testing and treatment as part of the decentralization of services) will be reported in the comments.</t>
  </si>
  <si>
    <t>SSRS: Sistemas de información en salud y monitoreo y evaluación</t>
  </si>
  <si>
    <t>Systèmes de santé résilients et pérennes : système de gestion de l'information sanitaire et suivi et évaluation</t>
  </si>
  <si>
    <t>a173600000Bjgi5AAB</t>
  </si>
  <si>
    <t>Treatment, care and support</t>
  </si>
  <si>
    <t>TCS-1(M): Percentage of people living with HIV currently receiving antiretroviral therapy</t>
  </si>
  <si>
    <t>TCS-1(M): Pourcentage de personnes vivant avec le VIH bénéficiant actuellement d'un traitement antirétroviral</t>
  </si>
  <si>
    <t>TCS-1(M): Porcentaje de personas que viven con el VIH  que actualmente reciben tratamiento antirretroviral</t>
  </si>
  <si>
    <t>N-Non -cumulative (other)</t>
  </si>
  <si>
    <t>2017</t>
  </si>
  <si>
    <t>PNLS/IST Programme Data, Sem 1</t>
  </si>
  <si>
    <t>Numerator: Number of adults and children currently receiving ART in line with the treatment protocol approved at the national level (or to World Health Organization (WHO) standards) at the end of the reporting period.
Denominator: Estimated number of adults and children living with HIV, HIV-positive pregnant women, HIV-positive children, TB/HIV co-infected patients, HIV-positive MSM and HIV-positive SWs. 
The figures come from SPECTRUM 2016. PLHIV (adults) aged 15 years or older: 75,307 in 2018, 75,449 in 2019, and 75,523 in 2020; children aged 0-14 years: 6,738 in 2018, 6,084 in 2019, and 5,494 in 2020.
The baseline figures for June 2017 are: 69.1 percent (57,121/82,664), i.e. 71.5 percent (53,760/75,204) among adults and 45.1 percent (3,361/7,460) among children.
Burundi has signed up to the global targets and will therefore need to achieve the national coverage targets:
- For children: 60 percent (4,043/6,738) in 2018, 70 percent (4,259/6,084) in 2019, and 75 percent (4,121/5,494) in 2020.
- For adults: 75 percent (56,480/75,307) in 2018, 80 percent (60,359/75,449) in 2019, and 85 percent (64,195/75,523) in 2020.
However, current funding (from the government, partners and the Global Fund) is sufficient to cover 60,685 patients in 2018, 2019 and 2020.  In order to achieve the national targets, the government will need to provide additional funding to cover the additional patients in 2018, 2019 and 2020.
The main interventions planned for this grant are as follows: decentralizing ART to the provincial level (all provinces); adopting and scaling up the test and treat initiative; task-shifting; developing linkages between screening and treatment services; and capacity building for treatment staff. The grant will also cover community interventions such as strengthening support groups; providing nutrition support to adults and children; and searching for patients lost to follow-up to improve retention among PLHIV on treatment (including strong involvement from health mediators).  On pediatric care, the plans include mentor-led supervisions, as well as efforts to strengthen family screening and psychosocial support for children and their parents.
The health medicators (351, financed by the GF) contribute to reaching the results.  Most health mediators are PLHIV in health facilities, and act as liaisons between the health facilities and the beneficiaries.  It is planned that each health mediator support 100 PLHIV, or 35,100 PLHIV each year (to be reported in the comments of the PU), in addition to punctual support to PLHIV.  The interventions by health mediators will strengthen treatment adherence sessions, psycho-social support for children and adolescents living with HIV at pediatric ART sites and PMTCT sites.
The total target (adults and children combined) is 60,685 patients (of which 4,360 children).  The annual contributions are as follows: Global Fund: 55,500 patients (of which 3,500 children); government: 3,085 patients (4 percent, of which 2,825 adults and 260 children); U.S. President’s Emergency Plan for AIDS Relief (PEPFAR): 1,500 patients (2 percent, ARVs for pregnant women); and UNICEF: 600 (children).  The government’s annual contribution for 2018-2020 stands at 4 percent, i.e. 2,788 patients (2017 Finance Act, assuming that the contribution remains constant).  The national targets are as follows: 64K and 68K ART patients in 2019 and 2020, with an increase in the government’s contribution (8K and 12K patients in 2019 and 2020) and/or a funding request via the PAAR.  The PNLS will work in close collaboraiton with the government to ensure the financial mobilisation by the government, as per the programmatic gaps tables, to cover the following number of ART patients: 4,487 ART patients in 2018, 8,366 in 2019, and 12,201 in 2020.
Estimates point to approximately 3,000 pre-ART patients per year (June 2017 estimate: approximately 6,000 pre-ART patients).  If the country adopts the test and treat strategy, the NACP will need to explain how these patients will be funded.
An ART patient cohort audit is currently ongoing (Q4 2017). The findings will be used to update the baseline value and the targets, if required.  The country will need to continue lobbying the government and partners to secure funding for the ART patient cohort in line with national targets.
Regarding VL coverage: The funded targets for VL are 50 percent, 55 percent and 60 percent in 2018, 2019 and 2020 respectively (national targets: 60 percent, 75 percent and 90 percent – included in the PAAR).  The number of CD4 tests will fall as VL coverage increases. The Global Fund will receive an operational document, including details of the proposed CD4 strategy for patients that cannot receive a VL test.
The baseline figure for VL coverage among ART patients is: 38.1 percent (21,735/57,121).  The interventions planned for this grant for increasing VL coverage are as follows: expanding the number of VL machines (six new machines); using the GeneXpert machines purchased by the TB program (once pre-qualified by the WHO) [there are currently seven GeneXpert machines; a further 10 machines have been acquired under the current grant and seven more are on order]; capacity building for biologists; strengthening the VL sample transport and results reporting system at treatment sites; and signing contracts with private sector firms to carry out preventive and curative maintenance on VL machines.
The Global Fund covers VL needs, but the national targets are only partially covered.  Funding for the gaps will be requested via the PAAR. The remainder will be mobilized from OPP-ERA and other technical and financial partners (TFPs).
Regarding nutritional support: The allocation takes into account 50% of needs among eligible individuals (ART patients with severe and moderate clinically diagnosed malnutrition, pregnant women in PMTCT, and infants of HIV-positive mothers in PMTCT), and 50% of the needs are in the PAAR request.  The monitoring of nutritional support will be done via quarterly reports from the WFP transmitted to CRB (and to to the GF every 6 months), as well as through supervisions by CRB staff (from intermediary or central level) every 6 months at ART sites.</t>
  </si>
  <si>
    <t>Tratamiento, atención y apoyo</t>
  </si>
  <si>
    <t>Traitement, prise en charge et soutien</t>
  </si>
  <si>
    <t>Données du programme PNLS/IST, Sem 1</t>
  </si>
  <si>
    <t>a173600000Bjgi7AAB</t>
  </si>
  <si>
    <t>TCS-6: Percentage of ART sites that had a stock-out of any antiretroviral drugs during the reporting period</t>
  </si>
  <si>
    <t>TCS-6: Pourcentage de sites ARV qui ont connu une rupture de stock de médicaments antirétroviraux durant la période de rapportage</t>
  </si>
  <si>
    <t>TCS-6: Porcentaje de servicios de salud que ofertan ARVs que tuvieron desabastecimiento de cualquiera de los ARVs durante el periodo de reporte</t>
  </si>
  <si>
    <t>Numerator: Number of health care facilities dispensing ART reporting stock-outs of at least one required ARV for two weeks during the reporting period.
Denominator: Total number of health care facilities offering ART, including hospitals, non-profit and private facilities.
The baseline figure of 31 percent (211/678) comes from the NACP progress update report for the first half of 2017, and is calculated as the number of facilities reporting ARV stock-outs out of the total number of ARV sites.
The ambition is to achieve a target of 0 percent between 2018 and 2020. The more realistic target, as mentioned in the performance framework, is 5 percent each year.
This indicator will be monitored for all ARV sites.  The denominator will be updated to reflect the actual value for each reporting period.
The main interventions are as follows: helping the Central Purchasing Office for Essential Drugs (CAMEBU) to expand its drug storage facilities; setting up an alert system to avoid stock-outs; training personnel responsible for product quantification; streamlining treatment protocols; setting aside a four-month buffer stock at the central level; providing logistics support to transport drugs to the decentralized level; helping to establish a product safeguarding plan for CAMEBU; and providing three PSM experts to CAMEBU.
Funding will come from the Global Fund, the government, USAID (via Quemonix) and other TFPs.</t>
  </si>
  <si>
    <t>a173600000Bjgi8AAB</t>
  </si>
  <si>
    <t>PMTCT</t>
  </si>
  <si>
    <t>PMTCT-1: Percentage of pregnant women who know their HIV status</t>
  </si>
  <si>
    <t>PMTCT-1: Pourcentage de femmes enceintes qui connaissent leur statut sérologique à l'égard du VIH</t>
  </si>
  <si>
    <t>PMTCT-1: Porcentaje de mujeres embarazadas que conocen su estado serológico respecto al VIH</t>
  </si>
  <si>
    <t>Y- Cumulative annually</t>
  </si>
  <si>
    <t>Numerator: Number of pregnant women seen at antenatal consultation (ANC) 1 who were screened and collected their results.
Denominator: Estimated number of pregnant women in the last 12 months (expected number of pregnancies per year = total population x 0.05).
The baseline figure of 65.8 percent (171,057/260,024) comes from the June 2017 progress update report and relates to the first half of 2017.
The coverage rates for HIV tests among pregnant women come from the NSP 2018-2022, i.e. 90 percent (468,042/520,047) in 2018, 95 percent (507,878/534,608) in 2019, and 96 percent (527,594/549,577) in 2020.  However, the targets for funding are based on a more realistic progression rate from the baseline value, i.e. 80 percent, 90 percent and 95 percent.  The numerator for these targets is also included in the indicator on HIV testing among the general population (HTS-1).
The main interventions are as follows: making screening tests available at all prevention of mother-to-child transmission (PMTCT) sites; systematically screening all pregnant women seen at ANC for HIV; incorporating syphilis screening; introducing community interventions led by mediators and community health workers (CHWs) (awareness-raising on testing and monitoring for HIV-positive pregnant women and promoting couple screening). Advocacy and awareness-raising activities involving the First Lady will help push up PMTCT service demand and supply. 
The contributions for HIV screening tests are as follows: PEPFAR: 416-432K kits; and Global Fund: approx. 91-115K tests.  The country is requesting Duo tests (HIV and syphilis) – to be discussed with PEPFAR, since procurement plans for 2018 do not include Duo tests.  Moreover, the country is required to share its national guidelines on use of the Duo test.  The funding covers the performance framework targets, which are aligned with procurement and supply management (PSM) documents (80 percent, 90 percent and 95 percent).</t>
  </si>
  <si>
    <t>PTMI</t>
  </si>
  <si>
    <t>Prévention de la transmission de la mère à l'enfant (PTME)</t>
  </si>
  <si>
    <t>a173600000Bjgi9AAB</t>
  </si>
  <si>
    <t>PMTCT-2.1: Percentage of HIV-positive pregnant women who received ART during pregnancy</t>
  </si>
  <si>
    <t>PMTCT-2.1: Pourcentage de femmes enceintes séropositives au VIH ayant reçu des antirétroviraux durant leur grossesse</t>
  </si>
  <si>
    <t>PMTCT-2.1: Porcentaje de mujeres embarazadas VIH positivas que recibieron TARV durante el embarazo</t>
  </si>
  <si>
    <t>Numerator: Number of HIV-positive pregnant women having received ART in the last 12 months to reduce the risk of MTCT during pregnancy and childbirth.
Denominator: Expected number of HIV-positive pregnant women in the year.
The denominator – the expected number of HIV-positive pregnant women requiring ARVs – has been calculated by multiplying the expected number of pregnancies by the HIV prevalence rate among pregnant women (1.05 percent).
The baseline figure of 85.1 percent (2,215/2,600) comes from the June 2017 progress update report and relates to the first half of 2017.
Among the women on ARVs in the same period (January-June 2017), 1,169 were already on ARVs and 1,046 were new cases.
Because Burundi is one of the 21 priority countries under the Super Fast Track initiative, the following ART coverage targets are required to accelerate progress towards eliminating MTCT: 95 percent (5,333/5,613) in 2018, 96 percent (5,540/5,771) in 2019, and 97 percent (5,754/5,932) in 2020 (NSP 2018-2022 targets).
The interventions planned for this grant are as follows: scaling up option B+ at all PMTCT sites in the 18 provinces; task-shifting; improving ARV supply to PMTCT facilities; and monitoring bottlenecks for PMTCT service demand.
At the community level, the following interventions will be strengthened: nutrition support for HIV-positive pregnant women; searching for patients lost to follow-up and drop-outs; and peer education by HIV-positive pregnant women (mother mentors).
PEPFAR’s contribution to mother and child treatment activities (ART and PMTCT) covers 1,469 mothers per year, for two years  (source: PEPFAR Country Operational Plan (COP) 2017, page 28). The assumption is that the same contributions will be maintained in 2019 and 2020 (source: Funding Landscape Report: minutes of the TFP/NACP meeting of 30 June 2017, attached).  The Global Fund covers the remainder of the targets.</t>
  </si>
  <si>
    <t>a173600000BjgiAAAR</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</si>
  <si>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</si>
  <si>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</si>
  <si>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reciben una prueba virológica de VIH durante los primeros 2 meses desde su nacimiento</t>
  </si>
  <si>
    <t>Numerator: Number of newborns having received an HIV test in their first two months of life during the reporting period.
Denominator: Number of pregnant women who gave birth in the last 12 months.
The baseline figure of 27.1 percent (704/2,600) comes from the June 2017 progress update report and relates to the first half of 2017.
Because Burundi is one of the 21 priority countries for elimination of mother-to-child transmission (eMTCT) of HIV, the following coverage targets are required for optimal early infant diagnosis (EID) among newborns born to HIV-positive mothers: 72 percent (4,042/5,613) in 2018, 75 percent (4,328/5,771) in 2019, and 80 percent (4,746/5,932) in 2020 (NSP 2018-2022 targets).
According to SPECTRUM 2016, the MTCT rate for HIV will be 3.96 percent in 2018, 3.71 percent in 2019, and 3.41 percent in 2020. The number of infants who will receive a polymerase chain reaction (PCR) test two months after birth (positive PCR) is calculated by multiplying the number of infants born to HIV-positive mothers by the respective MTCT rates for HIV, which gives 222 in 2018, 214 and 2019, and 202 in 2020.
The country currently has two Abbott machines, at Ngozi and the Institut National de Santé Publique [National Institute of Public Health – INSP]. There are plans to acquire three Roche machines, which are capable of performing VL and PCR tests simultaneously.
The following interventions are planned: strengthening EID of HIV among newborns born to HIV-positive mothers; strengthening the sample transport and rapid results reporting system between institutions and service providers; capacity building for laboratory personnel responsible for EID; training service providers how to take samples on filter paper; ensuring facilities have the right supplies to perform EID; and strengthening the health mediators and CHWs system for monitoring of the mother-child unit. 
We have recently completed an assessment of the eMTCT Plan 2012-2016, with support from UNICEF and the Global Fund. The eMTCT Plan 2018-2022 will be finalized by the end of 2017.
According to PSM documents, coverage is as follows: 1,425 by “other partners” and 3,000-3,500 by the Global Fund.  The remainder is included in the PAAR.</t>
  </si>
  <si>
    <t>a173600000BjgiBAAR</t>
  </si>
  <si>
    <t>TB/HIV-3.1: Percentage of people living with HIV in care (including PMTCT) who are screened for TB in HIV care or treatment settings</t>
  </si>
  <si>
    <t>TB/HIV-3.1: Pourcentage de personnes vivant avec le VIH pris en charge  (y compris soins PTME) chez qui les signes de la tuberculose ont été recherchés au sein des structures de soins ou traitement du VIH</t>
  </si>
  <si>
    <t>TB/HIV-3.1: Porcentaje de personas que viven con el VIH recibiendo atención (incluyendo PTMI), que son tamizados para TB en los servicios de atención al VIH</t>
  </si>
  <si>
    <t>PNLS/IST Annual Report</t>
  </si>
  <si>
    <t>Numerator: Number of adults and children receiving HIV treatment who were screened for TB and had their result recorded during their most recent visit.
Denominator: Total number of adults and children receiving HIV treatment during the reporting period.
The baseline figure of 44.6 percent (27,472/61,538) is based on the number of PLHIV in the ART patient cohort for 2016 who were screened for TB in the same year.
A field visit will be required to check and approve the figures for 2017. For this reason, the 2016 figures have been used.
The targets come from the NSP 2018-2022, i.e. 60 percent in 2018 (37,905/63,175), 70 percent in 2019 (47,236/67,480, and 80 percent in 2020 (57,428/71,785).  The denominators have been adjusted to bring them in line with the funded ART patient cohort (approximately 63,685 patients each year: 60,685 ART patients, and approximately 3,000 pre-ART patients).  These figures are estimates. The denominators will be updated to reflect the actual values, and performance will be measured against the target as a percentage.
All PLHIV monitored at health care facilities are screened for TB. Service providers have received training on how to manage TB/HIV co-infection from both the NACP and the National Tuberculosis Control Program (NTCP). The NACP and the NTCP will carry out supportive supervision missions under this grant to ensure that service providers put what they have learned into practice (TB screening and isoniazid preventive therapy (IPT) for PLHIV testing negative). Efforts will be made under this grant to strengthen coordination and joint validation of TB/HIV data.</t>
  </si>
  <si>
    <t>Rapport annuel PNLS/IST</t>
  </si>
  <si>
    <t>a173600000BjgiCAAR</t>
  </si>
  <si>
    <t>TB/HIV-4.1: Percentage of people living with HIV newly enrolled in HIV care started on TB preventive therapy</t>
  </si>
  <si>
    <t>TB/HIV-4.1: Pourcentage de personnes vivant avec le VIH nouvellement enrollées dans les soins du VIH qui ont commencé le traitement préventif de la TB</t>
  </si>
  <si>
    <t>TB/HIV-4.1: Porcentaje de nuevas personas con diagnóstico de VIH incorporadas a la atención que iniciaron terapia preventiva con Isoniacida (TPI)</t>
  </si>
  <si>
    <t>Numerator: Number of adults and children commencing HIV treatment for the first time (i.e. enrolled in treatment (pre-ART and ART)) and having already commenced IPT (i.e. having received at least one dose) during the reporting period.
Denominator: Total number of adults and children commencing HIV treatment for the first time during the reporting period.
The baseline figure of 3.2 percent (198/6,166) comes from the progress update reports for the first half of 2017.
The estimated size of the ART patient cohort (ART and pre-ART) stands at 63,175 in 2018, 67,480 in 2019, and 71,785 in 2020 (based on a similar progression to the recorded rate in 2011-2015).  The number of people eligible for IPT (minus an estimated 0.19 percent to account for TB patients among PLHIV) is as follows: 63,055, 67,352 and 71,649.  These figures include an estimate of approx. 3,000 pre-ART patients.  These estimates exceed the estimates for the funded ART patient cohort (approx. 63,685 each year: 60,685 ART and 3,000 pre-ART).  The estimated new inclusions have been retained for this indicator, albeit dependent on whether or not government contributions for inclusions above the ART patient cohort materialize.
The quantifications are based on the total number of PLHIV enrolled in treatment who are eligible for IPT.  The denominator for this indicator refers to the number of newly enrolled PLHIV, based on the average annual progression rate for 2011-2015 (3,692) (financially feasible if the ART patient cohort funding requested via the PAAR is obtained and/or if the government’s contributions materialize).  The total number of PLHIV on IPT will be mentioned in the comments in reports.
Burundi has opted to scale up this strategy across the country under this grant (2018-2020). This, in turn, will allow the country to achieve the IPT coverage targets among newly enrolled HIV patients who receive a negative TB screening result: 70 percent (2,584/3,692) in 2018, 75 percent (2,769/3,692) in 2019, and 80 percent (2,953/3,692) in 2020.  Given that past performance on IPT scale-up has fallen short of expectations (2016-2017), allocated funding stands at half the actual targets.  The performance framework targets (which align with PSM figures) are therefore 35 percent, 38 percent and 40 percent.  The denominators are estimated figures and will be updated during reporting.  Performance will be measured against the target as a percentage.
Personnel have received training on the strategy as part of TB/HIV co-infection management. The NACP and the NTCP will carry out supportive supervision missions under this grant to ensure that service providers put what they have learned into practice (TB screening and IPT for PLHIV testing negative).  Efforts will be made under this grant to strengthen coordination and joint validation of TB/HIV data.
The NTCP will supply isoniazid (INH), which will be funded by the Global Fund.</t>
  </si>
  <si>
    <t>Données du programme PNLS/IST Sem 1</t>
  </si>
  <si>
    <t>a173600000BjgiDAAR</t>
  </si>
  <si>
    <t>HIV Testing Services</t>
  </si>
  <si>
    <t>HTS-1: Number of people who were tested for HIV and received their results during the reporting period</t>
  </si>
  <si>
    <t>HTS-1: Nombre de personnes dépistées pour le VIH et ayant reçu leurs résultats durant la période de rapportage</t>
  </si>
  <si>
    <t>HTS-1: Número de personas que fueron tamizadas para VIH y recibieron sus resultados durante el periodo de reporte</t>
  </si>
  <si>
    <t>Numerator: Number of people who received an HIV test during the reporting period and who know their result.
The numerator and denominator include pregnant women, MSM and SWs.
The baseline figure of 12.3 percent (704,199/5,710,115) comes from the progress update report for the first half of 2017.
The targets mentioned here come from the NSP 2018-2022, i.e. 24 percent (1,408,800/5,869,998) in 2018, 26 percent (1,568,933/6,034,358) in 2019, and 28 percent (1,736,930/6,203,320) in 2020.
The following interventions are planned: strengthening screening (fixed and mobile strategy), with an emphasis on pregnant women, key populations (SWs, MSM and people who inject drugs), other vulnerable groups (mobile populations, etc.) and areas of the country where HIV prevalence is high; and improving the availability of screening supplies at all levels.
The Global Fund contribution is 222-255K tests per year, and the PEPFAR contribution is 852-868K tests per year (including tests for pregnant women).  The national targets are as follows: 1,408,000 in 2018, 1,568,933 in 2019, and 1,736,930 in 2020.  This leaves a gap of 333,450 tests in 2018, 471,206 tests in 2019, and 615,978 tests in 2020 (1,420,634 tests in total). A request for this gap has been made via the PAAR.</t>
  </si>
  <si>
    <t>Servicios de diagnóstico de VIH</t>
  </si>
  <si>
    <t>Services de dépistage du VIH</t>
  </si>
  <si>
    <t>Données du programme
PNLS/IST Sem 1</t>
  </si>
  <si>
    <t>a173600000BjgiEAAR</t>
  </si>
  <si>
    <t>Comprehensive prevention programs for MSM</t>
  </si>
  <si>
    <t>KP-1a(M): Percentage of men who have sex with men reached with HIV prevention programs - defined package of services</t>
  </si>
  <si>
    <t>KP-1a(M): Pourcentage d'hommes ayant des rapports sexuels avec des hommes qui ont bénéficié de programmes de prévention du VIH (paquet de services définis)</t>
  </si>
  <si>
    <t>KP-1a(M): Porcentaje de hombres que tienen relaciones sexuales con hombres cubiertos por programas de prevención del VIH (paquetes definidos de servicios)</t>
  </si>
  <si>
    <t>CRB Programme Data, Sem 2</t>
  </si>
  <si>
    <t>Numerator: Number of MSM who have benefited from HIV prevention programs (information, education and communication (IEC)/behavior change communication (BCC), condoms, gels, referral and support - screening, STIs, pre-ART and ART).
Denominator: Total estimated number of MSM at the national level. 
The country’s annual targets come from the NSP 2018-2022, i.e. 79 percent (8,313/10,522) in 2018, 81 percent (8,728/10,775) in 2019, and 83 percent (9,158/11,034) in 2020. The denominator is calculated by applying a 2.4 percent progression rate to the 2016 baseline figure of 10,035, which gives 10,552 in 2018, 10,775 in 2019, and 11,034 in 2020.
Under the current grant (2015-2017), BRC has set up interventions for MSM in seven provinces (Gitega, Cibitoke, Rumonge, Makamba, Bujumbura Mairie, Ngozi and Kayanza). This new grant (2018-2020) will cover four provinces in 2018-2019 (Cibitoke, Gitega, Rumonge and Makamba) and, in 2020, will support strengthening of seven community centers to target MSM in the seven provinces (since the PEPFAR-funded Linkages Project will end in 2019). Half-yearly coordination meetings will continue to be held in the provinces covered by MSM organizations and workers involved with this community.
The numerator will be reported via program data (registers/records and PE reports), from interventions funded by PEPFAR and the Global Fund.  Efforts to harmonize the prevention package and reporting tools and mechanisms are ongoing.  Global Fund-funded activities will be implemented via a network of 180 MSM PEs (the Association Nationale de Soutien aux Séropositifs et Malades du Sida [National Support Association for HIV Patients – ANSS], which has extensive experience in implementing MSM interventions, has been chosen as a sub-recipient (SSR)).   180 PE have been budgeted each year - however, the minimum required number of PE, according to the targets, is: 99, 107 and 116 PE in 2018, 2019 and 2020.  Each PE will need to educate at least four new people per month.  Each person reached by this intervention will be educated on at least four themes (including condom and gel distribution), at four sessions over a period of one month (if the MSM is mobile and cannot attend four sessions, then a longer session covering multiple themes may be conducted).  The PE may deliver these sessions to peers individually or in small groups.  The PE will have the freedom to remain in regular contact with educated peers outside the four sessions, and may also record details of regular contacts in the reporting tools. 
The Global Fund contribution is as follows: 4,735 (45 percent) in 2018, 5,150 (48 percent) in 2019, and 5,580 (51 percent) in 2020. PEPFAR’s annual contribution is 3,578 in 2018 and 2019 (34 percent in 2018 and 33 percent in 2019). In 2020, BRC will increase its contribution to cover all seven provinces with a high concentration of MSM (according to the PLACE 2013 study, i.e. Bujumbura Mairie, Cibitoke, Kayanza, Ngozi, Gitega, Rumonge and Makamba), since the PEPFAR-funded Linkages Project will end in 2019. PEPFAR’s intervention covers 69 percent of the target in the following five provinces: Bujumbura Mairie, Bujumbura Rural, Kayanza, Ngozi and Kirundo.  
In terms of programmatic gaps, available supplies of condoms and lubricant gels are insufficient to set aside a buffer stock. For the first year, 25 percent of needs are included in the PAAR. 
Each contact will receive eight male condoms and eight gels, but this figure may be adjusted where necessary.  The quantified number of male condoms per MSM per year is 96 on average, with a ratio of one male condom to one gel.  The ratio for female condoms is 0.48 on average, although this figure is flexible depending on recipient needs.  The male and female condoms and gels will also be available on demand at fixed locations (bars, hotels/guest houses, universities/university campuses, etc.).
PEs currently have access to all reporting tools. The focus for the 2018-2020 grant will be on producing more data collection tools and distributing them to MSM PEs.
Each new person will be counted in the PE report, and each person will be included in the figures once they have received awareness-raising on the four themes concerned.  The PEs will submit their reports on a monthly basis, and the nongovernmental organizations (NGOs) will submit quarterly reports to the principal recipient (PR). Data verification and audit missions will take place at the end of each half-year period.</t>
  </si>
  <si>
    <t>Programas de prevención integral para hombres que tienen relaciones sexuales con hombres</t>
  </si>
  <si>
    <t>Programmes de prévention complets destinés aux hommes ayant des rapports sexuels avec des hommes (HSH)</t>
  </si>
  <si>
    <t>Données du programme CRB, Sem 2</t>
  </si>
  <si>
    <t>a173600000BjgiFAAR</t>
  </si>
  <si>
    <t>KP-3a(M): Percentage of men who have sex with men that have received an HIV test during the reporting period and know their results</t>
  </si>
  <si>
    <t>KP-3a(M): Nombre et pourcentage d'hommes ayant des rapports sexuels avec des hommes qui ont fait un test VIH et connaissent les résultats</t>
  </si>
  <si>
    <t>KP-3a(M): Porcentaje de hombres que tienen relaciones sexuales con hombres que se han sometido a pruebas de VIH durante el período de informe y conocen los resultados</t>
  </si>
  <si>
    <t>Numerator: Number of MSM who took an HIV test during the reporting period and who know their result.
Denominator: Total estimated number of MSM at the national level. 
The number of MSM requiring an HIV test each year under this grant has been calculated by multiplying the number of MSM reached annually by BCC activities by the HIV test coverage rate among MSM. The NSP targets stand at 67 percent in 2018, 68 percent in 2019, and 69 percent in 2020. This gives the following totals (MSM requiring a test) for this grant: 3,172 in 2018, 3,502 in 2019, and 9,158 in 2020. The Linkages Project target is 3,578 in 2018 and 2019. Since the project will come to an end in 2019, BRC will increase its contributions and cover all seven provinces (Bujumbura Mairie, Cibitoke, Kayanza, Ngozi, Rumonge, Makamba and Gitega). Because this is a national indicator, BRC’s data will be added to figures from the PEPFAR-funded Linkages Project.
The recommendation is for MSM to be tested every six months. The PEs will pass on this message to MSM, and will monitor MSM on a regular basis to help them access HIV screening services. MSM will receive HIV tests at community centers, which also offer testing via mobile strategies.  Moreover, testing will be available at health care facilities in the areas covered by the interventions. These facilities will be asked to forward data on key populations to BRC and to the NACP.  In addition:
- referral coupons will be handed out at PE sessions, so that the number of referrals can be counted (to be inserted as a comment in the PUDRs);
- PEs will document the number of MSM attending awareness-raising sessions who report having taken an HIV test at least once during the last six months. 
Male and female condoms and gels will also be offered during voluntary counseling and testing (VCT) sessions.  The PEs will recommend that the beneficiaries take at least two HIV tests per year.
For 2018 and 2019, this grant will cover access to HIV tests for MSM in the provinces not covered by PEPFAR (3,172 and 3,502 respectively, in Gitega, Cibitoke, Rumonge and Makamba). For 2020, the grant will cover all seven provinces (7,428 in Gitega, Cibitoke, Rumonge, Makamba, Bujumbura Mairie, Ngozi and Kayanza), since the PEPFAR-funded Linkages Project will end in 2019.
The indicator will relate to the number of HIV tests administered, and may therefore include some MSM who have taken more than one test in the same year. 
The programmatic gaps (compared with the estimated number of MSM at the national level) are as follows: 4,758 (55 percent) in 2018, 5,253 (51 percent) in 2019, and 5,775 (48 percent) in 2020.  
With regard to the national program outcomes, the total number of MSM tested under this grant will be added to the number of MSM tested under other projects (such as the PEPFAR project). Reference will be made to this fact in the PUDR. 
PEs currently have access to all reporting tools. The focus for the 2018-2020 grant will be on producing more data collection tools and distributing them to MSM PEs.</t>
  </si>
  <si>
    <t>a173600000BjgiGAAR</t>
  </si>
  <si>
    <t>Comprehensive prevention programs for sex workers and their clients</t>
  </si>
  <si>
    <t>KP-1c(M): Percentage of sex workers reached with HIV prevention programs - defined package of services</t>
  </si>
  <si>
    <t>KP-1c(M): Pourcentage de professionnels du sexe ayant bénéficié de programmes de prévention du VIH- paquet de services définis</t>
  </si>
  <si>
    <t>KP-1c(M): Porcentaje de trabajadores sexuales cubiertos por programas de prevención del VIH (paquete definido de servicios)</t>
  </si>
  <si>
    <t>Numerator: Number of SWs having benefited from the defined package of HIV prevention services.
Denominator: Estimated number of SWs at the national level.
The denominator represents the estimated number of SWs in each year. It is calculated by applying a 2.4 percent progression rate to the 2016 baseline figure of 55,278, which gives 57,963 in 2018, 59,354 in 2019, and 60,779 in 2020.
The country’s annual targets come from the NSP 2018-2022, i.e. 83 percent (48,109/57,963) in 2018, 85 percent (50,451/59,354) in 2019, and 87 percent (52,878/60,779) in 2020.
PEPFAR’s annual contribution stands at 27,529 in 2018 and 28,869 in 2019 in Bujumbura Mairie, Bujumbura Rural, Kayanza, Ngozi and Kirundo provinces (57 percent of the national target in each of the two years). BRC’s contributions, meanwhile, will increase in 2020 to cover all nine provinces (Bujumbura Mairie, Bujumbura Rural, Gitega, Muyinga, Rumonge, Makamba, Kirundo, Ngozi and Kayanza) because the PEPFAR-funded Linkages Project will end in 2019. As such, 52,878 SWs will benefit from prevention programs. 
The Global Fund contribution is as follows: 20,580 (43 percent) in 2018, 21,582 (43 percent) in 2019, and 52,878 (100 percent) in 2020. These targets will be monitored under this grant, alongside the national targets, which include contributions from other partners (such as PEPFAR) to program outcomes.  The contribution by each partner will be mentioned in the comments of the PU/DR.
To reach the targets, 320 PE have been budgeted. However, the minimum number of PE required to reach the targets, based on an assumption of 12 new SW reached per month per PE is: 142, 150 and 367 PE in 2018, 2019 and 2020 respectively.
Under the current grant (2015-2017), BRC has set up interventions for SWs in nine provinces (Bujumbura Mairie, Bujumbura Rural, Gitega, Muyinga, Rumonge, Makamba, Kirundo, Ngozi and Kayanza). This new grant (2018-2020) will continue to target SWs in the four provinces not covered by PEPFAR (Gitega, Muyinga, Rumonge and Makamba), through strengthening of SW-friendly centers (counselor’s wages, office rental). 
The minimum package of activities is clearly defined in the PE strategy manual, and includes a minimum of four awareness-raising sessions or themes from a list of seven predefined themes (HIV transmission and prevention; promotion of VCT and condom distribution points; sexual and reproductive health (SRH) and access to services; STI diagnosis and treatment; access to HIV services (pre-ART, ART and observance support); distribution of condoms and gels; and referral to HIV screening services and STI and HIV treatment services).       
Available supplies of condoms and lubricant gels are insufficient to set aside a buffer stock. In addition, for the first year, 25 percent of needs are included in the PAAR. 
The quantified figures per SW per year are as follows: 240 male condoms, 240 gels and 9.6 female condoms.   The male and female condoms and gels will also be available on demand at fixed locations (bars, hotels/guest houses, etc.).
PEs currently have access to all reporting tools. The focus for the 2018-2020 grant will be on producing more data collection tools and distributing them to SW PEs.
Each new person will be counted in the PE report, and each person will be included in the figures once they have received awareness-raising on the four themes concerned.  The PEs will submit their reports on a monthly basis, and the NGOs will submit quarterly reports to the PR. Data verification and audit missions will take place at the end of each half-year period.</t>
  </si>
  <si>
    <t>Programas de prevención integral para trabajadores del sexo y sus clientes</t>
  </si>
  <si>
    <t>Programmes de prévention complets destinés aux professionnels du sexe et à leurs clients</t>
  </si>
  <si>
    <t>a173600000BjgiHAAR</t>
  </si>
  <si>
    <t>KP-3c(M): Percentage of sex workers that have received an HIV test during the reporting period and know their results</t>
  </si>
  <si>
    <t>KP-3c(M): Pourcentage de professionnels de sexe qui ont fait un test VIH au cours de la période de rapportage et qui connaissent les résultats</t>
  </si>
  <si>
    <t>KP-3c(M): Porcentaje de trabajadores sexuales que se han sometido a pruebas de VIH durante el período de informe y conocen los resultados</t>
  </si>
  <si>
    <t>Numerator: Number of SWs who took an HIV test during the reporting period and who know their result.
Denominator: Estimated number of SWs at the national level.
The denominator represents the estimated number of SWs in the country each year.
The numerator is the number of SWs requiring an HIV test each year under this grant. This figure has been calculated by multiplying the number of SWs that need to be reached by BCC activities each year under the grant, by the HIV test coverage rate among SWs and the NSP targets (70 percent in 2018, 71 percent in 2019, and 72 percent in 2020). This gives the following figures: 10,048/57,963 (17 percent) in 2018, 12,053/59,354 (20 percent) in 2019, and 28,065/60,779 (46 percent) in 2020. 
The contribution from other partners (in this case, the PEPFAR-funded Linkages Project) stands at 13,899 in both 2018 and 2019, while the contribution from this grant is 10,048 in 2018 and 12,053 in 2019. In 2020, the grant’s contribution will increase to 28,065 SWs because the Linkages Project will end in 2019.
Under the current grant (2015-2017), BRC has set up interventions for SWs in nine provinces (Bujumbura Mairie, Bujumbura Rural, Gitega, Muyinga, Rumonge, Makamba, Kirundo, Ngozi and Kayanza). This new grant (2018-2020) will continue to target SWs in the four provinces not covered by the PEPFAR-funded Linkages Project (Gitega, Muyinga, Rumonge and Makamba), which runs from 2018-2019 and will end in 2019, through strengthening of SW-friendly centers (counselor’s wages, office rental). BRC’s contributions will therefore increase in 2020 to cover all nine provinces (Bujumbura Mairie, Bujumbura Rural, Gitega, Muyinga, Rumonge, Makamba, Kirundo, Ngozi and Kayanza).
The recommendation is for SWs to be tested every six months. The PEs will pass on this message to SWs, and will monitor SWs on a regular basis to help them access HIV screening services.  
Testing will be available at health care facilities in the areas covered by the interventions. These facilities will be asked to forward data on SWs to BRC and to the NACP.  In addition:
- referral coupons will be handed out at PE sessions, so that the number of referrals can be counted (to be inserted as a comment in the PUDRs);
- PEs will document the number of SWs attending awareness-raising sessions who report having taken an HIV test at least once during the last six months.  This figure will also be reported in the comments in the PUDRs for this indicator.
The programmatic gaps (compared with the estimated number of SWs at the national level) are as follows: 22,042 (38 percent) in 2018, 20,426 (34 percent) in 2019, and 18,682 (31 percent) in 2020.
The indicator will relate to the number of HIV tests administered, and may therefore include some SWs who have taken more than one test in the same year. 
With regard to the national program outcomes, the total number of SWs tested under this grant will be added to the number of SWs tested under other projects (such as the PEPFAR project). Reference will be made to this fact in the PUDR.
With regard to the national program outcomes, the total number of SWs tested under this grant will be added to the number of SWs tested under other projects (such as the PEPFAR project). Reference will be made to this fact in the PUDR.
PEs currently have access to all reporting tools. The focus for the 2018-2020 grant will be on producing more data collection tools and distributing them to SW PEs.
The indicator will relate to the number of HIV tests administered, and may therefore include some SWs who have taken more than one test in the same year. 
With regard to the national program outcomes, the total number of SWs tested under this grant will be added to the number of SWs tested under other projects (such as the PEPFAR project). Reference will be made to this fact in the PUDR.</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</si>
  <si>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3. According to the Global Fund Modular Framework require disaggregation
• Data validation checks are being performed on entered data in the columns. Any issues identified that are not resolved should be explained</t>
    </r>
  </si>
  <si>
    <t>TTF pour le 2ème semestre 2019 est de 3359 dont 1141 de sexe féminin, soit 34% et 2218 de sexe masculin, soit 66%.</t>
  </si>
  <si>
    <t>Conformément à la définition OMS,  2136 TBP+ ont été enregistrés au cours du 2ème semestre 2019, soit 63,59% des cas notifiés pour la même période</t>
  </si>
  <si>
    <t>&gt; 15 ans : 3213 sur 3359 enregistrés au second semestre 2019, soit 96%</t>
  </si>
  <si>
    <t xml:space="preserve">&lt; 15 ans : 146 sur 3359 enregistrés au second semestre 2019, soit 4%. Une sous notification des cas de tuberculose pédiatrique est constatée. Cela s’expliquerait par  l’insuffisance d’un plateau technique adéquat permettant le diagnostic de la tuberculose chez l'enfant  </t>
  </si>
  <si>
    <t xml:space="preserve">Au cours du second semestre 2019, 34 patients tuberculeux n'ont pas connu leur statut sérologique. Ceci peut être notamment dû:
(i) à la peur de connaître le statut sérologique VIH 
(ii) à la stigmatisation liée au VIH
</t>
  </si>
  <si>
    <t>Sur 3325 patients tuberculeux connaissant leur statut sérologique VIH, 3036 cas de tuberculose dépistés au cours du 2è semestre 2019 ont une sérologie VIH négative, soit 91%.</t>
  </si>
  <si>
    <t>Sur 3325 patients tuberculeux connaissant leur statut sérologique VIH, 262 cas de tuberculose dépistés au cours du 2ème semestre 2019 ont une sérologie VIH positive, soit 7, 8%.</t>
  </si>
  <si>
    <t>Sur 3359 TTF enregistrés au cours du second semestre 2019, 2218 soit 66% sont de sexe masculin</t>
  </si>
  <si>
    <t xml:space="preserve">Le système d'information sanitaire  en place pour le moment au PNILT ne permet de renseigner cet indicateur. Cela découle d'une erreur de compréhension de cet indicateur. En effet, l'information existe au Programme TB pour les TTF coinfectés TB/VIH. 
En effet, sur 350 cas coinfectés TB/VIH enregistrés en 2018, 289 ont été traités avec succès, soit 82,6%. 
Signalons que pour certains des patients tuberculeux, le résultat du test VIH a été communiqué après les ateliers de validation
</t>
  </si>
  <si>
    <t xml:space="preserve">Parmi les 3152 ayant été déclarés guéris ou traitement terminé, les hommes représentent 66,14% </t>
  </si>
  <si>
    <t>Parmi les 3152 ayant été déclarés guéris ou traitement terminé , 5,17% avaient moins de 15 ans</t>
  </si>
  <si>
    <t>Parmi les 3152 ayant été déclarés guéris ou traitement terminé , 94,8% avaient plus de 15 ans</t>
  </si>
  <si>
    <t>Parmi les 3152 ayant été déclarés guéris ou traitement terminé, 33,85% étaient des femmes</t>
  </si>
  <si>
    <t>Au 2 ème semestre 2019, 22,85% des patients TB/MR  (8/35) sont de sexe féminin</t>
  </si>
  <si>
    <t>Au 2 ème  semestre 2019, 77,14% des patients TB/MR  (27/35) sont de sexe masculin</t>
  </si>
  <si>
    <t>Au 2ème semestre 2019, un patient TB/MR sur 35 TB/MR a un âge&lt; à 15 ans, soit 2,85%</t>
  </si>
  <si>
    <t>Au 2ème semestre 2019, 34 patients TB/MR sur 35 TB/MR ont un âge&gt;à 15 ans, soit 97,14%</t>
  </si>
  <si>
    <t>Tous les 35 patients TB/MR enregistrés au cours du second semestre 2019, ont été mis sous  Régime court de traitement TB/MR y compris celui âgé de moins de 15 ans</t>
  </si>
  <si>
    <t>Au cours du second semestre 2019, parmi les 35 cas traités pour TB MR, 8 sont de sexe féminin</t>
  </si>
  <si>
    <t>Au cours du second semestre 2019, parmi les 35 cas traités pour TB MR, 27 sont de sexe masculin</t>
  </si>
  <si>
    <t>Aucun patient TB/MR n'a été mis  sous le nouveau traitement TB/MR</t>
  </si>
  <si>
    <t xml:space="preserve">Tous les 35 cas TBMR enregistrés au second semestre 2019, ont été mis sous régime court de traitement </t>
  </si>
  <si>
    <t>Le système d'information sanitaire ne permet pas de renseigner cet indicateur désagrégé par groupe à risque</t>
  </si>
  <si>
    <t>Parmi les 63702 PVVIH sous ARV, 65,4% étaient des femmes</t>
  </si>
  <si>
    <t>Parmi les 63702 PVVIH sous ARV, 34,54% étaient des hommes</t>
  </si>
  <si>
    <t>Parmi les 63702 PVVIH sous ARV, 4,67% étaient des enfants de moins de 15 ans</t>
  </si>
  <si>
    <t>Parmi les 63702 PVVIH sous ARV, 1,7% étaient des hommes âgés 20 à 24 ans</t>
  </si>
  <si>
    <t>Parmi les 63702 PVVIH sous ARV, 95,32% étaient des adultes de 15 ans et plus</t>
  </si>
  <si>
    <t>Parmi les 63702 PVVIH sous ARV, 3% étaient des hommes âgés 15 à 24 ans</t>
  </si>
  <si>
    <t>Parmi les 63702 PVVIH sous ARV, 1,3% étaient des hommes âgés 15 à 19 ans</t>
  </si>
  <si>
    <t>Parmi les 1 029 372 personnes conseillés et dépistées au VIH, 16403 étaient positifs au VIH (taux de positivité de 1,59%)</t>
  </si>
  <si>
    <t>Parmi les 1029372 personnes conseillées et dépistées au VIH, 742578 étaient des hommes (72,13%)</t>
  </si>
  <si>
    <t>Parmi les 1029372 personnes conseillées et dépistées au VIH, 286794 étaient des femmes (27,86%)</t>
  </si>
  <si>
    <t>Parmi les 1029372 tests VIH réalisés au cours de l'année 2019, 1 000 834 étaient négatifs (97,22%)</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</si>
  <si>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</si>
  <si>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B - Coverage Indicators</t>
  </si>
  <si>
    <t>Standard Coverage Indicator</t>
  </si>
  <si>
    <t>PR Comments</t>
  </si>
  <si>
    <t xml:space="preserve">LFA Comments </t>
  </si>
  <si>
    <t xml:space="preserve">Coverage Indicator Number
</t>
  </si>
  <si>
    <t>Indicato rname</t>
  </si>
  <si>
    <t>Disaggregation name</t>
  </si>
  <si>
    <t>Category name</t>
  </si>
  <si>
    <t>Indicator name spanish</t>
  </si>
  <si>
    <t>Indicator name french</t>
  </si>
  <si>
    <t>Result N# (PR)</t>
  </si>
  <si>
    <t>Result N# (LFA)</t>
  </si>
  <si>
    <t>Result D# (LFA)</t>
  </si>
  <si>
    <t>Result % (LFA)</t>
  </si>
  <si>
    <t>[Module]</t>
  </si>
  <si>
    <t>a15360000095pvbAAA</t>
  </si>
  <si>
    <t>Female</t>
  </si>
  <si>
    <t>Gender</t>
  </si>
  <si>
    <t>0.0</t>
  </si>
  <si>
    <t>PNILT 2016 Annual Report</t>
  </si>
  <si>
    <t>Mujeres</t>
  </si>
  <si>
    <t>Femme</t>
  </si>
  <si>
    <t>Sexo</t>
  </si>
  <si>
    <t>Sexe</t>
  </si>
  <si>
    <t>Rapport annuel 2016 du PNILT.</t>
  </si>
  <si>
    <t>a15360000095pvcAAA</t>
  </si>
  <si>
    <t>Bacteriologically confirmed</t>
  </si>
  <si>
    <t>TB case definition</t>
  </si>
  <si>
    <t>Confirmado bacteriológicamente</t>
  </si>
  <si>
    <t>Bactériologiquement confirmé</t>
  </si>
  <si>
    <t>Definición de caso</t>
  </si>
  <si>
    <t>Définition des cas</t>
  </si>
  <si>
    <t>a15360000095pvdAAA</t>
  </si>
  <si>
    <t>15+</t>
  </si>
  <si>
    <t>Age</t>
  </si>
  <si>
    <t>+ de 15 ans</t>
  </si>
  <si>
    <t>Edad</t>
  </si>
  <si>
    <t>a15360000095pveAAA</t>
  </si>
  <si>
    <t>U15</t>
  </si>
  <si>
    <t>&lt;15</t>
  </si>
  <si>
    <t>&lt;15 ans</t>
  </si>
  <si>
    <t>a15360000095pvfAAA</t>
  </si>
  <si>
    <t>Not documented</t>
  </si>
  <si>
    <t>HIV test status</t>
  </si>
  <si>
    <t>No documentado</t>
  </si>
  <si>
    <t>Non communiqué</t>
  </si>
  <si>
    <t>Resultado de prueba del VIH</t>
  </si>
  <si>
    <t>Résultat du test VIH</t>
  </si>
  <si>
    <t>a15360000095pvgAAA</t>
  </si>
  <si>
    <t>Negative</t>
  </si>
  <si>
    <t>Negativo</t>
  </si>
  <si>
    <t>Négatif</t>
  </si>
  <si>
    <t>a15360000095pvhAAA</t>
  </si>
  <si>
    <t>Positive</t>
  </si>
  <si>
    <t>Positivo</t>
  </si>
  <si>
    <t>Positif</t>
  </si>
  <si>
    <t>a15360000095pviAAA</t>
  </si>
  <si>
    <t>Male</t>
  </si>
  <si>
    <t>Hombres</t>
  </si>
  <si>
    <t>Homme</t>
  </si>
  <si>
    <t>a15360000095pwVAAQ</t>
  </si>
  <si>
    <t>a15360000095pwWAAQ</t>
  </si>
  <si>
    <t>a15360000095pwXAAQ</t>
  </si>
  <si>
    <t>a15360000095pwYAAQ</t>
  </si>
  <si>
    <t>a15360000095pwZAAQ</t>
  </si>
  <si>
    <t>a15360000095pwaAAA</t>
  </si>
  <si>
    <t>a15360000095pwcAAA</t>
  </si>
  <si>
    <t>0.9</t>
  </si>
  <si>
    <t>The data presented are those of the 2015 cohort and only refer to men.  In principle, the denominator refers to men diagnosed and treated in 2015 (see 2016 PNILT Annual Report).</t>
  </si>
  <si>
    <t>Les données présentées sont celles  de la cohorte 2015 et ne concernent que les hommes . En principe, le dénominateur se rapporte aux hommes dépistés et traités en 2015 (cfr Rapport annuel 2016 du PNILT).</t>
  </si>
  <si>
    <t>a15360000095px9AAA</t>
  </si>
  <si>
    <t>a15360000095pxAAAQ</t>
  </si>
  <si>
    <t>a15360000095pxBAAQ</t>
  </si>
  <si>
    <t>a15360000095pxCAAQ</t>
  </si>
  <si>
    <t>a15360000095pxdAAA</t>
  </si>
  <si>
    <t>a15360000095pxeAAA</t>
  </si>
  <si>
    <t>a15360000095pxfAAA</t>
  </si>
  <si>
    <t>a15360000095pxgAAA</t>
  </si>
  <si>
    <t>a15360000095pxhAAA</t>
  </si>
  <si>
    <t>New TB drugs</t>
  </si>
  <si>
    <t>TB regimen</t>
  </si>
  <si>
    <t>Nuevas drogas anti tuberculosis</t>
  </si>
  <si>
    <t>Nouveau traitement TB</t>
  </si>
  <si>
    <t>Tipo de tratamiento</t>
  </si>
  <si>
    <t>Schéma thérapeutique</t>
  </si>
  <si>
    <t>a15360000095pxiAAA</t>
  </si>
  <si>
    <t>Short regimens</t>
  </si>
  <si>
    <t>Regimenes acortados</t>
  </si>
  <si>
    <t>Régime court</t>
  </si>
  <si>
    <t>a15360000095pyPAAQ</t>
  </si>
  <si>
    <t>Transgender</t>
  </si>
  <si>
    <t>Target / Risk population group</t>
  </si>
  <si>
    <t>No disaggregation in the 2016 NACP Annual Report.</t>
  </si>
  <si>
    <t>Personas transgénero</t>
  </si>
  <si>
    <t>Transgenre</t>
  </si>
  <si>
    <t>Grupo de riesgo objetivo</t>
  </si>
  <si>
    <t>Groupe à risque cible</t>
  </si>
  <si>
    <t>Désagregation non faite dans le Rapport annuel du PNLS de 2016</t>
  </si>
  <si>
    <t>a15360000095pyQAAQ</t>
  </si>
  <si>
    <t>No disaggregation in the 2016 NACP Annual Report.  Measures will be taken so that the data can be disaggregated by gender.   The Q4 2017 ART patient cohort audit will provide disaggregated information.</t>
  </si>
  <si>
    <t>Désagregation non faite dans le Rapport annuel du PNLS de 2016.   Le PNLS prendra des dispositions pour permettre la désagrégation par sexe.</t>
  </si>
  <si>
    <t>a15360000095pyWAAQ</t>
  </si>
  <si>
    <t>Désagregation non faite dans le Rapport annuel du PNLS de 2016.  Le PNLS prendra des dispositions pour permettre la désagrégation par sexe.  Un audit de la file active est en cours (résultats attendus fin 2017), et les informations sur base de l'échantillon seront disponibles.  Des efforts seront ensuite menés pour permettre ces différentes désagrégations à travers les système de rapportage de routine pour le VIH.</t>
  </si>
  <si>
    <t>a15360000095pyXAAQ</t>
  </si>
  <si>
    <t>0.4</t>
  </si>
  <si>
    <t>PNLS Annual Report</t>
  </si>
  <si>
    <t>This result comes from the 2016 NACP Annual Report, with a correction of the denominator (number of children living with HIV monitored, rather than number of children living with HIV as estimated by SPECTRUM).</t>
  </si>
  <si>
    <t>Ce resultat provient du Rapport annuel annuel du PNLS de 2016 avec une correction du dénominateur qui  avait pris en compte le nombre de PVVIH Enfants  suivies et non le Nombre de PVVIH Enfants  estimé par Spectrum</t>
  </si>
  <si>
    <t>Rapport annuel  PNLS</t>
  </si>
  <si>
    <t>a15360000095pyYAAQ</t>
  </si>
  <si>
    <t>Sex workers</t>
  </si>
  <si>
    <t>No disaggregation in the 2016 NACP Annual Report.   Measures will be taken so that key population data can be reported, either through routine data, or through IBBSS to estimate ART coverage among key populations.</t>
  </si>
  <si>
    <t>Trabajadores sexuales</t>
  </si>
  <si>
    <t>Professionnels du sexe</t>
  </si>
  <si>
    <t>a15360000095pyZAAQ</t>
  </si>
  <si>
    <t>MSM</t>
  </si>
  <si>
    <t>No disaggregation in the 2016 NACP Annual Report.  Measures will be taken so that key population data can be reported, either through routine data, or through IBBSS to estimate ART coverage among key populations.</t>
  </si>
  <si>
    <t>HSH</t>
  </si>
  <si>
    <t>a15360000095pyaAAA</t>
  </si>
  <si>
    <t>Male 20-24</t>
  </si>
  <si>
    <t>Gender | Age</t>
  </si>
  <si>
    <t>No disaggregation in the 2016 NACP Annual Report.  The Q4 2017 ART patient cohort audit will provide disaggregated information.</t>
  </si>
  <si>
    <t>Hombres de 20 a 24</t>
  </si>
  <si>
    <t>Homme de 20 à 24</t>
  </si>
  <si>
    <t>Sexo | Edad</t>
  </si>
  <si>
    <t>Sexe | Age</t>
  </si>
  <si>
    <t>a15360000095pybAAA</t>
  </si>
  <si>
    <t>0.6</t>
  </si>
  <si>
    <t>This result comes from the 2016 NACP Annual Report, with a correction of the denominator (number of adults living with HIV monitored, rather than number of adults living with HIV as estimated by SPECTRUM).</t>
  </si>
  <si>
    <t>Ce resultat provient du Rapport annuel annuel du PNLS de 2016 avec une correction du dénominateur qui  avait pris en compte le nombre de PVVIH Adultes suivies et non le Nombre de PVVIH Adultes  estimé par Spectrum</t>
  </si>
  <si>
    <t>a15360000095pycAAA</t>
  </si>
  <si>
    <t>Male 15-24</t>
  </si>
  <si>
    <t>No disaggregation in the 2016 NACP Annual Report.  Measures will be taken so that the data can be disaggregated by age.  The Q4 2017 ART patient cohort audit will provide disaggregated information.</t>
  </si>
  <si>
    <t>Hombres 15-24</t>
  </si>
  <si>
    <t>Homme 15-24 ans</t>
  </si>
  <si>
    <t>a15360000095pydAAA</t>
  </si>
  <si>
    <t>Male 15-19</t>
  </si>
  <si>
    <t>Hombres de 15 a 19</t>
  </si>
  <si>
    <t>Homme de 15 à 19</t>
  </si>
  <si>
    <t>a15360000095pzAAAQ</t>
  </si>
  <si>
    <t>2016 Annual Report</t>
  </si>
  <si>
    <t>The HIV test positivity rate in 2016 was 1.01 percent (cumulative data from the 18 provinces).</t>
  </si>
  <si>
    <t>Taux de séropositivité au test VIH est de 1,01%  en 2016  ( données cumulatives des  18 provinces</t>
  </si>
  <si>
    <t>a15360000095pzBAAQ</t>
  </si>
  <si>
    <t>Annual figures on HIV testing in 2016 were not disaggregated by gender.  Measures will be taken so that the data can be disaggregated by gender.</t>
  </si>
  <si>
    <t>Pas de désagreagtion en fonction du sexe des données annuelles portant sur le Test VIH  en 2016.  Le PNLS prendra des mesures pour le permettre (chronogramme à déterminer).</t>
  </si>
  <si>
    <t>a15360000095pzCAAQ</t>
  </si>
  <si>
    <t>a15360000095pzDAAQ</t>
  </si>
  <si>
    <t>1.0</t>
  </si>
  <si>
    <t>Cumulative data on negative HIV tests in the country’s 18 provinces in 2016.</t>
  </si>
  <si>
    <t>Données cumulées des tests VIH négatifs dans les 18 provinces du pays  en 2016</t>
  </si>
  <si>
    <r>
      <rPr>
        <b/>
        <u/>
        <sz val="12"/>
        <rFont val="Georgia"/>
        <family val="1"/>
      </rPr>
      <t>• Guidance: The table contains those Workplan Tracking Measures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t>
    </r>
  </si>
  <si>
    <t>Progress Status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</si>
  <si>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</si>
  <si>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</si>
  <si>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</si>
  <si>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</si>
  <si>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</si>
  <si>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C- Workplan Tracking Measures</t>
  </si>
  <si>
    <t>Intervention (concat</t>
  </si>
  <si>
    <t>Custom Intervention Display</t>
  </si>
  <si>
    <t>Custom Intervention EN</t>
  </si>
  <si>
    <t>Custom Intervention FR</t>
  </si>
  <si>
    <t>Criterion for completion display</t>
  </si>
  <si>
    <t>Activity</t>
  </si>
  <si>
    <t>Activity details- milestones/targets</t>
  </si>
  <si>
    <t>Criterion for completion</t>
  </si>
  <si>
    <t>Country (relevant for multi-country grnats)</t>
  </si>
  <si>
    <t>Score</t>
  </si>
  <si>
    <t>Reasons for deviation from workplan activities and milestones</t>
  </si>
  <si>
    <t>Key Activity Milestone Number</t>
  </si>
  <si>
    <t>Intervention mapping</t>
  </si>
  <si>
    <t>Module formula</t>
  </si>
  <si>
    <t>Activity Display</t>
  </si>
  <si>
    <t>Key activity milestone</t>
  </si>
  <si>
    <t>Intervention ES</t>
  </si>
  <si>
    <t>Intervention FR</t>
  </si>
  <si>
    <t>Key Activity Local</t>
  </si>
  <si>
    <t>Milestone / Target Description Local</t>
  </si>
  <si>
    <t>Criterion for Completion Local</t>
  </si>
  <si>
    <t>[Custom Intervention - EN]</t>
  </si>
  <si>
    <t>[Custom Intervention - Local]</t>
  </si>
  <si>
    <t>[Key Activity]</t>
  </si>
  <si>
    <t>[Milestone / Target Description]</t>
  </si>
  <si>
    <t>[Criterion for Completion]</t>
  </si>
  <si>
    <t>[Country]</t>
  </si>
  <si>
    <t>[Key Activity Milestone Number]</t>
  </si>
  <si>
    <t>[Intervention]</t>
  </si>
  <si>
    <t>[Intervention ES]</t>
  </si>
  <si>
    <t>[Intervention FR]</t>
  </si>
  <si>
    <t>[Key Activity Local]</t>
  </si>
  <si>
    <t>[Milestone / Target Description Local]</t>
  </si>
  <si>
    <t>[Criterion for Completion Local]</t>
  </si>
  <si>
    <t>a1b36000001dzqdAAA</t>
  </si>
  <si>
    <t>Comprehensive prevention programs for people who inject drugs (PWID) and their partners</t>
  </si>
  <si>
    <t>- Training of 30 peer educators to reach 400-478 IDUs each year
- Creation of 2 pilot community centers in Gitega and Bujumbura
- Recruitment of counselors for the community centers</t>
  </si>
  <si>
    <t>438 IDUs reached (cumulative annually) with the prevention package of services (peer education, condoms, gels, access to HIV testing and HIV/STI services).</t>
  </si>
  <si>
    <t>438 IDUs reached (cumulative annually), as documented thorugh the peer educators' reports compiled by the programme (SSR et SR CRB).
not started= 0-15% IDU reached
started = 15-50% IDU reached 
advanced = 50-80% IDU reached 
completed= 80-100% IDU reached with prevention package</t>
  </si>
  <si>
    <t>a1A360000013M1r</t>
  </si>
  <si>
    <t>The Q1 2018 activity aims to reduce new infections among people who inject drugs through awareness-raising on behavior change and screening. The three-day training session will target 30 people who inject drugs from Bujumbura Mairie (10), Gitega (5), Ngozi (5), Muyinga (5) and Rumonge (5). Once trained, the peers will deliver the comprehensive prevention package to 400 people who inject drugs in 2018, 438 in 2019, and 478 in 2020. 
This activity will be monitored via a training report produced by the SR responsible for implementing activities for people who inject drugs and forwarded to CRB no later than two weeks after the training.
There are two social centers for people who inject drugs (in Gitega and Bujumbura). Counselors will be recruited to coordinate the centers and carry out prevention, treatment and drug use harm reduction activities.  The counselors will be recruited in the first half of 2018.
The aim of the peer education outreach activities is to boost demand for, and access to high-quality prevention activities (condoms and gels, communication, HIV screening, STI screening and treatment, service provider and key population capacity building). Staff we be recruited for these social centers. Funding will be needed to pay two psychosocial counselors and two doctors, and to cover office supplies, telephone and internet for 36 months (2018, 2019 and 2020). 
This activity will be monitored via quarterly reports produced by the SSR and forwarded to the SR (CRB) and via supervision missions at the end of each half-year period.</t>
  </si>
  <si>
    <t>Behavioral interventions for PWID</t>
  </si>
  <si>
    <t>Programas de prevención integral para personas que consumen drogas inyectables y sus parejas</t>
  </si>
  <si>
    <t>Programmes de prévention complets destinés aux consommateurs de drogues injectables et à leurs partenaires</t>
  </si>
  <si>
    <t>Intervenciones conductuales para personas que se inyectan drogas</t>
  </si>
  <si>
    <t>Interventions pour le changement de comportement ciblant les consommateurs de drogues injectables</t>
  </si>
  <si>
    <t>- Former les pairs éducateurs des UDI au niveau national sur le paquet de prévention du VIH et la réduction des méfaits liés à l'usage de la drogue.
- Recruter des conseillers pour animer les deux centres de convivialité à Gitega et à Bujumbura comme provinces pilotes pour les UDI.
- Créer et appuyer deux centres de convivialité à Gitega et à Bujumbura comme provinces pilotes
'L'activité qui sera réalisée en T1 2018 vise à réduire les nouvelles infections auprès des Usagers de drogues injectables par la sensibilisation au changement de comportement et au dépistage. La formation concernera 30 usagers de drogues injectables en une session de 3 jours provenant de Bujumbura Mairie (10), de Gitega (5), de Ngozi (5), de Muyinga (5) et de Rumonge (5). Ces PE permettront d’offrir le paquet complet de prévention à 400 UDI en 2018, 438 en 2019 et 478 en 2020. 
Le suivi de cette mesure sera fait à travers un rapport de formation qui sera produit par le SSR en charge de la mise en œuvre des activités liées aux UDI et transmis à la CRB au plus tard deux semaines après la formation.
'Les UDI ont deux centres de convivialité (Gitega et Bujumbura). Le recrutement de conseillers permettra d’animer les centres de convivialité et d’y réaliser des activités liées à la prévention, la prise en charge et la réduction des méfaits liés à l’usage de la drogue.  Les conseillers seront recrutés pendant le premier semestre 2018.
Le suivi de cette mesure se fera à travers un rapport trimestriel qui sera produit par le SSR et transmis à la CRB (SR) à la fin du premier semestre 2018 et à travers des missions de supervision qui seront organisées par la CRB à la fin du premier semestre 2018.
'L'activité vise l'amélioration de la demande et de l’accessibilité aux services de prévention de qualité (préservatifs et gels, communication, dépistage du VIH, dépistage et traitement des IST, renforcement des capacités prestataires et population de clés). Le personnel pour ces espaces de convivialité sera recruté. Il sera question de payer les indemnités de 2 conseiller psychosocial et 2 médecin, fournitures de bureau, le téléphone et internet pendant 36 mois (2018, 2019 et 2020). 
Le suivi de cette mesure sera fait par l'exploitation des rapports trimestriels qui seront produits par le SSR et transmis au SR (CRB) mais aussi à travers des missions de supervision qui seront organisées à la fin de chaque semestre.</t>
  </si>
  <si>
    <t>- Formations des pairs éducateurs (30) pour atteindre 400-478 UDI chaque année.
- Création de 2 centres de convivialité pilotes à Gitega et Bujumbura; et
- Recrutement des conseillers pour les centres de convivialité.</t>
  </si>
  <si>
    <t>438 UDI atteints (cumulatif annuel) avec le paquet de services de prévention (pair éducation, préservatifs, gels, accès au dépistage VIH et services VIH et IST).</t>
  </si>
  <si>
    <t>438 UDI atteints (cumulatif annuel), tels que documentés à travers le rapportage des PE, compilé par le programme (SSR et SR CRB).
non commencé = 0-15% UDI atteints
commencé = 15-50% UDI atteints 
avancé = 50-80% UDI atteints 
complété = 80-100% UDI atteints avec le paquet de prévention</t>
  </si>
  <si>
    <t xml:space="preserve">For LFA Use Only </t>
  </si>
  <si>
    <t>For the Global Fund Use Only</t>
  </si>
  <si>
    <t>Item No.</t>
  </si>
  <si>
    <t>Description</t>
  </si>
  <si>
    <t>Cumulative for Previous Periods as validated by Global Fund</t>
  </si>
  <si>
    <t>LFA Adjustments on Current Reporting Period</t>
  </si>
  <si>
    <t>As verified by LFA</t>
  </si>
  <si>
    <t>CT Adjustments (incl. External Audit adjustments)</t>
  </si>
  <si>
    <t>The Global Fund Validated Figures</t>
  </si>
  <si>
    <t>1.1</t>
  </si>
  <si>
    <t>Solde PR au 311218</t>
  </si>
  <si>
    <t>2.1</t>
  </si>
  <si>
    <t>Décaissements recus</t>
  </si>
  <si>
    <t>2.2</t>
  </si>
  <si>
    <t>2.3</t>
  </si>
  <si>
    <t xml:space="preserve">Intérets recus </t>
  </si>
  <si>
    <t>2.4</t>
  </si>
  <si>
    <t>2.5</t>
  </si>
  <si>
    <t>* Solde transfert (USD 60465.92) anciens PR pour lequel la lettre d'utilisation est attendue du Fonds Mondial;
* Reversement recu de UNICEF sur médicaments achetés : USD 31,753.78
* Reversement effectué par PNILT sur avance recue : USD 18,333.67</t>
  </si>
  <si>
    <t>2.6</t>
  </si>
  <si>
    <t>3.1</t>
  </si>
  <si>
    <t>* Dépenses PR pour USD 7,207,481.75
*Paiements directs pour le compte des SRs de USD 1,092,109.3
* Prepayment de USD 500,081.27</t>
  </si>
  <si>
    <t>3.3</t>
  </si>
  <si>
    <t>Avance aux SRs en 2019 y compris PAM</t>
  </si>
  <si>
    <t>3.4</t>
  </si>
  <si>
    <t>Frais bancaires</t>
  </si>
  <si>
    <t>3.5</t>
  </si>
  <si>
    <t>4.1</t>
  </si>
  <si>
    <t>4.2</t>
  </si>
  <si>
    <t>Gains &amp; pertes</t>
  </si>
  <si>
    <t>4.3</t>
  </si>
  <si>
    <t>4.4</t>
  </si>
  <si>
    <t>4.5</t>
  </si>
  <si>
    <t>5.1</t>
  </si>
  <si>
    <t>5.2</t>
  </si>
  <si>
    <t>Solde disponible au niveau des SRs</t>
  </si>
  <si>
    <t>5.3</t>
  </si>
  <si>
    <t>CT Adjustments</t>
  </si>
  <si>
    <t>6.1</t>
  </si>
  <si>
    <t>Solde  dans les livres comptables du PR au 311219</t>
  </si>
  <si>
    <t>6.2</t>
  </si>
  <si>
    <t>6.3</t>
  </si>
  <si>
    <t>Décaissement recu le 24 Mars 2020</t>
  </si>
  <si>
    <t>7.1</t>
  </si>
  <si>
    <t>Engagements financiers au 311219</t>
  </si>
  <si>
    <t>7.2</t>
  </si>
  <si>
    <t>Obligations financières au 311219</t>
  </si>
  <si>
    <t>7.4</t>
  </si>
  <si>
    <t>8.1</t>
  </si>
  <si>
    <t>8.2</t>
  </si>
  <si>
    <t>8.3</t>
  </si>
  <si>
    <t>8.4</t>
  </si>
  <si>
    <t>8.5</t>
  </si>
  <si>
    <t>#</t>
  </si>
  <si>
    <t>LFA Adjustments</t>
  </si>
  <si>
    <t>Traitement : tuberculose multirésistante</t>
  </si>
  <si>
    <t>Assurer le suivi clinique et para clinique des malades TB/MR attendus en remboursant les frais liés aux examens complémentaires</t>
  </si>
  <si>
    <t>12.5 Autres coûts liés à l'aide à la subsistance apportée aux clients/population cible</t>
  </si>
  <si>
    <t>31/12/2019</t>
  </si>
  <si>
    <t>31/03/20</t>
  </si>
  <si>
    <t>Populations clés (prise en charge et prevention de la TB) - autres</t>
  </si>
  <si>
    <t xml:space="preserve">Appuyer l’organisation des séances de sensibilisation sur la lutte anti tuberculeuse à l’endroit des miniers, pêcheurs  et autres groupes à risque </t>
  </si>
  <si>
    <t>2.4 Indemnités journalières liés à la sensibilisation/ transport/réunion/ et autres coût</t>
  </si>
  <si>
    <t>30/10/2019</t>
  </si>
  <si>
    <t>31/10/2019</t>
  </si>
  <si>
    <t>Prise en charge communautaire de la tuberculose</t>
  </si>
  <si>
    <t xml:space="preserve">Produire et diffuser annuellement en collaboration avec les associations de lutte contre la TB/VIH un film documentaire et une émission NINDE </t>
  </si>
  <si>
    <t>10.2 Spots et programmes télévisés/radiodiffusés</t>
  </si>
  <si>
    <t xml:space="preserve">Produire une émission NINDE télévisée  annuellement  sur  la coinfection TB/VIH 
</t>
  </si>
  <si>
    <t xml:space="preserve">Recruter un consultant chargé de concevoir une boîte à image pour la sensibilisation à la lutte contre la tuberculose avec intégration VIH/TB/SR/PTME/VSBG/NUTRITION/PALU à l'endroit de tous les groupes leaders </t>
  </si>
  <si>
    <t>2.2 Indemnités journalières liés à l'assistance technique/transports/autres coût</t>
  </si>
  <si>
    <t>Rapportage des données de routine</t>
  </si>
  <si>
    <t xml:space="preserve">Multiplier  les outils de collecte des données au niveau communautaire </t>
  </si>
  <si>
    <t>10.1 Supports imprimés (formulaires, livres, directives, brochure, dépliants...)</t>
  </si>
  <si>
    <t>Interventions relatives aux préservatifs et aux lubrifiants pour les professionnels du sexe</t>
  </si>
  <si>
    <t xml:space="preserve">Approvisionner trimestriellement des points  chauds des professionnelles de sexe en préservatifs masculins  et féminins et gels lubrifiants </t>
  </si>
  <si>
    <t>2.5 Autres coûts de transport</t>
  </si>
  <si>
    <t>Services de dépistage du VIH destinés aux professionnels du sexe</t>
  </si>
  <si>
    <t xml:space="preserve">Organiser semestriellement des séances de dépistage mobile chez les  professionnelles de sexe  par centre de convivialité
</t>
  </si>
  <si>
    <t>Autres interventions ciblant les professionnels du sexe et leurs clients</t>
  </si>
  <si>
    <t xml:space="preserve">Appuyer les  espaces de convivialité dans les centres à forte concentrations de professionnelles de sexe </t>
  </si>
  <si>
    <t>1.2 Salaires - Travailleurs de proximité, personnel médical et autres prestataires de services</t>
  </si>
  <si>
    <t>Former les pairs éducateurs des UDI au niveau national sur le paquet de prévention du VIH et la réduction des méfaits liés à l'usage de la drogue.</t>
  </si>
  <si>
    <t>2.1 Indemnités journalières liés à la formation/transports/autres coûts</t>
  </si>
  <si>
    <t>Autres interventions ciblant les consommateurs de drogues injectables et de leurs partenaires</t>
  </si>
  <si>
    <t>Créer et appuyer deux centres de convivialité à Gitega et à Bujumbura comme provinces pilotes: Conseiller</t>
  </si>
  <si>
    <t>Créer et appuyer deux centres de convivialité à Gitega et à Bujumbura comme provinces pilotes.</t>
  </si>
  <si>
    <t>11.1 Coûts liés au bureaux</t>
  </si>
  <si>
    <t>Programmes de prévention destinés à la population générale</t>
  </si>
  <si>
    <t>Changement de comportement dans le cadre des programmes destinés à la population générale</t>
  </si>
  <si>
    <t>Produire  chaque année des spots radiophoniques adaptés aux jeunes, aux adultes, aux groupes cibles (selon le plan de communication validé) et véhiculant des messages sur la prévention du VIH , la promotion du  dépistage du VIH et des IST , de la TB ,  la éTME/PCIME , la SR , et la CPN précoce / CPoN , allaitement maternel  pour les violences sexuelles et basées sur le genre (VSBG).</t>
  </si>
  <si>
    <t>Organiser des émissions radiophoniques thématiques par mois pendant trois ans (ex: prévention du VIH, la promotion du  dépistage du VIH et des IST, de la TB,  la éTME/PCIME, la SR, et la CPN précoce / CPoN, allaitement maternel, les violences sexuelles et basées sur le genre - VSBG)</t>
  </si>
  <si>
    <t>Organiser une réunion de coordination par province sur  la planification et l'évaluation des interventions de lutte contre le VIH/TB, IST, VSBG,…</t>
  </si>
  <si>
    <t>2.3 Indemnités journalières liés à la supervision/enquête/collecte de données/transport/autres coût</t>
  </si>
  <si>
    <t>Gestion de programme</t>
  </si>
  <si>
    <t>Gestion des subventions</t>
  </si>
  <si>
    <t>Appuyer la ligne d'écoute et d'aide à distance existante et intégrer un espace spécial Adolescent et jeunes pour la riposte au VIH, TB, la santé sexuelle et reproductive et les VSBG</t>
  </si>
  <si>
    <t>Contractualiser mensuellement avec un opérateur de téléphonie mobile pour la diffusion des messages thématiques (prévention du VIH/IST/sida/TB/ CPN, PF, VSBG, promotion des droits humains) en faveur  des jeunes et autres groupes cibles</t>
  </si>
  <si>
    <t>10.3 Coût du matériel promotionnel (t-shirts, tasses, épinglettes...) et d'autres supports de communication et publications</t>
  </si>
  <si>
    <t>Analyse, revues et transparence</t>
  </si>
  <si>
    <t>Organiser des missions de supervision  des activités au profit de la PEC communautaire de la TB et de la gestion de la coinfectionTB-VIH.</t>
  </si>
  <si>
    <t>Organiser trimestriellement des missions de supervision du niveau régional vers le niveau communal les activités de PEC psycho-sociale et nutritionnelle.</t>
  </si>
  <si>
    <t xml:space="preserve">Organiser annuellement des réunions d'orientation, de revues et de planification au niveau central </t>
  </si>
  <si>
    <t>Qualité du programme et des données</t>
  </si>
  <si>
    <t>Organiser trimestriellement des missions de supervision du niveau central vers le niveau provincial (Programme, Finance, S/E, Coordination)</t>
  </si>
  <si>
    <t>Conseil et soutien psycho-social</t>
  </si>
  <si>
    <t xml:space="preserve">Apporter l'appui technique dans la prise en charge nutritionnelle des oev ;PVVIH,des femmes enceintes  et les enfants nés des mères séropositives à travers l'accompagnement et la supervision. </t>
  </si>
  <si>
    <t xml:space="preserve">Apporter un appui technique dans la PEC psychologique et dans l'encadrement des assistants psycho-sociaux au niveau des sites surtout pour la Pec des enfants et adolescents vivants avec le VIH. </t>
  </si>
  <si>
    <t>Apporter une assistance pscho-sociale pour améliorer la  prise en charge des patients tuberculeux, PVVIH et la PTME.</t>
  </si>
  <si>
    <t>Autres interventions réalisées dans le cadre du traitement</t>
  </si>
  <si>
    <t>Assurer la formation des leaders des groupements  des PVVIH en élaboration et gestion des micro projets (IGR)</t>
  </si>
  <si>
    <t>Politiques, planification, coordination et gestion des programmes nationaux de lutte contre les maladies</t>
  </si>
  <si>
    <t>Appuyer les réseaux des PVVIH existants</t>
  </si>
  <si>
    <t>1.1 Salaires - gestion du programme</t>
  </si>
  <si>
    <t>Assurer le fonctionnement de la Croix Rouge du Burundi</t>
  </si>
  <si>
    <t>Assurer le paiement des couts partagees - salaires du personnel de la Croix Rouge du Burundi</t>
  </si>
  <si>
    <t>Assurer la rémunération du personnel de la cellule de gestion de la subvention de la Croix Rouge du Burundi</t>
  </si>
  <si>
    <t>Autres interventions ciblant les HSH</t>
  </si>
  <si>
    <t xml:space="preserve">Frais de deplacement por les  paires éducateurs des HSH </t>
  </si>
  <si>
    <t>Frais de deplacement por les  paires éducateurs des TS</t>
  </si>
  <si>
    <t>Frais de deplacement por les  paires éducateurs des UDI</t>
  </si>
  <si>
    <t>Autres interventions réalisées auprès de la population générale</t>
  </si>
  <si>
    <t>Organiser la célébration de la journée mondiale du SIDA.</t>
  </si>
  <si>
    <t>Assurer le fonctionnement du PNLS/IST</t>
  </si>
  <si>
    <t>Assurer la rémunération du personnel de la cellule de gestion de la subvention du PNLS/IST</t>
  </si>
  <si>
    <t>Frais de gestion sur engagements financiers</t>
  </si>
  <si>
    <t>11.3 Recouvrement des coûts indirects (RCI) - axé sur le pourcentage</t>
  </si>
  <si>
    <t>Dépistage et diagnostic des maladies</t>
  </si>
  <si>
    <t xml:space="preserve">Contribuer au paiement des coûts de fret et d'assurance </t>
  </si>
  <si>
    <t>7.2 Coûts de fret et d’assurance (produits de santé)</t>
  </si>
  <si>
    <t>Traitement</t>
  </si>
  <si>
    <t>Maintenir  le réseau flotte téléphonique en vue d’améliorer la communication et le suivi des malades tuberculeux</t>
  </si>
  <si>
    <t>Acquérir des médicaments antituberculeux de 1ère ligne pour prendre en charge  les  malades tuberculeux TTF durant la période la subvention (GAS)</t>
  </si>
  <si>
    <t>4.2 Médicaments antituberculeux</t>
  </si>
  <si>
    <t xml:space="preserve">Acheter les réactifs et consommables de laboratoire </t>
  </si>
  <si>
    <t>5.8 Autres consommables</t>
  </si>
  <si>
    <t>21/02/2020</t>
  </si>
  <si>
    <t>GP410461-1</t>
  </si>
  <si>
    <t>Payer le coût du fret et d''ssurance</t>
  </si>
  <si>
    <t>Systèmes de santé résilients et pérennes : prestation de services intégrés et amélioration de la qualité</t>
  </si>
  <si>
    <t>Réseaux de laboratoires pour la prévention, le contrôle, la prise en charge et la surveillance des maladies</t>
  </si>
  <si>
    <t>Assurer le contrôle de qualité des analyses de laboratoire</t>
  </si>
  <si>
    <t>7.5 Coûts liés à l'assurance de la qualité et au contrôle de la qualité (AQ/CQ)</t>
  </si>
  <si>
    <t xml:space="preserve">Assurer la maintenance du parc informatique dedié au suivi evaluation et finance aux niveaux central, intermédiaire et périphérique. </t>
  </si>
  <si>
    <t>9.4 Coûts de maintenance des équipements non sanitaire</t>
  </si>
  <si>
    <t>Prise en charge du VIH</t>
  </si>
  <si>
    <t>Payer les frais de transport et d'assurance des médicaments ARV</t>
  </si>
  <si>
    <t xml:space="preserve">Payer le coût lié à l'assurance qualité et au contrôle qualité des médicaments ARV </t>
  </si>
  <si>
    <t>Suivi du traitement - Charge virale</t>
  </si>
  <si>
    <t>Acquisition des réactifs pour la charge virale</t>
  </si>
  <si>
    <t>5.6 Réactifs de laboratoire</t>
  </si>
  <si>
    <t>GP410374-1</t>
  </si>
  <si>
    <t>Acquisition des autres consommables pour la charge virale</t>
  </si>
  <si>
    <t>Coût Transport international (15%) + Assurance (0.08%) - PCR</t>
  </si>
  <si>
    <t>GP410465-2</t>
  </si>
  <si>
    <t>Coût Transport international (15%) + Assurance (0.08%) - CV</t>
  </si>
  <si>
    <t>Total</t>
  </si>
  <si>
    <t>27/03/2020</t>
  </si>
  <si>
    <t>31/03/2020</t>
  </si>
  <si>
    <t>PO GP410272 -1, GP410337-4, GP410380-1, GP410380-5, GP410476-1</t>
  </si>
  <si>
    <t>PO GP410351-1,  GP410374-2,  GP410374-3, GP410403-2</t>
  </si>
  <si>
    <t>30/03/2020</t>
  </si>
  <si>
    <t>PO 0000012184</t>
  </si>
  <si>
    <t>9.3 Autre équipement non sanitaire</t>
  </si>
  <si>
    <t>PO 0000012290</t>
  </si>
  <si>
    <t>PO 0000012007 &amp; 0000012086</t>
  </si>
  <si>
    <t>Engagements non payee au 31/12/2017  pour les cartouches Gene xpert et autres equipments pour la depistage TB</t>
  </si>
  <si>
    <t>6.4 Équipement de dépistage moléculaire de la tuberculose</t>
  </si>
  <si>
    <t>15/03/2020</t>
  </si>
  <si>
    <t>25/03/2020</t>
  </si>
  <si>
    <t>PO 0000012101</t>
  </si>
  <si>
    <t>Doter les laboratoires de région, les hôpitaux, les associations de prise en charge (avec grande file active) et le CATB en kits GenXpert pour le diagnostic de la tuberculose et la notification de la tuberculose multi résistante (GAS)</t>
  </si>
  <si>
    <t>GP410476-1</t>
  </si>
  <si>
    <t>6.6 Autre équipement sanitaire</t>
  </si>
  <si>
    <t xml:space="preserve">Contribuer au paiement des coûts GAS </t>
  </si>
  <si>
    <t>7.1 coût d'agent et de manutention</t>
  </si>
  <si>
    <t>GP410380-1</t>
  </si>
  <si>
    <t xml:space="preserve">Acheter les réactifs et consommables de laboratoire pour le diagnostic de la tuberculose chez  les suspects de tuberculose  durant la période de la subvention </t>
  </si>
  <si>
    <t xml:space="preserve">Acquérir l'isoniazide pour la prévention de la tuberculose chez les enfants de moins de 5 ans </t>
  </si>
  <si>
    <t>PO 11987</t>
  </si>
  <si>
    <t>PO GPH066B002</t>
  </si>
  <si>
    <t>PO 0000012051</t>
  </si>
  <si>
    <t>GPH066A001, GPH066E002, GPH066D003</t>
  </si>
  <si>
    <t xml:space="preserve">Acquérir les séringues et aiguilles </t>
  </si>
  <si>
    <t>5.7 Seringues et aiguilles</t>
  </si>
  <si>
    <t>PO 0000012281</t>
  </si>
  <si>
    <t>Payer les coûts liés de frêt et d'assurance (fret des médicaments izoniazid)</t>
  </si>
  <si>
    <t>PO 0000012075</t>
  </si>
  <si>
    <t xml:space="preserve">Acquérir les médicaments antituberculeux de deuxième ligne pour le traitement des cas TB/MR attendus durant la période de la subvention </t>
  </si>
  <si>
    <t>Payer les coûts d'agent et de manutention</t>
  </si>
  <si>
    <t>Payer les coûts de fret et d’assurance (produits de santé)</t>
  </si>
  <si>
    <t>PO 0000012281, 12071</t>
  </si>
  <si>
    <t>Payer les coûts liés à l'assurance de la qualité et au contrôle de la qualité (AQ/CQ)</t>
  </si>
  <si>
    <t>GP410468-1, GP410461-1, GP410380-1</t>
  </si>
  <si>
    <t>Programmes complets destinés aux personnes en détention ou se trouvant dans d’autres lieux fermés</t>
  </si>
  <si>
    <t>Programmes relatifs aux préservatifs et aux lubrifiants pour les personnes en détention ou se trouvant dans d'autres lieux fermés</t>
  </si>
  <si>
    <t>Acquisition des préservatifs pour les détenus</t>
  </si>
  <si>
    <t>5.2 Préservatifs masculins</t>
  </si>
  <si>
    <t>PO 12079</t>
  </si>
  <si>
    <t>Acquisition des gels lubrifiants pour les détenus</t>
  </si>
  <si>
    <t>Interventions relatives aux préservatifs et aux lubrifiants pour les HSH</t>
  </si>
  <si>
    <t>Acquisition des préservatifs masculin pour les HSH</t>
  </si>
  <si>
    <t>Acquisition des préservatifs féminin pour les HSH</t>
  </si>
  <si>
    <t>5.3 Préservatifs féminins</t>
  </si>
  <si>
    <t>Acquisition des gels lubrifiants pour les HSH</t>
  </si>
  <si>
    <t>Payer le coût d'agent et de manutention des préservatifs et gels pour les HSH</t>
  </si>
  <si>
    <t>Acquisition des préservatifs masculin pour les professionnels de sexe</t>
  </si>
  <si>
    <t>Acquisition des préservatifs feminin pour les professionnels de sexe</t>
  </si>
  <si>
    <t>Payer les gels lubrifiants pour les professionnels de sexe</t>
  </si>
  <si>
    <t>Acquérir les tests rapides pour le diagnostic</t>
  </si>
  <si>
    <t>5.4 Test de diagnostic rapide</t>
  </si>
  <si>
    <t>GP410380-4,  GP410436-2,  GP410460-2, GP410461-1, GP410468-1</t>
  </si>
  <si>
    <t>Interventions relatives aux préservatifs et aux lubrifiants pour les consommateurs de drogues injectables</t>
  </si>
  <si>
    <t>Acquisition des préservatifs masculin pour les usagers de drogues injectables et leurs partenaires</t>
  </si>
  <si>
    <t>Acquisition des gels lubrifiants pour les usagers de drogues et leurs partenaires</t>
  </si>
  <si>
    <t>Programmes de prévention destinés aux adolescents et aux jeunes, scolarisés ou non</t>
  </si>
  <si>
    <t>Préservatifs féminins et masculins pour les adolescents et les jeunes, scolarisés ou non</t>
  </si>
  <si>
    <t>Acquérir des préservatifs masculins</t>
  </si>
  <si>
    <t>PO 0000012079</t>
  </si>
  <si>
    <t>Programmes de prévention destinés aux autres populations vulnérables</t>
  </si>
  <si>
    <t>Préservatifs féminins et masculins pour les autres populations vulnérables</t>
  </si>
  <si>
    <t>Acquérir des préservatifs masculins pour les autres populations vulnérables</t>
  </si>
  <si>
    <t>Services de dépistage du VIH destinés aux autres populations vulnérables</t>
  </si>
  <si>
    <t xml:space="preserve">Acquisition des gels lubrifiants </t>
  </si>
  <si>
    <t>GP410436-2</t>
  </si>
  <si>
    <t>Services différenciés de dépistage du VIH</t>
  </si>
  <si>
    <t>Acquisition des tests de diagnostique rapide du VIH</t>
  </si>
  <si>
    <t>GP410468-1</t>
  </si>
  <si>
    <t>Payer le coût de transport et d'assurance des tests de diagnostique rapide du VIH</t>
  </si>
  <si>
    <t>GP410380-3,  GP410468-1</t>
  </si>
  <si>
    <t>PO 0000011908</t>
  </si>
  <si>
    <t>Acquisition des médicaments ARV pour le traitement des patients</t>
  </si>
  <si>
    <t>4.1 Médicaments antirétroviraux</t>
  </si>
  <si>
    <t>PO 0000012181 &amp; 0000012182</t>
  </si>
  <si>
    <t>PO 0000012224 &amp; 0000012225</t>
  </si>
  <si>
    <t>Health equipment maintenance and services</t>
  </si>
  <si>
    <t>6.5 Coûts de maintenance et du service de l'équipement sanitaire</t>
  </si>
  <si>
    <t>PO 0000012140</t>
  </si>
  <si>
    <t>PO GP410374-1, GP410380-1,  GP410465-1, GP410475-1, GP410480-1</t>
  </si>
  <si>
    <t>PO GP410374-1</t>
  </si>
  <si>
    <t>PO GP410475-1 &amp; GP410465-2</t>
  </si>
  <si>
    <t>Gestion des subventions - ICR (Obligations financières)</t>
  </si>
  <si>
    <t>Gestion des subventions - ICR</t>
  </si>
  <si>
    <t>Item number</t>
  </si>
  <si>
    <t>PR Cumulative</t>
  </si>
  <si>
    <t>PR Current</t>
  </si>
  <si>
    <t>PR Comment</t>
  </si>
  <si>
    <t>LFA Cumulative</t>
  </si>
  <si>
    <t>LFA Current Adjust</t>
  </si>
  <si>
    <t>LFA Comment</t>
  </si>
  <si>
    <t>LFA Verified Current</t>
  </si>
  <si>
    <t>[Item number]</t>
  </si>
  <si>
    <t>a481R0000006kQYQAY</t>
  </si>
  <si>
    <t>a481R0000006kQZQAY</t>
  </si>
  <si>
    <t>a481R0000006kQaQAI</t>
  </si>
  <si>
    <t>a481R0000006kQbQAI</t>
  </si>
  <si>
    <t>a481R0000006kQcQAI</t>
  </si>
  <si>
    <t>a481R0000006kQdQAI</t>
  </si>
  <si>
    <t>a481R0000006kQeQAI</t>
  </si>
  <si>
    <t>a481R0000006kQfQAI</t>
  </si>
  <si>
    <t>a481R0000006kQgQAI</t>
  </si>
  <si>
    <t>a481R0000006kQhQAI</t>
  </si>
  <si>
    <t>a481R0000006kQiQAI</t>
  </si>
  <si>
    <t>a481R0000006kQjQAI</t>
  </si>
  <si>
    <t>a481R0000006kQkQAI</t>
  </si>
  <si>
    <t>a481R0000006kQlQAI</t>
  </si>
  <si>
    <t>a481R0000006kQmQAI</t>
  </si>
  <si>
    <t>a481R0000006kQnQAI</t>
  </si>
  <si>
    <t>a481R0000006kQoQAI</t>
  </si>
  <si>
    <t>a481R0000006kQpQAI</t>
  </si>
  <si>
    <t>a481R0000006kQqQAI</t>
  </si>
  <si>
    <t>a481R0000006kQrQAI</t>
  </si>
  <si>
    <t>a481R0000006kQsQAI</t>
  </si>
  <si>
    <t>a481R0000006kQtQAI</t>
  </si>
  <si>
    <t>a481R0000006kQuQAI</t>
  </si>
  <si>
    <t>a481R0000006kQvQAI</t>
  </si>
  <si>
    <t>a481R0000006kQwQAI</t>
  </si>
  <si>
    <t>a481R0000006kQxQAI</t>
  </si>
  <si>
    <t>7.3</t>
  </si>
  <si>
    <t>a481R0000006kQyQAI</t>
  </si>
  <si>
    <t>a481R0000006kQzQAI</t>
  </si>
  <si>
    <t>a481R0000006kR0QAI</t>
  </si>
  <si>
    <t>a481R0000006kR1QAI</t>
  </si>
  <si>
    <t>a481R0000006kR2QAI</t>
  </si>
  <si>
    <t>a481R0000006kR3QAI</t>
  </si>
  <si>
    <t>a481R0000006kR4QAI</t>
  </si>
  <si>
    <t>2.</t>
  </si>
  <si>
    <t>a481R0000006kR5QAI</t>
  </si>
  <si>
    <t>3.</t>
  </si>
  <si>
    <t>a481R0000006kR6QAI</t>
  </si>
  <si>
    <t>4.</t>
  </si>
  <si>
    <t>a481R0000006kR7QAI</t>
  </si>
  <si>
    <t>5.</t>
  </si>
  <si>
    <t>Cumulative Period of Financial Reporting</t>
  </si>
  <si>
    <t>Principal Recipient</t>
  </si>
  <si>
    <t xml:space="preserve">For Local Fund Agent Use Only </t>
  </si>
  <si>
    <t>Country Team Adjustments (incl. External Audit adjustments)</t>
  </si>
  <si>
    <t>Croix Rouge</t>
  </si>
  <si>
    <t>PNILT</t>
  </si>
  <si>
    <t>PNLS</t>
  </si>
  <si>
    <t>WFP</t>
  </si>
  <si>
    <t>* Includes interest income, income generating activites etc.</t>
  </si>
  <si>
    <t>Tab should be locked</t>
  </si>
  <si>
    <t>Tab should be veryhidden</t>
  </si>
  <si>
    <t>Reporting Period ID</t>
  </si>
  <si>
    <t>Look up ID</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</si>
  <si>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</si>
  <si>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</si>
  <si>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</si>
  <si>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</si>
  <si>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</si>
  <si>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</si>
  <si>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</si>
  <si>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</si>
  <si>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</si>
  <si>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Une erreur s'est glissée dans le budget du PR. A cet effet, le montant à considérer comme budget est USD 7,663,870.24.
L'écart de USD -1,135,994.08 ( 7,663,870.24 - 8,799,864.32)  comprend l'écart sur les dépenses du PR de USD -43,884.78 et l'écart sur les paiements directs des SRs de USD - 1,092,109.3‬. 
L'écart de USD -43,884.78 sur les dépenses du PR s'explique par : 
* le gap de USD -34088.45 sur les RH du PR  résultant du paiement des salaires du Deputy programme et d'un chauffeur additionnel alors qu'aucun budget n'était prévu pour ces 2 postes. 
* le gap de USD -220.15.68 sur le matériel communication représentant l'imputation par erreur des dépenses ne devant pas aller sur cette ligne car le PR n'a aucun budget sur cette ligne;
*les économies de USD 53,329.05 couts liés au bureau et couts indirects comprenant les économies de USD 12,165.48 sur les couts liés au bureau (LB 26 et 273) en addition aux obligations financières de USD 15,041.21, le gap de USD 13,278.28 résultant des dépenses de renforcement des capacités (LB 277) approuvées par le FM alors qu'aucun budget n'est prévu et le solde des frais de gestion de USD 39,400.65 (LB 282);
* les économies de USD 2,176.82 sur la lingerie des malades TBMR (LB 44);
* les économies de USD 6,001.28 et le budget à reporter de USD 11,980 (LB 184) sur les couts liés au déplacement;
* le gap de USD -66,975.81 sur les services professionels externes comprenant les économies de USD 28, 903 sur LB 37 et 51 et le gap de USD 95878.81 sur LB 191 et 275 en raison des honoraires du Consultant Charge virale (pour l'élaboration du plan d'action charge virale) et des auditeurs externes dont les honoraires sont supérieurs au budget prévu.
* Le gap de USD -703,154 sur les médicaments et produits pharmaceutiques se décomposant en un gap de -923,385.6‬ sur les médicaments ARV et IO et des économies de USD 220,231.6. Par ailleurs, il faut signaler l'existence des obligations financières de USD 1,649.575.65 sur les lignes 21,27, 52 et 230.
* le solde du budget de USD 380,480.14 des produits et équipements médicaux (LB 4, 5, 6,12, 28, 83,84, 89, 90, 97, 98, 99, 109, 110, 111, 116, 123, 124, 143, 144, 153, 154, 155, 163,238, 239, 246, 247) . Par ailleurs des obligations financières de USD 1,357,809.89 existent.
*  le solde du budget de USD 57,616.93 des équipements médicaux (LB 7, 8, 237, 283) . Par ailleurs des obligations financières de USD 99?032 existent.
* le solde du budget de USD 269,300 sur les couts de gestion des achats (LB 9, 10, 11, 29, 30,31, 32, 33, 53, 54, 55, 56, 63, 64, 65, 76, 77, 78, 79, 85, 86, 87, 91, 92, 93, 103, 104, 105, 112, 113, 114, 117, 118, 119, 125, 126, 127, 145.... 248, 249 et 250). Il faut signaler l'existence d'obligation financières de USD 333,252.52.
* le gap de USD -21,843.06 sur les infrastructures (LB 270 et 274) du au fait que le budget a été antérieurement.
* les économies de USD 1512.45 sur les équipements non médicaux (LB 269, 271 et 272). Par ailleurs, une obligation financière de USD 3393.87 existe sur LB 271</t>
  </si>
  <si>
    <r>
      <t xml:space="preserve">L'écart de USD -1,288,322.74 (11578068.93-12866391.67) comprend l'écart sur les dépenses du PR de 93,474.87 et l'écart sur les paiements directs des SRs de -1,381,797.61.
L'écart de USD 93,474.87 sur les dépenses du PR s'explique par:
* les économies de USD 71,526.27 sur les Ressources humaines du PR (LB 267 et 278) dues au  retard dans  la mise en place du personnel de l'Unité de Gestion du PR.
* les économies de USD 49,101.14 sur le matériel de communication résultant de la non impression et la multiplication des boites à images (LB 18) pour USD 49,321.29 et du gap de -220.15 pour erreur d'imputation des activités 23 et 140.
* les économies de USD 227,518.79 sur les couts liés au bureau  et couts indirects non seulement des économies de USD 39,878.14  et obligations financières de USD 15,041.21 sur les couts liés au bureau (LB 26, 273 et 281) mais aussi des dépenses de renforcement des capacités (LB 277) pour USD 13,278.28 approuvées par le FM alors qu'aucun budget n'est prévu et le solde des frais de gestion de USD 185,877.73 (LB 282).
* les économies de USD 9,479.82 sur les couts liés à l'aide aux populations cibles représentant le solde sur l'achat de la lingerie d'hospitalisation (LB 44);
* les économies de </t>
    </r>
    <r>
      <rPr>
        <b/>
        <sz val="12"/>
        <rFont val="Georgia"/>
        <family val="1"/>
      </rPr>
      <t>USD 55,359.19</t>
    </r>
    <r>
      <rPr>
        <sz val="12"/>
        <rFont val="Georgia"/>
        <family val="1"/>
      </rPr>
      <t xml:space="preserve"> sur LB 184, 188, 189, 205, 209, 279, 289 et le budget à reporter  de </t>
    </r>
    <r>
      <rPr>
        <b/>
        <sz val="12"/>
        <rFont val="Georgia"/>
        <family val="1"/>
      </rPr>
      <t>USD 11,980</t>
    </r>
    <r>
      <rPr>
        <sz val="12"/>
        <rFont val="Georgia"/>
        <family val="1"/>
      </rPr>
      <t xml:space="preserve"> (LB 184) relatifs au cout lié aux déplacement dus non seulement à l'exécution partielle des activités mais aussi au retard dans la mise en place de l'UGP du PR et la non approbation par le Fonds Mondial du participant désigné (act 184) 
* les économies de USD 44,932.49 sur les services professionnels externes résultant  des   économies de USD 108,703 sur les activités 37, 51, 150, 186, 275, 276 et 280 car non exécutées ou partiellement exécutées et du gap de USD -63,770.51 sur LB 191 relatif au consultant charge virale dont le plan d'action charge virale a été ajouté au TDR.
* le gap de USD -1395153.21 sur les médicaments et produits pharmaceutiques résultant des économies de USD 335,135.46 et obligations financières de USD 396,571.05 sur les médicaments anti tuberculeux et autres médicaments (LB 21,27, 52, 61 et 221) et du gap de USD -2,126,859.72‬ sur les médicaments ARV et IO représentant une anticipation sur le budget de 2020
* les économies de USD 552,656.49 sur les produits de santé non pharmaceutiques (LB  (LB 4, 5, 6, 28, 83,84, 89, 90, 97, 98, 99, 109, 110, 111, 116, 123, 124, 143, 144, 153, 154, 155, 163,238, 239, 246, 247) comprenant les obligations financières de USD 1,357,809.89 et un gap de USD -805,153.40, gap résultant non seulement de l'anticipation sur le budget de 2020 mais aussi des besoins en consommables et réactifs de labo (LB 84, 153, 163 ) et de l'insertion des besoins additionnels relatifs à la charge virale (LB 238)
*le solde du budget de USD 91,815.78  sur les équipements médicaux s'expliquant d'une part par les obligations financières de USD 32,166 et le gap de USD -40,628.22 sur LB 8 et 237 dus à une anticipation sur le budget de 2020 et d'autre part par les économies de USD 33,412 sur LB 7 et 283 et les obligations obligations financières de USD 66,866 car aucune réparation d'appareil CD4 n'a été faite depuis le démarrage de la subvention
* Les économies de USD 381,789.61 sur les couts de gestion des achats s'expliquant par les obligations financières de USD 332,252.52  sur LB 10, 30, 53, 54, 55, 56, 63, 77, 78, 85, 86, 87, 114, 117, 118, 119, 146, 156, 157, 158, 160, 164, 165, 166, 167, 222, 223, 224, 225, 231 à 234, 240 à 250    et le budget à reporter de USD 49,537.09
* le gap de USD  -3,105.79 sur les infrastructures (LB 270 et 274) du à l'achat du mobilier au profit du personnel additionnel approuvé par le Fonds Mondial
* le gap de USD -4,894.47 comprenant les obligations financières de USD 3,393.87  et le gap de USD 8,288.34 sur LB (49, 268, 269, 271, 272)</t>
    </r>
  </si>
  <si>
    <t>L'écart sur les décaissements aux SRs est de 2,178,670.94  et non 1,654,819.99 indiqué car le budget du PNILT a été porté par erreur sous celui du PR.
* L'écart de USD 981,958.32 (2,078,161.02-781,774.9-314,427.8) sur les avances à la Croix Rouge et au PAM du aux difficultés du SR à justifier au moins 80% de l'avance précédente afin de bénéficier de nouvelles avances;
* L'écart de USD 1,025,186.60   (1,489,605.46-464,418.86) sur les avances au PNLS résultant non seulement du paiement direct des activités mais aussi du retard dans la transmission des pièces relatives au suivi biologique et des pièces du dernier trimestre 2018;
* L'écart de USD 171526.02 (523850.95-352,324.93) sur les avances au PNILT  provenant du retard dans la justification des dépenses du dernier trimestre 2018 et du paiement direct de certaines activités.
Par ailleurs, il faut signaler que le PR a réglé pour le compte des SRs des dépenses de :
* Croix Rouge : USD 450,243.08
* PNLS              : USD 493,948.75
* PNILT            : USD 147,944.13</t>
  </si>
  <si>
    <t>L'écart sur les décaissements aux SRs est de USD 3,615,244.86 et non  USD 2,389,984.78
indiqué ici car les données du PNILT figurent par erreur  avec celles du PR.
Cet écart s'explique par :
* L'écart de USD 1,259,301.27 (4040600.29-2198813.23-582485.8) sur les avances à la Croix Rouge et au PAM du au retard dans le démarrage des activités, à l'exécution partielle des activités réalisées par les pairs éducateurs et aux difficultés du SR à justifier au moins 80% de l'avance précédente .
* L'écart de USD 1,826,306.24   (3,170,747.79-1,344,441.55) sur les avances au PNLS résultant non seulement  au retard de la signature des accords mais aussi au retard à la mise en place du personnel du projet, la prise en charge de certains staffs sur l'ancienne subvention pour la cloture, au retard dans la vérification des structures faisant le suivi biologique et aux difficultés du SR à justifier au moins 80% de l'avance précédente afin de bénéficier de nouvelles avances;
* L'écart de USD 529,637.36 (1,225,260.09-695,622.73) sur les avances au PNILT  provenant du retard dans la signature des accords avec le SR, dans la mise en place  du personnel du projet, la prise en charge de certains staffs sur l'ancienne subvention pour la cloture et le retard dans la justification des dépenses du dernier trimestre 2018.
Par ailleurs, le PR a réglé pour le compte des SRs des dépenses de :
* Croix Rouge : USD 539,939.9
* PNLS              : USD 652,982.87
* PNILT            : USD 188,901.5</t>
  </si>
  <si>
    <t xml:space="preserve">Cet écart s'explique par :
* le gap de -886,047.92 (2,374,573.84-3,260,621.76) sur les ARV représentant l'anticipation sur le budget de Q9 . Par ailleurs une obligation financière de USD 1,253,004.6 existe sur LB 230;  
*  les économies de USD 220,231.6 (sur les LB 21,27,52 et 61 comprenant les obligations financières de USD 396,571.05  et un gap de USD -176,339.45 sur ces lignes en raison de la disponibilité suffisante  desdits médicaments;
* le gap de USD -37,337.68 (76,235.13-113,572.81) sur les médicaments (LB 220) qui est une anticipation sur le budget de 2020 en raison d'une sous-estimation des besoins de 2019. 
</t>
  </si>
  <si>
    <t>Cet écart s'explique par :
* Le gap de -2,005,557.08 (-886047.92--1,119,509.16 ) sur les ARV représentant l'anticipation sur le budget de Q5 . Par ailleurs un engagement de USD 319,985.54 existe sur LB 75 et 230;  
*  Economies de USD 731,181.15 (1,034,709.24-303528.09)  sur les LB 21,27,52 et 61 dont des obligations obligations de USD 396,571.05  en raison de la disponibilité suffisante desdits médicaments;
* Gap de USD -121,304.28 (-83,966.6-37,337.68) sur les médicaments (LB 220) dont une partie est une anticipation sur le budget de 2020 en raison d'une sous-estimation des besoins. 
* Economie de USD 525.36 (9000-8474.64) sur LB 221</t>
  </si>
  <si>
    <t>Cet écart s'explique par:
* Le budget de USD 234,419.53 sur les préservatifs masculins (LB 89,97, 109, 12", 143 et 144) comprenant les obligations financières de USD 239,438.5 et le gap de USD -5,018.97 sur ces lignes, les produits commandés n'ayant pas été réceptionnés;
* les économies de USD 9,226.35 et les obligations financières de USD 133,272.3  sur LB 98 et 110, les préservatifs féminins n'ayant pas été réceptionnés avant le 311219;
* les économies de USD 700 sur LB 4 en addition au gap de USD -388,852.34 sur les TDRs (LB 83, 116, 153 et 163) du à une anticipation sur le budget de 2020 pour LB 83, 116 et 163 et une non budgétisation des besoins de 2019 pour LB 153; 
* les économies de USD 49,594.75 sur les réacrtifs de laboratoires (LB 5, 6, 238 et 246) car les achats relatifs aux LB 6 et 246 n'ont pas encore été effectués. Par ailleurs, il y a des obligations financières de USD 206,594.22 sur LB 5 et 238.
* les obligations financières de USD 1,300 et le gap de USD -152 sur LB 28, les séringues commandés n'ayant pas été réceptionnés;
* Economies de USD 120,252.07 sur les autres de consommables de laboratoire (LB 12, 84, 155, 239 et 247) résultant au fait que les produits commandés n'eont pas été réceptionnés; des obligations financières de USD 601,669 existants;
* Les économies de USD 93,805.48 et les obligations financières de USD 126,914 sur les gels lubrifiants (LB 90, 99, 111, 124 et 154) car les produits commandés n'ont pas été livrés;
* les économies de USD 5,988 et les obligations financières de USD 66866 sur LB 7, les produits n'ayant pas été recus;
*  le gap de USD -7,106.49 résultant du gap de USD -20,818.49 sur LB 237 (budget sous estimé) et de la non utilisation du budget de USD 13,712 (LB 283). Il faut signaler par ailleurs l'existence d'une obligation financièree de USD 27666 sur LB 237
* le gap de USD -8,130.58 sur LB 8. Par ailleurs, il faut signaler l'existence d'une obligation financière de USD 4,500
* le gap de -3,614.66 relatif à LB pour lequel aucun budget n'est prévu en 2019</t>
  </si>
  <si>
    <t xml:space="preserve">Cet écart s'explique par:
* Le budget de USD 234,419.53 sur les préservatifs masculins (LB 89,97, 109, 12", 143 et 144) comprenant les obligations financières de USD 239,438.5 et le gap de USD -5,018.97 sur ces lignes, les produits commandés n'ayant pas été réceptionnés;
* les économies de USD 22,212.05 et les obligations financières de USD 133,272.3  sur LB 98 et 110, les préservatifs féminins n'ayant pas été réceptionnés avant le 311219;
*les économies de USD 1,400 sur LB 4 en addition au gap de USD -554,213.51 sur les TDRs (LB 83, 116, 153 et 163) du non seulement à une anticipation sur le budget de 2020 (cas LB 83, 116 et 163) mais aussi à l'existence des besoins de dépistage et une non budgétisation des besoins de 2019 et 2020 pour LB 153 ; 
* les économies de USD 110,076.53 sur les réactifs de laboratoire  résultant des économies de USD 129,069.98  sur LB 5, 6 et  246 car les achats relatifs aux LB 6 et 246 n'ont pas encore été effectués et du gap de USD -18,993.45 sur LB 238. Par ailleurs, il y a des obligations financières de USD 206,594.22 sur LB 5 et 238.
* Economie de USD 996 et les obligations financières de USD 1,300 sur les séringues (act 28);
* Economie de USD 382,474.11 sur les autres consommables de laboratoire (LB 12, 84, 155, 239 et 247 ) en raison de la disponiblilité desdits produits médicaux. Par ailleurs des obligations financières de USD 601,669 existent sur LB 12,84 et 239.
* les économies de USD 93,805.48 et les obligations financières de USD 126,914 sur les gels lubrifiants (LB 90, 99, 111, 124 et 154) car les produits commandés n'ont pas été livrés;
* les économies de USD 5,988 et les obligations financières de USD 66866 sur LB 7, les produits n'ayant pas été recus;
* le solde de USD 18,882.19 (71909.87-53027.68) sur la maintenance des équipements  s'expliquant par les obligations financières de USD 27,666 sur LB 237 et le gap de USD -8,783.81‬ représentant une anticipation sur le budget de 2020.
* les économies de USD -79.59 (16420.34-16340.75) sur les les kits genexperts (LB 8) ;
* Economie de USD 69,756.96 et obligations financières de USD  28,198.29  sur les  équipements de dépistage moléculaire (LB 288).
</t>
  </si>
  <si>
    <t>For LFA Use Only</t>
  </si>
  <si>
    <t>E. Total Principal Recipient Budget Variance and Absorption Analysis</t>
  </si>
  <si>
    <t>Local Fund Agent (LFA)</t>
  </si>
  <si>
    <t>Budget for Reporting Period</t>
  </si>
  <si>
    <t>Actual Grant Expenditure - Cash Basis for Reporting Period</t>
  </si>
  <si>
    <t>Budget Vs Actual Variances</t>
  </si>
  <si>
    <t>Absorption Capacity</t>
  </si>
  <si>
    <t xml:space="preserve">LFA comments on thePrincipal Recipient's explanation of variances </t>
  </si>
  <si>
    <t>Cumulative Budget through period of Progress Update</t>
  </si>
  <si>
    <t>Cumulative Actual Grant Expenditure - Cash Basis through period of Progress Update</t>
  </si>
  <si>
    <t>Cumulative Budget Vs Actuals Variances</t>
  </si>
  <si>
    <t xml:space="preserve">LFA comments on the Principal Recipient's explanation of variances </t>
  </si>
  <si>
    <t>1. Total Principal Recipient cash outflow vs. budget</t>
  </si>
  <si>
    <t xml:space="preserve">    1a. Principal Recipient's total expenditures (including any direct-disbursements to third-parties)</t>
  </si>
  <si>
    <t xml:space="preserve">    1b. Disbursements to sub-recipients</t>
  </si>
  <si>
    <t>Procurement data for analytical purposes</t>
  </si>
  <si>
    <t>2. Total pharmaceutical &amp; non-pharmaceutical incl. equipment expenditures vs. budget</t>
  </si>
  <si>
    <t xml:space="preserve">    2a.  Health Products- Pharmaceutical Products</t>
  </si>
  <si>
    <t xml:space="preserve">    2b.  Health Products - Non-Pharmaceuticals &amp; Equipment</t>
  </si>
  <si>
    <t>Should be locked</t>
  </si>
  <si>
    <t>Should very hidden</t>
  </si>
  <si>
    <t>Cumul. Budget through PU period</t>
  </si>
  <si>
    <t>PR Actual Grant Cash Out-Flow</t>
  </si>
  <si>
    <t>PR Cumulative Actual Grant Cash Out-Flow</t>
  </si>
  <si>
    <t>LFA Actual Grant Cash Out-Flow</t>
  </si>
  <si>
    <t>LFA Cumul. Actual Grant Cash Out-Flow</t>
  </si>
  <si>
    <t>Select</t>
  </si>
  <si>
    <t>Pour tous les produits de santé (ARV et Test de depistage ) reçus durant la période de rapportage, les informations requise ont été rapportées dans le système</t>
  </si>
  <si>
    <t>Yes</t>
  </si>
  <si>
    <t xml:space="preserve">Risque de rupture de stock pour les preservatifs masculin et feminin.Risque de péremption pour les gel lubrifiants.La commande a été lancé nous attendons la livraison d'ici Juin 2020 </t>
  </si>
  <si>
    <t>Rupture de Etravirine qui était achété sur l'ancienne subvention et pour lequel il n'est pas sur la liste des produits de santé acquis par le PR il y' a pas encore eu d'approbation du Fond Mondial pour qu'on achète .Risque de péremption  de Efavirenz 600mg ces,
Pour les EFV 600mg , la subvention a débuté avec un stock très important ,et ily ' a eu un achat de  la part du Gouvernement ,on a dû augmener  les consommatios mais le stock reste élevé jusqu'à maintenant. 
Pour  Lamivudine/Zidovudine/Nevirapine 150/300/200mg la péremption est dû aux changements dans les recommandations de l'OMS la supression de tous les molécules contenat du Nevirapine dans le traitement des PVVIH et le schéma de transition mis en place n'a pas permis de mettre de consommer tout le stock disponible .  Nous avons connu une legère rupture de stock au niveau central de Nevirapine sirop qui a connu une livraison tardée et cela a occaisioné que Zidovudine ne soit pas aussi distribué car les deux molécules  sont une Posologie prophylactique de  chez les nourrissons exposés au VIH</t>
  </si>
  <si>
    <t>No</t>
  </si>
  <si>
    <t xml:space="preserve">                                                                                                                                                                                                                                   
Pour les produits de la charge virale,on a eu   la péremption qui est due aux pannes  de l'appareil Abbott  de Kigutu .
Pour limiter les risques de péremption, le PR a travaillé avec le PNLS/IST pour mettre en place des plans de  livraison échelonnés et aussi le PR avec PNLS et PEPFAR se sont convenus d'alterner les achats que celui qui fasse la commande le place pour tous les produits qui vont avec les appreils abbotts pour éviter des retards de livraisons de l'un et l'autre produit</t>
  </si>
  <si>
    <t xml:space="preserve">Contraintes sur les intrants de programme 
En matière d’approvisionnement en intrant du programme VIH, il existait en fin d’année 2019 de nombreuses tensions sur les ARVs, les tests de dépistage et la mesure de la Charge virale y compris pour le dépistage précoce du nouveau-né, les médicaments pour les IST et les Infections opportunistes hors tuberculose, ainsi que pour la sécurité transfusionnelle. Le PNUD a mobilisé des fonds d’urgence pour combler une partie du Gap en dehors de cette subvention. la situation reste tendue malgré cet apport en particulier sur les stocks de sécurité. 
a. ARV adulte première ligne et transition TLE &gt; TLD
Avec l’apport du PNUD pour pallier les gaps attendus en 2020 Le stock en ARV est suffisant pour couvrir 2020 avec cependant un stock de sécurité restreint.  
Outre les aspects éthiques, l’augmentation de la file active réelle qui est estimée à 68000 a eu pour conséquence de réduire le niveau de stock de sécurité pour couvrir la transition en 2021. Le budget relatif à l’achat des intrants ARV est en tension et le PR attire l’attention sur la nécessité de couvrir en priorité les traitements de première ligne pour éviter les ruptures et l’augmentation des situations de résistance et le passage en deuxième ligne dont l’impact budgétaire serait considérable. 
Le produit majeur dans la prise en charge du VIH des patients en première ligne est le combinaison Ténofovir/Lamivudine/Efavirenz chez l’adulte, couvrant plus de 68 % des patients adultes en première ligne en 2018. Une transition vers une nouvelle combinaison a base de Dolutegravir à la place de l’Efavirenz est commencée depuis mai 2019. Une commande de TLD boite de 90 a été placée 4ième Trimestre 2019.
b. Produits de deuxième ligne
Le Fonds Mondial de lutte contre le VIH, la tuberculose et le paludisme est le seul partenaire qui prend en charge les produits de deuxième ligne pour adultes. Une commande est nécessaire en 2020 et devient urgente. 
c. Situation du cotrimoxazole 800/160mg
Les financements disponibles à travers les crédits des subventions du Fonds Mondial de lutte contre le VIH, la tuberculose et le paludisme ne couvrent pas le cotrimoxazole 800/160mg. Aucun autre partenaire ne propose actuellement la couverture totale de ce gap. Or, les pratiques préventives contre ces infections opportunistes peuvent déboucher sur une amélioration de la qualité et de l'espérance de vie des personnes séropositives. Depuis la fin des années 1980, le cotrimoxazole est utilisé avec succès dans la prophylaxie primaire des infections opportunistes. Le PNUD a fait droit a cette exigence mais en quantité limitée.  
d. PTME
Nous manquons de visibilité pour les financements de la PTME chez les femmes enceintes mais aussi chez les enfants. Aucun financement n’était prévu en 2019 sur les crédits des subventions du Fonds Mondial.
e. Produits de diagnostic (TDR)
Le diagnostic est un élément important de la stratégie de lutte contre le VIH, la connaissance du statut sérologique permet de limiter les de nouvelles infections. Au-delà du dépistage indexé qui permet d’optimiser l’utilisation des moyens de diagnostic, le dépistage systématique des femmes enceintes permet une double protection, en permettant la mise en place de la PTME chez les femmes séropositives. Les tests de diagnostic rapide (TDR) utilisés chez les femmes enceintes connaissent un sous financement. Si les besoins sont couverts pour 2019, la situation est beaucoup moins rassurante pour 2020 avec un gap restant important. 
2020, le Fonds Mondial de lutte contre le VIH, la tuberculose et le paludisme ne couvre 20% du besoin. Nous n’avons donc pas de visibilité sur la prise en charge de ce produit.
f. Charge Virale
Deux partenaires majeurs interviennent dans la prise en charge de la charge virale : Fonds Mondial de lutte contre le VIH, la tuberculose et le paludisme et le projet OPP-ERA. Ce dernier a connu un retard dans le démarrage et 17,640 tests de charge virale ont été réalisés avec ce projet contre 27,720 prévus laissant un gap de 10,080 tests de charge virale pour 2020. 33000 Charges Virales sont prévues pour 2020. 
g. Prophylaxie Post Exposition
Des cas de violences basées sur le genre sont pris en charge dans les formations sanitaires. L’urgence des cas impose la prise en charge immédiate des patients. L’absence des financements de la prophylaxie Post Exposition impacte sur la consommation des produits utilisés dans la prise en charge des PVVIH.
</t>
  </si>
  <si>
    <t>Section 3B: LFA-Verified Procurement and Supply Management Information</t>
  </si>
  <si>
    <t>PR's response</t>
  </si>
  <si>
    <t>LFA's response</t>
  </si>
  <si>
    <t xml:space="preserve">LFA Comments/Analysis </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</si>
  <si>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</si>
  <si>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Rupture de stock d'Etravirine cé 100mg depuis Décembre 2019s alors que nous avons 18 Patients qui sont sur cette molécule</t>
  </si>
  <si>
    <t>1b.  Value of Pharmaceuticals and Health Products in the PQR (7 categories only)</t>
  </si>
  <si>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</si>
  <si>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t>Reporting Currency</t>
  </si>
  <si>
    <t>PQR Product Categories</t>
  </si>
  <si>
    <t>Value of  products received during reporting period</t>
  </si>
  <si>
    <t>Value of products entered by the PR and verified as correct by the LFA in the PQR during reporting period</t>
  </si>
  <si>
    <t>Variance</t>
  </si>
  <si>
    <t>Reason for Variance</t>
  </si>
  <si>
    <t>Cumulative value of  products received since the start of the Implementation Period</t>
  </si>
  <si>
    <t>Cumulative value of products verified as correct by the LFA in the PQR since the start of the Implementation Period</t>
  </si>
  <si>
    <t>1. Anti-malaria medicines</t>
  </si>
  <si>
    <t>2. Bed nets</t>
  </si>
  <si>
    <t>3. In-Vitro Diagnostic Products</t>
  </si>
  <si>
    <t>4. Condoms</t>
  </si>
  <si>
    <t>5. Anti-retrovirals</t>
  </si>
  <si>
    <t>6. Anti-TB medicines</t>
  </si>
  <si>
    <t>7. Indoor Residual Spraying (IRS)</t>
  </si>
  <si>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</si>
  <si>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Key Pharmaceuticals &amp; Health Products</t>
  </si>
  <si>
    <t>Risk of Stock-Out</t>
  </si>
  <si>
    <t>Risk of Expiry</t>
  </si>
  <si>
    <t>Comment (if yes, please provide information on the specific items that are at risk of stock-out or expiry and the mitigation measures in place or to be implemented)</t>
  </si>
  <si>
    <t>7. Lab supplies (e.g. CD4, Viral Load, Cartridges…)</t>
  </si>
  <si>
    <t>8. Other (Please specify in the "Comment" column)</t>
  </si>
  <si>
    <t>3. LFA analysis of issues related to the procurement and supply management of pharmaceuticals and health products</t>
  </si>
  <si>
    <t>a2R36000000ea07EAA</t>
  </si>
  <si>
    <t>PQR Response (PR)</t>
  </si>
  <si>
    <t>PQR Response (LFA)</t>
  </si>
  <si>
    <t>Stock Out Response (LFA)</t>
  </si>
  <si>
    <t>Expiry Response (LFA)</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</si>
  <si>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</si>
  <si>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Status</t>
  </si>
  <si>
    <t>LFA Analysis
(this should not be a ""Copy and Paste"" of the comments provided by the PR)</t>
  </si>
  <si>
    <t>Validate Status</t>
  </si>
  <si>
    <t>Country Team Comments</t>
  </si>
  <si>
    <t>Grantreq1</t>
  </si>
  <si>
    <t>Second line treatment was submitted to green light committee for endorsment.</t>
  </si>
  <si>
    <t>Grantreq2</t>
  </si>
  <si>
    <t>Provision for Second line treatment was factored in the budget as per ceiling of 25000.</t>
  </si>
  <si>
    <t>Grantreq3</t>
  </si>
  <si>
    <t>UNDSS assessment of security status as not change. Elections  are foreseenin May 2020. The Clause is still valid but no major changes are foreseen</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</si>
  <si>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</si>
  <si>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</si>
  <si>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</si>
  <si>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</si>
  <si>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</si>
  <si>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</si>
  <si>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</si>
  <si>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</si>
  <si>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</si>
  <si>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</si>
  <si>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</si>
  <si>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</si>
  <si>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</si>
  <si>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</si>
  <si>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</si>
  <si>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</si>
  <si>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</si>
  <si>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</si>
  <si>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</si>
  <si>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</si>
  <si>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</si>
  <si>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</si>
  <si>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</si>
  <si>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</si>
  <si>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</si>
  <si>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</si>
  <si>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</si>
  <si>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</si>
  <si>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</si>
  <si>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</si>
  <si>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</si>
  <si>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</si>
  <si>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</si>
  <si>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</si>
  <si>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</si>
  <si>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</si>
  <si>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</si>
  <si>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</si>
  <si>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</si>
  <si>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</si>
  <si>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</si>
  <si>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</si>
  <si>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</si>
  <si>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</si>
  <si>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</si>
  <si>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</si>
  <si>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</si>
  <si>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x</t>
  </si>
  <si>
    <t>B. PR &amp; LFA Review of Progress on Mitigating Actions</t>
  </si>
  <si>
    <t>Risk Details</t>
  </si>
  <si>
    <t>Timeline</t>
  </si>
  <si>
    <t>Mitigating Action</t>
  </si>
  <si>
    <t>PR Status</t>
  </si>
  <si>
    <t>LFA Status</t>
  </si>
  <si>
    <t>LFA Comments</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</si>
  <si>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</si>
  <si>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</si>
  <si>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</si>
  <si>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</si>
  <si>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</si>
  <si>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</si>
  <si>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</si>
  <si>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</si>
  <si>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</si>
  <si>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</si>
  <si>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</si>
  <si>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</si>
  <si>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</si>
  <si>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</si>
  <si>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</si>
  <si>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</si>
  <si>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</si>
  <si>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</si>
  <si>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</si>
  <si>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</si>
  <si>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</si>
  <si>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</si>
  <si>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</si>
  <si>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</si>
  <si>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</si>
  <si>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</si>
  <si>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</si>
  <si>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</si>
  <si>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</si>
  <si>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</si>
  <si>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</si>
  <si>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</si>
  <si>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</si>
  <si>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</si>
  <si>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</si>
  <si>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</si>
  <si>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</si>
  <si>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</si>
  <si>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</si>
  <si>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</si>
  <si>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</si>
  <si>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</si>
  <si>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</si>
  <si>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</si>
  <si>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</si>
  <si>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</si>
  <si>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</si>
  <si>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</si>
  <si>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</si>
  <si>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</si>
  <si>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</si>
  <si>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</si>
  <si>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</si>
  <si>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</si>
  <si>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</si>
  <si>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</si>
  <si>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</si>
  <si>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</si>
  <si>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</si>
  <si>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</si>
  <si>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</si>
  <si>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</si>
  <si>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</si>
  <si>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</si>
  <si>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</si>
  <si>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</si>
  <si>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</si>
  <si>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</si>
  <si>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</si>
  <si>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</si>
  <si>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</si>
  <si>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</si>
  <si>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</si>
  <si>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Due date
(dd-mmm-yy)</t>
  </si>
  <si>
    <t>Preparation on track</t>
  </si>
  <si>
    <t>Submitted to GF</t>
  </si>
  <si>
    <t>Grant Requirements</t>
  </si>
  <si>
    <t>Status (PR)</t>
  </si>
  <si>
    <t>Comments on Progress (PR)</t>
  </si>
  <si>
    <t>Status (LFA)</t>
  </si>
  <si>
    <t>Analysis (LFA)</t>
  </si>
  <si>
    <t>[Grant Requirements]</t>
  </si>
  <si>
    <t>a1D36000007VJUYEA4</t>
  </si>
  <si>
    <t>Unless otherwise notified by the Global Fund in writing, prior to the use of Grant Funds to finance the procurement of second-line anti-tuberculosis drugs and for each disbursement request that includes funds for the procurement of multi-drug resistant tuberculosis medicines, the Principal Recipient shall deliver to the Global Fund written confirmation of the price estimate and quantities of the second-line anti-tuberculosis drugs that will be procured by the Principal Recipient from the Global Drug Facility’s procurement agent, in form and substance satisfactory to the Global Fund.</t>
  </si>
  <si>
    <t>a1D36000007VJUxEAO</t>
  </si>
  <si>
    <t>The Principal Recipient shall cooperate with the regional Green Light Committee (“GLC”) in the GLC’s efforts to provide support to the Principal Recipient with respect to the monitoring and scaling-up of drug-resistant tuberculosis-related services provided in-country. Accordingly, the Principal Recipient shall budget, and hereby authorizes the Global Fund to disburse to GLC up to a maximum of US$ 25,000, or a lower amount as agreed between GLC and the Global Fund, each year to pay for GLC services.</t>
  </si>
  <si>
    <t>a1D36000007VJV7EAO</t>
  </si>
  <si>
    <t>(i)	The parties acknowledge that as of 1 January 2018, the situation in Burundi has been characterized by high safety and security threats and political instability (collectively, the “Force Majeure Conditions”).  Under the circumstances, the parties acknowledge and agree that: 
(a)	In consultation with the Global Fund, the Principal Recipient may suspend or terminate the activities under this Agreement at any time if the Force Majeure Conditions so require;
(b)	The budget and performance framework (including the frequency and contents of reporting) will be reviewed by the parties as needed, with a view to evaluating and accounting for any change in the Force Majeure Conditions in the country and its impact on the performance of the Grant, and, should the changes in the Force Majeure Conditions warrant a reprogramming of the Program, the Principal Recipient shall, at the request of the Global Fund, deliver to the Global Fund a revised budget and performance framework in form and substance satisfactory to the Global Fund; and
(c)	Notwithstanding Articles 8 and 10 of this Agreement, and except in the case of gross negligence or wilful misconduct of the Principal Recipient, the Principal Recipient shall not be liable for the loss or damage to any assets financed under this Agreement (including Health Products), as well as for the loss of any Grant Funds (the “Relevant Assets and Funds”) caused by the Force Majeure Conditions, provided that the Principal Recipient (i) has fully complied with the other terms and conditions of this Agreement and has exercised due care and diligence and (ii) has exercised all reasonable efforts to mitigate the risk of loss of the Relevant Assets and Funds. Nevertheless, the Principal Recipient shall use its best efforts to seek and obtain recovery of any potential losses to the Relevant Assets and Funds.
(ii)	The parties agree that the aforementioned provision shall automatically terminate after the earlier of (a) 31 December 2018 and (b) the determination by the parties that the Force Majeure Conditions no longer exist, unless the period ending on the date referred to in (a) is extended by written agreement of the parties. 
(iii)The parties also acknowledge that the agreement by the Global Fund to the aforementioned provision does not commit the Global Fund to limit the liability of the Principal Recipient (a) if a loss of any Relevant Assets and Funds is not caused by the Force Majeure Conditions or (b) under any programs implemented by the Principal Recipient in any other jurisdiction.</t>
  </si>
  <si>
    <t>Timeline for Action</t>
  </si>
  <si>
    <t>Risk Category (Name)</t>
  </si>
  <si>
    <t>Risk Name</t>
  </si>
  <si>
    <t>Root Cause Name</t>
  </si>
  <si>
    <t>[Timeline for Action]</t>
  </si>
  <si>
    <t>[Mitigating Action]</t>
  </si>
  <si>
    <t>[Risk Category (Name)]</t>
  </si>
  <si>
    <t>[Risk Name]</t>
  </si>
  <si>
    <t>[Root Cause Name]</t>
  </si>
  <si>
    <t>Record ID2</t>
  </si>
  <si>
    <t>Risk Category Name</t>
  </si>
  <si>
    <t>Root Cause</t>
  </si>
  <si>
    <t>comment</t>
  </si>
  <si>
    <t>Risk Detail</t>
  </si>
  <si>
    <t>[Risk Category Name]</t>
  </si>
  <si>
    <t>[Root Cause]</t>
  </si>
  <si>
    <t>[comment]</t>
  </si>
  <si>
    <t>Actor:</t>
  </si>
  <si>
    <t>PR</t>
  </si>
  <si>
    <t>SR</t>
  </si>
  <si>
    <t>--Select Risk Category--</t>
  </si>
  <si>
    <t>--Select Risk--</t>
  </si>
  <si>
    <t>Risk Tracker Name</t>
  </si>
  <si>
    <t>RT-0084</t>
  </si>
  <si>
    <t>Programmatic and M&amp;E</t>
  </si>
  <si>
    <t>a4z36000000scodAAA</t>
  </si>
  <si>
    <t>Financial &amp; Fiduciary</t>
  </si>
  <si>
    <t>a4z36000000scoeAAA</t>
  </si>
  <si>
    <t>Health Product Management &amp; Supply Chain</t>
  </si>
  <si>
    <t>a4z36000000scofAAA</t>
  </si>
  <si>
    <t>Governance, Oversight &amp; Management</t>
  </si>
  <si>
    <t>a4z36000000scogAAA</t>
  </si>
  <si>
    <t>Risk Details Name</t>
  </si>
  <si>
    <t>Risk Tracker (Name)</t>
  </si>
  <si>
    <t>[Risk Details Name]</t>
  </si>
  <si>
    <t>[Risk Tracker (Name)]</t>
  </si>
  <si>
    <t>Inadequate program design and relevance</t>
  </si>
  <si>
    <t>a5036000000kDH6AAM</t>
  </si>
  <si>
    <t>Inadequate design and operational capacity of M&amp;E systems</t>
  </si>
  <si>
    <t>a5036000000kDH7AAM</t>
  </si>
  <si>
    <t>Inadequate program quality and efficiency</t>
  </si>
  <si>
    <t>a5036000000kDH8AAM</t>
  </si>
  <si>
    <t>Limited data availability and inadequate data quality</t>
  </si>
  <si>
    <t>a5036000000kDH9AAM</t>
  </si>
  <si>
    <t>Limited use of data</t>
  </si>
  <si>
    <t>a5036000000kDHAAA2</t>
  </si>
  <si>
    <t>Inadequate promotion of human rights and gender equality</t>
  </si>
  <si>
    <t>a5036000000kDHBAA2</t>
  </si>
  <si>
    <t>Inadequate flow of funds arrangements</t>
  </si>
  <si>
    <t>a5036000000kDHCAA2</t>
  </si>
  <si>
    <t>Inadequate internal controls</t>
  </si>
  <si>
    <t>a5036000000kDHDAA2</t>
  </si>
  <si>
    <t>Financial fraud, corruption and theft</t>
  </si>
  <si>
    <t>a5036000000kDHEAA2</t>
  </si>
  <si>
    <t>Inadequate accounting and financial reporting</t>
  </si>
  <si>
    <t>a5036000000kDHFAA2</t>
  </si>
  <si>
    <t>Limited value for money</t>
  </si>
  <si>
    <t>a5036000000kDHGAA2</t>
  </si>
  <si>
    <t>Inadequate auditing arrangements</t>
  </si>
  <si>
    <t>a5036000000kDHHAA2</t>
  </si>
  <si>
    <t>Inappropriate selection of health product and equipment</t>
  </si>
  <si>
    <t>a5036000000kDHIAA2</t>
  </si>
  <si>
    <t>Unreliable forecasting, quantification and supply planning</t>
  </si>
  <si>
    <t>a5036000000kDHJAA2</t>
  </si>
  <si>
    <t>Inefficient procurement processes and outcomes</t>
  </si>
  <si>
    <t>a5036000000kDHKAA2</t>
  </si>
  <si>
    <t>Inadequate warehouse and distribution systems</t>
  </si>
  <si>
    <t>a5036000000kDHLAA2</t>
  </si>
  <si>
    <t>Limited quality monitoring and inadequate product use</t>
  </si>
  <si>
    <t>a5036000000kDHMAA2</t>
  </si>
  <si>
    <t>Inadequate information (LMIS) management systems</t>
  </si>
  <si>
    <t>a5036000000kDHNAA2</t>
  </si>
  <si>
    <t>Inadequate national program governance</t>
  </si>
  <si>
    <t>a5036000000kDHOAA2</t>
  </si>
  <si>
    <t>Ineffective program management</t>
  </si>
  <si>
    <t>a5036000000kDHPAA2</t>
  </si>
  <si>
    <t>Inadequate program coordination and SR oversight</t>
  </si>
  <si>
    <t>a5036000000kDHQAA2</t>
  </si>
  <si>
    <t>IsActive</t>
  </si>
  <si>
    <t>Risk</t>
  </si>
  <si>
    <t>Risk (Name)</t>
  </si>
  <si>
    <t>RT Risk Name</t>
  </si>
  <si>
    <t>[IsActive]</t>
  </si>
  <si>
    <t>[Risk]</t>
  </si>
  <si>
    <t>[Risk (Name)]</t>
  </si>
  <si>
    <t>[RT Risk Name]</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</si>
  <si>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</si>
  <si>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</si>
  <si>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</si>
  <si>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</si>
  <si>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</si>
  <si>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</si>
  <si>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</si>
  <si>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</si>
  <si>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</si>
  <si>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</si>
  <si>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</si>
  <si>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</si>
  <si>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Dear Risk. I have not been able to find a root cause that reflects lack of controls regarding stock counts/reconciliations of inventory differences. Please let me know if I have missed it.</t>
  </si>
  <si>
    <t>RC-0414</t>
  </si>
  <si>
    <t>a5536000000kABeAAM</t>
  </si>
  <si>
    <t>a5436000000k9guAAA</t>
  </si>
  <si>
    <t>The roles and responsibilities of the audit committee/equivalent body in terms of oversight of fraud risks is not clearly defined</t>
  </si>
  <si>
    <t>RC-0150</t>
  </si>
  <si>
    <t>a5536000000k9fPAAQ</t>
  </si>
  <si>
    <t>Those charged with governance do not have the independence, experience, and organizational stature to allow them to effectively govern the entity, particularly the responsibility for managing financial fraud risk.</t>
  </si>
  <si>
    <t>RC-0151</t>
  </si>
  <si>
    <t>a5536000000k9fQAAQ</t>
  </si>
  <si>
    <t>The PR's fraud risk management policy is not sufficiently comprehensive to address all the elements of a well designed fraud management policy,</t>
  </si>
  <si>
    <t>RC-0156</t>
  </si>
  <si>
    <t>a5536000000k9fVAAQ</t>
  </si>
  <si>
    <t>The PR's anti-fraud policy is not well defined to adequately prevent, detect and respond to fraud, including policies around asset misappropriation and fraudulent financial statements.</t>
  </si>
  <si>
    <t>RC-0157</t>
  </si>
  <si>
    <t>a5536000000k9fWAAQ</t>
  </si>
  <si>
    <t>Employees are not fully aware of what constitutes fraud due to poorly articulated statement of ethical values that is not understood at all levels of the organization.</t>
  </si>
  <si>
    <t>RC-0158</t>
  </si>
  <si>
    <t>a5536000000k9fXAAQ</t>
  </si>
  <si>
    <t>There are either no or inadequate forums, trainings and learning activities on fraud and ethical values,</t>
  </si>
  <si>
    <t>RC-0159</t>
  </si>
  <si>
    <t>a5536000000k9fYAAQ</t>
  </si>
  <si>
    <t>The responsibility and accountability for fraud policies and procedures does not  reside with the PR management or function (Internal Audit, Audit Committee) in which the risk resides.</t>
  </si>
  <si>
    <t>RC-0160</t>
  </si>
  <si>
    <t>a5536000000k9fZAAQ</t>
  </si>
  <si>
    <t>The PR does not  maintains an incident investigation and remediation system that includes a tracking mechanism to allow management to report on material fraud events.</t>
  </si>
  <si>
    <t>RC-0161</t>
  </si>
  <si>
    <t>a5536000000k9faAAA</t>
  </si>
  <si>
    <t>The PR's management does conducts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</si>
  <si>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</si>
  <si>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</si>
  <si>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to develop and implement adequate procedures and controls to identify fraud / corruption / theft triggers, including insufficient oversight over financial staff by PR or SR management</t>
  </si>
  <si>
    <t>RC-0163</t>
  </si>
  <si>
    <t>a5536000000k9fcAAA</t>
  </si>
  <si>
    <t>The PR procedures for monitoring controls and programmes at SR and other partner levels designed to prevent, deter or detect fraud are not adequate</t>
  </si>
  <si>
    <t>RC-0164</t>
  </si>
  <si>
    <t>a5536000000k9fdAAA</t>
  </si>
  <si>
    <t>The PR does not have an audit committee/equivalent body  or the audit committee or equivalent body does not have the required competence for effective oversight of fraud risks</t>
  </si>
  <si>
    <t>RC-0380</t>
  </si>
  <si>
    <t>a5536000000kA7JAAU</t>
  </si>
  <si>
    <t>Absence or Inadequate policy and procedures or staff on fraud risk management which does not specify a requirement for assessment of fraud risk</t>
  </si>
  <si>
    <t>RC-0381</t>
  </si>
  <si>
    <t>a5536000000kA7KAAU</t>
  </si>
  <si>
    <t>a5436000000k9gvAAA</t>
  </si>
  <si>
    <t>Accounting and financial reporting</t>
  </si>
  <si>
    <t>Inadequate monitoring of the key controls relating to financial management reporting</t>
  </si>
  <si>
    <t>RC-0203</t>
  </si>
  <si>
    <t>a5536000000k9gGAAQ</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</si>
  <si>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</si>
  <si>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</si>
  <si>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</si>
  <si>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</si>
  <si>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</si>
  <si>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</si>
  <si>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</si>
  <si>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</si>
  <si>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</si>
  <si>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Inadequate monitoring of the key controls relating to the variance analysis process</t>
  </si>
  <si>
    <t>RC-0213</t>
  </si>
  <si>
    <t>a5536000000k9gQAAQ</t>
  </si>
  <si>
    <t>The SR and PR reporting systems are not compatible resulting in challenges in consolidation of financial reports</t>
  </si>
  <si>
    <t>RC-0219</t>
  </si>
  <si>
    <t>a5536000000k9gWAAQ</t>
  </si>
  <si>
    <t>Inadequate monitoring of the key controls relating to SR reporting</t>
  </si>
  <si>
    <t>RC-0220</t>
  </si>
  <si>
    <t>a5536000000k9gXAAQ</t>
  </si>
  <si>
    <t>The accounting system is not robust enough. This includes the following:
-The accounting software does not have all the required functionalities
-The accounting software does not have the required flexibilities</t>
  </si>
  <si>
    <t>RC-0165</t>
  </si>
  <si>
    <t>a5536000000k9feAAA</t>
  </si>
  <si>
    <t>Inadequate monitoring of the back up process</t>
  </si>
  <si>
    <t>RC-0171</t>
  </si>
  <si>
    <t>a5536000000k9fkAAA</t>
  </si>
  <si>
    <t>Inadequate monitoring of the key controls relating to the preparation, approval and posting of transactions.</t>
  </si>
  <si>
    <t>RC-0176</t>
  </si>
  <si>
    <t>a5536000000k9fpAAA</t>
  </si>
  <si>
    <t>Absence of or inadequate written policies and procedures or staff not systematically orientated or trained on the procedures relating to preparation and changes to the CoA.</t>
  </si>
  <si>
    <t>RC-0178</t>
  </si>
  <si>
    <t>a5536000000k9frAAA</t>
  </si>
  <si>
    <t>Inadequate monitoring of the key controls relating to the preparation and changes to the CoA</t>
  </si>
  <si>
    <t>RC-0181</t>
  </si>
  <si>
    <t>a5536000000k9fuAAA</t>
  </si>
  <si>
    <t>Poor monitoring of the key controls relating to the accounting and reported related administrative activities</t>
  </si>
  <si>
    <t>RC-0189</t>
  </si>
  <si>
    <t>a5536000000k9g2AAA</t>
  </si>
  <si>
    <t>Poor monitoring of the key controls relating to the reconciliation of the general ledger to the subsidiary ledgers</t>
  </si>
  <si>
    <t>RC-0193</t>
  </si>
  <si>
    <t>a5536000000k9g6AAA</t>
  </si>
  <si>
    <t>Inadequate monitoring of the key controls relating to the retention of accounting records</t>
  </si>
  <si>
    <t>RC-0198</t>
  </si>
  <si>
    <t>a5536000000k9gBAAQ</t>
  </si>
  <si>
    <t>Staff using the accounting software do not have access to the procedures manual of the software or not systematically orientated or trained  on the computerized accounting system</t>
  </si>
  <si>
    <t>RC-0382</t>
  </si>
  <si>
    <t>a5536000000kA7LAAU</t>
  </si>
  <si>
    <t>Absence of or inadequate written policies and procedures or staff not  systematically orientated or trained  on the the backup process</t>
  </si>
  <si>
    <t>RC-0383</t>
  </si>
  <si>
    <t>a5536000000kA7MAAU</t>
  </si>
  <si>
    <t>Absence of or inadequate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</si>
  <si>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</si>
  <si>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</si>
  <si>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</si>
  <si>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</si>
  <si>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</si>
  <si>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inadequate written policies and procedures or staff not systematically orientated or trainedr with the policies and procedures relating to accounting and reporting related administrative activities.</t>
  </si>
  <si>
    <t>RC-0387</t>
  </si>
  <si>
    <t>a5536000000kA7QAAU</t>
  </si>
  <si>
    <t>Absence of or inadequate process or staff not systematically orientated or trained with the process relating to  the reconciliation of the general ledger to the subsidiary ledgers</t>
  </si>
  <si>
    <t>RC-0388</t>
  </si>
  <si>
    <t>a5536000000kA7RAAU</t>
  </si>
  <si>
    <t>Absence of or inadequate written policies and procedures or staff not systematically orientated or trained on the procedures relating to retention of accounting records</t>
  </si>
  <si>
    <t>RC-0389</t>
  </si>
  <si>
    <t>a5536000000kA7SAAU</t>
  </si>
  <si>
    <t>Absence of or inadequate written policies and procedures or staff not systematically orientated or trained  relating to financial management reporting</t>
  </si>
  <si>
    <t>RC-0390</t>
  </si>
  <si>
    <t>a5536000000kA7TAAU</t>
  </si>
  <si>
    <t>The computerized accounting system does not have the required capabilities for appropriate reporting  or staff not systematically orientated or trained  on the reporting module of the accounting software.</t>
  </si>
  <si>
    <t>RC-0391</t>
  </si>
  <si>
    <t>a5536000000kA7UAAU</t>
  </si>
  <si>
    <t>Absence of or inadequate process or staff not systematically orientated or trained  on the procedures in place  for doing proper variance analysis including taking corrective action.</t>
  </si>
  <si>
    <t>RC-0392</t>
  </si>
  <si>
    <t>a5536000000kA7VAAU</t>
  </si>
  <si>
    <t>Absence of or inadequate process or management not systematically orientated or trained  on the procedures in place  for analysing budget spending rates to make decisions about modifying activity plans</t>
  </si>
  <si>
    <t>RC-0393</t>
  </si>
  <si>
    <t>a5536000000kA7WAAU</t>
  </si>
  <si>
    <t>Absence of or inadequate process or staff not systematically orientated or trained  on the procedures in place  to ensure that the financial management system between the PR and sub recipients are sufficient to ensure timely availability and integrity of consolidated financial data.</t>
  </si>
  <si>
    <t>RC-0394</t>
  </si>
  <si>
    <t>a5536000000kA7XAAU</t>
  </si>
  <si>
    <t>a5436000000k9gxAAA</t>
  </si>
  <si>
    <t>Auditing arrangements</t>
  </si>
  <si>
    <t>Mandate of the IA does not cover GF grant</t>
  </si>
  <si>
    <t>RC-0255</t>
  </si>
  <si>
    <t>a5536000000k9h6AAA</t>
  </si>
  <si>
    <t>Lack of clearly defined authority of IA in a charter or law</t>
  </si>
  <si>
    <t>RC-0260</t>
  </si>
  <si>
    <t>a5536000000k9hBAAQ</t>
  </si>
  <si>
    <t>Appropriate tools and procedures are not available or adequate to cover the required audit scope</t>
  </si>
  <si>
    <t>RC-0268</t>
  </si>
  <si>
    <t>a5536000000k9hJAAQ</t>
  </si>
  <si>
    <t>Inadequate monitoring of the key controls related to the selection process for audit services</t>
  </si>
  <si>
    <t>RC-0275</t>
  </si>
  <si>
    <t>a5536000000k9hQAAQ</t>
  </si>
  <si>
    <t>The PR staff do not have the right competencies to prepare the financial statements</t>
  </si>
  <si>
    <t>RC-0281</t>
  </si>
  <si>
    <t>a5536000000k9hWAAQ</t>
  </si>
  <si>
    <t>The accounting system does not have the required functionality to prepare financial statements</t>
  </si>
  <si>
    <t>RC-0282</t>
  </si>
  <si>
    <t>a5536000000k9hXAAQ</t>
  </si>
  <si>
    <t>Lack of an internal audit unit due to:
-No budget for an internal audit function
-It is not part of the entity structure
-Management does not place importance on internal audit</t>
  </si>
  <si>
    <t>RC-0403</t>
  </si>
  <si>
    <t>a5536000000kA7gAAE</t>
  </si>
  <si>
    <t>Lack of independence of the IA unit
-budget influenced by management
-IA staff are appointed and can be terminated by management
-IA staff are involved in operational activities</t>
  </si>
  <si>
    <t>RC-0404</t>
  </si>
  <si>
    <t>a5536000000kA7hAAE</t>
  </si>
  <si>
    <t>IA unit is not adequately resourced. This includes:
-Limited skills in the IA team
-Inadequate qualification of the key staff
-Lack of continuous professional training
-Limited number of staff</t>
  </si>
  <si>
    <t>RC-0405</t>
  </si>
  <si>
    <t>a5536000000kA7iAAE</t>
  </si>
  <si>
    <t>Absence of or inadequate procedures manual  or staff not systematically orientated or trained on the procedures relating to the conduct of internal audits</t>
  </si>
  <si>
    <t>RC-0406</t>
  </si>
  <si>
    <t>a5536000000kA7jAAE</t>
  </si>
  <si>
    <t>The staff of the IA do not have the required competencies to cover the various types of audits /specific subject audits and or audit methodologies
- Inadequate qualification
-Inadequate relevant experience
-Inadequate training especially on new audit techniques</t>
  </si>
  <si>
    <t>RC-0407</t>
  </si>
  <si>
    <t>a5536000000kA7kAAE</t>
  </si>
  <si>
    <t>Absence of or inadequate process  or staff not systematically orientated or trained on the process relating to the follow up of internal audit issues</t>
  </si>
  <si>
    <t>RC-0408</t>
  </si>
  <si>
    <t>a5536000000kA7lAAE</t>
  </si>
  <si>
    <t>Absence of or inadequate procedures or staff not systematically orientated or trained on the selection process for audit services</t>
  </si>
  <si>
    <t>RC-0409</t>
  </si>
  <si>
    <t>a5536000000kA7mAAE</t>
  </si>
  <si>
    <t>Inadequate quality review process of the auditor leading to poor reports  including:
- Errors in the reports
- Inadequate opinion on the financial statements
- Non-compliance with the audit terms of reference</t>
  </si>
  <si>
    <t>RC-0410</t>
  </si>
  <si>
    <t>a5536000000kA7nAAE</t>
  </si>
  <si>
    <t>Inadequate oversight over the external audit process. This includes: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</si>
  <si>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</si>
  <si>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</si>
  <si>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Absence of or inadequate process or staff not systematically orientated or trained on the process relating to the follow up of external audit issues</t>
  </si>
  <si>
    <t>RC-0412</t>
  </si>
  <si>
    <t>a5536000000kA7pAAE</t>
  </si>
  <si>
    <t>a5436000000k9gnAAA</t>
  </si>
  <si>
    <t>Design and operational capacity of M&amp;E systems</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</si>
  <si>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</si>
  <si>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</si>
  <si>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</si>
  <si>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</si>
  <si>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</si>
  <si>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</si>
  <si>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</si>
  <si>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</si>
  <si>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</si>
  <si>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</si>
  <si>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</si>
  <si>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</si>
  <si>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</si>
  <si>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</si>
  <si>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</si>
  <si>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</si>
  <si>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</si>
  <si>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</si>
  <si>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</si>
  <si>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</si>
  <si>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</si>
  <si>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</si>
  <si>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</si>
  <si>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</si>
  <si>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</si>
  <si>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</si>
  <si>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</si>
  <si>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</si>
  <si>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</si>
  <si>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</si>
  <si>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</si>
  <si>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</si>
  <si>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</si>
  <si>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</si>
  <si>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</si>
  <si>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</si>
  <si>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</si>
  <si>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</si>
  <si>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</si>
  <si>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</si>
  <si>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</si>
  <si>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</si>
  <si>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</si>
  <si>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</si>
  <si>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</si>
  <si>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</si>
  <si>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</si>
  <si>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</si>
  <si>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a5436000000k9gsAAA</t>
  </si>
  <si>
    <t>Flow of funds arrangements</t>
  </si>
  <si>
    <t>Hyperinflation in the country/availibilty of foreign currency to make payment to suppliers</t>
  </si>
  <si>
    <t>RC-0062</t>
  </si>
  <si>
    <t>a5536000000k9dzAAA</t>
  </si>
  <si>
    <t>Low geographical coverage of banks and/or money transfer mechanisms in the country</t>
  </si>
  <si>
    <t>RC-0064</t>
  </si>
  <si>
    <t>a5536000000k9e1AAA</t>
  </si>
  <si>
    <t>Alternative fund transfer mechanism (mobile money, payment agent, etc.) are unknown or inefficient</t>
  </si>
  <si>
    <t>RC-0065</t>
  </si>
  <si>
    <t>a5536000000k9e2AAA</t>
  </si>
  <si>
    <t>Absence of or inadequate reporting and monitoring mechanisms in place to track the use of funds disbursed to SRs and other implementing partners</t>
  </si>
  <si>
    <t>RC-0066</t>
  </si>
  <si>
    <t>a5536000000k9e3AAA</t>
  </si>
  <si>
    <t>Inadequate procedures at decentralized levels (Regions or below) leading to delays in justification of previous fund advances</t>
  </si>
  <si>
    <t>RC-0067</t>
  </si>
  <si>
    <t>a5536000000k9e4AAA</t>
  </si>
  <si>
    <t>The proposed entities for implementing Global Fund grants have limited experience in handling significant volumes of donor funding</t>
  </si>
  <si>
    <t>RC-0068</t>
  </si>
  <si>
    <t>a5536000000k9e5AAA</t>
  </si>
  <si>
    <t>Poor monitoring of the key controls in the due diligence process</t>
  </si>
  <si>
    <t>RC-0071</t>
  </si>
  <si>
    <t>a5536000000k9e8AAA</t>
  </si>
  <si>
    <t>Poor monitoring of the key controls in the bank selection process</t>
  </si>
  <si>
    <t>RC-0075</t>
  </si>
  <si>
    <t>a5536000000k9eCAAQ</t>
  </si>
  <si>
    <t>Poor monitoring of the key controls in the payment mechanism selection process</t>
  </si>
  <si>
    <t>RC-0079</t>
  </si>
  <si>
    <t>a5536000000k9eGAAQ</t>
  </si>
  <si>
    <t>Poor monitoring of the key controls in the foreign exchange risk management process</t>
  </si>
  <si>
    <t>RC-0084</t>
  </si>
  <si>
    <t>a5536000000k9eLAAQ</t>
  </si>
  <si>
    <t>Absence of or Inadequate policy and procedures for the receipt, accounting and/or administration of funds by the PR or any of the other entities</t>
  </si>
  <si>
    <t>RC-0086</t>
  </si>
  <si>
    <t>a5536000000k9eNAAQ</t>
  </si>
  <si>
    <t>Poor monitoring of the key controls in the receipt, accounting and/or administration of funds by the PR or any of the other entities</t>
  </si>
  <si>
    <t>RC-0089</t>
  </si>
  <si>
    <t>a5536000000k9eQAAQ</t>
  </si>
  <si>
    <t>The implementation arrangement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</si>
  <si>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</si>
  <si>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</si>
  <si>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</si>
  <si>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</si>
  <si>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</si>
  <si>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Absence of or Inadequate procedures,  or staff not systematically orientated/trained on the procedures for selection of banks in which Global Fund funds are lodged.</t>
  </si>
  <si>
    <t>RC-0368</t>
  </si>
  <si>
    <t>a5536000000kA77AAE</t>
  </si>
  <si>
    <t>Absence of or Inadequate procedures or staff not systematically orientated/trained on the selection of alternative payment mechanisms in which Global Fund funds are lodged.</t>
  </si>
  <si>
    <t>RC-0369</t>
  </si>
  <si>
    <t>a5536000000kA78AAE</t>
  </si>
  <si>
    <t>Absence of or Inadequate procedures or staff not systematically orientated/trained on the procedures relating to management of foreign exchange risks</t>
  </si>
  <si>
    <t>RC-0370</t>
  </si>
  <si>
    <t>a5536000000kA79AAE</t>
  </si>
  <si>
    <t>Absence of or inadequate procedures or staff in place for management to identify cash flow bottlenecks and solve them</t>
  </si>
  <si>
    <t>RC-0371</t>
  </si>
  <si>
    <t>a5536000000kA7AAAU</t>
  </si>
  <si>
    <t>The banking arrangements are inadequate (mandatory use of complex treasury systems, comingled accounts, funds transfers in cash)</t>
  </si>
  <si>
    <t>RC-0413</t>
  </si>
  <si>
    <t>a5536000000kA7qAAE</t>
  </si>
  <si>
    <t>a5436000000k9h3AAA</t>
  </si>
  <si>
    <t>Information (LMIS) management systems</t>
  </si>
  <si>
    <t>Logistics management information system (LMIS) does not effectively capture essential logistics data or does not effectively transmit data to appropriate supply chain management personnel; or no system  is in place</t>
  </si>
  <si>
    <t>RC-0319</t>
  </si>
  <si>
    <t>a5536000000k9i8AAA</t>
  </si>
  <si>
    <t>Supply chain data governance oversight and controls are weak; data storage infrastructure is inadequate; analysis/access is not structured; and/or there is no coordinating body to address cross-cutting LMIS and data information issues</t>
  </si>
  <si>
    <t>RC-0320</t>
  </si>
  <si>
    <t>a5536000000k9i9AAA</t>
  </si>
  <si>
    <t>Reporting and recording systems (including LMIS,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</si>
  <si>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</si>
  <si>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</si>
  <si>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tools are not fit for purpose; data collection systems/processes are costly or laborious; reporting rates are low; records management practices are poor;</t>
  </si>
  <si>
    <t>RC-0322</t>
  </si>
  <si>
    <t>a5536000000k9iBAAQ</t>
  </si>
  <si>
    <t>Gaps in data transmission between national and peripheral levels: quarterly and/or annual status reports are not regularly sent to the national level; feedback reports from national level are not regularly sent to lower level warehouses/facilities</t>
  </si>
  <si>
    <t>RC-0323</t>
  </si>
  <si>
    <t>a5536000000k9iCAAQ</t>
  </si>
  <si>
    <t>No defined supply chain performance monitoring framework or key performance indicators to use in analysing supply chain data and informing continuous improvement, tracking progress and effectiveness of supply chain interventions or supporting supply chain policy/operational decisions</t>
  </si>
  <si>
    <t>RC-0324</t>
  </si>
  <si>
    <t>a5536000000k9iDAAQ</t>
  </si>
  <si>
    <t>a5436000000k9gtAAA</t>
  </si>
  <si>
    <t>Internal controls</t>
  </si>
  <si>
    <t>Absence of or inadequate written financial  policies and procedures manual describing the process flow and the embedded controls</t>
  </si>
  <si>
    <t>RC-0092</t>
  </si>
  <si>
    <t>a5536000000k9eTAAQ</t>
  </si>
  <si>
    <t>Poor monitoring of key controls relating to altering or establishing a new accounting principle, policy or procedure</t>
  </si>
  <si>
    <t>RC-0096</t>
  </si>
  <si>
    <t>a5536000000k9eXAAQ</t>
  </si>
  <si>
    <t>Poor monitoring of key controls relating to approval system for procurement  of non health products and services</t>
  </si>
  <si>
    <t>RC-0102</t>
  </si>
  <si>
    <t>a5536000000k9edAAA</t>
  </si>
  <si>
    <t>Poor monitoring of key controls relating to cash and bank management.</t>
  </si>
  <si>
    <t>RC-0108</t>
  </si>
  <si>
    <t>a5536000000k9ejAAA</t>
  </si>
  <si>
    <t>Poor monitoring of key controls relating to petty cash management.</t>
  </si>
  <si>
    <t>RC-0114</t>
  </si>
  <si>
    <t>a5536000000k9epAAA</t>
  </si>
  <si>
    <t>Poor monitoring of key controls relating to payment and invoicing</t>
  </si>
  <si>
    <t>RC-0120</t>
  </si>
  <si>
    <t>a5536000000k9evAAA</t>
  </si>
  <si>
    <t>Poor monitoring of key controls relating to payroll management</t>
  </si>
  <si>
    <t>RC-0126</t>
  </si>
  <si>
    <t>a5536000000k9f1AAA</t>
  </si>
  <si>
    <t>Poor monitoring of key controls relating to fixed asset management</t>
  </si>
  <si>
    <t>RC-0132</t>
  </si>
  <si>
    <t>a5536000000k9f7AAA</t>
  </si>
  <si>
    <t>Absence of or inadequate process in place for management to communicate financial reports provided by the various assurance providers to the board of directors or equivalent body.</t>
  </si>
  <si>
    <t>RC-0134</t>
  </si>
  <si>
    <t>a5536000000k9f9AAA</t>
  </si>
  <si>
    <t>Roles and responsibilities relating to the communication of financial reports provided by the various assurance providers to the board of directors or equivalent body are not clearly defined.</t>
  </si>
  <si>
    <t>RC-0135</t>
  </si>
  <si>
    <t>a5536000000k9fAAAQ</t>
  </si>
  <si>
    <t>Absence of or inadeqaute process in place for management to ensure that the board of directors, audit, finance or other committees, periodically reviews the financial policies and procedures.</t>
  </si>
  <si>
    <t>RC-0136</t>
  </si>
  <si>
    <t>a5536000000k9fBAAQ</t>
  </si>
  <si>
    <t>Roles and responsibilities relating to ensuring that the financial policies and procedures are reviewed of by the board of directors, audit, finance or other committees are not clearly defined.</t>
  </si>
  <si>
    <t>RC-0137</t>
  </si>
  <si>
    <t>a5536000000k9fCAAQ</t>
  </si>
  <si>
    <t>Absence of or inadequate process in place for management to ensure that the financial management system operates as intended and provide reliable data.</t>
  </si>
  <si>
    <t>RC-0138</t>
  </si>
  <si>
    <t>a5536000000k9fDAAQ</t>
  </si>
  <si>
    <t>Roles and responsibilities relating to the supervision of the financial management system by management to ensure that it operates as intended and provides reliable data are not clearly defined.</t>
  </si>
  <si>
    <t>RC-0139</t>
  </si>
  <si>
    <t>a5536000000k9fEAAQ</t>
  </si>
  <si>
    <t>The staffing of the monitoring unit established by the organisation is not competent or adequately trained and orientated on how to do things</t>
  </si>
  <si>
    <t>RC-0141</t>
  </si>
  <si>
    <t>a5536000000k9fGAAQ</t>
  </si>
  <si>
    <t>Senior management and the board do not  take actions on internal control deficiencies reported to them</t>
  </si>
  <si>
    <t>RC-0144</t>
  </si>
  <si>
    <t>a5536000000k9fJAAQ</t>
  </si>
  <si>
    <t>Absence of or inadequate written policies and procedures on monitoring including SRs/SSRs oversight</t>
  </si>
  <si>
    <t>RC-0145</t>
  </si>
  <si>
    <t>a5536000000k9fKAAQ</t>
  </si>
  <si>
    <t>Absence of or inadequate procedures  or staff not systematically orientated/trained on the procedures  regarding  the altering or establishing a new accounting principle, policy or procedure</t>
  </si>
  <si>
    <t>RC-0372</t>
  </si>
  <si>
    <t>a5536000000kA7BAAU</t>
  </si>
  <si>
    <t>Absence of or inadequate  procedures  or staff not systematically orientated/trained on the procedures regarding the approval system for procurement  of non health products and services</t>
  </si>
  <si>
    <t>RC-0373</t>
  </si>
  <si>
    <t>a5536000000kA7CAAU</t>
  </si>
  <si>
    <t>Absence of or inadequate policies and procedures  or staff not systematically orientated/trained on the procedures regarding cash and bank management</t>
  </si>
  <si>
    <t>RC-0374</t>
  </si>
  <si>
    <t>a5536000000kA7DAAU</t>
  </si>
  <si>
    <t>Absence of or inadequate  policies and procedures  or staff not systematically orientated/trained on the procedures regarding petty cash management</t>
  </si>
  <si>
    <t>RC-0375</t>
  </si>
  <si>
    <t>a5536000000kA7EAAU</t>
  </si>
  <si>
    <t>Absence of or inadequate written policies and procedures  or staff not systematically orientated/trained on the procedures regarding payment and invoicing</t>
  </si>
  <si>
    <t>RC-0376</t>
  </si>
  <si>
    <t>a5536000000kA7FAAU</t>
  </si>
  <si>
    <t>Absence of or inadequate written policies and procedures  or staff not systematically orientated/trained on the procedures relating to payroll management</t>
  </si>
  <si>
    <t>RC-0377</t>
  </si>
  <si>
    <t>a5536000000kA7GAAU</t>
  </si>
  <si>
    <t>Absence of or inadequate written policies and procedures  or staff not systematically orientated/trained on the procedures relating to fixed asset management</t>
  </si>
  <si>
    <t>RC-0378</t>
  </si>
  <si>
    <t>a5536000000kA7HAAU</t>
  </si>
  <si>
    <t>Internal control deficiencies are not communicated to senior management to take action and enforce them or communicated with significant delays to those parties responsible to take actions</t>
  </si>
  <si>
    <t>RC-0379</t>
  </si>
  <si>
    <t>a5536000000kA7IAAU</t>
  </si>
  <si>
    <t>a5436000000k9h4AAA</t>
  </si>
  <si>
    <t>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</si>
  <si>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</si>
  <si>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</si>
  <si>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</si>
  <si>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</si>
  <si>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</si>
  <si>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</si>
  <si>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</si>
  <si>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</si>
  <si>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</si>
  <si>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</si>
  <si>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</si>
  <si>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</si>
  <si>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</si>
  <si>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</si>
  <si>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</si>
  <si>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</si>
  <si>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</si>
  <si>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</si>
  <si>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</si>
  <si>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</si>
  <si>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</si>
  <si>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</si>
  <si>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</si>
  <si>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</si>
  <si>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</si>
  <si>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</si>
  <si>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</si>
  <si>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</si>
  <si>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</si>
  <si>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</si>
  <si>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</si>
  <si>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</si>
  <si>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</si>
  <si>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</si>
  <si>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</si>
  <si>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</si>
  <si>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</si>
  <si>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</si>
  <si>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</si>
  <si>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</si>
  <si>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</si>
  <si>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</si>
  <si>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</si>
  <si>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</si>
  <si>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</si>
  <si>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</si>
  <si>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</si>
  <si>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</si>
  <si>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</si>
  <si>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</si>
  <si>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</si>
  <si>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</si>
  <si>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</si>
  <si>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a5436000000k9gmAAA</t>
  </si>
  <si>
    <t>Program design and relevance</t>
  </si>
  <si>
    <t>There is no National Strategic Plan available for the disease and for the health sector, or the disease specific National Strategic Plan is not aligned to the National Health Sector Strategy (i.e.  the NSP period does not coincide with the grant implementation period, and/or the program does not have an operational plan, which is costed and prioritized and linked to NSP).</t>
  </si>
  <si>
    <t>RC-0000</t>
  </si>
  <si>
    <t>a5536000000k9czAAA</t>
  </si>
  <si>
    <t>No assessment/review of the current NSP has been conducted or is planned in the near future.</t>
  </si>
  <si>
    <t>RC-0001</t>
  </si>
  <si>
    <t>a5536000000k9d0AAA</t>
  </si>
  <si>
    <t>The selected interventions and targets are not based on program context and implementation realities and do not address NSP priorities</t>
  </si>
  <si>
    <t>RC-0002</t>
  </si>
  <si>
    <t>a5536000000k9d1AAA</t>
  </si>
  <si>
    <t>There is insufficient capacity and expertise to formulate and design a program, which is relevant to the country’s epidemiological context and priorities.</t>
  </si>
  <si>
    <t>RC-0003</t>
  </si>
  <si>
    <t>a5536000000k9d2AAA</t>
  </si>
  <si>
    <t>There is no economic analysis of the cost of service delivery to ensure the best value for money in achieving impact.</t>
  </si>
  <si>
    <t>RC-0004</t>
  </si>
  <si>
    <t>a5536000000k9d3AAA</t>
  </si>
  <si>
    <t>Key interventions are not sufficiently focused on populations most in need of services, or well-linked to The achievement of program outcomes and impact indicators /interventions to reduce human rights or gender related barriers in access to services.</t>
  </si>
  <si>
    <t>RC-0005</t>
  </si>
  <si>
    <t>a5536000000k9d4AAA</t>
  </si>
  <si>
    <t>The scope and scale of interventions are not sufficient to achieve desired programmatic coverage, outcome and impact.</t>
  </si>
  <si>
    <t>RC-0006</t>
  </si>
  <si>
    <t>a5536000000k9d5AAA</t>
  </si>
  <si>
    <t>a5436000000k9goAAA</t>
  </si>
  <si>
    <t>Program quality and efficiency</t>
  </si>
  <si>
    <t>Guidelines and tools to review quality of services provided are not available and/or the program is not routinely quality reviewed at national and sub-national level.</t>
  </si>
  <si>
    <t>RC-0023</t>
  </si>
  <si>
    <t>a5536000000k9dMAAQ</t>
  </si>
  <si>
    <t>The program does not adhere to approved national or WHO guidelines when selecting medicine formulations, diagnostic tools including laboratory commodities and equipment, or other health products for procurement.</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</si>
  <si>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</si>
  <si>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</si>
  <si>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</si>
  <si>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</si>
  <si>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</si>
  <si>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Mechanisms (e.g., a referral system) to link patients with services essential to comprehensive management of the disease, and/or the monitoring systems for integrated services (diagnostic, treatment and monitoring) are not adequate.</t>
  </si>
  <si>
    <t>RC-0026</t>
  </si>
  <si>
    <t>a5536000000k9dPAAQ</t>
  </si>
  <si>
    <t>Up-to-date guidelines and protocols including laboratory testing protocols are not available at the facility level.</t>
  </si>
  <si>
    <t>RC-0027</t>
  </si>
  <si>
    <t>a5536000000k9dQAAQ</t>
  </si>
  <si>
    <t>Primary health services providers are not regulated (e.g., private providers).</t>
  </si>
  <si>
    <t>RC-0028</t>
  </si>
  <si>
    <t>a5536000000k9dRAAQ</t>
  </si>
  <si>
    <t>The program does not have a strategy/activities to integrate some of the interventions/activities with other programs (eg TB and HIV).</t>
  </si>
  <si>
    <t>RC-0029</t>
  </si>
  <si>
    <t>a5536000000k9dSAAQ</t>
  </si>
  <si>
    <t>There is no defined package of services to be delivered at community level and/or no agreed upon list of indicators for collecting data for community level service delivery.</t>
  </si>
  <si>
    <t>RC-0030</t>
  </si>
  <si>
    <t>a5536000000k9dTAAQ</t>
  </si>
  <si>
    <t>There is no well-defined scope of work for community health workers, i.e. the scope of work does not cover and facilitate working across all priority programs and/or services, and/or there are different profiles, training plans, salary structures and scopes of work across different diseases/regions/programs.</t>
  </si>
  <si>
    <t>RC-0031</t>
  </si>
  <si>
    <t>a5536000000k9dUAAQ</t>
  </si>
  <si>
    <t>There are limited assurance mechanisms in place to review quality of data reported by the community health workers.</t>
  </si>
  <si>
    <t>RC-0032</t>
  </si>
  <si>
    <t>a5536000000k9dVAAQ</t>
  </si>
  <si>
    <t>There are limited processes in place for regular capacity building, supply management, supervision and feedback to and from the point of care to higher levels of service organization.</t>
  </si>
  <si>
    <t>RC-0033</t>
  </si>
  <si>
    <t>a5536000000k9dWAAQ</t>
  </si>
  <si>
    <t>There is no national laboratory strategic plan or the plan is not implemented</t>
  </si>
  <si>
    <t>RC-0034</t>
  </si>
  <si>
    <t>a5536000000k9dXAAQ</t>
  </si>
  <si>
    <t>There is no integration or networking of laboratory services. Menu of tests for each level of the health system is not defined nor is there an integrated specimen transport system for referral.</t>
  </si>
  <si>
    <t>RC-0035</t>
  </si>
  <si>
    <t>a5536000000k9dYAAQ</t>
  </si>
  <si>
    <t>There is no national Quality Standards for laboratory services or implementation of a Quality Management system.</t>
  </si>
  <si>
    <t>RC-0036</t>
  </si>
  <si>
    <t>a5536000000k9dZAAQ</t>
  </si>
  <si>
    <t>There is no system for monitoring laboratory equipment utilization rates and management of the same.</t>
  </si>
  <si>
    <t>RC-0037</t>
  </si>
  <si>
    <t>a5536000000k9daAAA</t>
  </si>
  <si>
    <t>a5436000000k9grAAA</t>
  </si>
  <si>
    <t>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</si>
  <si>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</si>
  <si>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</si>
  <si>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</si>
  <si>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</si>
  <si>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</si>
  <si>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</si>
  <si>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</si>
  <si>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</si>
  <si>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</si>
  <si>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</si>
  <si>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</si>
  <si>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</si>
  <si>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</si>
  <si>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</si>
  <si>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</si>
  <si>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</si>
  <si>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</si>
  <si>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</si>
  <si>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a5436000000k9h1AAA</t>
  </si>
  <si>
    <t>Warehouse and distribution systems</t>
  </si>
  <si>
    <t>Indications of poor storage and/or distribution planning or budgeting at central or peripheral levels; poor coordination of storage and distribution planning; demurrage and port clearance delays; inadequate resources are available for efficient last mile operations; high working capital and/or inventory carrying costs</t>
  </si>
  <si>
    <t>RC-0304</t>
  </si>
  <si>
    <t>a5536000000k9htAAA</t>
  </si>
  <si>
    <t>The number of trained staff for inventory management including appropriate equipment use, proper recording (receipt and dispatch), reporting and monitoring of health commodities at any level of the supply chain is inadequate</t>
  </si>
  <si>
    <t>RC-0305</t>
  </si>
  <si>
    <t>a5536000000k9huAAA</t>
  </si>
  <si>
    <t>Inadequate facility capacity/store space at central or peripheral levels, either currently or anticipated shortages based on planned scale-up</t>
  </si>
  <si>
    <t>RC-0306</t>
  </si>
  <si>
    <t>a5536000000k9hvAAA</t>
  </si>
  <si>
    <t>Proper storage facilities for commodities are not available (i.e., store walls, floors and ceiling are not in good condition, properly equipped with the temperature monitored etc.) either at the central or peripheral level; the minimum range of warehouse equipment is lacking or poorly maintained</t>
  </si>
  <si>
    <t>RC-0307</t>
  </si>
  <si>
    <t>a5536000000k9hwAAA</t>
  </si>
  <si>
    <t>Physical security and access controls are not well managed leading to a high risk of leakage; traceability of items at any level of the supply-chain is difficult; sale of health products through informal or illegal channels is generally common</t>
  </si>
  <si>
    <t>RC-0308</t>
  </si>
  <si>
    <t>a5536000000k9hxAAA</t>
  </si>
  <si>
    <t>Insufficient oversight of stock levels (including physical stock counts and reporting) for key products at any level of the supply chain</t>
  </si>
  <si>
    <t>RC-0309</t>
  </si>
  <si>
    <t>a5536000000k9hyAAA</t>
  </si>
  <si>
    <t>Contracts with third party logistics service providers are not well managed and may lack KPIs; invoicing and payment for services is not well managed; absent or delayed distribution reports including timely submission of PODs</t>
  </si>
  <si>
    <t>RC-0310</t>
  </si>
  <si>
    <t>a5536000000k9hzAAA</t>
  </si>
  <si>
    <t>No manual exists describing all relevant warehousing and distribution activities (including standard operating procedures (SOPs) for receiving, storing and inventory management) and good distribution practices from central to peripheral stores; manual is not regularly updated; or stock management, stock replenishment, order processing and goods receiving procedures are not implemented according to SOPs</t>
  </si>
  <si>
    <t>RC-0311</t>
  </si>
  <si>
    <t>a5536000000k9i0AAA</t>
  </si>
  <si>
    <t>a5436000000k9gyAAA</t>
  </si>
  <si>
    <t>Selection of health product and equipment</t>
  </si>
  <si>
    <t>Need for new medical technologies is not determined; there is insufficient planning for introduction of new products; or plans are not followed to ensure optimal placement and utilization of new products resulting in a risk of wastage of products</t>
  </si>
  <si>
    <t>RC-0286</t>
  </si>
  <si>
    <t>a5536000000k9hbAAA</t>
  </si>
  <si>
    <t>Equipment utilization levels are sub-optimal, maintenance is poorly planned/implemented or there are indications of not meeting equipment warranty conditions</t>
  </si>
  <si>
    <t>RC-0287</t>
  </si>
  <si>
    <t>a5536000000k9hcAAA</t>
  </si>
  <si>
    <t>Modelling of scenarios for scale down of old treatments/technologies and the scale up of new ones is not well documented to allow for adjustment of assumptions during implementation</t>
  </si>
  <si>
    <t>RC-0288</t>
  </si>
  <si>
    <t>a5536000000k9hdAAA</t>
  </si>
  <si>
    <t>a5436000000k9h5AAA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</si>
  <si>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</si>
  <si>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</si>
  <si>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</si>
  <si>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</si>
  <si>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</si>
  <si>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</si>
  <si>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</si>
  <si>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</si>
  <si>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</si>
  <si>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</si>
  <si>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</si>
  <si>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</si>
  <si>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</si>
  <si>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</si>
  <si>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</si>
  <si>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</si>
  <si>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</si>
  <si>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</si>
  <si>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</si>
  <si>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</si>
  <si>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</si>
  <si>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</si>
  <si>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</si>
  <si>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</si>
  <si>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</si>
  <si>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</si>
  <si>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</si>
  <si>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</si>
  <si>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</si>
  <si>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</si>
  <si>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</si>
  <si>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</si>
  <si>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</si>
  <si>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</si>
  <si>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</si>
  <si>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</si>
  <si>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</si>
  <si>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</si>
  <si>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</si>
  <si>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</si>
  <si>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</si>
  <si>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</si>
  <si>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</si>
  <si>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</si>
  <si>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</si>
  <si>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</si>
  <si>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</si>
  <si>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</si>
  <si>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</si>
  <si>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</si>
  <si>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</si>
  <si>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</si>
  <si>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</si>
  <si>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</si>
  <si>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</si>
  <si>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</si>
  <si>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</si>
  <si>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a5436000000k9h0AAA</t>
  </si>
  <si>
    <t>Procurement processes and outcomes</t>
  </si>
  <si>
    <t>Process to appoint bid evaluation committee does not take potential conflicts of interest into account and/or members do not sign a conflict of interest statement</t>
  </si>
  <si>
    <t>RC-0296</t>
  </si>
  <si>
    <t>a5536000000k9hlAAA</t>
  </si>
  <si>
    <t>Uncertain/delayed commitments by partners, including government, to procure complimentary health products</t>
  </si>
  <si>
    <t>RC-0297</t>
  </si>
  <si>
    <t>a5536000000k9hmAAA</t>
  </si>
  <si>
    <t>Procurement operations are not subject to regular internal or external audits</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</si>
  <si>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</si>
  <si>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</si>
  <si>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</si>
  <si>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</si>
  <si>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</si>
  <si>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management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</si>
  <si>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</si>
  <si>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</si>
  <si>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in adjudication, cancellations of tenders, etc.</t>
  </si>
  <si>
    <t>RC-0301</t>
  </si>
  <si>
    <t>a5536000000k9hqAAA</t>
  </si>
  <si>
    <t>Staff do not have the purchasing and procurement forms, documents and registers needed to properly record and file activities and transactions; there are gaps in available procurement records</t>
  </si>
  <si>
    <t>RC-0302</t>
  </si>
  <si>
    <t>a5536000000k9hrAAA</t>
  </si>
  <si>
    <t>Contract management and supplier performance monitoring are not effective to prevent and/or resolve complaints, issues, delays, changes, etc. Signed contracts do not adequate address important commercial/legal issues</t>
  </si>
  <si>
    <t>RC-0303</t>
  </si>
  <si>
    <t>a5536000000k9hsAAA</t>
  </si>
  <si>
    <t>a5436000000k9gpAAA</t>
  </si>
  <si>
    <t>Data availability and data quality</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</si>
  <si>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</si>
  <si>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</si>
  <si>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</si>
  <si>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</si>
  <si>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</si>
  <si>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</si>
  <si>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</si>
  <si>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</si>
  <si>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</si>
  <si>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</si>
  <si>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</si>
  <si>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</si>
  <si>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</si>
  <si>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</si>
  <si>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</si>
  <si>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</si>
  <si>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</si>
  <si>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</si>
  <si>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</si>
  <si>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</si>
  <si>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</si>
  <si>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</si>
  <si>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</si>
  <si>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</si>
  <si>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</si>
  <si>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</si>
  <si>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</si>
  <si>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</si>
  <si>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</si>
  <si>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</si>
  <si>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a5436000000k9h2AAA</t>
  </si>
  <si>
    <t>Quality monitoring and product use</t>
  </si>
  <si>
    <t>Lack of an adequate QA plan linked to appropriate budget for product quality monitoring activities (including list of products, costs and PSM arrangements) and accompanying SOP that describes the quality assurance activities throughout the supply chain (including link with National Quality monitoring program) for relevant pharmaceuticals and non-pharmaceuticals</t>
  </si>
  <si>
    <t>RC-0312</t>
  </si>
  <si>
    <t>a5536000000k9i1AAA</t>
  </si>
  <si>
    <t>Lack of qualified staff, training or tools related to product quality monitoring or maintenance of product quality during storage and distribution</t>
  </si>
  <si>
    <t>RC-0313</t>
  </si>
  <si>
    <t>a5536000000k9i2AAA</t>
  </si>
  <si>
    <t>Instances of past non-compliance with Global Fund health products QA policies relevant to product selection, procurement or testing during the current grant implementation period (or last implementation period for new grant); the quality control laboratory used is not WHO prequalified or ISO 17025 certified</t>
  </si>
  <si>
    <t>RC-0314</t>
  </si>
  <si>
    <t>a5536000000k9i3AAA</t>
  </si>
  <si>
    <t>Lack of Pharmacovigilance system that includes systematic screening, recording and reporting on standardized forms</t>
  </si>
  <si>
    <t>RC-0315</t>
  </si>
  <si>
    <t>a5536000000k9i4AAA</t>
  </si>
  <si>
    <t>National Regulatory Authorities (NRA) have insufficient technical capacity, testing capability or resources to ensure compliance with laws/regulations and implement effective quality monitoring activities; NRA does not ensure a coordinated approach to QA requirements across in-country actors</t>
  </si>
  <si>
    <t>RC-0316</t>
  </si>
  <si>
    <t>a5536000000k9i5AAA</t>
  </si>
  <si>
    <t>No system in place to remove expired, contaminated, counterfeit or otherwise poor quality products from the supply chain</t>
  </si>
  <si>
    <t>RC-0317</t>
  </si>
  <si>
    <t>a5536000000k9i6AAA</t>
  </si>
  <si>
    <t>Absent or inappropriate/inadequate drug resistance monitoring activities"</t>
  </si>
  <si>
    <t>RC-0318</t>
  </si>
  <si>
    <t>a5536000000k9i7AAA</t>
  </si>
  <si>
    <t>a5436000000k9gqAAA</t>
  </si>
  <si>
    <t>Use of data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</si>
  <si>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</si>
  <si>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</si>
  <si>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</si>
  <si>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</si>
  <si>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</si>
  <si>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</si>
  <si>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</si>
  <si>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</si>
  <si>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</si>
  <si>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</si>
  <si>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Value for money</t>
  </si>
  <si>
    <t>Inadequate monitoring of the key controls in the budget development process</t>
  </si>
  <si>
    <t>RC-0224</t>
  </si>
  <si>
    <t>a5536000000k9gbAAA</t>
  </si>
  <si>
    <t>Inadequate monitoring of the key controls in the process relating to budgetary changes</t>
  </si>
  <si>
    <t>RC-0230</t>
  </si>
  <si>
    <t>a5536000000k9ghAAA</t>
  </si>
  <si>
    <t>Inadequate monitoring of the key controls in the selection process for the purchasing and procurement function of non-health products.</t>
  </si>
  <si>
    <t>RC-0247</t>
  </si>
  <si>
    <t>a5536000000k9gyAAA</t>
  </si>
  <si>
    <t>Insufficient coordination by implementers in areas being funded by more than one donor resulting in duplications</t>
  </si>
  <si>
    <t>RC-0253</t>
  </si>
  <si>
    <t>a5536000000k9h4AAA</t>
  </si>
  <si>
    <t>Absence of or inadequate policies and procedures in place or staff are not systematically orientated and/or trained regarding the budget development process.</t>
  </si>
  <si>
    <t>RC-0395</t>
  </si>
  <si>
    <t>a5536000000kA7YAAU</t>
  </si>
  <si>
    <t>Absence of or inadequate procedures in place or staff are not systematically orientated and/or trained regarding  budgetary changes</t>
  </si>
  <si>
    <t>RC-0396</t>
  </si>
  <si>
    <t>a5536000000kA7ZAAU</t>
  </si>
  <si>
    <t>Absence of or inadequate policies and procedures in place or staff are not systematically orientated and/or trained to enable the determination of the cost per service delivery for key interventions.</t>
  </si>
  <si>
    <t>RC-0397</t>
  </si>
  <si>
    <t>a5536000000kA7aAAE</t>
  </si>
  <si>
    <t>Absence of or inadequate policies and procedures in place or staff are not systematically orientated and/or trained on the procurement cycle for non health products and services</t>
  </si>
  <si>
    <t>RC-0398</t>
  </si>
  <si>
    <t>a5536000000kA7bAAE</t>
  </si>
  <si>
    <t>Inadequate monitoring of the key controls relating to the procurement cycle for non health products and services</t>
  </si>
  <si>
    <t>RC-0399</t>
  </si>
  <si>
    <t>a5536000000kA7cAAE</t>
  </si>
  <si>
    <t>Absence of or inadequate procedures in place or staff are not systematically orientated and/or trained on the selection process for the purchasing and procurement function of non-health products.</t>
  </si>
  <si>
    <t>RC-0400</t>
  </si>
  <si>
    <t>a5536000000kA7dAAE</t>
  </si>
  <si>
    <t>Absence of or inadequate  procedures to ensure efficiencies in procurement, tax and foreign exchange management</t>
  </si>
  <si>
    <t>RC-0401</t>
  </si>
  <si>
    <t>a5536000000kA7eAAE</t>
  </si>
  <si>
    <t>Staff lack capacity in dealing with issues related to tax and foreign exchange management</t>
  </si>
  <si>
    <t>RC-0402</t>
  </si>
  <si>
    <t>a5536000000kA7fAAE</t>
  </si>
  <si>
    <t>a5436000000k9gzAAA</t>
  </si>
  <si>
    <t>Forecasting, quantification and supply planning</t>
  </si>
  <si>
    <t>The Forecasting/Quantification process is not appropriately managed (not coordinated, fragmented, late, poorly documented) or is not managed by qualified staff. Controls and oversight of the forecasting and supply planning function is not effective</t>
  </si>
  <si>
    <t>RC-0289</t>
  </si>
  <si>
    <t>a5536000000k9heAAA</t>
  </si>
  <si>
    <t>Forecasting of requirements does not appropriately consider program scale up limitations, changes in product use guidelines including diagnostic test algorithms or the introduction of new/alternative technologies/remedies</t>
  </si>
  <si>
    <t>RC-0290</t>
  </si>
  <si>
    <t>a5536000000k9hfAAA</t>
  </si>
  <si>
    <t>There are major problems with availability, quality and utilization of essential data particularly the lack of reliable consumption and disease caseload data</t>
  </si>
  <si>
    <t>RC-0291</t>
  </si>
  <si>
    <t>a5536000000k9hgAAA</t>
  </si>
  <si>
    <t>Diagnosis algorithm is not in place or is not used</t>
  </si>
  <si>
    <t>RC-0292</t>
  </si>
  <si>
    <t>a5536000000k9hhAAA</t>
  </si>
  <si>
    <t>There is no integrated supply plan for program commodities; existing plans do not include all product sources; plans are not updated periodically or linked to the demand forecasts including a date of procurement initiation and date of expected receipt</t>
  </si>
  <si>
    <t>RC-0293</t>
  </si>
  <si>
    <t>a5536000000k9hiAAA</t>
  </si>
  <si>
    <t>There is weak oversight of the national demand forecast function; or no system/structures are in place to document, validate, review or update forecasts and quantification decisions</t>
  </si>
  <si>
    <t>RC-0294</t>
  </si>
  <si>
    <t>a5536000000k9hjAAA</t>
  </si>
  <si>
    <t>National laboratory strategy is not in place or not followed/used</t>
  </si>
  <si>
    <t>RC-0295</t>
  </si>
  <si>
    <t>a5536000000k9hkAAA</t>
  </si>
  <si>
    <t>Performance programmatique 
I. Contexte
Le démarrage de la subvention a connu un retard, en raison du contexte opérationnel et politique. Les contrats entre le PNUD et les 5 SRs ont été signés tardivement, en Mars et Avril 2018. Les contrats avec le PAM et la CAMEBU ont été signés en avril et mai 2018.  La modalité de gestion financière appliquée dans la gestion de la subvention est une combinaison d’avances aux SR et de paiements directs pour des activités spécifiques, en accord avec le SR. 
Malgré les difficultés de mise en œuvre, principalement dues aux différents retards de démarrage, la subvention TB/VIH a pu produire de bons résultats programmatiques. Pour la composante VIH, le présent PUDR est produit pendant que toutes les données n’étaient pas accessibles dans DHIS2. En effet, cette période de reportage a coïncidé avec la révision des paramétrages de la plateforme et certaines provinces n’avaient pas encore validé leurs données ce qui ne nous a pas autorisé d’avoir accès aux données de tous les sites.
II. Performance programmatique du programme Tuberculose. 
En ce qui concerne le diagnostic clinique et ou bactériologique de la tuberculose, 3359 patients suspects de tuberculose toutes formes confondues incluant nouveaux cas et rechutes ont été identifiés et testés pendant la période Juillet à décembre 2019 alors qu’ils étaient 3468 au premier semestre. 
La cohorte annuelle 2019 s’établit donc à 6827 patients atteints de tuberculose toutes formes confondues incluant nouveaux cas et rechutes. Ainsi le taux de notification pours l’année 2019 de la tuberculose rapportée à une population estimée à 12044164 est de 56,6 pour 100000 habitants soit une réduction de 10% par rapport à 2018.
En ce qui concerne les patients arrivés au terme de leur régime thérapeutique respectif, pendant la période, le programme enregistre un taux de 93,39% de succès thérapeutiques superposable à celui de décembre 2018 et du semestre précédent.
Le taux de succès thérapeutique pour l’année 2018 reste donc inchangé à 92.3% 
Parmi les sujets contacts de patients tuberculeux, 599 enfants de moins de 5 ans ont été mis sous prophylaxie INH, soit une performance de 81% par rapport à la cible pour la période sous revue.
Le contrôle de qualité du diagnostic en microscopie optique a été fait pour les lames du 3ème trimestre. Durant ce trimestre, 165 Laboratoires sur 170 ont été performants par rapport au standard de lecture des lames de Tuberculose. Soit une performance de 97%. 
Les lames du 4è trimestre ont été collectées avec retard suite au retard de justification des avances par le PNILT. Les résultats de ce contrôle qualité seront rapportés dans la partie commentaire au prochain PU.
En ce qui concerne la gestion de la co-infection TB/VIH on enregistre d’une part 99 % de réalisation du dépistage VIH chez les nouveaux tuberculeux et ceux en situation de rechutes. 100% de réalisation à la mise en traitement de ces patients tuberculeux et rechutes. 
A contrario, le diagnostic systématique de la tuberculose chez les patients séropositifs pour le VIH est de 49.2% soit une performance de 70% par rapport à la cible.
En ce qui concerne les cas de tuberculoses multirésistantes on enregistre globalement par rapport aux années antérieures, une baisse du nombre de cas détectés. 30 cas au 2è semestre 2019 avec une mise en traitement de 2ème ligne de 100% des cas identifiés. 
Au niveau communautaire, on enregistre une performance faible de 13% par rapport à la contribution des ASC dans le dépistage de la tuberculose. Cette performance est identique à celle du 2è semestre 2018 mais reste inférieure à celle du semestre précédent.
Enfin, parmi les indicateurs de gestion, le rapportage des CDTs est maximal 100%. Cependant, il est nécessaire que ces rapports compilés des CDT de chaque province soient disponibles et exploitables au PNILT avant le 10 du mois suivant le trimestre concerné. Ailleurs, il convient de mettre en place une stratégie documentable de rapportage pour les CT aux CDT. 
Aucune rupture de stock d’antituberculeux n’a été observée pendant la période au niveau des CDTs.
Les financements disponibles semblent suffisants pour la couverture des besoins en intrants (médicaments et produits de laboratoire) pour la prise en charge de la tuberculose. La revue de la quantification des besoins n’a montré aucun besoin supplémentaire en financements pour ces intrants.
III. Performance programmatique du programme VIH
La cascade 90-90-90 s’inscrit comme suit pour 2019 : 
Sur un total estimé par projection Spectrum pour 2018 de 87 882 adultes et enfants vivant avec le VIH connaissant ou non leur statut, 63702 PVVIH sont sous traitement ARV au 31 décembre 2019 (selon les données de DHIS2 du 12 mars 2020) sans ajustement et sans considération du facteur de correction. 
Sur l’exercice 2019, le sexe ratio des PVVIH en traitement est de 2 femmes pour 1 homme. 
Sur la même période, 1 029 372 personnes ont été conseillées et dépistées dont 16 403 cas de positivité soit 1,59 selon les données de DHIS2.
La prise en charge thérapeutique est assez performante mais en retrait des 90% attendus et s’explique par :
•La rétention des patients PVVIH aux traitements grâce aux activités de sensibilisation pour le maintien du traitement
•Une disponibilité des intrants ARV
•La stratégie Test and Treat mise en place dans certaines provinces.
•La décentralisation et délégation de tache pour la prise en charge du VIH pédiatrique au niveau des sites de prise en charge autres que des hôpitaux.
•L’encadrement de proximité des prestataires par le niveau intermédiaire et opérationnel (coordonnateurs provinciaux). 
•La disponibilité de l’inclusion au traitement ARV des enfants après la formation des prestataires sur la prise en charge pédiatrique du VIH
En ce qui concerne la disponibilité des intrants : 
Dans la période de rapportage, le nombre de sites ARV est de 744. Au deuxième semestre 2019, le nombre total de sites ayant connu une rupture de stock en ARV d’au moins 14 jours pour l'un des médicaments antirétroviraux traceurs est de 96, soit 11,3% des sites ARV.  
Le mode de calcul utilisé pour cet indicateur étant différent de celui utilisé au 1er semestre 2019, nous ne pouvons pas comparer les deux résultats. Toutefois, les supervisions réalisées et les ateliers de validation des données ont permis de confirmer les erreurs de saisie et de rapportage de cet indicateur résultant d’une mauvaise compréhension. 
La performance de 120% qui se dégage automatiquement dans le template du PUDR a peu de sens selon notre entendement. Dans le cadre de performance et dans le template du PUDR, la performance de cet indicateur devrait concerner les formations sanitaires qui n’ont pas connu une rupture de stock en lieu et place du calcul de la performance des formations sanitaires qui ont connu une rupture de stock. La cible serait alors de 95% au lieu de 5%. 
La proportion de sites ARV qui ont connu une rupture de stock d’au moins 14 jours étant de 11,3%, celle n’ayant pas connu de rupture de stock d’au moins 14jours est de 88,7%. Ainsi la performance deviendrait 88,7%/95%=93,3%. 
Il s’agit alors d’une fausse rupture de stock pour la plupart. Les provinces les plus concernées sont Muyinga, Karuzi et Mwaro
En pratique sur le terrain, aucune structure visitée n'a connu de rupture de stock. Le PR et le PNLS sont en train de prendre des mesures correctives pour que ces erreurs de saisie soient corrigées. 
En matière de prévention de la transmission du VIH de la mère à l’enfant : 
De janvier à décembre 2019, un total de 426 544 femmes enceintes venues en CPN1, ont été dépistées pour le VIH. Parmi elles, 417 986 ont reçu les résultats de leurs tests. Cela se traduit par un taux d'accomplissement pour cet indicateur de 85 %.
Au cours de la même année, 3 914 femmes’ enceintes séropositives au VIH ont été mises sous traitement antirétroviral pour réduire le risque de transmission du VIH de la mère à l’enfant sur un total prévu de 5 771, cela donnant un taux d’accomplissement de 71%. Cette performance est inférieure à celle rapportée au 31 décembre 2018 et au semestre précédent. 
Le fait que cet indicateur avait connu une performance élevée en 2018 et au 1er semestre 2019, était lié aux erreurs des données de DHIS2, erreurs que nous avons corrigées lors de ce rapportage.
Toutefois, la performance de cet indicateur pourra s’améliorer lors de la prise en compte des données de tous les sites dans DHIS2 après la validation de ces données par les Médecins chefs des districts et les Médecins provinciaux. 
Cumulativement, de janvier à décembre 2019, 3 467 enfants (soit 60%) ont bénéficié dans les 2 mois suivant leur naissance du diagnostic précoce du VIH soit un taux d’accomplissement de 80%. Même si la cible n'a pas été atteinte, il faut remarquer que la performance de cet indicateur a suivi une nette amélioration si on la compare à la performance de fin décembre 2018 (55%). L’effort sera poursuivi et devrait bénéficier de la rationalisation des circuits de collecte des échantillons avec l’appui des conseillers techniques provinciaux qui sont de plus en plus importants dans le dispositif d’accélération du programme.
Cette amélioration dans la performance serait dûe :
- à la sensibilisation des prestataires à la collecte et au transport des échantillons PCR ;
-au système de maintenance des appareils qui a permis de prévenir les pannes et la promptitude dans la réparation de ceux qui étaient momentanément en dysfonctionnement ;
-à la disponibilité des intrants PCR et l’organisation de la collecte et le transport des échantillons par les Conseillers techniques ;
-au remboursement des frais inhérents au transport des échantillons vers les plateformes Abbott ;
-à une prise de conscience progressive par les prestataires pour le suivi des nouveaux nés et des enfants infectés et affectés par le VIH ;
- à l’approche systématique de réalisation des PCR selon le protocole national et une amélioration de la notification des cas.
En vue d’avoir une amélioration continue de la performance de cet indicateur, les actions suivantes doivent être suivies :
-maintenir toutes les actions qui ont permis d’atteindre la performance actuelle ;
-mettre en œuvre les recommandations du plan opérationnel de la charge virale en rapport avec la collecte, le transport des échantillons PCR ainsi que le rendu des résultats ;
-mettre en œuvre les recommandations d’amélioration du dépistage précoce chez les enfants y compris l’utilisation des appareils GeneXpert;
-Fournir régulièrement aux conseillers techniques la logistique nécessaire pour le transport des échantillons ;
-renforcer les sensibilisations des prestataires sur l’importance du suivi clinique et biologique du nouveau-né et de l’enfant à risque du VIH
-assurer l’approvisionnement continue des sites en intrants PCR ;
-Faire un plaidoyer pour la formation des utilisateurs des appareils PCR sur la maintenance préventive ;
-susciter l’implication des prestataires à la réalisation systématique des PCR chez tous les enfants nés des mères VIH+ 
En ce qui concerne la gestion de la Co-infection TB/VIH par le PNLS, Les résultats montrent qu'au cours de la période de juillet à décembre 2019, 31353 PVVIH (46,3%) ont bénéficié d’un screening pour la TB ce qui correspond à un taux d’accomplissement de 70%.
Sur un total de 31353 PVVIH, ayant bénéficié du screening de la TB pour la période de juillet à décembre 2018, 3987 ont bénéficié de la prophylaxie à l’INH. Rappelons que la prophylaxie à l’INH est adminstrée aux seules personnes screenées négatives.
Pour l’indicateur en rapport avec la prophylaxie de l’INH, le dénominateur a été mis à jour conformément au nombre de PVVIH nouvellement enrôlé dans les soins durant cette période. Ainsi, les personnes diagnostiquées PVVIH en attente du traitement (sans ARV, sans cotri), en pré traitement sous Cotrimoxazole, en traitement ARV sans Cotri et en traitement ARV avec Cotri ont été pris en compte dans le dénominateur. Ce dénominateur devient alors 9262 au lieu de 1 846, cible définie dans le cadre de performance. 
Concernant les indicateurs sur les populations clés, la CRB a promis de soumettre le rapport dans la dernière semaine du mois de mars2020.
Contraintes sur les intrants de programme 
En matière d’approvisionnement en intrant du programme VIH, il existait en fin d’année 2019 de nombreuses tensions sur les ARVs, les tests de dépistage et la mesure de la Charge virale y compris pour le dépistage précoce du nouveau-né, les médicaments pour les IST et les Infections opportunistes hors tuberculose, ainsi que pour la sécurité transfusionnelle. Le PNUD a mobilisé des fonds d’urgence pour combler une partie du Gap dont le détail figure ci-après. 
Spécification	Montant USD
ARV	2536963.26
MED CONTRE LES IO + COUT DE TRANSPORT	416898.68
Sécurité Transfusionnelle : Réactifs automate poches de sang + cout de transport	679348.49
TEST DE DEPISTAGE VIH	1777507.19
EID/CV	425756.33
TOTAL	3379618.27
a. ARV adulte première ligne et transition TLE &gt; TLD
Avec l’apport du PNUD pour pallier les gaps attendus en 2020 Le stock en ARV est suffisant pour couvrir 2020 avec cependant un stock de sécurité restreint.  
Une commande de TLD boite de 90 a été placée 4ième Trimestre 2019.
Outre les aspects éthiques, l’augmentation de la file active réelle qui est estimée à 68000 a eu pour conséquence de réduire le niveau de stock de sécurité pour couvrir la transition en 2021. Le budget relatif à l’achat des intrants ARV est en tension et le PR attire l’attention sur la nécessité de couvrir en priorité les traitements de première ligne pour éviter les ruptures et l’augmentation des situations de résistance et le passage en deuxième ligne dont l’impact budgétaire serait considérable. 
Le produit majeur dans la prise en charge du VIH des patients en première ligne est le combinaison Ténofovir/Lamivudine/Efavirenz chez l’adulte, couvrant plus de 68 % des patients adultes en première ligne en 2018. Une transition vers une nouvelle combinaison a base de Dolutegravir à la place de l’Efavirenz est commencée depuis mai 2019. 
b. Produits de deuxième ligne
Le Fonds Mondial de lutte contre le VIH, la tuberculose et le paludisme est le seul partenaire qui prend en charge les produits de deuxième ligne pour adultes. Une commande est nécessaire en 2020 et devient urgente. 
c. Situation du cotrimoxazole 800/160mg
Les financements disponibles à travers les crédits des subventions du Fonds Mondial de lutte contre le VIH, la tuberculose et le paludisme ne couvrent pas le cotrimoxazole 800/160mg. Aucun autre partenaire ne propose actuellement la couverture totale de ce gap. Or, les pratiques préventives contre ces infections opportunistes peuvent déboucher sur une amélioration de la qualité et de l'espérance de vie des personnes séropositives. Depuis la fin des années 1980, le cotrimoxazole est utilisé avec succès dans la prophylaxie primaire des infections opportunistes. Le PNUD a fait droit a cette exigence mais en quantité limitée.  
d. PTME
Nous manquons de visibilité pour les financements de la PTME chez les femmes enceintes mais aussi chez les enfants. Aucun financement n’était prévu en 2019 sur les crédits des subventions du Fonds Mondial.
e. Produits de diagnostic (TDR)
Le diagnostic est un élément important de la stratégie de lutte contre le VIH, la connaissance du statut sérologique permet de limiter les de nouvelles infections. Au-delà du dépistage indexé qui permet d’optimiser l’utilisation des moyens de diagnostic, le dépistage systématique des femmes enceintes permet une double protection, en permettant la mise en place de la PTME chez les femmes séropositives. Les tests de diagnostic rapide (TDR) utilisés chez les femmes enceintes connaissent un sous financement. Si les besoins sont couverts pour 2019, la situation est beaucoup moins rassurante pour 2020 avec un gap restant important. 
2020, le Fonds Mondial de lutte contre le VIH, la tuberculose et le paludisme ne couvre 20% du besoin. Nous n’avons donc pas de visibilité sur la prise en charge de ce produit.
f. Charge Virale
Deux partenaires majeurs interviennent dans la prise en charge de la charge virale : Fonds Mondial de lutte contre le VIH, la tuberculose et le paludisme et le projet OPP-ERA. Ce dernier a connu un retard dans le démarrage et 17,640 tests de charge virale ont été réalisés avec ce projet contre 27,720 prévus laissant un gap de 10,080 tests de charge virale pour 2020. 33000 Charges Virales sont prévues pour 2020. 
g. Prophylaxie Post Exposition
Des cas de violences basées sur le genre sont pris en charge dans les formations sanitaires. L’urgence des cas impose la prise en charge immédiate des patients. L’absence des financements de la prophylaxie Post Exposition impacte sur la consommation des produits utilisés dans la prise en charge des PVVIH.
IV. Les Défis et contraintes connues au niveau de l’exécution programmatique de la performance sont diverses :
• Les délais incompressibles pour la remontée des données impactent considérablement sur la capacité d’approfondir les analyses et les contrôles de qualité.  Aussi nous assistons à des retards importants dans la réception des rapports semestriels et trimestriels des SRs. Aujourd’hui, il s’y ajoute une instruction du Cabinet aux Médecins chefs de district et aux Médecins provinciaux d’endosser la responsabilité des données de leur district et province à travers un exercice de vérification et validation des données. Cet exercice, quoiqu’elle ajoute une plus-value à la qualité des données de DHIS2, il retarde la disponibilité des données pour les utilisateurs. En effet, à la date du 12 mars, la complétude des données n’était pas encore assurée du fait que cette validation n’avait pas encore eu lieu alors qu’elle était censée se faire au plus tard le 30 janvier 2020.
Pour la composante VIH, les données de DHIS2 n’étant pas complètes, le PR a essayé de travailler sur les dernières données extraites de DHIS2 (données extraites le 12 et le 13mars2020) cela, dans l’espoir de renseigner le maximum de données possibles.
Parallèlement, pour la composante TB, le PR a fait, à son niveau, une analyse comparative des résultats et les bases de données construites après les ateliers de validation. Des corrections ont été opérées pour aboutir aux présents résultats.
• Les contraintes liées à la gestion des informations DHIS2 : tous les indicateurs de la subvention ne sont pas paramétrés dans DHIS2. Il s’agit de quelques désagrégations, les indicateurs en rapport avec les populations clés et les indicateurs TB. Pour la TB, le tracker n’est pas fonctionnel.  Le PR et la DSINS ont identifié un certain nombre d’actions à mettre en œuvre pour son opérationnalisation.
Ailleurs, le PR pense substituer les ateliers de validation aux missions trimestrielles conjointes (PNUD, SR et DSNIS) de vérification de la qualité des données sur sites à grande file active et à problèmes préalablement identifiés de qualité des données. Les corrections se feront en même temps dans DHS2. 
En effet, ces ateliers sont aux yeux du PR peu contributifs pendant qu’ils sont budgétivores, nécessitent beaucoup de temps pour les réaliser (cas du PNLS), sont mis en œuvre par le niveau central au détriment des conseillers techniques qui sont pourtant basés dans les provinces et qui pourraient les mettre en œuvre convenablement en appui des équipes cadres des districts.
• Les indicateurs sur la prise en charge communautaire du VIH (population clés) n’ont pas été renseignés suite à la non-transmission du rapport par la Croix Rouge Burundi. Ce rapport est attendu dans la dernière semaine de mars 2020.
Notre perspective future est de renforcer le suivi et la collaboration au niveau des SRs et de la DSNIS. Elle est aussi de renforcer la DSNIS pour qu’elle soit véritablement à la hauteur des défis actuels de qualité des données. C’est ainsi que sur le budget propre du PNUD, 4 véhicules sont en commande pour cette direction. Nous sommes en train de mettre en place un plan d’action qui reflète cette stratégie. Nous allons continuer et renforcer la mise en œuvre des supervisions conjointes avec les SR et DSNIS afin d’améliorer sensiblement la qualité des données et le processus de rapportage. Nous allons également renforcer les revues mensuelles des résultats avec les SRs pour éviter les engorgements au moment de la préparation des prochains PU/DR.
V. Partenariats
Le partenariat avec le programme PNILT et le PNLS/IST sont bonnes, tant au niveau technique que managériale. Les difficultés liées à l’utilisation de Tompro comme logiciel de gestion persistent mais il ne s’agit pas d’une incapacité à utiliser mais à la régularité des saisies et l’utilisation des fonction avancées. Il convient cependant de mettre en place un flux de travail intégrant les nécessaires contrôles internes. 
Au niveau de la gestion financière des SRs, les réconciliations des pièces justificatives sont tardives mettant les décaissements aux SRs et SSRs à risque. Des séances de travail et un encadrement rapproché sont nécessaires mais aussi un engagement et un suivi des directeurs de programme des attendus en matière de gestion financières. 
Cependant, ce programme n’est pas le seul partenaire de la contrepartie nationale et d’autres agendas viennent souvent perturber la programmation. 
A l’usage il est apparu que certains coûts pour la réalisation pratique des activités étaient sous-estimés au niveau des assomptions budgétaires. Le PR a utilisé toutes les flexibilités possibles pour rendre les opérations plus soutenables. 
La collaboration avec CRB est aussi bonne, cependant quelques ajustements restent à faire en matière de maitrise des indicateurs du secteur communautaire. En particuliers la compréhension des dénominateurs des indicateurs doit être systématiquement notifiés dans les rapports. 
La collaboration avec le Programme PEPFAR de l’USAID est bonne. Les échanges d’informations sont productifs et permettent une meilleure planification et une bonne complémentarité. Un mécanisme de rencontre mensuel devrait encore améliorer les synergies de programme.
Performance Financière 
Sur un budget de $11,755,488 pour la période sous revue, le niveau de décaissement du fonds mondial est de $ 18,059,264.43. Le PR a dépensé $ $8,799,672.32 et décaissés $ $1,912,946.49 aux SRs. Soit un taux d’absorption global pour la période de 91,13%. Le montant des prépaiements effectués à l'UNICEF s’élèvant à USD 500,081.27  est en attente de réception  et concerne les commandes de médicaments IO et ARV et les frais y relatifs.
Sur le plan de la performance financière, il faut noter que par rapport au budget de USD $11,755,488 pour l’année 2019, les dépenses de la subvention selon les termes du Fonds Mondial s’élèvent à USD 11,276,916.42 soit un pourcentage global de 95.93%. Les dépenses de la période couvrent les activités de formation, de supervision, d'achat de médicaments, de produits médicaux, (TDR, réactifs de laboratoire, autres consommables, etc) de salaires, de fonctionnement et de prise en charge nutritionnelle des patients.
Durant cette année, les dépenses du PNILT sont de USD 573,270.57 sur un budget de $ 523,851 soit un taux de 109.4%. ; depuis le démarrage, les dépenses cumulées sont de USD $ 852,972.47 sur un budget de $ 1,225,260 soit un taux de 69.6%. Ce fort taux s’explique par une accélération des activités et la modalité de paiement direct pour certaines activités du PNILT.
Au cours cette année 2019, les dépenses du PNLS sont de USD $ 1,261,705 sur un budget de $ 1,489,605 soit un taux de 84.7%. ; depuis le démarrage, les dépenses cumulées sont de $ 1,945,921 sur un budget de $3,170,748 soit un taux de 61.4%. Ce fort taux s’explique par une accélération des activités et la modalité de paiement direct pour certaines activités.
 Quant à la Croix Rouge, les dépenses de la période sont de USD $1,826,961 (y compris celles du PAM) sur un budget de USD $2,078,161 représentant un taux de 87.9%. Depuis le démarrage, les dépenses s’élèvent à USD $3,342,032 sur un budget de $4,040,600 soit 82.7%. Ce taux d’absorption s’explique par le rattrapage dans la mise en œuvre des activités.
Par rapport au PR, sur un budget de $7,663,870 les dépenses se sont élevées à $7,614,980 d’où un taux d’absorption de 99.4%. Les dépenses cumulées du PR depuis le démarrage de la subvention s’élèvent à USD $11,200,273 sur un budget de $11,578,069 soit un taux de 96.7%. Au niveau du PR, cette absorption s’explique par accélération des achats de produits médicaux et médicaments une fois les quantifications approuvées par le Fonds Mondial et la généralisation de la modalité de paiement direct à tous les SRs. L’analyse de cette performance n’a pas pris en compte les prepaiements et les obligations financières.
Au total, les dépenses cumulées de la subvention s’élèvent à $17,341,199 sur un budget de USD $20,014,677 atteignant de ce fait un taux 86.6%.</t>
  </si>
  <si>
    <t>Le programme s'avance vers la cloture, et compte tenu des tensions sur les intrants la transition avec le nouveau cycle de programmation  sera a risque car l'entiereté des stocks de securité n'est pas couvert.</t>
  </si>
  <si>
    <t xml:space="preserve">Les aléas politiques et les calendriers des autres operations de santé publiques influent sur le déroulement des opérations. Les contreparties nationales ne sont pas au rendez vous. </t>
  </si>
  <si>
    <t>A. LFA  Overall Evaluation and Rating of Grant Performance (including a summary of how financial performance is linked to programmatic achievements)</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</si>
  <si>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</si>
  <si>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Indicator rating</t>
  </si>
  <si>
    <t>Any major management issues resulting in downgrade?</t>
  </si>
  <si>
    <t>Overall Grant Rating</t>
  </si>
  <si>
    <r>
      <t>B.  LFA comments on the Principal Recipient planned changes in the program, if any</t>
    </r>
    <r>
      <rPr>
        <sz val="11"/>
        <color indexed="9"/>
        <rFont val="Arial"/>
        <family val="2"/>
      </rPr>
      <t/>
    </r>
  </si>
  <si>
    <t>C.  LFA Comments on External Factors Beyond Control of the Principal Recipients that have impacted or may impact program</t>
  </si>
  <si>
    <t>a2Q360000019HeSEAU</t>
  </si>
  <si>
    <t>Quantitative Indicator (LFA)</t>
  </si>
  <si>
    <t>Major Issues Identified (LFA)</t>
  </si>
  <si>
    <t>Overall Rating (LFA)</t>
  </si>
  <si>
    <t xml:space="preserve">Section 6: LFA Findings &amp; Recommendations  </t>
  </si>
  <si>
    <r>
      <rPr>
        <sz val="14"/>
        <rFont val="Georgia"/>
        <family val="1"/>
      </rPr>
      <t>! Based on the information provided in the previous sections and your understanding of the grant, please summarise any important management issues, proposing a recommendation for each.</t>
    </r>
    <r>
      <rPr>
        <b/>
        <sz val="14"/>
        <rFont val="Georgia"/>
        <family val="1"/>
      </rPr>
      <t xml:space="preserve">
NB: an issue is considered as 'important' if it impacts or is likely to impact program implementation and results. 
</t>
    </r>
    <r>
      <rPr>
        <sz val="14"/>
        <rFont val="Georgia"/>
        <family val="1"/>
      </rPr>
      <t>! Instead of repeating detailed descriptions of issues covered in other sections, it is acceptable to state the issue and reference the section containing the details.</t>
    </r>
    <r>
      <rPr>
        <b/>
        <sz val="14"/>
        <rFont val="Georgia"/>
        <family val="1"/>
      </rPr>
      <t xml:space="preserve">
</t>
    </r>
  </si>
  <si>
    <t>Risk Category</t>
  </si>
  <si>
    <t>Root Cause Comment</t>
  </si>
  <si>
    <t>Actor</t>
  </si>
  <si>
    <t>Actor Type</t>
  </si>
  <si>
    <t>Timeline DD/MM/YYYY]</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</si>
  <si>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</si>
  <si>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</si>
  <si>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</si>
  <si>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</si>
  <si>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</si>
  <si>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</si>
  <si>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</si>
  <si>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</si>
  <si>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</si>
  <si>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</si>
  <si>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</si>
  <si>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</si>
  <si>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</si>
  <si>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</si>
  <si>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</si>
  <si>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</si>
  <si>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</si>
  <si>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</si>
  <si>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</si>
  <si>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</si>
  <si>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</si>
  <si>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</si>
  <si>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</si>
  <si>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</si>
  <si>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</si>
  <si>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</si>
  <si>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</si>
  <si>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</si>
  <si>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</si>
  <si>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</si>
  <si>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</si>
  <si>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</si>
  <si>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</si>
  <si>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</si>
  <si>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</si>
  <si>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</si>
  <si>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</si>
  <si>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</si>
  <si>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</si>
  <si>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</si>
  <si>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</si>
  <si>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</si>
  <si>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</si>
  <si>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</si>
  <si>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</si>
  <si>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</si>
  <si>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</si>
  <si>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</si>
  <si>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</si>
  <si>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</si>
  <si>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</si>
  <si>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</si>
  <si>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</si>
  <si>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</si>
  <si>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</si>
  <si>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</si>
  <si>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</si>
  <si>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</si>
  <si>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</si>
  <si>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</si>
  <si>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</si>
  <si>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</si>
  <si>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</si>
  <si>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</si>
  <si>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</si>
  <si>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</si>
  <si>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</si>
  <si>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</si>
  <si>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</si>
  <si>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</si>
  <si>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</si>
  <si>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</si>
  <si>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</si>
  <si>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</si>
  <si>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</si>
  <si>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</si>
  <si>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</si>
  <si>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</si>
  <si>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</si>
  <si>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</si>
  <si>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</si>
  <si>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</si>
  <si>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</si>
  <si>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</si>
  <si>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</si>
  <si>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</si>
  <si>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</si>
  <si>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</si>
  <si>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</si>
  <si>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</si>
  <si>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</si>
  <si>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</si>
  <si>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</si>
  <si>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</si>
  <si>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</si>
  <si>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</si>
  <si>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</si>
  <si>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</si>
  <si>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</si>
  <si>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</si>
  <si>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All Validation</t>
  </si>
  <si>
    <t>Is Valid?</t>
  </si>
  <si>
    <t>Reporting Period</t>
  </si>
  <si>
    <t>Implementation Period</t>
  </si>
  <si>
    <t>GF Comments</t>
  </si>
  <si>
    <t>Show</t>
  </si>
  <si>
    <t>Costgrp1</t>
  </si>
  <si>
    <t xml:space="preserve">Cet écart s'explique par :
* les économies de USD 19,475.69 sur les RH du PNILT (LB 66) dues au non recrutement du logisticien prévu dans le budget
* le gap de -USD 74,783.23 sur les RH de la Croix rouge 
* les économies de USD 4,168.16 sur les RH du PNLS (LB 264);
* les économies de USD 17, 406.21 sur LB 266 des Coordonnateurs techniques résultant du départ de certains CTs
*  le gap de USD -34,088.46 sur les RH du PR  résultant du paiement des salaires du Deputy programme et d'un chauffeur additionnel alors qu'aucun budget n'était prévu pour ces 2 postes. </t>
  </si>
  <si>
    <t>Costgrp2</t>
  </si>
  <si>
    <t>Cet écart s'explique par :
* les économies de USD 110,860.96 sur les RH de la Croix Rouge (LB 102,120, 129, 139, 210, 211, 212)
* le gap de USD -62,715.77 sur les RH du PNLS (LB 252) résultant de la prise en charge durant cette période des dépenses de salaire du dernier trimestre 2018.</t>
  </si>
  <si>
    <t>Costgrp3</t>
  </si>
  <si>
    <t>Cet écart s'explique par:
* le gap de USD -1,940.11 sur les incitatifs du PNILT (LB 68, 70, 71) du à l'enregistrement durant cette année des primes de Novembre et décembre 2018;
 le gap de USD -14,009.03 sur les incitatifs du PNLS (LB 68, 70, 71) du à l'enregistrement durant cette année des primes du dernier 2018.</t>
  </si>
  <si>
    <t>Costgrp4</t>
  </si>
  <si>
    <t>Cet écart résulte :
* du solde du budget de USD 22,584.46 sur les activités du PNILT (LB 2, 20, 34 et 60) du à la non réalisation des activités 2 et 60 car les nouveaux outils doivent etre multipliés avant leur mise en oeuvre;
* le gap de USD -69,548.03 sur les activités du PNLS (LB 74, 88, 148, 177, 185, 203, 219, 235, 262, 263, 292 et 310) du principalement à l'exécution de l'act 292 approuvée par le Fonds Mondial alors qu'aucun budget n'est prévu.
* les économies de USD 17,514.61 sur les activités de la Croix Rouge (LB 121, 130, 134, 138 et 251) exécutées partiellement
* les économies de USD 10,271.29 sur les activités du PR (LB 184, 205, 209, dues principalement à la non réalisation de la formation des cadres du PNLS sur la planification et le suivi évaluation (LB 184)</t>
  </si>
  <si>
    <t>Costgrp5</t>
  </si>
  <si>
    <t>Gap résultant du fait que pour l'activité (LB 25) exécutée, le budget a été antérieurement prévu (2018)</t>
  </si>
  <si>
    <t>Costgrp6</t>
  </si>
  <si>
    <t>Cet écart comprend:
* les économies de USD 2,799.25 sur les act du PNILT (LB 3, 35, 36, 38, 39, 41, 42 et 57);
* les économies de USD 9,598.91 sur les activités du PNLS (LB 41,82, 151, 168,181, 182,  187, 193, 194, 196, 197, 204, 206, 208,217 et 309) ;
* les économies de USD 44,893.88 résultant de la réalisation partielle des activités de la Croix Rouge (LB 107, 136, 169, 170, 171, 172, 173, 174, 175, 176, 201, 202);
* le gap de USD -683.29 sur LB 289 du au fait qu'aucun budget n'est initialement prévu;</t>
  </si>
  <si>
    <t>Costgrp7</t>
  </si>
  <si>
    <t>Cet écart s'explique par :
* les économies de USD 5, 805.41 sur les activités  du PNILT (LB 58 et 59) dues à la réalisation partielle de LB 59;
* les économies de USD 1,791.13 sur les activités du PNLS (LB 73, 81, 149, 162, 183, 190, 198, 253, 256, 261 et 304) dues à la non réalisation des activités 149, 183, 190 et 198 et du gap sur d'autres;
* les économies de USD 62,945.55 sur les activités de la Croix Rouge (LB 14, 15, 16, 17, 19, 24, 72, 96, 101, 115, 141, 142 et 195) dues principalement à la non exécution des activités 14, 16, 17, 24,  72, 96, 101, 115 et 142);
* les économies de USD 8,393.28 du PR sur les activités 188 et 189 réalisées partiellement</t>
  </si>
  <si>
    <t>Costgrp8</t>
  </si>
  <si>
    <t>Cet écart s'explique par:
* les économies de USD 9,428.89 sur les activités 1 et 45 du PNILT exécutées partiellement;
* les économies de USD 16,995.57 sur les activités 80 et 236 du PNLS exécutées partiellement;
* les économies de USD 15,608.32 sur les activités de la Croix Rouge (LB 95, 108, 284, 285 et 286)</t>
  </si>
  <si>
    <t>Costgrp9</t>
  </si>
  <si>
    <t>Ce gap résulte :
* des économies de USD 3,809 sur LB 38 
* du gap de USD -81,388.81 sur LB 191 du à l'extension du contrat du consultant charge virale pour la réalisation d'un plan d'action charge virale pour le pays.</t>
  </si>
  <si>
    <t>Costgrp10</t>
  </si>
  <si>
    <t>Cet écart provient du gap de USD  -14,490 du au paiement  en 2019 des honoraires relatif à l'audit 2018  des SRs (LB 275)</t>
  </si>
  <si>
    <t>Costgrp11</t>
  </si>
  <si>
    <t xml:space="preserve">Cet écart s'explique par:
* les économies de USD 1,496.10 sur la multiplication des outils de suivi évaluation du PNILT (LB 40);
* Les économies de USD 3,632.01 sur LB 287 du PNLS due à la non réalisation de la formation sur Tompro en 2019;
* les économies de USD -25,000 sur LB 51 du PR due au non paiement des frais du GLC. </t>
  </si>
  <si>
    <t>Costgrp12</t>
  </si>
  <si>
    <t>Cet écart résulte :
* du gap de USD - 27,438 sur LB 75, aucun budget n'étant prévu en 2019
* du gap de USD -710,887.99 sur LB 230 du à une anticipation sur le budget de 2020 afin de disponibiliser de stocks suffisant d'ARV</t>
  </si>
  <si>
    <t>Costgrp13</t>
  </si>
  <si>
    <t xml:space="preserve">Cet écart s'explique par :
* les économies de USD 24,992.3 sur LB 61 en raison de la disponibilité des médicaments izoniazid pour la prévention de la tuberculose chez les patients VIH;
* les obligations financières de USD 396,571.05 et le gap de USD -225,759.75 sur LB 21,27 et 52, les médicaments n'ayant pas été achetés en 2018 </t>
  </si>
  <si>
    <t>Costgrp14</t>
  </si>
  <si>
    <t>Cet écart s'explique par le gap de USD -72,325.68 et le prepayment de USD 81,293.21  sur LB 220  du à une anticpation sur le budget de 2020, les besoins étant importants</t>
  </si>
  <si>
    <t>Costgrp15</t>
  </si>
  <si>
    <t>Costgrp16</t>
  </si>
  <si>
    <t>Cet écart s'explique par les obligations financières de USD 239,438.5 et le gap de USD -5,018.97 sur les préservatifs masculins (LB 89, 97, 109, 123, 143 et 144) les produits commandés n'ayant pas été réceptionnés au 311219</t>
  </si>
  <si>
    <t>Costgrp17</t>
  </si>
  <si>
    <t>Cet écart s'explique par les obligations financières de USD 133,272.3 et les économies de USD 9,226.35 sur les préservatifs féminins (LB 98 et 110), ces derniers n'ayant pas été réceptionnés</t>
  </si>
  <si>
    <t>Costgrp18</t>
  </si>
  <si>
    <t>Cet écart s'explique par :
* les économies de USD 700 sur LB 4
* les obligations de USD 48,621.87 et le gap de USD -437,474.21 sur les TDRs (LB 83, 116, 153 et 163) résultant d'une anticipation sur le budget de 2020 pour LB 83, 116 et 163  et de l'existence des besoins pour LB 153</t>
  </si>
  <si>
    <t>Costgrp19</t>
  </si>
  <si>
    <t>Cet écart comprend:
* les obligations financières de USD  902.46 en addition au solde du budget de USD 61,020.76 sur LB 5,6 et 246 car les produits n'ont pas été acquis ou l'ont été partiellement .
* les obligations financières de USD 205,691.76 et le gap de USD - 391,784.56 sur LB 238 résultant non seulement de l'anticipation du budget de 2020 mais aussi de l'insertion dans le budget des réactifs charge virale relatif au projet OPERA</t>
  </si>
  <si>
    <t>Costgrp20</t>
  </si>
  <si>
    <t>Il s'agit des obligations financières de USD 1,300 et du gap de USD -152 sur LB 28, les séringues commandés n'ayant pas été réceptionnés.</t>
  </si>
  <si>
    <t>Costgrp21</t>
  </si>
  <si>
    <t xml:space="preserve">Cet écart s'explique par:
* les économies de USD 248,641.72  et les obligations financières de USD 184,302.74 sur LB 12, 90, 99, 111, 154, 239 et 247) dues non seulement à l'acquisition partielle des produits mais aussi à la non réception de certains;
* les obligations financières de USD 544,280.26 et le gap de USD -659,006.58 sur LB 84, 124, 155 dus non seulement à l'anticipation sur le budget de 220 mais aussi à l'existence des besoinsà satisfaire </t>
  </si>
  <si>
    <t>Costgrp22</t>
  </si>
  <si>
    <t>Cet écart s'explique par :
*les obligations financières de USD 66,866 et les économies de USD 5,988 sur LB 7 en raison de la disponibilité des produits
 *les obligations financières de USD 28,198.29  et le gap de USD -31,812.95 sur LB 288</t>
  </si>
  <si>
    <t>Costgrp23</t>
  </si>
  <si>
    <t>Il s'agit des obligations financières de USD 27,666 et du gap de USD -34,772.49 sur la maintenance des équipements sanitaires (LB 237 et 283) dus à une anticipation sur le budget de 2020.</t>
  </si>
  <si>
    <t>Costgrp24</t>
  </si>
  <si>
    <t>Cet écart s'explique par les obligations financières de USD 4,500 et le gap de USD -12,630.58 sur LB 8 dus non seulement au rattrapage de la commande de la 1ère année</t>
  </si>
  <si>
    <t>Costgrp25</t>
  </si>
  <si>
    <t xml:space="preserve">Cet écart s'explique par les obligations financières de USD 141,165.74 en addition au prepaiement de USD 20,144.14 et gap de USD -63,381.64 sur les frais de manutention (LB 9, 29, 53, 62, 76, 85, 91, 103, 112, 117, 125, 145, 156, 159,164, 222, 226, 231, 240, 243 et 248°    résultant d'une anticipation sur le budget 2020 car certains produits pharmeuceutiques et produits de santé ont été acquis anticipativement; </t>
  </si>
  <si>
    <t>Costgrp26</t>
  </si>
  <si>
    <t>Cet écart s'explique par les obligations financières de USD 190,768.84 en addition au prepaiement de USD 160,996.98 et gap de USD -241,012.34 sur les frais de transport et assurance (LB 10, 30, 54, 63, 77, 86, 92, 104, 113, 118, 126, 146, 157, 160,165, 223, 226, 232, 241, 244 et 249) résultant d'une anticipation sur le budget 2020 car certains produits pharmeuceutiques et produits de santé ont été acquis anticipativement.</t>
  </si>
  <si>
    <t>Costgrp27</t>
  </si>
  <si>
    <t>Cet écart s'explique par le budget à reporter de USD 108,464.06 sur les frais de stockage (LB 11, 31, 56, 65, 78, 87, 93, 105, 114, 119, 127, 147, 158, 161,166, 224, 228, 233, 242, 245 et 250), les produits commandés n'étant pas tous recus.</t>
  </si>
  <si>
    <t>Costgrp28</t>
  </si>
  <si>
    <t>Il s'agit des obligations financières de USD 346.45 et du budget à reporter pour USD 82,461.13 résultant du fait que toutes  les activités liées à l'assurance qualité n'ont pas été executées</t>
  </si>
  <si>
    <t>Costgrp29</t>
  </si>
  <si>
    <t xml:space="preserve">Gap résultant du fait que pour l'activité (LB 270) exécutée,  non seulement une partie du budget a été antérieurement prévu (2018) mais aussi car du  mobilier a été acquis pour le staff additionnel a été recruté  </t>
  </si>
  <si>
    <t>Costgrp30</t>
  </si>
  <si>
    <t>Gap résultant du fait que pour l'activité (LB 274) exécutée, le budget a été antérieurement prévu (2018)</t>
  </si>
  <si>
    <t>Costgrp31</t>
  </si>
  <si>
    <t>Gap résultant du remboursement sur ordinateur perdu (LB 269) et du paramétrage du logiciel Navision (LB 293) approuvé par le Fonds Mondial alors qu'aucun budget n'a été initialement prévu</t>
  </si>
  <si>
    <t>Costgrp32</t>
  </si>
  <si>
    <t>Costgrp33</t>
  </si>
  <si>
    <t>Gap résultant du fait que pour l'activité 271,  le budget a été antérieurement prévu (2018)</t>
  </si>
  <si>
    <t>Costgrp34</t>
  </si>
  <si>
    <t>Cet écart s'explique par :
* le gap de USD -1,399.94 sur l'entretien et le fonctionnement de l'ambulance du PNILT (LB 49)  résultant de l'enregistrement en 2019 des dépenses de novembre et décembre 2018;
* le gap de USD -3,240.07 et les obligations financières de USD 127.5 sur LB 178 du PNLS résultant de l'achat des logiciels et leur installation sur les ordinateurs et serveurs;
* Le solde du budget de USD 2,109.51 relatif à la maintenance des équipements non sanitaires du PR (LB 272)</t>
  </si>
  <si>
    <t>Costgrp35</t>
  </si>
  <si>
    <t>Ecart résultant de :
*la non multiplication de outils de collecte par le PNLS  (LB 199 )pour USD 22502.24
* le solde sur la multiplication des outils de collecte au niveau communautaire (LB 43) pour USD 7991.57 par la Croix Rouge.</t>
  </si>
  <si>
    <t>Costgrp36</t>
  </si>
  <si>
    <t>t écart résulte:
* des économies de USD 28,493.74 sur LB 22, 23, 132, 133 et 135 car la majotité des activitiés a été excutée partiellement à l'exception de LB 133 qui n'est pas du tout mise en oeuvre
* le gap de USD -220.15 imputé par erreur sur code du PNUD (LB 23)</t>
  </si>
  <si>
    <t>Costgrp37</t>
  </si>
  <si>
    <t xml:space="preserve">Cet écart s'explique par:
* le gap de USD -2,771.08 sur LB 152 du à la prise en compte des dépenses du dernier trimestre 2018;
* les économies de USD 8,759.36 résultant de la non exécution de LB 94 et de la réalisation partielle des activités  106, 122. </t>
  </si>
  <si>
    <t>Costgrp38</t>
  </si>
  <si>
    <t>Cet écart s'explique par:
* le gap de USD -3, 717.07 sur le fonctionnement du PNILT (LB 69) résultant de la prise en compte des dépenses de novembre et décembre 2018;
*le gap de USD -4,046.43 sur les couts liés au bureau du PNLS comprenant les économies de USD 18,456.39 et le gap de USD -22,502.82  sur LB 254 et 258;
* les économies de USD 32,272.62 sur les couts liés au bureau de la Croix Rouge dues à la non réalisation de l'act 128 et la réalisation partielle des act 100 et 259
* les économies de USD 9,727.21 sur les couts liés au bureau du PR ainsi que les obligations financières de USD 15,041.21 (LB 26, 273 et FX)</t>
  </si>
  <si>
    <t>Costgrp39</t>
  </si>
  <si>
    <t>Il s'agit du solde du budget des frais de gestion (LB 282) résultant de la non réalisation de toutes les activités.</t>
  </si>
  <si>
    <t>Costgrp40</t>
  </si>
  <si>
    <t>Ce gap résulte de l'exécution des activités de renforcement des capacités (LB 277) approuvées par le Fonds Mondial alors qu'aucun budget n'était prévu.</t>
  </si>
  <si>
    <t>Costgrp41</t>
  </si>
  <si>
    <t xml:space="preserve">Cet écart s'explique par :
* le gap de USD -4,312.14 sur LB 48 sur la prise nutritionnelle des patients TBMR résultant de l'enregistrement durant cette année des dépenses de novembre et décembre 2018;
* les économies de USD 2,739.8 sur la prise en charge nutritionnelle des patients TBVIH (LB 213,214, 215 et 216) </t>
  </si>
  <si>
    <t>Costgrp42</t>
  </si>
  <si>
    <t>Economie sur LB 13 en raison de la non réalisation de l'activité</t>
  </si>
  <si>
    <t>Costgrp43</t>
  </si>
  <si>
    <t>Cet écart s'explique par :
* le solde du budget de USD 10,147.24 des activités 46, 47 et 50 du PNILT exécutées partiellement ou non ;
* Le solde du budget de USD 201,836.62 relatif au suivi biologique (LB 218) en raison du retard dans la vérification des structures et de la non signature de l'accord par certaines structures;
* les économies de USD 2,176.83 sur la lingerie des patients TBMR (LB 44)</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</si>
  <si>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</si>
  <si>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</si>
  <si>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</si>
  <si>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</si>
  <si>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</si>
  <si>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</si>
  <si>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</si>
  <si>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</si>
  <si>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</si>
  <si>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</si>
  <si>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</si>
  <si>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</si>
  <si>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</si>
  <si>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</si>
  <si>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</si>
  <si>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</si>
  <si>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</si>
  <si>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Costgrpnew1</t>
  </si>
  <si>
    <t>Costgrpnew2</t>
  </si>
  <si>
    <t>Costgrpnew3</t>
  </si>
  <si>
    <t>Costgrpnew4</t>
  </si>
  <si>
    <t>Costgrpnew5</t>
  </si>
  <si>
    <t>Costgrpnew6</t>
  </si>
  <si>
    <t>Costgrpnew7</t>
  </si>
  <si>
    <t>Costgrpnew8</t>
  </si>
  <si>
    <t>Costgrpnew9</t>
  </si>
  <si>
    <t>Costgrpnew10</t>
  </si>
  <si>
    <t>Grand Total</t>
  </si>
  <si>
    <t>Int1</t>
  </si>
  <si>
    <t>Il représente les économies sur les act 121 et 122 en raison de leur réalisation partielle</t>
  </si>
  <si>
    <t>Int2</t>
  </si>
  <si>
    <t>Cet écart s'explique par les obligations financières de USD 177,046.62 et le gap de USD  -3,660.37 sur les act 1, 2, 3, 4, 5, 6, 7, 8, 9, 10, 13, 28, 33 et 288)</t>
  </si>
  <si>
    <t>Int3</t>
  </si>
  <si>
    <t>Cet écart comprend les économies de USD 27,520.33 et le budget à reporter de USD  14,054.93 sur les act 14, 15, 16, 17, 18 en raison de leur non réalisation et/ou de leur réalisation partielle</t>
  </si>
  <si>
    <t>Int4</t>
  </si>
  <si>
    <t>Il s'agit des économies de USD 5,828.62 et du budget à reporter de USD 3814.82 sur LB 19 en raison de sa réalisation partielle</t>
  </si>
  <si>
    <t>Int5</t>
  </si>
  <si>
    <t>Il s'agit des économies sur LB 20</t>
  </si>
  <si>
    <t>Int6</t>
  </si>
  <si>
    <t>et écart s'explique par:
* les obligations financières de USD 342,591.73 et le gap de USD -285,504.61 sur LB 21,26, 27 résultant non seulement du rattrapage sur le budget de 2018 mais aussi à une anticipation sur le budget de 2020;
* les économies de USD 8,448.96 sur LB 29 en addition aux obligations financières de USD 149.4 et le budget à reporter de USD 44,163.77 sur LB  30, 31 et 32, ces activités ayant été partiellement ou non exécutées</t>
  </si>
  <si>
    <t>Int7</t>
  </si>
  <si>
    <t>Cet écart s'explique par:
* le gap de USD - 3,514.36 sur LB 22 et 25 du au fait que le budget de LB 25 a été antérieurement prévu (2018);
* les économies de USD 8,985.94 sur LB 23 et 24 résultant de l'exécution partielle de LB 23 et de la non exécution de LB 24.</t>
  </si>
  <si>
    <t>Int8</t>
  </si>
  <si>
    <t>Cet écart s'explique par :
* les économies de USD 75,653.73 sur les activités 169, 170, 171, 172, 173, 174, 175, 176, 177, 179, 181, 183, 185, 186, 187, 188, 189, 190, 192, 193, 194, 195 exécutées partiellement ou non et le budget à reporter de USD 11,980 de LB 184 l'activité n'étant pas exécxutée
* le gap de USD -12,349.03 sur LB 35 et 182 résultant de l'enregistrement en 2019 des dépenses du dernier trimestre 2018 du PNLS;
* du gap de USD -81,388.81 sur LB 191 du à l'extension du contrat du consultant charge virale pour la réalisation d'un plan d'action charge virale pour le pays.</t>
  </si>
  <si>
    <t>Int9</t>
  </si>
  <si>
    <t>Int10</t>
  </si>
  <si>
    <t>Cet écart s'explique par:
* le gap de USD -47,680.86 sur les salaires des Coordonnateurs Techniques (LB 266) du à l'enregistrement en 2019 des dépenses du dernier trimestre 2018;
* les économies de USD 9,932.93 sur LB 40, 41, 43 et le budget à reporter de USD 16,394.95 sur LB 41 et 43 dus à la réalisation partielle de ces dernières</t>
  </si>
  <si>
    <t>Int11</t>
  </si>
  <si>
    <t>Cet écart s'explique par:
* le gap de USD -5,712.08 sur LB 48 et 49 résultant de l'enregistrement en 2019 des dépenses de novembre et décembre 2018 du PNILT;
* les obligations financières de USD  78,544.95 en addition aux économies de USD 88,600.85 sur LB 45, 46, 47, 50,52, 53, 54, 55 et au budget à reporter de USD 33,874.49 sur LB  44, 51 et 56</t>
  </si>
  <si>
    <t>Int12</t>
  </si>
  <si>
    <t>Cet écart s'explique par:
*les économies de USD 27,628.20 sur les act 57, 58, 59, 61, 62, 63, 64, 65 et 253 partiellement ou non exécutées et le budget à reporter de USD 5,275.76 sur LB 253</t>
  </si>
  <si>
    <t>Int13</t>
  </si>
  <si>
    <t xml:space="preserve">Cet écart s'explique par:
*  les économies de USD 19,475.69 sur les RH du PNILT (LB 66) dues au non recrutement du logisticien prévu dans le budget;
* le gap de -USD 73,164.56 sur les RH de la Croix rouge 
* les économies de USD 4,168.16 sur les RH du PNLS (LB 264);
* les économies de USD 17, 406.21 sur LB 266 des Coordonnateurs techniques résultant du départ de certains CTs
*  le gap de USD -34,088.46 sur les RH du PR  résultant du paiement des salaires du Deputy programme et d'un chauffeur additionnel alors qu'aucun budget n'était prévu pour ces 2 postes;
* les économies de USD 5,940. 3 sur les couts liés au bureau de la Croix Rouge (LB 100, 128 et 137);
* les économies de USD 15,731.85 sur les couts liés au bureau du PR ainsi que les obligations financières de USD 1,078.83 (LB 273 et FX)
* le solde du budget de USD 30,978.36 des frais de gestion (LB 282) résultant de la non réalisation de toutes les activités.
*  le gap de USD - 13,278.28 résultant de l'exécution des activités de renforcement des capacités (LB 277) approuvées par le Fonds Mondial alors qu'aucun budget n'était prévu.
* les économies de USD 15,063.08 sur LB 261, 262 et 263 en raison d'une exécution anticipée des activités 262 et 263;
*le gap de USD -683.29 sur LB 289 du au fait qu'aucun budget n'est initialement prévu;
* gap de USD  -14,490 du au paiement  en 2019 des honoraires relatif à l'audit 2018  des SRs (LB 275) en addition solde à reporter de USD 3,632.01 de la formation Tompro (LB 287)
* Gap de USD -21.843.06 sur LB 270 et 274  résultant du fait que non seulement le budget a été antérieurement prévu (2018) mais aussi car du  mobilier a été acquis pour le staff additionnel recruté (cas LB 270)
* les obligations financières de USD 3,521.12 et le gap de USD -11,755.24 sur LB 178, 268, 271 et 293 dus au fait qu'aucun budget n'est prévu dans le plan de travail cas LB 293)  ou qu'il a été antérieurement antérieurement prévu (2018);
* les économies de USD 438.24 résultant du remboursement sur ordinateur (LB 269) et le budget à reporter de USD 2,109.51 sur la maintenance des équipements du PR (LB 272) </t>
  </si>
  <si>
    <t>Int14</t>
  </si>
  <si>
    <t>Cet écart s'explique par les obligations financières de USD 4,075.32 sur LB 258  et le gap de USD -12,255.99  sur LB 68, 69, 70, 71,  254, 255, 256, 257, 258, 259, 260 résultant de l'enregistrement durant cette année des dépenses de novembre et décembre 2018 du PNILT et du PNLS</t>
  </si>
  <si>
    <t>Int15</t>
  </si>
  <si>
    <t>Il s'agit des économies sur LB 72 et 73</t>
  </si>
  <si>
    <t>Int16</t>
  </si>
  <si>
    <t>Cet écart s'explique par :
* le gap de USD -240,055.41 sur LB 75,76,77, 78, 79, 83, 85 et 86 résultant d'une anticipation sur le budget de 2020 pour LB 83, les besoins devenant importants;
* le budget à reporter de USD 3,374.74  sur LB 287 en raison du paiement partiel des frais de stockage CAMEBU</t>
  </si>
  <si>
    <t>Int17</t>
  </si>
  <si>
    <t>Cet écart s'explique par:
* les économies de USD 3,722.82 sur LB 80, l'activité étant réalisée partiellement;
* le gap de -47,351.73 sur LB 81 et 82 du au fait que le budget a été prévu en 2018</t>
  </si>
  <si>
    <t>Int18</t>
  </si>
  <si>
    <t>Cet écart s'explique par :
* les économies de USD 5,750.05 sur LB 117 et 119 dues à leur réalisation partielle et le budget à reporter de USD 2,448.03 sur LB 119;
* les obligations financières de USD 607,013.11 et le gap de USD - 734,905.46 sur LB 84, 116, 118, 151 et 152 résultant non seulement d'une anticipation sur le budget de 2020 mais aussi de l'existence de besoins.</t>
  </si>
  <si>
    <t>Int19</t>
  </si>
  <si>
    <t>Gap résultant de l'exécution de l'act 88 dont le budget a été antérieurement prévu (2018)</t>
  </si>
  <si>
    <t>Int20</t>
  </si>
  <si>
    <t>Il représente les économies  sur les act 94 et 95 exécutée partiellement ou non</t>
  </si>
  <si>
    <t>Int21</t>
  </si>
  <si>
    <t>Cet écart s'explique par :
* les obligations financières de USD 8,376.32 et les économies de USD 12,845.11 sur les act 96, 99, 104 et 105 non exécutées
* les obligations financières de USD 157,011.56 et le gap de USD -139,304 sur les act 97, 98 et 103 résultant de la non réception des produits commandés;</t>
  </si>
  <si>
    <t>Int22</t>
  </si>
  <si>
    <t>Cet écart résulte des économies de USD 9?727.54 sur LB 101, 102 et 284 exécutées partiellement ou non et du budget à reporter pour USD 3?510.9</t>
  </si>
  <si>
    <t>Int23</t>
  </si>
  <si>
    <t>Il représente les économies  sur les act 106 et 107 exécutée partiellement</t>
  </si>
  <si>
    <t>Int24</t>
  </si>
  <si>
    <t>Cet écart s'explique par les obligations de USD 402,899.22 en addition aux économies de USD 184,963.76 sur les act 108, 109, 110, 111, 112, 113 et 113 ainsi que le budget à reporter de USD 21,161.05 sur LB 110, les produits commandés n'étant pas réceptionnés</t>
  </si>
  <si>
    <t>Int25</t>
  </si>
  <si>
    <t>Economies résultant :
* du gap de USD -4,481.69 sur LB 120 ;
* des économies de USD 15,926.57 en raison de l'exécution partielle de l'activité 285</t>
  </si>
  <si>
    <t>Int26</t>
  </si>
  <si>
    <t>Cet écart s'explique par :
* le gap de USD -9,108.88 sur LB 131 et 286 résultant d'une surestimation des engagements financiers par la Croix Rouge
* les économies de USD 5,775.41 sur LB 129 et 130 exécutées partiellement et le budget à reporter de USD 2,698.17 sur LB 130</t>
  </si>
  <si>
    <t>Int27</t>
  </si>
  <si>
    <t>Cet écart s'explique par :
*les économies de USD 40,277.77 sur les activités 132, 133, 134, 135, 136, 139, 141, 142 
* le budget à reporter de USD 11,332.63 sur les act 133, 134 et 135</t>
  </si>
  <si>
    <t>Int28</t>
  </si>
  <si>
    <t>Cet écart s'explique par les obligations financières de USD 634.57 et le gap de USD -136,476.86 sur LB 153, 154, 155, 159, 160 et 161 en raison de l'existence des besoins à satisfaire alors qu'aucun budget n'a été prévu en 2019</t>
  </si>
  <si>
    <t>Int29</t>
  </si>
  <si>
    <t>Cet écart s'explique par :
* le solde du budget à reporter de USD 4,009.78 pour LB 162, l'activité ayant été partiellement exécutée;
* les obligations de USD 43,999.89 et le gap de USD -124,508.54 sur LB 163, 164, 165 et 166 résultant d'une anticipation sur le budget 2020 de LB 163.</t>
  </si>
  <si>
    <t>Int30</t>
  </si>
  <si>
    <t>Cet écart s'explique s'explique par les économies de USD 1,93 sur LB 168 et le solde du budget à reporter de LB 167 pour USD 11,381.01 car cette dernière activité est exécutée partiellement et devra se poursuivre</t>
  </si>
  <si>
    <t>Int31</t>
  </si>
  <si>
    <t>Cet écart s'explique par :
* le gap de USD -2,839.09 sur LB 202, 205 et 209 résultant du rattrapage sur le budget de 2018.
* les économies de USD 22,794.34 sur LB 37, 196, 204, 207 et 208  
* le solde à reporter de USD 91,323.71 sur LB 38, 39, 197, 198, 199, 201 et 206 partiellement ou non exécutées</t>
  </si>
  <si>
    <t>Int32</t>
  </si>
  <si>
    <t>Cet écart s'explique par les économies de USD 78,454.76 et le budget à reporter de USD 26,064.83 sur les act 210, 211 et 212 résultant du fait que les salaires de tous les médiateurs ne sont imposés à l'IPR car n'atteignant pas le plafond</t>
  </si>
  <si>
    <t>Int33</t>
  </si>
  <si>
    <t>Cet écart s'explique par :
* les économies de USD 2,739.8 sur la prise en charge nutritionnelle des patients VIH (LB 213, 214, 215 et 216);
* le gap de USD -65,496.62 sur LB 251 et 252 du à l'enregistrement en 2019 des dépenses du dernier trimestre 2018 du PNLS</t>
  </si>
  <si>
    <t>Int34</t>
  </si>
  <si>
    <t>Cet écart comprend le solde du budget de LB 217 pour USD 9,515.82 et celui de LB 218 pour USD 201,836.62  les activités ayant été partiellement exécutées</t>
  </si>
  <si>
    <t>Int35</t>
  </si>
  <si>
    <t xml:space="preserve">Cet écart s'explique par le prepaiement de USD 109,369.94 et le gap de USD -123,273.67 sur LB 220, 222, 223, 224, 225, 226, 227, 228, 229 </t>
  </si>
  <si>
    <t>Int36</t>
  </si>
  <si>
    <t>Cet écart s'explique par :
* les obligations financières de USD 1,332,290.6 en addition au prepaiement de USD 373,818.92 et le gap de USD -2,511,414.08 sur LB 230, 232 et 292 dus non seulement à une anticipation sur le budget 2020 (cas LB 230 et 232) mais aussi à la mise en oeuvre de la formation sur la PEC pédiatrique du VIH (LB 292 approuvée par le FM)alors qu'aucun budget n'ait été initialement prévu;
* le prepaiement de USD  16,892.41 sur LB 231 et les économies de USD 108,359.36 sur LB 231 et 234 dues à l'exécution partielle des activités d'assurance qualité et l'acquisition des médicaments directement auprès des fabriquants (LTA);
* le budget à reporter de USD 36,647.72 relatif aux frais de stockage à payer à la CAMEBU (LB 233)</t>
  </si>
  <si>
    <t>Int37</t>
  </si>
  <si>
    <t>Cet écart s'explique par:
* les obligations financières de USD 256,440.92 et le gap de USD -457,196 sur LB 237, 238, 240, 243 et 244 dus non seulement à une anticipation sur le budget de 2020 mais aussi à l'insertion dans le budget des réactifs charge virale d'OPERA;
* les obligations financières de USD 4,903.61 et le solde à reporter de USD 167,789.6 sur  LB 236, 239, 241, 242 et 245 car ces activités ont réalisées partiellement;
* le gap de USD -792.31 sur les activités OPERA 304, 309, 310 exécutées alors qu'aucun budget n'a été initialement prévu</t>
  </si>
  <si>
    <t>Int38</t>
  </si>
  <si>
    <t>Cet écart s'explique par 
* les économies de USD 13,712 sur LB 283 dues au fait qu'aucune réparation n'a été faite;
* Le budget à reporter de USD 64,738.46 relatif aux réactifs de laboratoire pour le suivi des PVVIH et ses PSM costs non encore achetés (LB 246, 247, 248, 249 et 250)</t>
  </si>
  <si>
    <t>Int39</t>
  </si>
  <si>
    <t>Economie sur LB 115 l'activité étant exécutée partiellement</t>
  </si>
  <si>
    <t>Int40</t>
  </si>
  <si>
    <t>Cet écart s'explique par :
* les économies de USD 1,791.99 sur LB 148;
* le budget à reporter de USD 1,851.61 de LB 149 car l'activité n'a pas été exécutée mais plutot reportée</t>
  </si>
  <si>
    <t>Int41</t>
  </si>
  <si>
    <t>Il s'agit du solde du budget de l'act 34 exécutée partiellement</t>
  </si>
  <si>
    <t>Int42</t>
  </si>
  <si>
    <t>Cet écart s'explique par les obligations financières de USD 3,677.92 et les économies de USD 2,380.77 sur LB 89, 90, 91, 92 et 93 car les produits commandés ne sont pas réceptionnés.</t>
  </si>
  <si>
    <t>Int43</t>
  </si>
  <si>
    <t>Cet écart s'explique par les obligations financières de USD 366.35 et le gap de USD -88.11 sur les act 123, 124, 125, 126 et 127) due à une anticipation sur le budget de 2020</t>
  </si>
  <si>
    <t>Int44</t>
  </si>
  <si>
    <t>Cet écart s'explique par :
* les obligations financières de USD 53,873.66 et les économies de USD 9,447.68 sur les act 143, 145 et 146 partiellement ou non exécutées;
* le budget  à reporter de USD 2,638.56 relatif à LB 147 non exécutée</t>
  </si>
  <si>
    <t>Int45</t>
  </si>
  <si>
    <t>cet écart s'explique par les obligations financières de USD 11,038.81 et les économies de USD 2,420.39 sur LB 144, 156, 157 et 158 résultant de l'exécution partielle de certaines activités et de la non réception des produits commandés</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</si>
  <si>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</si>
  <si>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</si>
  <si>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</si>
  <si>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</si>
  <si>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</si>
  <si>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</si>
  <si>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</si>
  <si>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</si>
  <si>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</si>
  <si>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</si>
  <si>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</si>
  <si>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</si>
  <si>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</si>
  <si>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</si>
  <si>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</si>
  <si>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</si>
  <si>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</si>
  <si>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</si>
  <si>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</si>
  <si>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</si>
  <si>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</si>
  <si>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</si>
  <si>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</si>
  <si>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</si>
  <si>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</si>
  <si>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</si>
  <si>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</si>
  <si>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</si>
  <si>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</si>
  <si>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</si>
  <si>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</si>
  <si>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</si>
  <si>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</si>
  <si>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</si>
  <si>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</si>
  <si>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</si>
  <si>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</si>
  <si>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</si>
  <si>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</si>
  <si>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</si>
  <si>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</si>
  <si>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</si>
  <si>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</si>
  <si>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</si>
  <si>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</si>
  <si>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</si>
  <si>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</si>
  <si>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</si>
  <si>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</si>
  <si>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</si>
  <si>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</si>
  <si>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</si>
  <si>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</si>
  <si>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</si>
  <si>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</si>
  <si>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NewMod1</t>
  </si>
  <si>
    <t>NewMod2</t>
  </si>
  <si>
    <t>NewMod3</t>
  </si>
  <si>
    <t>NewMod4</t>
  </si>
  <si>
    <t>NewMod5</t>
  </si>
  <si>
    <t>NewMod6</t>
  </si>
  <si>
    <t>NewMod7</t>
  </si>
  <si>
    <t>NewMod8</t>
  </si>
  <si>
    <t>NewMod9</t>
  </si>
  <si>
    <t>NewMod10</t>
  </si>
  <si>
    <t>NewMod11</t>
  </si>
  <si>
    <t>NewMod12</t>
  </si>
  <si>
    <t>NewMod13</t>
  </si>
  <si>
    <t>NewMod14</t>
  </si>
  <si>
    <t>NewMod15</t>
  </si>
  <si>
    <t>Don't Show</t>
  </si>
  <si>
    <t>NewMod16</t>
  </si>
  <si>
    <t>Type of Implementing Entity</t>
  </si>
  <si>
    <t>IP1</t>
  </si>
  <si>
    <t>Cet écart comprend:
* le budget à reporter de USD  29,903.34 (LB 102, 210, 211 et 212) ainsi que les économies de  6,174.39‬ sur les RH (LB 102, 120, 129, 139, 210, 211, 212, 255, 260, 265);
* Les économies de USD 31,861.81‬  (LB 22, 94, 106,  122, 132, 133, 135, 140) ainsi que le budget à reporter sur LB 23, 43 et 135 de USD 13,381.87 sur le matériel de communication en raison de la réalisation partielle desdites activités
*   le budget à reporter de USD  14,924.7  (LB 100, 128 et 259) et les économies de USD 17,347.92 sur les couts liés au bureau (LB 100, 128, 131, 137 et 259;
* le budget à reporter de USD 225 sur LB 13 ainsi que les économies de USD 3,414.89‬ sur l'appui aux groupes cibles (LB 13, 213, 214, 215 et 216);
* le budget à reporter de USD 33,331.2 (LB 14,15, 16, 17, 19, 101, 172 et 201)  et les économies de USD 104,720.62‬ sur les couts liés aux déplacements ( LB 14, 15, 16, 17, 19, 24, 25, 72, 95, 96, 101, 107, 115, 121, 130, 134, 136, 138,  141, 142, 169 à 176, 195,  201, 201, 251, 284, 285, 286
* le gap de USD -4,086 sur LB 294 pour le paramétrage du logiciel NAVISION, activité approuvée par le Fonds Mondial alors qu'aucun budget n'avait été initialement prévu.</t>
  </si>
  <si>
    <t>IP2</t>
  </si>
  <si>
    <t xml:space="preserve">Cet écart s'explique par :
* le gap de USD -88,637.15 sur les RH du PNILT (LB 66, 68, 70, 71 et 266) du à l'enregistrement en 2019 des dépenses de novembre et décembre 2018 ;
* Le gap de USD -3,717.07 sur le fonctionnement du à l'enregistrement en 2019 des dépenses de novembre et décembre 2018;
* les économies de USD 5,835.10 sur l'appui aux populations cibles;
*  le budget à reporter de USD 57,220.42 (LB 1,34, 38 et 39) en raison de la réalisation partielle des act ainsi que le gap de USD - 16,602.42  (LB 2, 3, 20, 35, 36, 41, 42, 45, 57 à 60) sur les couts liés aux déplacements;
* les économies de USD 1,496.10 sur les services professionnels externes (LB 40);
* les obligations financières de USD 28,198.29 et le gap de - 31,812.95 sur les produits et équipements médicaux (LB 288);
* le gap de USD -1,399.94 sur les équipements non médicaux (LB 49) </t>
  </si>
  <si>
    <t>IP3</t>
  </si>
  <si>
    <t>Cet écart s'explique par :
* le gap de USD -34,088.46 sur les RH du PR  résultant du paiement des salaires du Deputy programme et d'un chauffeur additionnel alors qu'aucun budget n'était prévu pour ces 2 postes;
* Le gap de USD -220.15 sur le matériel de communication (LB) résultant d'une erreur d'imputation de l'activité 23 avec le code implementing du PNUD. 
*  le budget à reporter de USD 10,453.24 (LB 273) en addition aux obligations financières de USD 15,041.21 (LB 26, 273 et FX) ainsi que le gap de USD -730.75 sur les couts liés au bureau du PR ;
* solde du budget des frais de gestion (LB 282) résultant de la non réalisation de toutes les activités pour USD 30978.36;
* le gap de USD -13,278.28 sur LB 277 renforcement des capacités;
* le budget à reporter de USD 2,176.82 sur l'appui aux groupes cibles (LB 44) en raison de la réalisation partielle  de l'act 44;
* les économies de USD 12,391.93‬ (LB 184, 189, 205, 209 et 290) et le budget à reporter de  USD 5,589.35 (LB188 et 189) sur les couts liés aux déplacements ;
* le gap de USD -67,069.81 sur les services professionnels externes (LB 37, 51, 150, 186, 191, 275, 276);
* les obligations financières de USD 1,649,575.65 en addition au prepaiement de USD 318,940.15 et gap de USD -2,502,070.66 sur les médicaments  résultant d'une anticipation sur le budget de 2020 (LB 21, 27, 52, 61, 75, 220, 221, 230);
* les obligations financières de USD 1,357,809.89 (LB 5, 12, 28, 84, 89, 90, 97, 98, 99, 109, 110, 111, 116, 123, 124, 143, 144, 153, 154, 155, 163, 238, 239, 246 et 247) ainsi que le gap de USD -1,173,847.49 sur les produits de santé non pharmaceutiques ;
* les obligations financières de USD 99,032 et le gap de USD -41,415.07 sur les produits et équipements médicaux (LB 7, 8, 237, 283)
* les obligations financières de USD 332,281.03 en addition au prepaiement de USD 181,141.12 et le gap de USD -113,468.78 sur les couts de gestion des achats résultant de l'anticipation de certains achats.
* le gap de USD -21,843.06 sur les infrastructures du au fait que le budget a été antérieurement prévu (2018);
* les obligations financières de USD 3,393.87 et le gap de USD -1,881.42 sur les équipements non sanitaires (LB 269, 271, 272)</t>
  </si>
  <si>
    <t>IP4</t>
  </si>
  <si>
    <t>Cette variance s'explique par:
* le budget à reporter de USD 4,168.16 (LB 264) ainsi que les économies de USD 46,854.15 sur les lignes RH du PNLS (252, 257 et 266);
* Le gap de USD -2,771.08 sur LB 152 et le budget à reporter de USD 22,502.25 sur LB 199 du à la non réalisation de cette activité;
* les obligations financières de USD 4,075.32 sur LB 258 et le gap de USD -8,121.75 sur les couts liés au bureau (LB 179, 254, 258) résultant de l'enregistrement en 2019 des dépenses du dernier trimestre 2018;
* le budget à reporter de USD 201,836.62 sur LB 218 en raison du retard dans vérification des pièces des structures de suivi biologique;
* Le budget à reporter de USD 49,638.72 (LB 149, 162, 177, 181, 183, 187, 190, 194, 197, 198, 206, 217 et 253) et le gap de USD -90,801.13 (LB 41, 73, 74, 80, 81, 82, 88, 148, 151, 168, 18é, 185, 193,196, 203, 204, 207, 208, 219, 235, 256, 261, 262, 263, 292, 304, 309 et 310) sur les couts liés au déplacement du à l'enregistrement en 2019 des dépenses du dernier trimestre 2018;
* Le budget à reporter de USD 3,632.01 sur LB 287 non réalisée;
* les obligations financières de USD 127.25 et le gap de USD - 3,240.07 sur les équipements non médicaux (LB 178)</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</si>
  <si>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</si>
  <si>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</si>
  <si>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</si>
  <si>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</si>
  <si>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</si>
  <si>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</si>
  <si>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</si>
  <si>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</si>
  <si>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</si>
  <si>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</si>
  <si>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</si>
  <si>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</si>
  <si>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</si>
  <si>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</si>
  <si>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</si>
  <si>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</si>
  <si>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</si>
  <si>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</si>
  <si>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</si>
  <si>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</si>
  <si>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</si>
  <si>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</si>
  <si>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</si>
  <si>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</si>
  <si>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</si>
  <si>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</si>
  <si>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</si>
  <si>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</si>
  <si>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</si>
  <si>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</si>
  <si>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</si>
  <si>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</si>
  <si>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</si>
  <si>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</si>
  <si>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</si>
  <si>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</si>
  <si>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</si>
  <si>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</si>
  <si>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</si>
  <si>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</si>
  <si>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</si>
  <si>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</si>
  <si>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</si>
  <si>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</si>
  <si>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</si>
  <si>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</si>
  <si>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 xml:space="preserve">Validation of Grand Total </t>
  </si>
  <si>
    <t>Costing Dimension (Cost Grouping)</t>
  </si>
  <si>
    <t>Actual Expenditure</t>
  </si>
  <si>
    <t>Absorption Rate</t>
  </si>
  <si>
    <t>Explanation of Variances (mandatory for all percentages below 95% &amp; above 105%)</t>
  </si>
  <si>
    <t>Cumulative Budget</t>
  </si>
  <si>
    <t>Cumulative Actual Expenditure</t>
  </si>
  <si>
    <t>Cost Grouping Number</t>
  </si>
  <si>
    <t>[Costing Dimension (Cost Grouping)]</t>
  </si>
  <si>
    <t>[Budget for Reporting Period]</t>
  </si>
  <si>
    <t>[Cumulative Budget]</t>
  </si>
  <si>
    <t>[Cost Grouping Number]</t>
  </si>
  <si>
    <t>Cost Input Number</t>
  </si>
  <si>
    <t>[Costing Dimension (Cost Input)]</t>
  </si>
  <si>
    <t>[Cost Input Number]</t>
  </si>
  <si>
    <t>1.1 Salaries - program management</t>
  </si>
  <si>
    <t>a2G1R000003PY4KUAW</t>
  </si>
  <si>
    <t>1.2 Salaries - outreach workers, medical staff and other service providers</t>
  </si>
  <si>
    <t>a2G1R000003PY4hUAG</t>
  </si>
  <si>
    <t>1.3 Performance-based supplements, incentives</t>
  </si>
  <si>
    <t>a2G1R000003PY4VUAW</t>
  </si>
  <si>
    <t>2.1 Training related per diems/transport/other costs</t>
  </si>
  <si>
    <t>a2G1R000003PY3XUAW</t>
  </si>
  <si>
    <t>2.2 Technical assistance-related per diems/transport/other costs</t>
  </si>
  <si>
    <t>a2G1R000003PY44UAG</t>
  </si>
  <si>
    <t>2.3 Supervision/surveys/data collection related per diems/transport/other costs</t>
  </si>
  <si>
    <t>a2G1R000003PY3iUAG</t>
  </si>
  <si>
    <t>2.4 Meeting/Advocacy related per diems/transport/other costs</t>
  </si>
  <si>
    <t>a2G1R000003PY3tUAG</t>
  </si>
  <si>
    <t>2.5 Other Transportation costs</t>
  </si>
  <si>
    <t>a2G1R000003PY3aUAG</t>
  </si>
  <si>
    <t>3.1 Technical Assistance Fees/Consultants</t>
  </si>
  <si>
    <t>a2G1R000003PY47UAG</t>
  </si>
  <si>
    <t>3.3 External audit fees</t>
  </si>
  <si>
    <t>a2G1R000003PY4TUAW</t>
  </si>
  <si>
    <t>3.4 Other external professional services</t>
  </si>
  <si>
    <t>a2G1R000003PY49UAG</t>
  </si>
  <si>
    <t>4.1 Antiretroviral medicines</t>
  </si>
  <si>
    <t>a2G1R000003PY4YUAW</t>
  </si>
  <si>
    <t>4.2 Anti-tuberculosis medicines</t>
  </si>
  <si>
    <t>a2G1R000003PY3zUAG</t>
  </si>
  <si>
    <t>4.5 Opportunistic infections and STI medicines</t>
  </si>
  <si>
    <t>a2G1R000003PY4vUAG</t>
  </si>
  <si>
    <t>4.7 Other medicines</t>
  </si>
  <si>
    <t>a2G1R000003PY4wUAG</t>
  </si>
  <si>
    <t>5.2 Condoms - Male</t>
  </si>
  <si>
    <t>a2G1R000003PY4fUAG</t>
  </si>
  <si>
    <t>5.3 Condoms - Female</t>
  </si>
  <si>
    <t>a2G1R000003PY4eUAG</t>
  </si>
  <si>
    <t>5.4 Rapid Diagnostic Test</t>
  </si>
  <si>
    <t>a2G1R000003PY3jUAG</t>
  </si>
  <si>
    <t>5.6 Laboratory reagents</t>
  </si>
  <si>
    <t>a2G1R000003PY3kUAG</t>
  </si>
  <si>
    <t>5.7 Syringes and needles</t>
  </si>
  <si>
    <t>a2G1R000003PY3hUAG</t>
  </si>
  <si>
    <t>5.8 Other consumables</t>
  </si>
  <si>
    <t>a2G1R000003PY3pUAG</t>
  </si>
  <si>
    <t>6.4 TB Molecular Test equipment</t>
  </si>
  <si>
    <t>a2G1R000003PY3cUAG</t>
  </si>
  <si>
    <t>6.5 Maintenance and service costs for health equipment</t>
  </si>
  <si>
    <t>a2G1R000003PY4zUAG</t>
  </si>
  <si>
    <t>6.6 Other health equipment</t>
  </si>
  <si>
    <t>a2G1R000003PY3lUAG</t>
  </si>
  <si>
    <t>7.1 Procurement agent and handling fees</t>
  </si>
  <si>
    <t>a2G1R000003PY3mUAG</t>
  </si>
  <si>
    <t>7.2 Freight and insurance costs (Health products)</t>
  </si>
  <si>
    <t>a2G1R000003PY3nUAG</t>
  </si>
  <si>
    <t>7.3 Warehouse and Storage Costs</t>
  </si>
  <si>
    <t>a2G1R000003PY3oUAG</t>
  </si>
  <si>
    <t>7.5 Quality assurance and quality control costs (QA/QC)</t>
  </si>
  <si>
    <t>a2G1R000003PY3fUAG</t>
  </si>
  <si>
    <t>8.1 Furniture</t>
  </si>
  <si>
    <t>a2G1R000003PY4OUAW</t>
  </si>
  <si>
    <t>8.2 Renovation/constructions</t>
  </si>
  <si>
    <t>a2G1R000003PY4SUAW</t>
  </si>
  <si>
    <t>9.1 IT - Computers, computer equipment, Software and applications</t>
  </si>
  <si>
    <t>a2G1R000003PY4PUAW</t>
  </si>
  <si>
    <t>9.2 Vehicles</t>
  </si>
  <si>
    <t>a2G1R000003PY4QUAW</t>
  </si>
  <si>
    <t>9.3 Other non-health equipment</t>
  </si>
  <si>
    <t>a2G1R000003PY4MUAW</t>
  </si>
  <si>
    <t>9.4 Maintenance and service costs non-health equipment</t>
  </si>
  <si>
    <t>a2G1R000003PY4GUAW</t>
  </si>
  <si>
    <t>10.1 Printed materials (forms, books, guidelines, brochure, leaflets...)</t>
  </si>
  <si>
    <t>a2G1R000003PY3uUAG</t>
  </si>
  <si>
    <t>10.2 Television/Radio spots and programmes</t>
  </si>
  <si>
    <t>a2G1R000003PY43UAG</t>
  </si>
  <si>
    <t>10.3 Promotional Material (t-shirts, mugs, pins...) and other CMP costs</t>
  </si>
  <si>
    <t>a2G1R000003PY3VUAW</t>
  </si>
  <si>
    <t>11.1 Office related costs</t>
  </si>
  <si>
    <t>a2G1R000003PY41UAG</t>
  </si>
  <si>
    <t>11.3 Indirect cost recovery (ICR) - % based</t>
  </si>
  <si>
    <t>a2G1R000003PY4LUAW</t>
  </si>
  <si>
    <t>11.4 Other PA costs</t>
  </si>
  <si>
    <t>a2G1R000003PY4RUAW</t>
  </si>
  <si>
    <t>12.2 Food and care packages</t>
  </si>
  <si>
    <t>a2G1R000003PY4EUAW</t>
  </si>
  <si>
    <t>12.3 Cash incentives/transfer to patients/beneficiaries/counsellors/mediators</t>
  </si>
  <si>
    <t>a2G1R000003PY3rUAG</t>
  </si>
  <si>
    <t>12.5 Other LSCTP costs</t>
  </si>
  <si>
    <t>a2G1R000003PY4DUAW</t>
  </si>
  <si>
    <t>Cost Input (Name)</t>
  </si>
  <si>
    <t>a2G1R000003PY5OUAW</t>
  </si>
  <si>
    <t>a2G1R000003PY5PUAW</t>
  </si>
  <si>
    <t>a2G1R000003PY5QUAW</t>
  </si>
  <si>
    <t>a2G1R000003PY5RUAW</t>
  </si>
  <si>
    <t>a2G1R000003PY5SUAW</t>
  </si>
  <si>
    <t>a2G1R000003PY5TUAW</t>
  </si>
  <si>
    <t>a2G1R000003PY5UUAW</t>
  </si>
  <si>
    <t>a2G1R000003PY5VUAW</t>
  </si>
  <si>
    <t>a2G1R000003PY5WUAW</t>
  </si>
  <si>
    <t>a2G1R000003PY5XUAW</t>
  </si>
  <si>
    <t>Modular Approach - Modules</t>
  </si>
  <si>
    <t>Modular Approach - Interventions</t>
  </si>
  <si>
    <t>a2G1R000003PY3SUAW</t>
  </si>
  <si>
    <t>Case detection and diagnosis</t>
  </si>
  <si>
    <t>a2G1R000003PY3YUAW</t>
  </si>
  <si>
    <t>Key populations (TB care and prevention) - Others</t>
  </si>
  <si>
    <t>a2G1R000003PY3sUAG</t>
  </si>
  <si>
    <t>Key populations (TB care and prevention) - Prisoners</t>
  </si>
  <si>
    <t>a2G1R000003PY3vUAG</t>
  </si>
  <si>
    <t>Prevention</t>
  </si>
  <si>
    <t>a2G1R000003PY3wUAG</t>
  </si>
  <si>
    <t>Treatment</t>
  </si>
  <si>
    <t>a2G1R000003PY3xUAG</t>
  </si>
  <si>
    <t>Community TB care delivery</t>
  </si>
  <si>
    <t>a2G1R000003PY42UAG</t>
  </si>
  <si>
    <t>Analysis, review and transparency</t>
  </si>
  <si>
    <t>a2G1R000003PY45UAG</t>
  </si>
  <si>
    <t>Surveys</t>
  </si>
  <si>
    <t>a2G1R000003PY4AUAW</t>
  </si>
  <si>
    <t>Routine reporting</t>
  </si>
  <si>
    <t>a2G1R000003PY4BUAW</t>
  </si>
  <si>
    <t>Treatment: MDR-TB</t>
  </si>
  <si>
    <t>a2G1R000003PY4CUAW</t>
  </si>
  <si>
    <t>TB/HIV collaborative interventions</t>
  </si>
  <si>
    <t>a2G1R000003PY4HUAW</t>
  </si>
  <si>
    <t>Program management</t>
  </si>
  <si>
    <t>Grant management</t>
  </si>
  <si>
    <t>a2G1R000003PY4IUAW</t>
  </si>
  <si>
    <t>Policy, planning, coordination and management of national disease control programs</t>
  </si>
  <si>
    <t>a2G1R000003PY4UUAW</t>
  </si>
  <si>
    <t>Prong 1: Primary prevention of HIV infection among women of childbearing age</t>
  </si>
  <si>
    <t>a2G1R000003PY4WUAW</t>
  </si>
  <si>
    <t>Prong 3: Preventing vertical HIV transmission</t>
  </si>
  <si>
    <t>a2G1R000003PY4XUAW</t>
  </si>
  <si>
    <t>Prong 4: Treatment, care and support to mothers living with HIV, their children and families</t>
  </si>
  <si>
    <t>a2G1R000003PY4ZUAW</t>
  </si>
  <si>
    <t>Prevention programs for general population</t>
  </si>
  <si>
    <t>Other intervention(s) for general population</t>
  </si>
  <si>
    <t>a2G1R000003PY4aUAG</t>
  </si>
  <si>
    <t>Other intervention(s) for PMTCT</t>
  </si>
  <si>
    <t>a2G1R000003PY4bUAG</t>
  </si>
  <si>
    <t>Behavioral interventions for MSM</t>
  </si>
  <si>
    <t>a2G1R000003PY4cUAG</t>
  </si>
  <si>
    <t>Condoms and lubricant programming for MSM</t>
  </si>
  <si>
    <t>a2G1R000003PY4dUAG</t>
  </si>
  <si>
    <t>Other intervention(s) for MSM</t>
  </si>
  <si>
    <t>a2G1R000003PY4gUAG</t>
  </si>
  <si>
    <t>Behavioral interventions for sex workers</t>
  </si>
  <si>
    <t>a2G1R000003PY4iUAG</t>
  </si>
  <si>
    <t>Condoms and lubricant programming for sex workers</t>
  </si>
  <si>
    <t>a2G1R000003PY4jUAG</t>
  </si>
  <si>
    <t>Other intervention(s) for sex workers and their clients</t>
  </si>
  <si>
    <t>a2G1R000003PY4kUAG</t>
  </si>
  <si>
    <t>Other intervention(s) for IDUs and their partners</t>
  </si>
  <si>
    <t>a2G1R000003PY4lUAG</t>
  </si>
  <si>
    <t>Behavioral interventions as part of programs for general population</t>
  </si>
  <si>
    <t>a2G1R000003PY4mUAG</t>
  </si>
  <si>
    <t>Prevention programs for other vulnerable populations</t>
  </si>
  <si>
    <t>HIV testing services for other vulnerable populations</t>
  </si>
  <si>
    <t>a2G1R000003PY4nUAG</t>
  </si>
  <si>
    <t>Differentiated HIV testing services</t>
  </si>
  <si>
    <t>a2G1R000003PY4oUAG</t>
  </si>
  <si>
    <t>RSSH: Integrated service delivery and quality improvement</t>
  </si>
  <si>
    <t>Laboratory systems for disease prevention, control, treatment and disease surveillance</t>
  </si>
  <si>
    <t>a2G1R000003PY4pUAG</t>
  </si>
  <si>
    <t>Program and data quality</t>
  </si>
  <si>
    <t>a2G1R000003PY4qUAG</t>
  </si>
  <si>
    <t>Counseling and psycho-social support</t>
  </si>
  <si>
    <t>a2G1R000003PY4rUAG</t>
  </si>
  <si>
    <t>Other intervention(s) for treatment</t>
  </si>
  <si>
    <t>a2G1R000003PY4sUAG</t>
  </si>
  <si>
    <t>Differentiated ART service delivery</t>
  </si>
  <si>
    <t>a2G1R000003PY4tUAG</t>
  </si>
  <si>
    <t>Prevention, diagnosis and treatment of opportunistic infections</t>
  </si>
  <si>
    <t>a2G1R000003PY4uUAG</t>
  </si>
  <si>
    <t>HIV care</t>
  </si>
  <si>
    <t>a2G1R000003PY4xUAG</t>
  </si>
  <si>
    <t>Treatment monitoring - Viral load</t>
  </si>
  <si>
    <t>a2G1R000003PY4yUAG</t>
  </si>
  <si>
    <t>Treatment monitoring - Drug resistance surveillance</t>
  </si>
  <si>
    <t>a2G1R000003PY50UAG</t>
  </si>
  <si>
    <t>HIV testing services for sex workers</t>
  </si>
  <si>
    <t>a2G1R000003PY51UAG</t>
  </si>
  <si>
    <t>Gender-based violence prevention and treatment programs for general population</t>
  </si>
  <si>
    <t>a2G1R000003PY52UAG</t>
  </si>
  <si>
    <t>Case detection and diagnosis: MDR-TB</t>
  </si>
  <si>
    <t>a2G1R000003PY53UAG</t>
  </si>
  <si>
    <t>Comprehensive programs for people in prisons and other closed settings</t>
  </si>
  <si>
    <t>Condoms and lubricant programming for people in prisons and other closed settings</t>
  </si>
  <si>
    <t>a2G1R000003PY54UAG</t>
  </si>
  <si>
    <t>Condoms and lubricant programming for PWID</t>
  </si>
  <si>
    <t>a2G1R000003PY55UAG</t>
  </si>
  <si>
    <t>Prevention programs for adolescents and youth, in and out of school</t>
  </si>
  <si>
    <t>Male and Female condoms for adolescents and youth, in and out of school</t>
  </si>
  <si>
    <t>a2G1R000003PY56UAG</t>
  </si>
  <si>
    <t>Male and female condoms for other vulnerable populations</t>
  </si>
  <si>
    <t>a2G1R000003PY57UAG</t>
  </si>
  <si>
    <t>ModuleName</t>
  </si>
  <si>
    <t>a2G1R000003PY59UAG</t>
  </si>
  <si>
    <t>a2G1R000003PY5AUAW</t>
  </si>
  <si>
    <t>a2G1R000003PY5BUAW</t>
  </si>
  <si>
    <t>a2G1R000003PY5CUAW</t>
  </si>
  <si>
    <t>a2G1R000003PY5DUAW</t>
  </si>
  <si>
    <t>a2G1R000003PY5EUAW</t>
  </si>
  <si>
    <t>a2G1R000003PY5FUAW</t>
  </si>
  <si>
    <t>a2G1R000003PY5GUAW</t>
  </si>
  <si>
    <t>a2G1R000003PY5HUAW</t>
  </si>
  <si>
    <t>a2G1R000003PY5IUAW</t>
  </si>
  <si>
    <t>a2G1R000003PY5JUAW</t>
  </si>
  <si>
    <t>a2G1R000003PY5KUAW</t>
  </si>
  <si>
    <t>a2G1R000003PY5LUAW</t>
  </si>
  <si>
    <t>a2G1R000003PY5MUAW</t>
  </si>
  <si>
    <t>a2G1R000003PY5NUAW</t>
  </si>
  <si>
    <t>Implementing Entity</t>
  </si>
  <si>
    <t>[Implementing Entity to display]</t>
  </si>
  <si>
    <t>[Full Type]</t>
  </si>
  <si>
    <t>Type of Recipient</t>
  </si>
  <si>
    <t>Red Cross Burundi</t>
  </si>
  <si>
    <t>-</t>
  </si>
  <si>
    <t>a2G1R000003PY3TUAW</t>
  </si>
  <si>
    <t>a2G1R000003PY3ZUAW</t>
  </si>
  <si>
    <t>a2G1R000003PY3dUAG</t>
  </si>
  <si>
    <t>PNLS /IST</t>
  </si>
  <si>
    <t>a2G1R000003PY48UAG</t>
  </si>
  <si>
    <t>`</t>
  </si>
  <si>
    <t>Section 7B.The Principal Recipient Expenditure Report Verified by the LFA</t>
  </si>
  <si>
    <t>Has the LFA Verified Principal Recipient Expenditure Report?</t>
  </si>
  <si>
    <t>A- BREAKDOWN BY COST GROUPING OR COST INPUT</t>
  </si>
  <si>
    <t>Current Reporting Period</t>
  </si>
  <si>
    <t>Cumulative for the Implementation Period</t>
  </si>
  <si>
    <t>Costing Dimension (Cost Grouping or Cost Input)</t>
  </si>
  <si>
    <t xml:space="preserve">Actual Expenditure </t>
  </si>
  <si>
    <t>Local Fund Agent Adjustment on Expenditures</t>
  </si>
  <si>
    <t>LFA comments on the Principal Recipient's explanation of variances</t>
  </si>
  <si>
    <t>NewCostgrp1</t>
  </si>
  <si>
    <t>NewCostgrp2</t>
  </si>
  <si>
    <t>NewCostgrp3</t>
  </si>
  <si>
    <t>NewCostgrp4</t>
  </si>
  <si>
    <t>NewCostgrp5</t>
  </si>
  <si>
    <t>NewCostgrp6</t>
  </si>
  <si>
    <t>NewCostgrp7</t>
  </si>
  <si>
    <t>NewCostgrp8</t>
  </si>
  <si>
    <t>NewCostgrp9</t>
  </si>
  <si>
    <t>NewCostgrp10</t>
  </si>
  <si>
    <t>B. BREAKDOWN BY INTERVENTIONS</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</si>
  <si>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</si>
  <si>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</si>
  <si>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</si>
  <si>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</si>
  <si>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</si>
  <si>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</si>
  <si>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</si>
  <si>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</si>
  <si>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</si>
  <si>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</si>
  <si>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</si>
  <si>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</si>
  <si>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</si>
  <si>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</si>
  <si>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</si>
  <si>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</si>
  <si>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 BREAKDOWN BY IMPLEMENTING ENTITY</t>
  </si>
  <si>
    <t>Costing Dimension (Cost Input)</t>
  </si>
  <si>
    <t>LFA Adjustment on Expenditures</t>
  </si>
  <si>
    <t>LFA Cumulative Expenditures</t>
  </si>
  <si>
    <t>Cost Input</t>
  </si>
  <si>
    <t>Intervention</t>
  </si>
  <si>
    <t>Has the LFA Verified the Principal Recipient Forecast?</t>
  </si>
  <si>
    <t>Local Fund Agent Adjusted Principal Recipient Forecast for the period (not including the Buffer)</t>
  </si>
  <si>
    <t>Local Fund Agent Adjusted Principal Recipient Forecast for the Buffer Period</t>
  </si>
  <si>
    <t>Local Fund Agent - Adjusted Forecast (including the buffer)</t>
  </si>
  <si>
    <t>Cette augmentation de  629572.59 s'explique par:
* les engagements de USD  35, 181.08 sur les act 120, 129, 210, 211, 212, 255, 265, 
* le budget  de USD 229,185.75 des périodes antérieures ramené dans cette période sur LB 102, 210, 211, 212, 252, 264, 267;
* les dépassements attendus de USD 457,359.46 sur LB 264, 266 et 267;
* les économies de USD -92,153.69 sur LB 266</t>
  </si>
  <si>
    <t>Augmentation du budget de USD 827,216.31  résultant : 
* des engagements de USD  15,353.87 sur LB 25, 195, 284, 285 et 286
* du budget  de USD 368,207.24 des périodes antérieures ramené dans cette période sur LB 1, 14, 15, 16, 17, 19, 34, 36, 38, 39, 41, 81,  101, 130, 134, 149,  162, 172,  177, 181, 182, 183, 187, 188, 189, 190, 197, 198, 201, 206, 209, 217, 219, 236, 253 ;
* des dépassements attendus de USD 213,726.18 sur LB  1, 2, 34, 36, 41, 57 , 263 ;
* les économies de USD  -9,705.05 sur LB 59,  169, 170, 171, 173, 174, 175, 176, 196,  20e7;
* des reprogrammations de USD 239,634.07 sur LB 304, 305, 309, 310, 311 et 312</t>
  </si>
  <si>
    <t>Augmentation du budget de USD 74365.48 s'expliquant par : 
* du budget  de USD 29,877.98 des périodes antérieures ramené dans cette période sur LB 51, 275 et 287;
* les dépassements attendus de USD 44,487.50 sur LB 275</t>
  </si>
  <si>
    <t>Cette diminution du budget de USD 827,804.21 s'explique par :
*  les engagements de USD  1,649,575.65 sur LB 21, 27, 52, 230, 
* les dépassements attendus de USD 400,000 sur LB 230
* les économies de USD -386,354.43 sur LB 21, 27, 52 et 61
* les sorties de fonds pour les périodes antérieures de USD -2,491,025.43 sur LB  220 et 230</t>
  </si>
  <si>
    <t xml:space="preserve">Cette augmentation de USD 450,555.66 s'explique par:
* les engagements de USD  1,357, 809.89 sur LB 5, 12, 28, 84, 89, 90, 97, 98, 99, 109, 110, 111 , 116, 123, 124, 143, 144, 154, 163, 238, 239
* le budget  de USD 125,697.98 des périodes antérieures ramené dans cette période sur LB 4, 5, 12, 98, 239, 246 et 247 
* les dépassements attendus de USD  360,283.87 sur LB 83, 97, 98, 123, 153 et 238 ;
* les économies de USD -890,432.68 sur LB 6, 28,  90, 99, 109, 110, 111, 116, 124, 154, 155 
*  les sorties de fonds pour les périodes antérieures de USD -502,803.4 sur LB, 83, 84, 163, </t>
  </si>
  <si>
    <t xml:space="preserve">Cette augmentation de USD 407,246.89 provient:
* des engagements de USD  127, 230.29 sur LB 7, 8,  237 et 288
* les dépassements attendus de USD 10,846.13 sur LB  237;
* les économies de USD -124,458.17 sur LB 7 et 8;
* des reprogrammations de USD 393,628.64 sur LB 295, 298, 300, 301, 303, 307 et 308 </t>
  </si>
  <si>
    <t>Il y a une augmentation de USD 9,188.84 s'expliquant par:
* les engagements de USD  332,281.03 sur LB  9, 10, 30, 53, 54, 55,  103, 118, 157,  165, 232,  241 et 244;
*   le budget  de USD 191,116.15 des périodes antérieures ramené dans cette période sur LB 11, 30, 31, 32,  78, 79, 86, 87, 119,  127, 147,  159, 161,  166, 224, 233,  240, 241,  242,  248, 250;
* les dépassements attendus de USD 330,616.97 sur LB 86, 87, 159, 160, 161, 233, 240,  241, 242, 243, 244, 245;
* les économies de USD -499,277.27 sur LB 9, 10, 29,33,  53, 54, 55, 56, 62,  6", 64, 65, 85, 91,  92, 93, 103, 104, 105, 112, 113, 114, 117, 118,  156, 157, 158, 164, 165, 167, 225, 226, 227, 228,  229, 231,   234;
*  les sorties de fonds pour les périodes antérieuresde USD 345,138.63 sur LB  222, 223 et 232
* les reprogrammations de USD 8,000 sur LB 306</t>
  </si>
  <si>
    <t>Cette augmentation du budget de USD 94,604.4 s'explique par:
* les engagements de USD  3,521.12  sur LB 178 et 271
* les dépassements attendus de USD 1,697.39 sur LB 178;
*  les sorties de fonds pour les périodes antérieures de USD -15,614.11 sur LB 178
* des reprogrammations de USD 105,000 sur LB 296 et 297</t>
  </si>
  <si>
    <t>Cette augmentation de USD 122,632.30 comprend:
* les engagements de USD  22, 690.86 sur LB 22, 23, 43,  132, 140 et 152
* le budget  de USD 99,941.44 des périodes antérieures ramené dans cette période sur LB 18, 22, 23,  43,  133, 152,  199 et 200</t>
  </si>
  <si>
    <t>Cette augmentation du budget de USD  274,325.34 s'explique par:
* les engagements de USD  325,111.48 sur LB 26, 131,  258, 259, 273 et 282
* le budget  de USD 146,252.88 des périodes antérieures ramené dans cette période sur LB 26,  69, 100,  128, 259, 273;
* les dépassements attendus de USD 143,641.85 sur LB 69, 282
*  les économies de USD -145,959.94 sur LB  179, 254 et 282
*  les sorties de fonds pour les périodes antérieures de USD -234,820.71 sur LB 282
*les reprogrammations de USD 41,975.36 sur LB  277 et 282</t>
  </si>
  <si>
    <t xml:space="preserve">Cette augmentation  de USD 515,845.17 s'explique par:
* les engagements de USD  74.09 sur LB 47
* le budget  de USD 515,771.08 des périodes antérieures ramené dans cette période sur LB 13, 44, et 218
</t>
  </si>
  <si>
    <t>Aucun changement</t>
  </si>
  <si>
    <t xml:space="preserve">Il y a une augmentation du budget de USD 447,434.83 résultant:
* des engagements de USD  177,046.62 sur les act  5, 7, 8, 9, 10, 12, 28 et 288;
  * du budget  des périodes antérieures ramené dans cette période pour USD 65,690.49  concernant les act 1, 4, 5, 11, 12, 13;
* les dépassements attendus de USD 30,352.49 sur LB 1 et 2;
*  les économies de USD -165,283.41 sur LB  6, 7, 8, 9, 10, 28, 33;
* les reprogrammations de USD  339,628.64 sur LB 295, 296, 297, 298, 300, 301 </t>
  </si>
  <si>
    <t xml:space="preserve">Augmentation du budget de USD 63,396..22  suite à l'ajout des budgets des périodes antérieures pour les act  14, 15, 16, 17, 18 </t>
  </si>
  <si>
    <t>Augmentation de 3,814.82 provenant du budget de la période antérieure ramené dans cette période (LB 19)</t>
  </si>
  <si>
    <t xml:space="preserve">Augmentation du budget de USD  117,043.61 provenant:
* des engagements de USD  342,741.13 sur LB 21, 26, 27 et 30;
 * du budget  des périodes antérieures ramené dans cette période pour USD 26,422.3 sur LB 26, 30,  31 et 32;
 * des économies de USD -252,119, 81 sur 21, 27,  29, </t>
  </si>
  <si>
    <t>L'augmentation de USD 23,614.44 s'explique par:
* les engagements de USD 15,202.19 sur LB 22,23, 25, 
 * le  budget  des périodes antérieures ramené dans cette période pour USD 8,412.25 sur LB 22 et 23</t>
  </si>
  <si>
    <t xml:space="preserve">Augmentation de USD 47,123.41 due :
* aux engagements de USD 478.79  sur LB 195;
 * au budget  des périodes antérieures ramené dans cette période pour USD 54,913.26 sur 172, 177, 181, 182, 183, 187,  188, 189, 190 et 194;
* aux économies de USD -8,268.64 sur LB 169, 170, 171, 174, 175, 176, 179, </t>
  </si>
  <si>
    <t>Ce montant s'explique par:
*  le  budget  des périodes antérieures ramené dans cette période pour USD 128,041.75  relatif à l'étude sur la résistance (LB 36)
* le dépassement éventuel de USD 80,000 sur la meme étude (LB 44)</t>
  </si>
  <si>
    <t xml:space="preserve">Il y a une augmentation de USD 104,458.38 s'expliquant par:
* les engagements de USD 7,326.33 sur LB 43;
* le  budget  des périodes antérieures ramené dans cette période pour USD 10,879.46 sur LB 41 et 43
* le dépassement éventuel de USD 86,252.6 sur LB 41 et 42
 </t>
  </si>
  <si>
    <t>Il y a une diminution de USD -68,384.93 s'expliquant par:
*  les engagements de USD 78,619.04 sur LB 47,52, 53, 54 et 55; 
 * le  budget  des périodes antérieures ramené dans cette période pour USD 27,980.82 sur LB 44 et 51 ;
* aux économies de USD -174,984.78 sur LB 52, 53, 54, 55 et 56</t>
  </si>
  <si>
    <t>Diminution de USD -942.26 résultant:
* du dépassement éventuel de USD 536.71 sur LB 57;
* du  budget  des périodes antérieures ramené dans cette période pour USD 5,275.75  sur LB 253
* des économies de USD -6,754.72 sur LB 59, 61, 62, 63, 64, 65</t>
  </si>
  <si>
    <t>Augmentation de USD 766,083.32 résultant:
* des engagements de USD 302,261.1 sur LB 178, 265, 271, 273 et 282;
* du budget  des périodes antérieures ramené dans cette période pour USD  264,793.97 sur LB 100, 128, 264, 267, 273, 275, 287 et 282;
* les dépassements de USD 640,737.24 sur LB  178, 263, 265, 266, 267, 275, 282;
* les économies de USD - 232,660.87 sur LB 266 et 282;
* les sorties de fonds pour les périodes antérieures de USD -250,434.82 sur LB 178 et 282;
* les reprogrammations de USD 41,386.7 sur LB 277 et 282</t>
  </si>
  <si>
    <t>Augmentation de USD 56,012.41 due :
* aux engagements de USD 21,867.68  sur LB 255, 258, 259, 
 * au budget  des périodes antérieures ramené dans cette période pour USD 19,101.15 sur LB 69 et 259;
*  au dépassement de USD 15,243.57 sur LB 69 et 258
* aux économies de USD -200 sur LB 254</t>
  </si>
  <si>
    <t xml:space="preserve">Diminution du budget de USD -586.2 s'expliquant par:
* le budget  des périodes antérieures ramené dans cette période pour USD 18,730.65 sur LB  78, 79, 86 et 87;
* les dépassements de USD 155,439.16 sur LB 83,86 et 87
* les économies de Usd -2,106 sur LB 85;
* les sorties de fonds pour les périodes antérieures de USD 172,650 sur LB 83;
</t>
  </si>
  <si>
    <t>Il y a une augmentation de USD 4,343.18 résultant du  budget  des périodes antérieures ramené dans cette période sur LB  81</t>
  </si>
  <si>
    <t xml:space="preserve">On note une augmentation du budget de USD 405,478.33 s'expliquant par:
* les engagements de USD 607,269.74 sur LB 84, 116, 118 et 152;
*  le budget  des périodes antérieures ramené dans cette période pour USD 6,827.90 sur LB 119 et 152;
* les économies de USD -63,105.77 sur LB 116, 117 et 118;
* les sorties de fonds des périodes antérieures pour USD -145,513.54 </t>
  </si>
  <si>
    <t>Il y a une augmentation de USD 136,458.22 s'expliquant par :
*  les engagements de USD 165,387.88 sur LB  97, 98, 99 et 103;
*  le budget  des périodes antérieures ramené dans cette période pour USD 1,051 sur LB 98;
* le dépassement éventuel de USD 7,052.99 sur LB 97 et 98;
* les économies de USD -37,033.66 sur 99, 103, 104, 105</t>
  </si>
  <si>
    <t>Il y a une augmentation de USD 222,173.75 s'expliquant par :
*  les engagements de USD 2,163.31 sur LB 284;
*  le budget  des périodes antérieures ramené dans cette période pour USD 3,510.9 sur LB 101 et 102;
* la reprogrammation de USD 216,499.54 relative à l'enquete IBBS (LB 312)</t>
  </si>
  <si>
    <t>On note une diminution de USD -574,704.23 résultant:
* des engagements de USD 402,899.22 sur LB 109, 110 et 111;
*  des économies de USD 977,603.45 sur LB 109, 110, 111, 112, 113, 114</t>
  </si>
  <si>
    <t xml:space="preserve">Cette augmentation résulte du fait qu'un budget  de USD 5132.56 des périodes antérieures a été ramené dans cette période sur les act 120 et 285 </t>
  </si>
  <si>
    <t xml:space="preserve">Augmentation du budget de USD 10,255.71 s'expliquant par:
* les engagements de USD 7,557.54 sur LB  129, 131 et 286
* le budget  des périodes antérieures ramené dans cette période pour USD 2,698.17  sur LB 130
</t>
  </si>
  <si>
    <t>Il y a une augmentation de USD 17,492.01 s'expliquant par :
* les engagements de USD 6,159.38 sur LB 132, 136 et 140;
 * le  budget  des périodes antérieures ramené dans cette période pour USD 11,332. 63 sur LB 133 et 135;</t>
  </si>
  <si>
    <t>Augmentation de USD 139,906.52 s'expliquant par : 
*  les engagements de USD 634.57 sur LB  154;
* le  budget  des périodes antérieures ramené dans cette période pour USD  2,183.02  sur LB 159  et 161;
* les dépassements de USD 139,778.28 sur LB 153, 159, 160;
* les économies de USD -2,689.35 sur LB  154 et 155</t>
  </si>
  <si>
    <t>Une diminution du budget de USD-164,469.76 s'expliquant par:
* les engagements de USD 43,999.89 sur LB 163 et 165
* le budget  des périodes antérieures ramené dans cette période pour USD 11,399.49 sur LB  162 et 166;
* les économies de USD -35,229.28  sur LB 164 et 165;
* les sorties de fonds pour les périodes antérieures de USD -184,639.86 sur LB  163</t>
  </si>
  <si>
    <t xml:space="preserve">On note une augmentation de USD 94,184.94 s'expliquant par:
* le  budget  des périodes antérieures ramené dans cette période pour USD 96,456.58 sur LB 38, 39, 197, 198, 199, 200, 201,  206, 209;
* les économies de USD -2,271.63 sur LB 196 et 207
</t>
  </si>
  <si>
    <t>Il y a une augmentation de USD 46,794.63 résultant :
* des engagements de USD 19,490.53 sur LB  210, 211 et 212;
* du  budget  des périodes antérieures ramené dans cette période pour USD  27,304.1 sur LB 210, 211 et 212;</t>
  </si>
  <si>
    <t>Augmentation de USD 65105.91 s'expliquant par le  budget  des périodes antérieures ramené dans cette période sur LB 252</t>
  </si>
  <si>
    <t xml:space="preserve">L'augmentation de USD 521,913.24 provient  du budget  des périodes antérieures ramené dans cette période sur LB 217 et 218
</t>
  </si>
  <si>
    <t>On note une diminution de USD -77,181.41 résultant:
* du budget  des périodes antérieures ramené dans cette période pour USD 16,531. 45 sur LB  219 et 224;
*  des économies de USD 5,951.5 sur LB 225, 226, 227, 228, 229
* des sorties de fonds pour les périodes antérieures pour USD -87,761.36 sur LB 220, 222 et 223</t>
  </si>
  <si>
    <t>Il y a une diminution du budget de USD -1,081,860.66 s'expliquant par :
* les engagements de USD 1,332,290.6 sur LB 230 et 232;
* le budget des périodes antérieures a été ramenée dans cette période de USD 45,437.58 sur LB 233;
* les dépassements de USD 462,075 sur LB 230 et 233;
* les économies de USD -173,261.14 sur LB 231 et 234;
* les sorties de fonds des périodes antérieures pour USD -2,748,402.7 sur LB 230, 232,</t>
  </si>
  <si>
    <t>On note une augmentation de USD 800,902.39 s'expliquant par :
* les engagements de USD 261,344.53 sur LB 237, 238, 239, 241 et 244;
* le  budget  des périodes antérieures ramené dans cette période de USD 162,024.03 sur LB 236, 239, 240, 241, 242;
* les dépassements de USD  337, 399.29 sur LB 237, 238, 240, 241, 242, 243, 244 et 245;
* les reprogrammations de USD 40,134.53 sur LB 304, 305, 306, 307, 308, 309, 310 et 311</t>
  </si>
  <si>
    <t xml:space="preserve">L'augmentation du budget de USD 5,563.06 provient du budget  des périodes antérieures ramené dans cette période pour USD 5,563.06 sur LB 246, 247, 248, 249, 250;
</t>
  </si>
  <si>
    <t>Augmentation du budget de USD 1,851.61 car  une partie du budget des périodes antérieures a été ramenée dans cette période pour USD 1,851.61 sur LB 149</t>
  </si>
  <si>
    <t xml:space="preserve">Ce montant s'explique par :
*  le  budget  des périodes antérieures ramené dans cette période pour USD 19,768.34 sur LB 34
* le dépassement éventuel de USD 8,356.14 sur LB  34
* la programmation de USD 150,000 relative à l'act 303 </t>
  </si>
  <si>
    <t>Diminution de USD -3,510.63 due:
* aux  engagements de USD 3,677.92 sur LB  89 et 90
* aux économies de USD -7,188.55 sur LB 90, 91, 92, 93</t>
  </si>
  <si>
    <t>Augmentation du budget de USD 214.04 s'expliquant par :
*les engagements de USD 366.35 sur LB 123 et 124
*  le  budget  des périodes antérieures ramené dans cette période pour USD 35.4
* le dépassement éventuel de USD 2.25 sur LB  123
* les économies de USD -189.96 sur LB  124</t>
  </si>
  <si>
    <t>L'augmentation de USD 56,567.34 s'explique par:
* les engagements de USD  53,873.66 sur LB 143 
 * le  budget  des périodes antérieures ramené dans cette période pour USD 2,693.68 sur LB 147</t>
  </si>
  <si>
    <t xml:space="preserve">On note une augmentation de USD 10,188.75 résultant :
*des engagements de USD 11,038.81 sur LB  144 et 157
* des économies de USD 850.06 sur LB  156, 157, 158, </t>
  </si>
  <si>
    <t>IE1</t>
  </si>
  <si>
    <t xml:space="preserve">L'augmentation de USD 464,493.26 provient:
* des engagements de USD 87,955.27 relatifs aux LB 22, 23, 25, 43, 120, 129, 131, 132,  136, 140, 195, 210, 211, 212, 255, 259, 265, 284, 285, 286 
* le budget  de USD 106,120.70 des périodes antérieures ramené dans cette période sur LB  13, 14, 15, 16, 17, 19, 22, 23, 43, 101, 102, 128, 130, 134, 135, 172,  </t>
  </si>
  <si>
    <t>IE2</t>
  </si>
  <si>
    <t>On note une augmentation du budget de USD 538,261.33 s'expliquant par:
* les engagements de USD 28,198.29 relatifs à l'achat d'une hotte (LB 288);
* le budget  de USD 209,359.55 des périodes antérieures ramené dans cette période sur LB 1, 34, 36, 38, 39, 41, 69,
* les dépassements attendus de USD  304,458.29 relatifs aux LB 1, 2, 34, 36,57, 69,  266;
* les économies de USD -3,828.88 sur LB 59</t>
  </si>
  <si>
    <t>IE3</t>
  </si>
  <si>
    <t xml:space="preserve">On note une  augmentation de USD 585,449.83 s'expliquant par :
* les engagements de USD 3,742,950.23 sur LB 5, 7, 8, 9, 10,  12, 21,  26, 27, 28,  30, 52, 53, 54, 55, 84, 89,90, 97, 98,  99, 103, 109, 110,  111,  116, 118, 123, 124, 143, 144,  157, 163, 165,  230, 232, 238, 239, 241,  244, 271, 273 et 282
* le budget  de USD 583,179.43 des périodes antérieures ramené dans cette période sur LB  4, 5, 11, 12, 18, 26, 30, 31, 32, 44, 51 , 78, 79,  86, 87, 98,  119, 126, 127,  147, 159, 161,  166, 188, 189, 209, 224,  233, 239, 240, 241, 242, 246, 247, 248, 249, 250, 267, 273, 275  et 282
* les dépassements attendus pour USD 1,334,532.14 sur LB 83, 86, 87, 97, 98,  123, 153,  159, 160,161,  230, 232, 240, 241, 242, 243, 244, 245, 267, 275 et 282  
* les économies de USD -2,041,029.73 sur LB 6, 7, 8, 9, 10, 21, 27, 28, 29, 33, 52, 53, 54, 55, 56, 61, 62, 63, 64, 65, 85, 90, 91, 92, 93, 103, 104, 105,  109, 110, 111, 112, 113, 114, 116, 117,  118, 124, 155, 156, 157, 158, 164, 165, 225, 226, 227, 228, 229,  231, 234 et 282
* les sorties de fonds pour les périodes antérieures 3,573, 788.17 sur LB 83, 84,  163,  220, 222, 223, 230, 232 et 282
* les reprogrammations pour USD 548,604 sur LB 277, 295, 296, 297, 298, 300, 301, 303, 306, 307, 308 et 282 </t>
  </si>
  <si>
    <t>IE4</t>
  </si>
  <si>
    <t>L'augmentation de USD 991,419.95 comprend:
* les engagements de USD  9,651.48 relatifs aux LB 152, 178, 258
* le budget  de USD 806,824.24 des périodes antérieures ramené dans cette période sur LB 81, 149, 152, 162, 177, 181, 182, 183,  187, 190, 194, 197, 199, 200, 206, 217, 218, 219, 236, 252, 253, 264 et 287;
* les dépassements attendus pour USD 50,213.70  sur LB 41, 178, 258, 263;
* les économies de USD  -99,289.42 sur LB 179, 196, 207, 254 et 266
* les sorties de fonds pour les périodes antérieures de USD 15,614.11 pour LB 178;
* les reprogrammations de USD 239,634.07 pour les activités 304, 305,  309, 310, 311 et 312</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</si>
  <si>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</si>
  <si>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</si>
  <si>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</si>
  <si>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</si>
  <si>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</si>
  <si>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</si>
  <si>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</si>
  <si>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</si>
  <si>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</si>
  <si>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</si>
  <si>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</si>
  <si>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</si>
  <si>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</si>
  <si>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</si>
  <si>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</si>
  <si>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</si>
  <si>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</si>
  <si>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</si>
  <si>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</si>
  <si>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</si>
  <si>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</si>
  <si>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</si>
  <si>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</si>
  <si>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</si>
  <si>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</si>
  <si>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</si>
  <si>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</si>
  <si>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</si>
  <si>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</si>
  <si>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</si>
  <si>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</si>
  <si>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</si>
  <si>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</si>
  <si>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</si>
  <si>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</si>
  <si>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</si>
  <si>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</si>
  <si>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</si>
  <si>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</si>
  <si>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</si>
  <si>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</si>
  <si>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</si>
  <si>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</si>
  <si>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</si>
  <si>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</si>
  <si>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</si>
  <si>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Summary Breakdown by Quarter</t>
  </si>
  <si>
    <t xml:space="preserve">Calendar Period </t>
  </si>
  <si>
    <t>Approved Budget</t>
  </si>
  <si>
    <t>Forecasted Direct Disbursement</t>
  </si>
  <si>
    <t>Forecasted Disbursement to Principal Recipient</t>
  </si>
  <si>
    <t>PPM/eMP (Wambo.org) forecasted Amount</t>
  </si>
  <si>
    <t>Local Fund Agent</t>
  </si>
  <si>
    <t xml:space="preserve">Validation of Principal Recipient Grand Total </t>
  </si>
  <si>
    <t xml:space="preserve">Validation of Local Fund Agent Grand Total </t>
  </si>
  <si>
    <t>Cash Forecast '!E53+'Cash Forecast '!D53+'Cash Forecast '!C53-B14-B15-B16+D23+D24,D13)))</t>
  </si>
  <si>
    <t>Section 8A: The Global Fund  Forecast Template</t>
  </si>
  <si>
    <t>Summary Breakdown by Cost Grouping</t>
  </si>
  <si>
    <t>[LFA Cumulative Expenditures]</t>
  </si>
  <si>
    <t>Budget for Forecast Period</t>
  </si>
  <si>
    <t>Principal Recipient Forecast for the period (not including the Buffer)</t>
  </si>
  <si>
    <t>Budget for the Buffer Period</t>
  </si>
  <si>
    <t>Principal Recipient Forecast for the Buffer Period</t>
  </si>
  <si>
    <t>Total Principal Recipient Forecast (including Buffer)</t>
  </si>
  <si>
    <t>[Budget for Forecast Period]</t>
  </si>
  <si>
    <t>[Budget for the Buffer Period]</t>
  </si>
  <si>
    <t>1. Human Resources (HR)</t>
  </si>
  <si>
    <t>a3y1R000002i65aQAA</t>
  </si>
  <si>
    <t>2. Travel related costs (TRC)</t>
  </si>
  <si>
    <t>a3y1R000002i65CQAQ</t>
  </si>
  <si>
    <t>3. External Professional services (EPS)</t>
  </si>
  <si>
    <t>a3y1R000002i65SQAQ</t>
  </si>
  <si>
    <t>4. Health Products - Pharmaceutical Products (HPPP)</t>
  </si>
  <si>
    <t>a3y1R000002i65OQAQ</t>
  </si>
  <si>
    <t>5. Health Products - Non-Pharmaceuticals (HPNP)</t>
  </si>
  <si>
    <t>a3y1R000002i65IQAQ</t>
  </si>
  <si>
    <t>6. Health Products - Equipment (HPE)</t>
  </si>
  <si>
    <t>a3y1R000002i65FQAQ</t>
  </si>
  <si>
    <t>7. Procurement and Supply-Chain Management costs (PSM)</t>
  </si>
  <si>
    <t>a3y1R000002i65HQAQ</t>
  </si>
  <si>
    <t>8. Infrastructure (INF)</t>
  </si>
  <si>
    <t>a3y1R000002i65bQAA</t>
  </si>
  <si>
    <t>9. Non-health equipment (NHP)</t>
  </si>
  <si>
    <t>a3y1R000002i65XQAQ</t>
  </si>
  <si>
    <t>10. Communication Material and Publications (CMP)</t>
  </si>
  <si>
    <t>a3y1R000002i65BQAQ</t>
  </si>
  <si>
    <t>11. Indirect and Overhead Costs</t>
  </si>
  <si>
    <t>a3y1R000002i65PQAQ</t>
  </si>
  <si>
    <t>12. Living support to client/ target population (LSCTP)</t>
  </si>
  <si>
    <t>a3y1R000002i65JQAQ</t>
  </si>
  <si>
    <t>13. Payment for Results</t>
  </si>
  <si>
    <t>a3y1R000002i668QAA</t>
  </si>
  <si>
    <t>Summary Breakdown by Interventions</t>
  </si>
  <si>
    <t>[PR Comments]</t>
  </si>
  <si>
    <t>a3y1R000002i659QAA</t>
  </si>
  <si>
    <t>a3y1R000002i65DQAQ</t>
  </si>
  <si>
    <t>a3y1R000002i65KQAQ</t>
  </si>
  <si>
    <t>a3y1R000002i65LQAQ</t>
  </si>
  <si>
    <t>a3y1R000002i65MQAQ</t>
  </si>
  <si>
    <t>a3y1R000002i65NQAQ</t>
  </si>
  <si>
    <t>a3y1R000002i65QQAQ</t>
  </si>
  <si>
    <t>a3y1R000002i65RQAQ</t>
  </si>
  <si>
    <t>a3y1R000002i65UQAQ</t>
  </si>
  <si>
    <t>a3y1R000002i65VQAQ</t>
  </si>
  <si>
    <t>a3y1R000002i65WQAQ</t>
  </si>
  <si>
    <t>a3y1R000002i65YQAQ</t>
  </si>
  <si>
    <t>a3y1R000002i65ZQAQ</t>
  </si>
  <si>
    <t>a3y1R000002i65cQAA</t>
  </si>
  <si>
    <t>a3y1R000002i65dQAA</t>
  </si>
  <si>
    <t>a3y1R000002i65eQAA</t>
  </si>
  <si>
    <t>a3y1R000002i65fQAA</t>
  </si>
  <si>
    <t>a3y1R000002i65gQAA</t>
  </si>
  <si>
    <t>a3y1R000002i65hQAA</t>
  </si>
  <si>
    <t>a3y1R000002i65iQAA</t>
  </si>
  <si>
    <t>a3y1R000002i65jQAA</t>
  </si>
  <si>
    <t>a3y1R000002i65kQAA</t>
  </si>
  <si>
    <t>a3y1R000002i65lQAA</t>
  </si>
  <si>
    <t>a3y1R000002i65mQAA</t>
  </si>
  <si>
    <t>a3y1R000002i65nQAA</t>
  </si>
  <si>
    <t>a3y1R000002i65oQAA</t>
  </si>
  <si>
    <t>a3y1R000002i65pQAA</t>
  </si>
  <si>
    <t>a3y1R000002i65qQAA</t>
  </si>
  <si>
    <t>a3y1R000002i65rQAA</t>
  </si>
  <si>
    <t>a3y1R000002i65sQAA</t>
  </si>
  <si>
    <t>a3y1R000002i65tQAA</t>
  </si>
  <si>
    <t>a3y1R000002i65uQAA</t>
  </si>
  <si>
    <t>a3y1R000002i65vQAA</t>
  </si>
  <si>
    <t>a3y1R000002i65wQAA</t>
  </si>
  <si>
    <t>a3y1R000002i65xQAA</t>
  </si>
  <si>
    <t>a3y1R000002i65yQAA</t>
  </si>
  <si>
    <t>a3y1R000002i65zQAA</t>
  </si>
  <si>
    <t>a3y1R000002i660QAA</t>
  </si>
  <si>
    <t>a3y1R000002i661QAA</t>
  </si>
  <si>
    <t>a3y1R000002i662QAA</t>
  </si>
  <si>
    <t>a3y1R000002i663QAA</t>
  </si>
  <si>
    <t>a3y1R000002i664QAA</t>
  </si>
  <si>
    <t>a3y1R000002i665QAA</t>
  </si>
  <si>
    <t>a3y1R000002i666QAA</t>
  </si>
  <si>
    <t>a3y1R000002i667QAA</t>
  </si>
  <si>
    <t>PR Forecast for the period</t>
  </si>
  <si>
    <t>PR Forecast for the Buffer Period</t>
  </si>
  <si>
    <t>LFA Adjusted Forecast for the period</t>
  </si>
  <si>
    <t>LFA Adj. Forecast for the Buffer period</t>
  </si>
  <si>
    <t>[LFA Comments]</t>
  </si>
  <si>
    <t>a3y1R000002i669QAA</t>
  </si>
  <si>
    <t>a3y1R000002i66AQAQ</t>
  </si>
  <si>
    <t>a3y1R000002i66BQAQ</t>
  </si>
  <si>
    <t>a3y1R000002i66CQAQ</t>
  </si>
  <si>
    <t>a3y1R000002i66DQAQ</t>
  </si>
  <si>
    <t>a3y1R000002i66EQAQ</t>
  </si>
  <si>
    <t>a3y1R000002i66FQAQ</t>
  </si>
  <si>
    <t>a3y1R000002i66GQAQ</t>
  </si>
  <si>
    <t>a3y1R000002i66HQAQ</t>
  </si>
  <si>
    <t>a3y1R000002i66IQAQ</t>
  </si>
  <si>
    <t>a3y1R000002i66JQAQ</t>
  </si>
  <si>
    <t>a3y1R000002i66KQAQ</t>
  </si>
  <si>
    <t>a3y1R000002i66LQAQ</t>
  </si>
  <si>
    <t>a3y1R000002i66MQAQ</t>
  </si>
  <si>
    <t>a3y1R000002i66NQAQ</t>
  </si>
  <si>
    <t>a3y1R000002i66OQAQ</t>
  </si>
  <si>
    <t>a3y1R000002i66PQAQ</t>
  </si>
  <si>
    <t>a3y1R000002i66QQAQ</t>
  </si>
  <si>
    <t>a3y1R000002i66RQAQ</t>
  </si>
  <si>
    <t>a3y1R000002i66SQAQ</t>
  </si>
  <si>
    <t>a3y1R000002i66TQAQ</t>
  </si>
  <si>
    <t>a3y1R000002i66UQAQ</t>
  </si>
  <si>
    <t>a3y1R000002i66VQAQ</t>
  </si>
  <si>
    <t>a3y1R000002i66WQAQ</t>
  </si>
  <si>
    <t>a3y1R000002i66XQAQ</t>
  </si>
  <si>
    <t>Summary Breakdown by Implementing Entity</t>
  </si>
  <si>
    <t>[Implementing Entity]</t>
  </si>
  <si>
    <t>a3y1R000002i65AQAQ</t>
  </si>
  <si>
    <t>a3y1R000002i65EQAQ</t>
  </si>
  <si>
    <t>a3y1R000002i65GQAQ</t>
  </si>
  <si>
    <t>a3y1R000002i65TQAQ</t>
  </si>
  <si>
    <t>Quarterly Cash Forecast Name</t>
  </si>
  <si>
    <t>Forecast Q1</t>
  </si>
  <si>
    <t>Forecast Q2</t>
  </si>
  <si>
    <t>Forecast Q3</t>
  </si>
  <si>
    <t>Forecast Q4</t>
  </si>
  <si>
    <t>Buffer Q1</t>
  </si>
  <si>
    <t>Buffer Q2</t>
  </si>
  <si>
    <t>[Quarterly Cash Forecast Name]</t>
  </si>
  <si>
    <t>[Forecast Q1]</t>
  </si>
  <si>
    <t>[Forecast Q2]</t>
  </si>
  <si>
    <t>[Forecast Q3]</t>
  </si>
  <si>
    <t>[Forecast Q4]</t>
  </si>
  <si>
    <t>[Buffer Q1]</t>
  </si>
  <si>
    <t>[Buffer Q2]</t>
  </si>
  <si>
    <t>a4A1R000002G7MJUA0</t>
  </si>
  <si>
    <t>a4A1R000002G7MKUA0</t>
  </si>
  <si>
    <t>a4A1R000002G7MLUA0</t>
  </si>
  <si>
    <t>a4A1R000002G7MMUA0</t>
  </si>
  <si>
    <t>a4A1R000002G7MNUA0</t>
  </si>
  <si>
    <t>a4A1R000002G7MOUA0</t>
  </si>
  <si>
    <t>a4A1R000002G7MPUA0</t>
  </si>
  <si>
    <t>Reporting period</t>
  </si>
  <si>
    <t>Time Object -Forecast</t>
  </si>
  <si>
    <t>Time ID</t>
  </si>
  <si>
    <t>Start Date</t>
  </si>
  <si>
    <t>End date</t>
  </si>
  <si>
    <t>[Time ID]</t>
  </si>
  <si>
    <t>[Start Date]</t>
  </si>
  <si>
    <t>[End date]</t>
  </si>
  <si>
    <t>TIME-15790</t>
  </si>
  <si>
    <t>a2T36000002j6fkEAA</t>
  </si>
  <si>
    <t>TIME-15791</t>
  </si>
  <si>
    <t>a2T36000002j6flEAA</t>
  </si>
  <si>
    <t>TIME-15792</t>
  </si>
  <si>
    <t>a2T36000002j6fmEAA</t>
  </si>
  <si>
    <t>TIME-15793</t>
  </si>
  <si>
    <t>a2T36000002j6fnEAA</t>
  </si>
  <si>
    <t>Time Object - Buffer</t>
  </si>
  <si>
    <t>Translations</t>
  </si>
  <si>
    <t>Tab name</t>
  </si>
  <si>
    <t>Key</t>
  </si>
  <si>
    <t xml:space="preserve">English Value </t>
  </si>
  <si>
    <t xml:space="preserve">French Value </t>
  </si>
  <si>
    <t xml:space="preserve">Spanish Value </t>
  </si>
  <si>
    <t>Cover Sheet</t>
  </si>
  <si>
    <t>Cover Sheet 1</t>
  </si>
  <si>
    <t>Progress Report with Disbursement Request</t>
  </si>
  <si>
    <t>Rapport périodique sur les résultats actuels et demande de décaissement</t>
  </si>
  <si>
    <t>Informe de progreso y solicitud de desembolso</t>
  </si>
  <si>
    <t>Cover Sheet 2</t>
  </si>
  <si>
    <t>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</si>
  <si>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</si>
  <si>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</si>
  <si>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</si>
  <si>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GENERAL GRANT INFORMATION</t>
  </si>
  <si>
    <t>RENSEIGNEMENTS GÉNÉRAUX SUR LA SUBVENTION</t>
  </si>
  <si>
    <t>INFORMACIÓN GENERAL SOBRE LA SUBVENCIÓN</t>
  </si>
  <si>
    <t>Cover Sheet 4</t>
  </si>
  <si>
    <t>Country:</t>
  </si>
  <si>
    <t>Pays :</t>
  </si>
  <si>
    <t>País:</t>
  </si>
  <si>
    <t>Cover Sheet 5</t>
  </si>
  <si>
    <t>(Disease) Component</t>
  </si>
  <si>
    <t>Composante (maladie)</t>
  </si>
  <si>
    <t>Componente (enfermedad):</t>
  </si>
  <si>
    <t>Cover Sheet 6</t>
  </si>
  <si>
    <t>Grant Name/Number:</t>
  </si>
  <si>
    <t>Nom/numéro de la subvention :</t>
  </si>
  <si>
    <t>Nombre o número de la subvención:</t>
  </si>
  <si>
    <t>Cover Sheet 7</t>
  </si>
  <si>
    <t>Principal Recipient:</t>
  </si>
  <si>
    <t>Récipiendaire principal:</t>
  </si>
  <si>
    <t>Receptor principal:</t>
  </si>
  <si>
    <t>Cover Sheet 8</t>
  </si>
  <si>
    <t>LFA Name:</t>
  </si>
  <si>
    <t>Nom de l'agent local du Fonds :</t>
  </si>
  <si>
    <t>Nombre del ALF:</t>
  </si>
  <si>
    <t>Cover Sheet 9</t>
  </si>
  <si>
    <t>Program Start Date:</t>
  </si>
  <si>
    <t>Date de début du programme :</t>
  </si>
  <si>
    <t>Fecha de inicio del programa:</t>
  </si>
  <si>
    <t>Cover Sheet 10</t>
  </si>
  <si>
    <t>Grant Currency:</t>
  </si>
  <si>
    <t>Monnaie Subvention :</t>
  </si>
  <si>
    <t>Moneda de la subvención:</t>
  </si>
  <si>
    <t>Cover Sheet 11</t>
  </si>
  <si>
    <t>Local Currency:</t>
  </si>
  <si>
    <t>Monnaie Locale:</t>
  </si>
  <si>
    <t>Moneda local:</t>
  </si>
  <si>
    <t>Cover Sheet 12</t>
  </si>
  <si>
    <t>REPORTING PERIOD FOR PROGRAMMATIC REPORTING</t>
  </si>
  <si>
    <t>PÉRIODE COUVERTE PAR LES RÉSULTATS ACTUELS PROGRAMMATIQUES</t>
  </si>
  <si>
    <t>PERIODO DE INFORME DE ACTUALIZACIÓN DE AVANCES PROGRAMÁTICOS</t>
  </si>
  <si>
    <t>Cover Sheet 13</t>
  </si>
  <si>
    <t>Period of Programmatic Reporting</t>
  </si>
  <si>
    <t>Période couverte par le rapport sur les résultats actuels :</t>
  </si>
  <si>
    <t>Periodo de avances programáticos:</t>
  </si>
  <si>
    <t>Cover Sheet 14</t>
  </si>
  <si>
    <t>Beginning Date:</t>
  </si>
  <si>
    <t>Date de début:</t>
  </si>
  <si>
    <t>Fecha de inicio:</t>
  </si>
  <si>
    <t>Cover Sheet 15</t>
  </si>
  <si>
    <t>End Date:</t>
  </si>
  <si>
    <t>Date de fin:</t>
  </si>
  <si>
    <t>Fecha final:</t>
  </si>
  <si>
    <t>Cover Sheet 16</t>
  </si>
  <si>
    <t>REPORTING PERIOD FOR FINANCIAL REPORTING</t>
  </si>
  <si>
    <t>PÉRIODE COUVERTE PAR LES RÉSULTATS ACTUELS FINANCIERS</t>
  </si>
  <si>
    <t>PERIODO DE INFORME DE ACTUALIZACIÓN DE AVANCES FINANCIEROS</t>
  </si>
  <si>
    <t>Cover Sheet 17</t>
  </si>
  <si>
    <t>Period of Financial Reporting</t>
  </si>
  <si>
    <t>Période couverte par le rapport sur les information financière</t>
  </si>
  <si>
    <t>Periodo de avances financieros</t>
  </si>
  <si>
    <t>Cover Sheet 18</t>
  </si>
  <si>
    <t>Date de début :</t>
  </si>
  <si>
    <t>Cover Sheet 19</t>
  </si>
  <si>
    <t>Date de fin :</t>
  </si>
  <si>
    <t>Cover Sheet 20</t>
  </si>
  <si>
    <t xml:space="preserve">DISBURSEMENT REQUEST </t>
  </si>
  <si>
    <t xml:space="preserve">DEMANDE DE DÉCAISSEMENT </t>
  </si>
  <si>
    <t>SOLICITUD DE DESEMBOLSO</t>
  </si>
  <si>
    <t>Cover Sheet 21</t>
  </si>
  <si>
    <t>Disbursement Request Execution Period</t>
  </si>
  <si>
    <t>Demande de décaissement  - période de prévision:</t>
  </si>
  <si>
    <t>Solicitud de desembolso – Periodo de ejecución:</t>
  </si>
  <si>
    <t>Cover Sheet 22</t>
  </si>
  <si>
    <t>Cover Sheet 23</t>
  </si>
  <si>
    <t>Cover Sheet 24</t>
  </si>
  <si>
    <t>Disbursement Request Buffer Period</t>
  </si>
  <si>
    <t>Demande de décaissement  - Période additionnelle convenue:</t>
  </si>
  <si>
    <t>Solicitud de desembolso – Periodo de reserva (colchón):</t>
  </si>
  <si>
    <t>Cover Sheet 25</t>
  </si>
  <si>
    <t>Cover Sheet 26</t>
  </si>
  <si>
    <t>Période cumulative de rapport sur les information financière</t>
  </si>
  <si>
    <t>Período acumulativo de avances financieros</t>
  </si>
  <si>
    <t>Progress Report</t>
  </si>
  <si>
    <t>Rapport périodique sur les résultats actuels</t>
  </si>
  <si>
    <t>Informe de progreso</t>
  </si>
  <si>
    <t>Section 1:  Programmatic Information</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</si>
  <si>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</si>
  <si>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</si>
  <si>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</si>
  <si>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</si>
  <si>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</si>
  <si>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Impact/Outcome Indicators</t>
  </si>
  <si>
    <t>A- Indicateurs d'impact / d'effet</t>
  </si>
  <si>
    <t>A- Indicadores de impacto y resultados</t>
  </si>
  <si>
    <t xml:space="preserve">Impact / Effet </t>
  </si>
  <si>
    <t>Impacto/Resultados</t>
  </si>
  <si>
    <t>Impact/Outcome Indicator</t>
  </si>
  <si>
    <t>Indicateurs</t>
  </si>
  <si>
    <t xml:space="preserve">Indicador </t>
  </si>
  <si>
    <t>L'indicateur personnalisé</t>
  </si>
  <si>
    <t>Indicador personalizado</t>
  </si>
  <si>
    <t>Baseline 
(if applicable)</t>
  </si>
  <si>
    <t>Référence 
(le cas échéant)</t>
  </si>
  <si>
    <t>Linea de base
(si corresponde)</t>
  </si>
  <si>
    <t>Valeur</t>
  </si>
  <si>
    <t>Valor</t>
  </si>
  <si>
    <t>Année</t>
  </si>
  <si>
    <t>Año</t>
  </si>
  <si>
    <t>Cible</t>
  </si>
  <si>
    <t>Meta</t>
  </si>
  <si>
    <t>Année de la cible</t>
  </si>
  <si>
    <t>Año de meta</t>
  </si>
  <si>
    <t>Échéance de rapport</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</si>
  <si>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</si>
  <si>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</si>
  <si>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</si>
  <si>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</si>
  <si>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</si>
  <si>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</si>
  <si>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</si>
  <si>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</si>
  <si>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</si>
  <si>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Section 1: Programmatic Information</t>
  </si>
  <si>
    <t>A- Impact/Outcome Indicators - Disaggregation</t>
  </si>
  <si>
    <t>A- Indicateurs d'impact / d'effet - Ventilation</t>
  </si>
  <si>
    <t>A- Indicadores de repercusión y resultados: desglose</t>
  </si>
  <si>
    <t>Impact/Outcome</t>
  </si>
  <si>
    <t>Indicateurs standard</t>
  </si>
  <si>
    <t xml:space="preserve">Indicador estándar </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</si>
  <si>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</si>
  <si>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</si>
  <si>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</si>
  <si>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</si>
  <si>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</si>
  <si>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</si>
  <si>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</si>
  <si>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</si>
  <si>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</si>
  <si>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</si>
  <si>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</si>
  <si>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</si>
  <si>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</si>
  <si>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</si>
  <si>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</si>
  <si>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</si>
  <si>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</si>
  <si>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</si>
  <si>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B- Coverage Indicators</t>
  </si>
  <si>
    <t>B- Indicateurs de couverture</t>
  </si>
  <si>
    <t>B- Indicadores de cobertura</t>
  </si>
  <si>
    <t>Módulo</t>
  </si>
  <si>
    <t>Coverage Indicator</t>
  </si>
  <si>
    <t>Custom Coverage Indicator</t>
  </si>
  <si>
    <t>If sub-national, please specify under the "Comments" Column</t>
  </si>
  <si>
    <t>Si infranationale, veuillez préciser dans la colonne des commentaires</t>
  </si>
  <si>
    <t>Si es subnacional, especifíquelo en el columna de comentarios</t>
  </si>
  <si>
    <t xml:space="preserve">Targets cumulative?
</t>
  </si>
  <si>
    <t xml:space="preserve">Cibles cumulatives ?
</t>
  </si>
  <si>
    <t xml:space="preserve">¿Metas acumulativas?
</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</si>
  <si>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</si>
  <si>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</si>
  <si>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</si>
  <si>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</si>
  <si>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</si>
  <si>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B- Coverage Indicators - Disaggregation</t>
  </si>
  <si>
    <t>B- Indicateurs de couverture - Ventilation</t>
  </si>
  <si>
    <t>B- Indicadores de cobertura: desglose</t>
  </si>
  <si>
    <t>Indicadores</t>
  </si>
  <si>
    <t>Catégorie</t>
  </si>
  <si>
    <t>Base de referencia</t>
  </si>
  <si>
    <t>Results</t>
  </si>
  <si>
    <t>Verified Results</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</si>
  <si>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</si>
  <si>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</si>
  <si>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</si>
  <si>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</si>
  <si>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C- Mesures de suivi du plan de travail</t>
  </si>
  <si>
    <t>C- Medidas de seguimiento del plan de trabajo</t>
  </si>
  <si>
    <t>Module Name</t>
  </si>
  <si>
    <t>Intervención</t>
  </si>
  <si>
    <t>Custom Intervention</t>
  </si>
  <si>
    <t>Intervention personnalisé</t>
  </si>
  <si>
    <t>Intervención personalizado</t>
  </si>
  <si>
    <t>Activité</t>
  </si>
  <si>
    <t>Actividad</t>
  </si>
  <si>
    <t>Activity details- milestones/ targets</t>
  </si>
  <si>
    <t>Détails de l'activité- étapes clés/cibles</t>
  </si>
  <si>
    <t>Detalles de la actividad: objetivos/metas</t>
  </si>
  <si>
    <t>Étapes clés/cible pour la période actuelle</t>
  </si>
  <si>
    <t>Criterion for Completion</t>
  </si>
  <si>
    <t>Critère d'achèvement</t>
  </si>
  <si>
    <t>Criterios para la realización</t>
  </si>
  <si>
    <t>Country (relevant for multi-country grants)</t>
  </si>
  <si>
    <t>Pays (pour les subventions multipays)</t>
  </si>
  <si>
    <t>País (pertinente en las subvenciones multipaís)</t>
  </si>
  <si>
    <t>Situación de los progresos</t>
  </si>
  <si>
    <t>Note</t>
  </si>
  <si>
    <t>Calificación</t>
  </si>
  <si>
    <t>Motifs de l'écart par rapport aux activités et étapes clés du plan de travail</t>
  </si>
  <si>
    <t>Causas de la variación con respecto a las actividades y los objetivos del plan de trabajo</t>
  </si>
  <si>
    <t>Verified core</t>
  </si>
  <si>
    <t>SR Cash Reconciliation_2A,B,C,D</t>
  </si>
  <si>
    <t>Section 2: Financial Information</t>
  </si>
  <si>
    <t>Section 2 : Information financière</t>
  </si>
  <si>
    <t>Sección 2: Información financiera</t>
  </si>
  <si>
    <t>Periodo acumulativo de avances financieros</t>
  </si>
  <si>
    <t>Principal Recipient Reconciliation of funds provided to Sub-Recipients for the Current Implementation Period</t>
  </si>
  <si>
    <t>Rapprochement du récipiendaire principal concernant les fonds fournis aux sous-récipiendaires pour la période actuelle de mise en œuvre</t>
  </si>
  <si>
    <t>Variación total del presupuesto del Receptor Principal y análisis de absorción del financiamiento</t>
  </si>
  <si>
    <t>(1) 
Sub-Recipient Name</t>
  </si>
  <si>
    <t>(1) 
Nom du sous-récipiendaire</t>
  </si>
  <si>
    <t>(1) 
Nombre del SR</t>
  </si>
  <si>
    <t>(2) 
 Cumulative Sub-Recipient expenses for prior periods at Principal Recipient level</t>
  </si>
  <si>
    <t>(2) 
 Dépenses cumulées du sous-récipiendaire pour les périodes précédentes au niveau du récipiendaire principal</t>
  </si>
  <si>
    <t>(2) 
 Gastos acumulativos del SR en periodos anteriores a nivel del RP</t>
  </si>
  <si>
    <t>(3) 
Sub-Recipient Open Advances at Principal Recipient Level</t>
  </si>
  <si>
    <t>(3) 
Avances ouvertes au sous-récipiendaire au niveau du récipiendaire principal</t>
  </si>
  <si>
    <t>(3) 
Anticipos pendientes al SR a nivel del RP</t>
  </si>
  <si>
    <t>(4) 
Disbursements made by Principal Recipient during the Reporting Period</t>
  </si>
  <si>
    <t>(4) 
Décaissements réalisés par le récipiendaire principal</t>
  </si>
  <si>
    <t>(4) 
Desembolsos realizados por el RP</t>
  </si>
  <si>
    <t xml:space="preserve">(5) 
Other Income* during the Reporting Period </t>
  </si>
  <si>
    <t>(5) 
Autres revenus*</t>
  </si>
  <si>
    <t>(5) 
Otros ingresos*</t>
  </si>
  <si>
    <t>(6) 
Expenditure validated by Principal Recipient during the Reporting Period</t>
  </si>
  <si>
    <t>(6) 
Dépenses validées par le récipiendaire principal</t>
  </si>
  <si>
    <t>(6) 
Gastos validados por el RP</t>
  </si>
  <si>
    <t>(7)
Refunds received  from the Sub-Recipient</t>
  </si>
  <si>
    <t>(7)
Remboursements reçus du sous-récipiendaire</t>
  </si>
  <si>
    <t>(7)
Reembolsos recibidos por los subreceptores</t>
  </si>
  <si>
    <t>(8) 
Sub-Recipient Closing Balance at Principal Recipient Level</t>
  </si>
  <si>
    <t>(8) 
Solde de trésorerie de clôture du sous-récipiendaire au niveau du récipiendaire principal</t>
  </si>
  <si>
    <t>(8) 
Saldo de cierre del SR a nivel del RP</t>
  </si>
  <si>
    <t>(9) 
Actual Sub-Recipient Cash Balance (if applicable)</t>
  </si>
  <si>
    <t>(9) 
Solde de trésorerie réel du sous-récipiendaire (le cas échéant)</t>
  </si>
  <si>
    <t>(9) 
Saldo de caja real del SR (si corresponde)</t>
  </si>
  <si>
    <t xml:space="preserve"> (10)
Variances on Sub-Recipient Balances</t>
  </si>
  <si>
    <t xml:space="preserve"> (10)
Écarts par rapport aux soldes des sous-récipiendaires</t>
  </si>
  <si>
    <t xml:space="preserve"> (10)
Variaciones en los saldos del SR</t>
  </si>
  <si>
    <t>Total for the Reporting Period</t>
  </si>
  <si>
    <t>Total pour la période de rapport</t>
  </si>
  <si>
    <t>Total para el periodo del informe</t>
  </si>
  <si>
    <t>* Inclut les intérêts, les activités génératrices de revenu, etc.</t>
  </si>
  <si>
    <t>*Incluye ingresos derivados de intereses, actividades generadores de ingresos, etc.</t>
  </si>
  <si>
    <t>Total Principal Recipient Budget Variance and Funding Absorption Analysis</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</si>
  <si>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</si>
  <si>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</si>
  <si>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</si>
  <si>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</si>
  <si>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</si>
  <si>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</si>
  <si>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Actual Grant Cash Out-Flow - Cash Basis for Reporting Period</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</si>
  <si>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</si>
  <si>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</si>
  <si>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</si>
  <si>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</si>
  <si>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</si>
  <si>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</si>
  <si>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Reasons for Variance</t>
  </si>
  <si>
    <t>Motifs de l'écart</t>
  </si>
  <si>
    <t>Causas de la variación</t>
  </si>
  <si>
    <t>Budget cumulé jusqu'à la fin de la période du rapport</t>
  </si>
  <si>
    <t>Presupuesto acumulativo hasta el final del perodo de avances financieros</t>
  </si>
  <si>
    <t>Cumulative Actual Grant Cash-Outflow - Cash Basis through period of Progress Update</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</si>
  <si>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</si>
  <si>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</si>
  <si>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</si>
  <si>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</si>
  <si>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</si>
  <si>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</si>
  <si>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</si>
  <si>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</si>
  <si>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</si>
  <si>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</si>
  <si>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</si>
  <si>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</si>
  <si>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</si>
  <si>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</si>
  <si>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</si>
  <si>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</si>
  <si>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</si>
  <si>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</si>
  <si>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Section 3A:  Principal Recipient - Procurement and Supply Management</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</si>
  <si>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</si>
  <si>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</si>
  <si>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</si>
  <si>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</si>
  <si>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</si>
  <si>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Based on the most up-to-date stock situation, are there any risks of stock-outs or expiries for the key pharmaceuticals &amp; health products, listed below, at the central level in the next Reporting Period?  If yes, please comment.</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</si>
  <si>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</si>
  <si>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</si>
  <si>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</si>
  <si>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</si>
  <si>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</si>
  <si>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</si>
  <si>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</si>
  <si>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</si>
  <si>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</si>
  <si>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</si>
  <si>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Antipaludéens</t>
  </si>
  <si>
    <t>1. Antimaláricos</t>
  </si>
  <si>
    <t>2. Moustiquaires</t>
  </si>
  <si>
    <t>2. Mosquiteros</t>
  </si>
  <si>
    <t xml:space="preserve">3. Produits de diagnostic in-vitro </t>
  </si>
  <si>
    <t>3. Productos de diagnóstico in vitro</t>
  </si>
  <si>
    <t>4. Préservatifs</t>
  </si>
  <si>
    <t>4. Preservativos</t>
  </si>
  <si>
    <t>5. Antirétroviraux</t>
  </si>
  <si>
    <t>5. Antirretrovirales</t>
  </si>
  <si>
    <t>6. Antituberuculeux</t>
  </si>
  <si>
    <t>6. Antituberculosos</t>
  </si>
  <si>
    <t>7. Fournitures de laboratoire (par ex. CD4, charge virales, cartouches…)</t>
  </si>
  <si>
    <t>7. Suministros de laboratorio (CD4, carga vírica, cartuchos…)</t>
  </si>
  <si>
    <t>8. Autres (veuillez préciser dans la colonne des commentaires)</t>
  </si>
  <si>
    <t>8. Otros (Especifique cuáles en la columna de comentarios)</t>
  </si>
  <si>
    <t>3.  Comment on additional issues related to the procurement and supply management of pharmaceuticals and health products.</t>
  </si>
  <si>
    <t>3.  Veuillez commenter tout problème supplémentaire lié à la gestion des achats et des stocks de produits pharmaceutiques et de santé.</t>
  </si>
  <si>
    <t>3.  Comentarios sobre otras cuestiones relacionados con la gestión de adquisiciones y suministros de productos farmacéuticos y sanitarios.</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</si>
  <si>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</si>
  <si>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</si>
  <si>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</si>
  <si>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Section 4:  Grant Management</t>
  </si>
  <si>
    <t>Section 4 : Gestion de subvention</t>
  </si>
  <si>
    <t>Sección 4:  Gestión de subvenciones</t>
  </si>
  <si>
    <t>A.  PR and LFA Comments on the Fulfilment of Grant Requirements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</si>
  <si>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</si>
  <si>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</si>
  <si>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</si>
  <si>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</si>
  <si>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</si>
  <si>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</si>
  <si>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</si>
  <si>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</si>
  <si>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</si>
  <si>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PR Comments on Progress of Implementation</t>
  </si>
  <si>
    <t>Commentaires du récipiendaire principal sur l'avancement de la mise en œuvre</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</si>
  <si>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</si>
  <si>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</si>
  <si>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</si>
  <si>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</si>
  <si>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</si>
  <si>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</si>
  <si>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</si>
  <si>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</si>
  <si>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</si>
  <si>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</si>
  <si>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</si>
  <si>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</si>
  <si>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Comments on Annual Grant Reporting Requirements</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</si>
  <si>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</si>
  <si>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</si>
  <si>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</si>
  <si>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</si>
  <si>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</si>
  <si>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Required Documentation</t>
  </si>
  <si>
    <t>Documentation requise</t>
  </si>
  <si>
    <t>Documentación solicitada</t>
  </si>
  <si>
    <t>Due date 
(dd-mmm-yy)</t>
  </si>
  <si>
    <t>Échéance 
(jj-mmm-aa)</t>
  </si>
  <si>
    <t>Fecha límite
(dd-mm-aa)</t>
  </si>
  <si>
    <t>PR Audit Report</t>
  </si>
  <si>
    <t>Rapport d'audit du RP</t>
  </si>
  <si>
    <t>Informe de Auditoría del RP</t>
  </si>
  <si>
    <t>Annual Financial Report (AFR) / Enhanced Financial Report (EFR)</t>
  </si>
  <si>
    <t>Rapport financier annuel / Rapport financier renforcé</t>
  </si>
  <si>
    <t>Informe financiero anual (AFR) / Informe financiero detallado  (EFR)</t>
  </si>
  <si>
    <t>Section 5: Principal Recipient and LFA Evaluation of Overall Performance</t>
  </si>
  <si>
    <t>Section 5 : Évaluation des résultats globaux par le récipiendaire principal et l'agent local du Fonds</t>
  </si>
  <si>
    <t>Sección 5: Evaluación del RP y el ALF del desempeño general</t>
  </si>
  <si>
    <t>A.  Principal Recipient's Overall Self-Evaluation of Grant Performance (including a summary of how financial performance is linked to programmatic achievements)</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</si>
  <si>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</si>
  <si>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</si>
  <si>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</si>
  <si>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</si>
  <si>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</si>
  <si>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Planned Changes in the Program, if any</t>
  </si>
  <si>
    <t>B. Modifications prévues du programme, le cas échéant</t>
  </si>
  <si>
    <t>B.  Modificaciones previstas en el programa, si las hubiera</t>
  </si>
  <si>
    <t>C.  External factors beyond the control of the Principal Recipient that have impacted or may impact the Program</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</si>
  <si>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</si>
  <si>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</si>
  <si>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</si>
  <si>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</si>
  <si>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</si>
  <si>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</si>
  <si>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</si>
  <si>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</si>
  <si>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</si>
  <si>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</si>
  <si>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</si>
  <si>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Solicitud de desembolso – Periodo de reserva (colchón) :</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</si>
  <si>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</si>
  <si>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</si>
  <si>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</si>
  <si>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</si>
  <si>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</si>
  <si>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</si>
  <si>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</si>
  <si>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</si>
  <si>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</si>
  <si>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</si>
  <si>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</si>
  <si>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</si>
  <si>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</si>
  <si>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</si>
  <si>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</si>
  <si>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</si>
  <si>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</si>
  <si>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</si>
  <si>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</si>
  <si>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</si>
  <si>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</si>
  <si>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</si>
  <si>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</si>
  <si>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</si>
  <si>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</si>
  <si>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</si>
  <si>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</si>
  <si>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</si>
  <si>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Section 8B.  Disbursement Request and Recommendation</t>
  </si>
  <si>
    <t>Section 8B. Demande de décaissement et recommandation</t>
  </si>
  <si>
    <t xml:space="preserve">Section 8B. Solicitud y recomendación de desembolso </t>
  </si>
  <si>
    <t>Total forecasted net cash expenditures by the Principal Recipient for the period immediately following the period covered by the Progress Update:</t>
  </si>
  <si>
    <t>Principal RECIPIENT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</si>
  <si>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</si>
  <si>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Execution Period</t>
  </si>
  <si>
    <t>Buffer Period</t>
  </si>
  <si>
    <t>Calendar Period</t>
  </si>
  <si>
    <t>Principal Recipient Forecast</t>
  </si>
  <si>
    <t>Cash Balance: End of period covered by Progress Update (Item 5.3 in PRLFA Cash Reconciliation):</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</si>
  <si>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</si>
  <si>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</si>
  <si>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Cash in Transit for the reporting period (Disbursements to PR:</t>
  </si>
  <si>
    <t xml:space="preserve">Fonds en transit pour la période de rapport (décaissements  effectués en faveur du récipiendaire principal). </t>
  </si>
  <si>
    <t>Efectivo en tránsito durante el periodo del informe (Desembolso al Receptor Principal)</t>
  </si>
  <si>
    <t>Cash in Transit for the reporting period (Third party disbursements):</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</si>
  <si>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</si>
  <si>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</si>
  <si>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</si>
  <si>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</si>
  <si>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</si>
  <si>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Cash in Transit after the current reporting period (Third party disbursements)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</si>
  <si>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</si>
  <si>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</si>
  <si>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</si>
  <si>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</si>
  <si>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PPM/Wambo.org  forecasted disbursement</t>
  </si>
  <si>
    <t>LFA comments on PR's explanation of any significant variance between forecasted amounts and amounts as originally budgeted.</t>
  </si>
  <si>
    <t>Local Fund Agent  Forecast</t>
  </si>
  <si>
    <t>Cash in Transit after the current reporting period (Disbursements to PR:</t>
  </si>
  <si>
    <t>Exchange Rate</t>
  </si>
  <si>
    <t>Rates used by the PR</t>
  </si>
  <si>
    <t>LFA-verified rates</t>
  </si>
  <si>
    <t xml:space="preserve">Name of local currency, date and source of the exchange rate, and other comments (if appropriate) </t>
  </si>
  <si>
    <t>LFA comments on the exchange rates used by the PR</t>
  </si>
  <si>
    <t>'- used to convert Opening Cash Balance</t>
  </si>
  <si>
    <t>PR Authorisation_9A</t>
  </si>
  <si>
    <t>Section 9A.  Principal Recipient Authorization</t>
  </si>
  <si>
    <t>Section 9A.  Autorisation du récipiendaire principal</t>
  </si>
  <si>
    <t>Sección 9A: Autorización del RP</t>
  </si>
  <si>
    <t>Grant Name:</t>
  </si>
  <si>
    <t>Principal Recipient Reporting - Period Covered:</t>
  </si>
  <si>
    <t>Currency:</t>
  </si>
  <si>
    <t>Disbursement Request Amount:</t>
  </si>
  <si>
    <t xml:space="preserve">Montant de la demande de décaissement
</t>
  </si>
  <si>
    <t>Solicitud de desembolso:</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</si>
  <si>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</si>
  <si>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</si>
  <si>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</si>
  <si>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Signed on behalf of the Principal Recipient:
(signature of Authorized Designated Representative)</t>
  </si>
  <si>
    <t>Signé au nom du récipiendaire principal :
(signature du représentant désigné dûment autorisé)</t>
  </si>
  <si>
    <t>Firmado en representación del Receptor principal:
(firma del representante autorizado designado)</t>
  </si>
  <si>
    <t>Name:</t>
  </si>
  <si>
    <t>Nom :</t>
  </si>
  <si>
    <t>Nombre:</t>
  </si>
  <si>
    <t>Title:</t>
  </si>
  <si>
    <t>Titre :</t>
  </si>
  <si>
    <t>Título:</t>
  </si>
  <si>
    <t>Date and Place:</t>
  </si>
  <si>
    <t>Lieu et date :</t>
  </si>
  <si>
    <t>Fecha y lugar:</t>
  </si>
  <si>
    <t>LFA Authorisation_9B</t>
  </si>
  <si>
    <t>Section 9B.  LFA Authorization</t>
  </si>
  <si>
    <t>Disbursement Request  - Period Covered:</t>
  </si>
  <si>
    <t>Disbursement Recommendation Amount:</t>
  </si>
  <si>
    <t>Summary of the LFA's approach used for verification of financial, programmatic and procurement data and Quality Assurance undertaken by the LFA</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</si>
  <si>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</si>
  <si>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The LFA should sign a printed version of the verified PU/DR and send it to the Secretariat as a pdf file by email, or include an electronic signature in the Excel file to be submitted to the Global Fund.</t>
  </si>
  <si>
    <t>Signed on behalf of the LFA:</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</si>
  <si>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</si>
  <si>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</si>
  <si>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</si>
  <si>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</si>
  <si>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</si>
  <si>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</si>
  <si>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</si>
  <si>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</si>
  <si>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</si>
  <si>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</si>
  <si>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</si>
  <si>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</si>
  <si>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</si>
  <si>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</si>
  <si>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</si>
  <si>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</si>
  <si>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</si>
  <si>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</si>
  <si>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</si>
  <si>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</si>
  <si>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</si>
  <si>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</si>
  <si>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</si>
  <si>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</si>
  <si>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</si>
  <si>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</si>
  <si>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</si>
  <si>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</si>
  <si>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</si>
  <si>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Grant Income</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</si>
  <si>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</si>
  <si>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</si>
  <si>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</si>
  <si>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</si>
  <si>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</si>
  <si>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</si>
  <si>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</si>
  <si>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</si>
  <si>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Other income, if applicable (e.g. VAT/Other Tax returns, income from disposal of assets etc.)</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</si>
  <si>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</si>
  <si>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</si>
  <si>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</si>
  <si>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</si>
  <si>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</si>
  <si>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</si>
  <si>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</si>
  <si>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</si>
  <si>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</si>
  <si>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</si>
  <si>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</si>
  <si>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</si>
  <si>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</si>
  <si>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</si>
  <si>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</si>
  <si>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</si>
  <si>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</si>
  <si>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</si>
  <si>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</si>
  <si>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</si>
  <si>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</si>
  <si>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</si>
  <si>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</si>
  <si>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</si>
  <si>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</si>
  <si>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</si>
  <si>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</si>
  <si>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</si>
  <si>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</si>
  <si>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</si>
  <si>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</si>
  <si>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</si>
  <si>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</si>
  <si>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</si>
  <si>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Total Grant Income</t>
  </si>
  <si>
    <t>Recettes totales de la subvention</t>
  </si>
  <si>
    <t>Ingresos totales de la subvención</t>
  </si>
  <si>
    <t>3. Financial Commitments</t>
  </si>
  <si>
    <t>3. Engagements financiers</t>
  </si>
  <si>
    <t>3. Compromisos financieros</t>
  </si>
  <si>
    <t>Financial Commitments as reported in the last Progress Update</t>
  </si>
  <si>
    <t>Engagements financiers figurant dans le dernier rapport sur les résultats actuels</t>
  </si>
  <si>
    <t>Compromisos financieros según la última actualización de avances a la fecha</t>
  </si>
  <si>
    <t>Adjustments to the Financial Commitments</t>
  </si>
  <si>
    <t>Ajustements aux engagements financiers</t>
  </si>
  <si>
    <t>Ajustes de los compromisos financieros</t>
  </si>
  <si>
    <t>Total Financial Commitments</t>
  </si>
  <si>
    <t>Total des engagements financiers</t>
  </si>
  <si>
    <t>Compromisos financieros totales</t>
  </si>
  <si>
    <t>4. Grant Cash Outflows</t>
  </si>
  <si>
    <t>4. Sorties de fonds de la subvention</t>
  </si>
  <si>
    <t>4. Salida de efectivo de la subvención</t>
  </si>
  <si>
    <t>Principal Recipient and Sub-Recipient Expenditure (including payments made against the prior implementation period Financial Commitments)</t>
  </si>
  <si>
    <t>Dépenses du récipiendaire principal et des sous-récipiendaires (y compris les paiements effectués au regard des engagements financiers)</t>
  </si>
  <si>
    <t>Gastos del Receptor Principal y del Subreceptor (que incluyen pagos realizados contra los compromisos financieros)</t>
  </si>
  <si>
    <t>Total Grant Cash Outflows</t>
  </si>
  <si>
    <t>Sorties de fonds totales de la subvention</t>
  </si>
  <si>
    <t>Salidas totales de efectivo de la subvención</t>
  </si>
  <si>
    <t>5. Reconciling Adjustments</t>
  </si>
  <si>
    <t>5. Ajustements de rapprochement</t>
  </si>
  <si>
    <t>5. Ajustes de conciliación</t>
  </si>
  <si>
    <t>Other reconciliation adjustments (including for prior periods)</t>
  </si>
  <si>
    <t>Autres ajustements de rapprochement (y compris pour les périodes précédentes)</t>
  </si>
  <si>
    <t>Otros ajustes de conciliación (incluidos periodos anteriores</t>
  </si>
  <si>
    <t>Ineligible transactions from previous periods for which justification was approved by the Global Fund</t>
  </si>
  <si>
    <t>Transactions non recevables de périodes précédentes dont la justification a été approuvée par le Fonds mondial</t>
  </si>
  <si>
    <t>Transacciones no elegibles de periodos anteriores cuya justificación ha sido aprobada por el Fondo Mundial</t>
  </si>
  <si>
    <t>Reimbursement of ineligible transaction from previous periods</t>
  </si>
  <si>
    <t>Remboursement de transactions non recevables des périodes précédentes</t>
  </si>
  <si>
    <t>Reembolso de transacciones no elegibles de periodos anteriores</t>
  </si>
  <si>
    <t>6. Cash Balance</t>
  </si>
  <si>
    <t>6. Solde de trésorerie</t>
  </si>
  <si>
    <t>6. Saldo de caja</t>
  </si>
  <si>
    <t>Total Cash Balance from the implementation period</t>
  </si>
  <si>
    <t>Total du solde de trésorerie pour la période de mise en œuvre</t>
  </si>
  <si>
    <t>Salto de caja total del periodo de ejecución</t>
  </si>
  <si>
    <t>Advance payment made for the next implementation period</t>
  </si>
  <si>
    <t>Paiement anticipé pour la prochaine période de mise en œuvre</t>
  </si>
  <si>
    <t>Pago anticipado para el siguiente periodo de ejecución</t>
  </si>
  <si>
    <t>Final Closing Cash Balance of the implementation period</t>
  </si>
  <si>
    <t>Solde final de trésorerie à la clôture de la période de mise en œuvre</t>
  </si>
  <si>
    <t>Saldo de caja de cierre final del periodo de ejecución</t>
  </si>
  <si>
    <t xml:space="preserve">Principal Recipient Ineligible Transactions in Grant Currency </t>
  </si>
  <si>
    <t xml:space="preserve">Transactions non recevables du récipiendaire principal dans la monnaie de la subvention </t>
  </si>
  <si>
    <t>Transacciones no elegibles del Receptor Principal en la moneda de la subvención</t>
  </si>
  <si>
    <t>Cumulative for Previous Periods</t>
  </si>
  <si>
    <t>Montant cumulé pour les périodes précédentes</t>
  </si>
  <si>
    <t>Acumulativo para periodos previos</t>
  </si>
  <si>
    <t>Montant cumulé pour les périodes précédentes validé par le Fonds mondial</t>
  </si>
  <si>
    <t>Acumulativo para periodos previos validado por el Fondo Mundial</t>
  </si>
  <si>
    <t>Ajustes realizados por el ALF del periodo actual de presentación de informes</t>
  </si>
  <si>
    <t>Ineligible transactions validated for the reporting period</t>
  </si>
  <si>
    <t>Transactions non recevables validées pour la période de rapport</t>
  </si>
  <si>
    <t>Transacciones no elegibles validadas para el periodo del informe</t>
  </si>
  <si>
    <t>Transactions non recevables des périodes précédentes dont la justification a été approuvée par le Fonds mondial</t>
  </si>
  <si>
    <t>Reimbursement of ineligible transactions from previous periods</t>
  </si>
  <si>
    <t>Cumulative ineligible transactions for the implementation period</t>
  </si>
  <si>
    <t>Transactions non recevables cumulées pour la période de mise en œuvre</t>
  </si>
  <si>
    <t>Transacciones no elegibles acumulativas del periodo de ejecución</t>
  </si>
  <si>
    <t>Open ineligible transactions to be justified and/or reimbursed</t>
  </si>
  <si>
    <t>Transactions non recevables ouvertes à justifier et/ou rembourser</t>
  </si>
  <si>
    <t>Transacciones no elegibles pendientes de justificar y/o reembolsar</t>
  </si>
  <si>
    <t>Géographie</t>
  </si>
  <si>
    <t>Geografía</t>
  </si>
  <si>
    <t>Language</t>
  </si>
  <si>
    <t>Langue</t>
  </si>
  <si>
    <t>Idioma</t>
  </si>
  <si>
    <t>Cash Balance: Beginning of the Period</t>
  </si>
  <si>
    <t>Solde de trésorerie : Début de la période</t>
  </si>
  <si>
    <t>Saldo de caja: inicio del periodo</t>
  </si>
  <si>
    <t xml:space="preserve">Add: </t>
  </si>
  <si>
    <t xml:space="preserve">Plus : </t>
  </si>
  <si>
    <t xml:space="preserve">Más: </t>
  </si>
  <si>
    <t>Interest received on bank accounts</t>
  </si>
  <si>
    <t>Intérêts perçus sur compte bancaire</t>
  </si>
  <si>
    <t>Intereses recibidos en cuentas bancarias</t>
  </si>
  <si>
    <t>Revenue from income-generating activities (if applicable)</t>
  </si>
  <si>
    <t>Produit des activités génératrices de revenu (le cas échéant)</t>
  </si>
  <si>
    <t>Beneficios derivados de actividades generadoras de ingresos (si corresponde)</t>
  </si>
  <si>
    <t>Less:</t>
  </si>
  <si>
    <t>Moins :</t>
  </si>
  <si>
    <t>Menos:</t>
  </si>
  <si>
    <t>Principal Recipient Expenditure (including payments and other advance payments)</t>
  </si>
  <si>
    <t>Dépenses du récipiendaire principal (y compris les paiements et autres avances)</t>
  </si>
  <si>
    <t>Gastos del RP (incluidos pagos y otros pagos anticipados)</t>
  </si>
  <si>
    <t xml:space="preserve">Disbursement to third parties by the Global Fund on behalf of the Principal Recipient </t>
  </si>
  <si>
    <t xml:space="preserve">Décaissements à des tiers par le Fonds mondial au nom du récipiendaire principal </t>
  </si>
  <si>
    <t>Ganancias/pérdidas netas derivadas del tipo de cambio en la conversión de saldos</t>
  </si>
  <si>
    <t>Principal Recipient disbursement to sub-recipients</t>
  </si>
  <si>
    <t>Décaissements du récipiendaire principal en faveur des sous-récipiendaires</t>
  </si>
  <si>
    <t>Bank charges on disbursements and payments</t>
  </si>
  <si>
    <t>Frais bancaires relatifs aux décaissements et paiements</t>
  </si>
  <si>
    <t>Cargos bancarios sobre pagos y desembolsos</t>
  </si>
  <si>
    <t>4. Reconciling Adjustments</t>
  </si>
  <si>
    <t>4. Ajustements de rapprochement</t>
  </si>
  <si>
    <t>4. Ajustes de conciliación</t>
  </si>
  <si>
    <t>Net exchange gains/losses on translation of balances</t>
  </si>
  <si>
    <t>Gains/pertes de change nets liés à la conversion des soldes</t>
  </si>
  <si>
    <t>5. Total Cash Balances: End of the reporting period</t>
  </si>
  <si>
    <t>5. Soldes de trésorerie totaux : fin de la période de rapport</t>
  </si>
  <si>
    <t>'5. Saldos de caja totales: final del periodo del informe</t>
  </si>
  <si>
    <t>Principal Recipient Cash Balance</t>
  </si>
  <si>
    <t>Solde de trésorerie du récipiendaire principal</t>
  </si>
  <si>
    <t>Saldo de caja del RP</t>
  </si>
  <si>
    <t>Sub-Recipient Cash Balance</t>
  </si>
  <si>
    <t>Solde de trésorerie des sous-récipiendaires</t>
  </si>
  <si>
    <t>Saldo de caja del SR</t>
  </si>
  <si>
    <t>Total Cash Balance</t>
  </si>
  <si>
    <t>Solde de trésorerie total</t>
  </si>
  <si>
    <t>Saldo de caja total</t>
  </si>
  <si>
    <t>B. Principal Recipient Bank Statement Balance &amp; Cash In Transit in Grant Currency</t>
  </si>
  <si>
    <t>B. Solde des relevés bancaires du récipiendaire principal et fonds en transit dans la monnaie de la subvention</t>
  </si>
  <si>
    <t>'B. Estado del saldo bancario y efectivo en tránsito del RP denominados en la moneda de la subvención</t>
  </si>
  <si>
    <t>Principal Recipient Cash Balance as per bank statements (For Information Only):</t>
  </si>
  <si>
    <t>Solde de trésorerie du récipiendaire principal tel que figurant sur ses relevés bancaires (à titre indicatif uniquement) :</t>
  </si>
  <si>
    <t xml:space="preserve"> Saldo de caja del RP conforme a los extractos bancarios (a título informativo):</t>
  </si>
  <si>
    <t>Cash in Transit for the reporting period</t>
  </si>
  <si>
    <t>Fonds en transit pour la période de rapport</t>
  </si>
  <si>
    <t>Efectivo en tránsito durante el periodo del informe</t>
  </si>
  <si>
    <t>Cash in Transit after the current reporting period</t>
  </si>
  <si>
    <t>Fonds en transit après la période de rapport en cours</t>
  </si>
  <si>
    <t>Efectivo en tránsito tras el periodo del informe en curso</t>
  </si>
  <si>
    <t xml:space="preserve">D. Principal Recipient Ineligible Transactions in Grant Currency </t>
  </si>
  <si>
    <t>D. Transactions non recevables du récipiendaire principal dans la monnaie de la subvention</t>
  </si>
  <si>
    <t>D. Transacciones no elegibles del RP denominadas en la moneda de la subvención</t>
  </si>
  <si>
    <t>Financial Commitments</t>
  </si>
  <si>
    <t>Engagements financiers</t>
  </si>
  <si>
    <t>Compromisos financieros</t>
  </si>
  <si>
    <t>C. Principal Recipient Financial Commitments and Financial Obligations</t>
  </si>
  <si>
    <t>C. Engagements financiers et obligations financières du récipiendaire principal</t>
  </si>
  <si>
    <t>C. Compromisos financieros del receptor principal y obligaciones financieras</t>
  </si>
  <si>
    <t>Financial Obligations</t>
  </si>
  <si>
    <t xml:space="preserve">Obligations financières </t>
  </si>
  <si>
    <t>Obligaciones financieras</t>
  </si>
  <si>
    <t>Total Financial Commitments &amp; Financial Obligations</t>
  </si>
  <si>
    <t>Total des engagements et obligations</t>
  </si>
  <si>
    <t>Compromisos y obligaciones totales</t>
  </si>
  <si>
    <t>Commitments and Approved Exceptions Report</t>
  </si>
  <si>
    <t>Rapport sur les engagements et les exceptions approuvées</t>
  </si>
  <si>
    <t>Informe sobre compromisos y excepciones aprobadas</t>
  </si>
  <si>
    <t>Section 2. The Principal Recipient Commitments and Approved Exceptions Completed by the Principal Recipient and by the LFA</t>
  </si>
  <si>
    <t>Section 2. Engagements et exceptions approuvées du récipiendaire principal remplis par ce dernier et par l’agent local du Fonds</t>
  </si>
  <si>
    <t>Sección 2. Los compromisos y excepciones aprobadas del Receptor Principal que han realizado el Receptor Principal y el ALF</t>
  </si>
  <si>
    <t xml:space="preserve">Compromisos financieros </t>
  </si>
  <si>
    <t xml:space="preserve">Module </t>
  </si>
  <si>
    <t>Módulos</t>
  </si>
  <si>
    <t>Intervenciones</t>
  </si>
  <si>
    <t>Activity Description</t>
  </si>
  <si>
    <t>Description de l'activité</t>
  </si>
  <si>
    <t>Descripcion de la actividad</t>
  </si>
  <si>
    <t>Cost input</t>
  </si>
  <si>
    <t xml:space="preserve">Entrées de coûts </t>
  </si>
  <si>
    <t>Entrada de costos</t>
  </si>
  <si>
    <t>Amount in Grant Currency</t>
  </si>
  <si>
    <t>Montant en monnaie de la subvention</t>
  </si>
  <si>
    <t>Monto en moneda de la Subvencion</t>
  </si>
  <si>
    <t>Delivery date</t>
  </si>
  <si>
    <t>Date de livraison</t>
  </si>
  <si>
    <t>Fecha de entrega</t>
  </si>
  <si>
    <t xml:space="preserve">Effective Payment date </t>
  </si>
  <si>
    <t>Date de paiement effective</t>
  </si>
  <si>
    <t>Fecha de pago efectiva</t>
  </si>
  <si>
    <t xml:space="preserve">Expected Payment date </t>
  </si>
  <si>
    <t>Date de paiement prévue</t>
  </si>
  <si>
    <t>Fecha de pago prevista</t>
  </si>
  <si>
    <t>Section 7A.The Principal Recipient Expenditure Report Completed by the Principal Recipient</t>
  </si>
  <si>
    <t>Section 7A.Rapport financier annuel complété par le récipiendaire principal</t>
  </si>
  <si>
    <t>Évaluation des coûts (groupes de coûts)</t>
  </si>
  <si>
    <t>Presupuesto para el periodo del informe</t>
  </si>
  <si>
    <t>Tasa de absorción</t>
  </si>
  <si>
    <t>B. VENTILATION PAR INTERVENTIONS</t>
  </si>
  <si>
    <t>DESGLOSE POR AGRUPACIÓN DE intervenciones</t>
  </si>
  <si>
    <t>C. VENTILATION PAR ENTITÉ DE MISE EN ŒUVRE</t>
  </si>
  <si>
    <t>DESGLOSE POR Entidad Implementadora</t>
  </si>
  <si>
    <t>A. Principal Recipient Cash Reconciliation Statement in Grant Currency</t>
  </si>
  <si>
    <t>A. État de rapprochement de la trésorerie du récipiendaire principal dans la monnaie de la subvention</t>
  </si>
  <si>
    <t xml:space="preserve">A. El estado de conciliación de efectivo del Receptor Principal en la moneda de la subvención </t>
  </si>
  <si>
    <t>- used to convert Closing Cash Balance</t>
  </si>
  <si>
    <t>- used to convert Total PR Cash Outflow for the Progress Update Period</t>
  </si>
  <si>
    <t>Grant Components</t>
  </si>
  <si>
    <t>Grant Component Name</t>
  </si>
  <si>
    <t>Component (Name)</t>
  </si>
  <si>
    <t>[Grant Component Name]</t>
  </si>
  <si>
    <t>[Component (Name)]</t>
  </si>
  <si>
    <t>GC-04592</t>
  </si>
  <si>
    <t>HIV/AIDS</t>
  </si>
  <si>
    <t>GC-04593</t>
  </si>
  <si>
    <t>Tuberculosis</t>
  </si>
  <si>
    <t>Module Data - Component - Indicator Reference</t>
  </si>
  <si>
    <t>Column1</t>
  </si>
  <si>
    <t>Module-Coverage-Intervention Reference (Name)</t>
  </si>
  <si>
    <t>Column2</t>
  </si>
  <si>
    <t>Column3</t>
  </si>
  <si>
    <t>Column4</t>
  </si>
  <si>
    <t>Column5</t>
  </si>
  <si>
    <t>unique id</t>
  </si>
  <si>
    <t>unique name list</t>
  </si>
  <si>
    <t>[Name]</t>
  </si>
  <si>
    <t>[Module-Coverage-Intervention Reference (Name)]</t>
  </si>
  <si>
    <t>MCI-00002</t>
  </si>
  <si>
    <t>a3z360000009C1WAAU</t>
  </si>
  <si>
    <t>MCI-00003</t>
  </si>
  <si>
    <t>a3z360000009C1XAAU</t>
  </si>
  <si>
    <t>MCI-00004</t>
  </si>
  <si>
    <t>a3z360000009C1YAAU</t>
  </si>
  <si>
    <t>MCI-00000</t>
  </si>
  <si>
    <t>a3z360000009C1UAAU</t>
  </si>
  <si>
    <t>MCI-00005</t>
  </si>
  <si>
    <t>a3z360000009C1ZAAU</t>
  </si>
  <si>
    <t>MCI-00006</t>
  </si>
  <si>
    <t>a3z360000009C1aAAE</t>
  </si>
  <si>
    <t>MCI-00007</t>
  </si>
  <si>
    <t>a3z360000009C1bAAE</t>
  </si>
  <si>
    <t>MCI-00009</t>
  </si>
  <si>
    <t>a3z360000009C1cAAE</t>
  </si>
  <si>
    <t>MCI-00014</t>
  </si>
  <si>
    <t>a3z360000009C1dAAE</t>
  </si>
  <si>
    <t>RSSH: Human resources for health (HRH), including community health workers</t>
  </si>
  <si>
    <t>MCI-00015</t>
  </si>
  <si>
    <t>a3z360000009C1eAAE</t>
  </si>
  <si>
    <t>RSSH: Procurement and supply chain management systems</t>
  </si>
  <si>
    <t>MCI-00016</t>
  </si>
  <si>
    <t>a3z360000009C1fAAE</t>
  </si>
  <si>
    <t>RSSH: Financial management systems</t>
  </si>
  <si>
    <t>MCI-00019</t>
  </si>
  <si>
    <t>a3z360000009C1iAAE</t>
  </si>
  <si>
    <t>RSSH: Community responses and systems</t>
  </si>
  <si>
    <t>MCI-00021</t>
  </si>
  <si>
    <t>a3z360000009C1kAAE</t>
  </si>
  <si>
    <t>MCI-00022</t>
  </si>
  <si>
    <t>a3z360000009C1lAAE</t>
  </si>
  <si>
    <t>MCI-00023</t>
  </si>
  <si>
    <t>a3z360000009C1mAAE</t>
  </si>
  <si>
    <t>Payment for results</t>
  </si>
  <si>
    <t>MCI-00024</t>
  </si>
  <si>
    <t>a3z360000009C1nAAE</t>
  </si>
  <si>
    <t>Comprehensive prevention programs for TGs</t>
  </si>
  <si>
    <t>MCI-00531</t>
  </si>
  <si>
    <t>a3z360000009C1pAAE</t>
  </si>
  <si>
    <t>MCI-00532</t>
  </si>
  <si>
    <t>a3z360000009C1qAAE</t>
  </si>
  <si>
    <t>MCI-00533</t>
  </si>
  <si>
    <t>a3z360000009C1rAAE</t>
  </si>
  <si>
    <t>MCI-00008</t>
  </si>
  <si>
    <t>a3z360000009C1sAAE</t>
  </si>
  <si>
    <t>a3z360000009C1tAAE</t>
  </si>
  <si>
    <t>MCI-00010</t>
  </si>
  <si>
    <t>a3z360000009C1uAAE</t>
  </si>
  <si>
    <t>a3z360000009C1vAAE</t>
  </si>
  <si>
    <t>a3z360000009C1wAAE</t>
  </si>
  <si>
    <t>a3z360000009C1xAAE</t>
  </si>
  <si>
    <t>a3z360000009C20AAE</t>
  </si>
  <si>
    <t>a3z360000009C23AAE</t>
  </si>
  <si>
    <t>a3z360000009C24AAE</t>
  </si>
  <si>
    <t>a3z360000009C21AAE</t>
  </si>
  <si>
    <t>a3z360000009C22AAE</t>
  </si>
  <si>
    <t>MCI-00534</t>
  </si>
  <si>
    <t>a3z360000009C49AAE</t>
  </si>
  <si>
    <t>Programs to reduce human rights-related barriers to HIV services</t>
  </si>
  <si>
    <t>MCI-00535</t>
  </si>
  <si>
    <t>a3z360000009C4AAAU</t>
  </si>
  <si>
    <t>RSSH: National health strategies</t>
  </si>
  <si>
    <t>MCI-00536</t>
  </si>
  <si>
    <t>a3z360000009C4BAAU</t>
  </si>
  <si>
    <t>a3z360000009C4CAAU</t>
  </si>
  <si>
    <t>Intervention Data - Module-Coverage-Intervention Reference</t>
  </si>
  <si>
    <t>Name ID</t>
  </si>
  <si>
    <t>Name</t>
  </si>
  <si>
    <t>Column6</t>
  </si>
  <si>
    <t>Column8</t>
  </si>
  <si>
    <t>[Module (Name)]</t>
  </si>
  <si>
    <t>[Name ID]</t>
  </si>
  <si>
    <t>MCI-00072</t>
  </si>
  <si>
    <t>a1O36000001EGGKEA4</t>
  </si>
  <si>
    <t>MCI-00078</t>
  </si>
  <si>
    <t>Orphan and vulnerable children (OVC) package</t>
  </si>
  <si>
    <t>a1O36000001EGGQEA4</t>
  </si>
  <si>
    <t>MCI-00079</t>
  </si>
  <si>
    <t>a1O36000001EGGREA4</t>
  </si>
  <si>
    <t>MCI-00080</t>
  </si>
  <si>
    <t>a1O36000001EGGSEA4</t>
  </si>
  <si>
    <t>MCI-00073</t>
  </si>
  <si>
    <t>Condoms as part of programs for general population</t>
  </si>
  <si>
    <t>a1O36000001EGGLEA4</t>
  </si>
  <si>
    <t>MCI-00074</t>
  </si>
  <si>
    <t>Male circumcision</t>
  </si>
  <si>
    <t>a1O36000001EGGMEA4</t>
  </si>
  <si>
    <t>MCI-00076</t>
  </si>
  <si>
    <t>Diagnosis and treatment of STIs and other sexual health services for general population</t>
  </si>
  <si>
    <t>a1O36000001EGGOEA4</t>
  </si>
  <si>
    <t>MCI-00537</t>
  </si>
  <si>
    <t>Linkages between HIV programs and RMNCH</t>
  </si>
  <si>
    <t>a1O36000001qZ7yEAE</t>
  </si>
  <si>
    <t>MCI-00087</t>
  </si>
  <si>
    <t>a1O36000001EGGZEA4</t>
  </si>
  <si>
    <t>MCI-00088</t>
  </si>
  <si>
    <t>a1O36000001EGGaEAO</t>
  </si>
  <si>
    <t>MCI-00089</t>
  </si>
  <si>
    <t>a1O36000001EGGbEAO</t>
  </si>
  <si>
    <t>MCI-00090</t>
  </si>
  <si>
    <t>Diagnosis and treatment of STIs and other sexual and reproductive health services for sex workers</t>
  </si>
  <si>
    <t>a1O36000001EGGcEAO</t>
  </si>
  <si>
    <t>MCI-00091</t>
  </si>
  <si>
    <t>Harm reduction interventions for sex workers who inject drugs</t>
  </si>
  <si>
    <t>a1O36000001EGGdEAO</t>
  </si>
  <si>
    <t>MCI-00092</t>
  </si>
  <si>
    <t>a1O36000001EGGeEAO</t>
  </si>
  <si>
    <t>MCI-00543</t>
  </si>
  <si>
    <t>Community empowerment for sex workers</t>
  </si>
  <si>
    <t>a1O36000001qZ84EAE</t>
  </si>
  <si>
    <t>MCI-00544</t>
  </si>
  <si>
    <t>Addressing stigma, discrimination and violence against sex workers</t>
  </si>
  <si>
    <t>a1O36000001qZ85EAE</t>
  </si>
  <si>
    <t>MCI-00545</t>
  </si>
  <si>
    <t>Pre-exposure prophylaxis (PrEP) for sex workers</t>
  </si>
  <si>
    <t>a1O36000001qZ86EAE</t>
  </si>
  <si>
    <t>MCI-00546</t>
  </si>
  <si>
    <t>Prevention and management of coinfections and co-morbidities for sex workers</t>
  </si>
  <si>
    <t>a1O36000001qZ87EAE</t>
  </si>
  <si>
    <t>MCI-00547</t>
  </si>
  <si>
    <t>Interventions for young people who sell sex</t>
  </si>
  <si>
    <t>a1O36000001qZ88EAE</t>
  </si>
  <si>
    <t>MCI-00093</t>
  </si>
  <si>
    <t>a1O36000001EGGfEAO</t>
  </si>
  <si>
    <t>MCI-00094</t>
  </si>
  <si>
    <t>a1O36000001EGGgEAO</t>
  </si>
  <si>
    <t>MCI-00095</t>
  </si>
  <si>
    <t>HIV testing services for PWID</t>
  </si>
  <si>
    <t>a1O36000001EGGhEAO</t>
  </si>
  <si>
    <t>MCI-00096</t>
  </si>
  <si>
    <t>Diagnosis and treatment of STIs and other sexual health services for PWID</t>
  </si>
  <si>
    <t>a1O36000001EGGiEAO</t>
  </si>
  <si>
    <t>MCI-00097</t>
  </si>
  <si>
    <t>Needle and Syringe programs for PWID and their partners</t>
  </si>
  <si>
    <t>a1O36000001EGGjEAO</t>
  </si>
  <si>
    <t>MCI-00098</t>
  </si>
  <si>
    <t>OST and other drug dependence treatment for PWID</t>
  </si>
  <si>
    <t>a1O36000001EGGkEAO</t>
  </si>
  <si>
    <t>MCI-00099</t>
  </si>
  <si>
    <t>Prevention and management of coinfections and co-morbidities for PWID</t>
  </si>
  <si>
    <t>a1O36000001EGGlEAO</t>
  </si>
  <si>
    <t>MCI-00100</t>
  </si>
  <si>
    <t>a1O36000001EGGmEAO</t>
  </si>
  <si>
    <t>MCI-00548</t>
  </si>
  <si>
    <t>Community empowerment for PWID</t>
  </si>
  <si>
    <t>a1O36000001qZ89EAE</t>
  </si>
  <si>
    <t>MCI-00549</t>
  </si>
  <si>
    <t>Addressing stigma, discrimination and violence against PWID</t>
  </si>
  <si>
    <t>a1O36000001qZ8AEAU</t>
  </si>
  <si>
    <t>MCI-00550</t>
  </si>
  <si>
    <t>Overdose prevention and management</t>
  </si>
  <si>
    <t>a1O36000001qZ8BEAU</t>
  </si>
  <si>
    <t>MCI-00551</t>
  </si>
  <si>
    <t>Interventions for young people who inject drugs</t>
  </si>
  <si>
    <t>a1O36000001qZ8CEAU</t>
  </si>
  <si>
    <t>MCI-00101</t>
  </si>
  <si>
    <t>Behavioral interventions for other vulnerable populations</t>
  </si>
  <si>
    <t>a1O36000001EGGnEAO</t>
  </si>
  <si>
    <t>MCI-00102</t>
  </si>
  <si>
    <t>a1O36000001EGGoEAO</t>
  </si>
  <si>
    <t>MCI-00103</t>
  </si>
  <si>
    <t>a1O36000001EGGpEAO</t>
  </si>
  <si>
    <t>MCI-00104</t>
  </si>
  <si>
    <t>Diagnosis and treatment of STIs and other sexual health services for other vulnerable populations</t>
  </si>
  <si>
    <t>a1O36000001EGGqEAO</t>
  </si>
  <si>
    <t>MCI-00105</t>
  </si>
  <si>
    <t>Other intervention(s) for other vulnerable populations</t>
  </si>
  <si>
    <t>a1O36000001EGGrEAO</t>
  </si>
  <si>
    <t>MCI-00106</t>
  </si>
  <si>
    <t>Behavioral change as part of programs for adolescent and youth</t>
  </si>
  <si>
    <t>a1O36000001EGGsEAO</t>
  </si>
  <si>
    <t>MCI-00107</t>
  </si>
  <si>
    <t>a1O36000001EGGtEAO</t>
  </si>
  <si>
    <t>MCI-00108</t>
  </si>
  <si>
    <t>HIV testing services for adolescents and youth, in and out of school</t>
  </si>
  <si>
    <t>a1O36000001EGGuEAO</t>
  </si>
  <si>
    <t>MCI-00109</t>
  </si>
  <si>
    <t>Linkages of HIV, RMNCH, and TB programs for adolescents, girls, and young women</t>
  </si>
  <si>
    <t>a1O36000001EGGvEAO</t>
  </si>
  <si>
    <t>MCI-00111</t>
  </si>
  <si>
    <t>Other intervention(s) for adolescent and youth</t>
  </si>
  <si>
    <t>a1O36000001EGGxEAO</t>
  </si>
  <si>
    <t>MCI-00573</t>
  </si>
  <si>
    <t>Gender-based violence prevention and treatment programs for adolescents and youth</t>
  </si>
  <si>
    <t>a1O36000001qZ8YEAU</t>
  </si>
  <si>
    <t>MCI-00574</t>
  </si>
  <si>
    <t>Pre-exposure prophylaxis (PrEP) for adolescents and youth</t>
  </si>
  <si>
    <t>a1O36000001qZ8ZEAU</t>
  </si>
  <si>
    <t>MCI-00575</t>
  </si>
  <si>
    <t>Community mobilization and norms change</t>
  </si>
  <si>
    <t>a1O36000001qZ8aEAE</t>
  </si>
  <si>
    <t>MCI-00576</t>
  </si>
  <si>
    <t>Addressing stigma, discrimination and legal barriers to care for adolescents and youth</t>
  </si>
  <si>
    <t>a1O36000001qZ8bEAE</t>
  </si>
  <si>
    <t>MCI-00577</t>
  </si>
  <si>
    <t>Socioeconomic approaches</t>
  </si>
  <si>
    <t>a1O36000001qZ8cEAE</t>
  </si>
  <si>
    <t>MCI-00578</t>
  </si>
  <si>
    <t>Keeping girls in school</t>
  </si>
  <si>
    <t>a1O36000001qZ8dEAE</t>
  </si>
  <si>
    <t>MCI-00112</t>
  </si>
  <si>
    <t>a1O36000001EGGyEAO</t>
  </si>
  <si>
    <t>MCI-00113</t>
  </si>
  <si>
    <t>Prong 2: Preventing unintended pregnancies among women living with HIV</t>
  </si>
  <si>
    <t>a1O36000001EGGzEAO</t>
  </si>
  <si>
    <t>MCI-00114</t>
  </si>
  <si>
    <t>a1O36000001EGH0EAO</t>
  </si>
  <si>
    <t>MCI-00115</t>
  </si>
  <si>
    <t>a1O36000001EGH1EAO</t>
  </si>
  <si>
    <t>MCI-00116</t>
  </si>
  <si>
    <t>a1O36000001EGH2EAO</t>
  </si>
  <si>
    <t>MCI-00121</t>
  </si>
  <si>
    <t>a1O36000001EGH7EAO</t>
  </si>
  <si>
    <t>MCI-00122</t>
  </si>
  <si>
    <t>a1O36000001EGH8EAO</t>
  </si>
  <si>
    <t>MCI-00125</t>
  </si>
  <si>
    <t>a1O36000001EGHBEA4</t>
  </si>
  <si>
    <t>MCI-00117</t>
  </si>
  <si>
    <t>a1O36000001EGH3EAO</t>
  </si>
  <si>
    <t>MCI-00118</t>
  </si>
  <si>
    <t>a1O36000001EGH4EAO</t>
  </si>
  <si>
    <t>MCI-00119</t>
  </si>
  <si>
    <t>a1O36000001EGH5EAO</t>
  </si>
  <si>
    <t>MCI-00120</t>
  </si>
  <si>
    <t>Treatment adherence</t>
  </si>
  <si>
    <t>a1O36000001EGH6EAO</t>
  </si>
  <si>
    <t>MCI-00580</t>
  </si>
  <si>
    <t>a1O36000001qZ8fEAE</t>
  </si>
  <si>
    <t>MCI-00126</t>
  </si>
  <si>
    <t>a1O36000001EGHCEA4</t>
  </si>
  <si>
    <t>MCI-00127</t>
  </si>
  <si>
    <t>a1O36000001EGHDEA4</t>
  </si>
  <si>
    <t>MCI-00128</t>
  </si>
  <si>
    <t>a1O36000001EGHEEA4</t>
  </si>
  <si>
    <t>MCI-00129</t>
  </si>
  <si>
    <t>Engaging all care providers (TB care and prevention)</t>
  </si>
  <si>
    <t>a1O36000001EGHFEA4</t>
  </si>
  <si>
    <t>MCI-00130</t>
  </si>
  <si>
    <t>a1O36000001EGHGEA4</t>
  </si>
  <si>
    <t>MCI-00131</t>
  </si>
  <si>
    <t>a1O36000001EGHHEA4</t>
  </si>
  <si>
    <t>MCI-00132</t>
  </si>
  <si>
    <t>Collaborative activities with other programs and sectors (TB care and prevention)</t>
  </si>
  <si>
    <t>a1O36000001EGHIEA4</t>
  </si>
  <si>
    <t>MCI-00133</t>
  </si>
  <si>
    <t>Other TB care and prevention intervention(s)</t>
  </si>
  <si>
    <t>a1O36000001EGHJEA4</t>
  </si>
  <si>
    <t>MCI-00590</t>
  </si>
  <si>
    <t>a1O36000001qZ8pEAE</t>
  </si>
  <si>
    <t>MCI-00591</t>
  </si>
  <si>
    <t>Removing human rights and gender related barriers to TB care and prevention</t>
  </si>
  <si>
    <t>a1O36000001qZ8qEAE</t>
  </si>
  <si>
    <t>MCI-00134</t>
  </si>
  <si>
    <t>a1O36000001EGHKEA4</t>
  </si>
  <si>
    <t>MCI-00135</t>
  </si>
  <si>
    <t>Engaging all care providers (TB/HIV)</t>
  </si>
  <si>
    <t>a1O36000001EGHLEA4</t>
  </si>
  <si>
    <t>MCI-00136</t>
  </si>
  <si>
    <t>Community TB/HIV care delivery</t>
  </si>
  <si>
    <t>a1O36000001EGHMEA4</t>
  </si>
  <si>
    <t>MCI-00137</t>
  </si>
  <si>
    <t>Key populations (TB/HIV) - Others</t>
  </si>
  <si>
    <t>a1O36000001EGHNEA4</t>
  </si>
  <si>
    <t>MCI-00138</t>
  </si>
  <si>
    <t>Collaborative activities with other programs and sectors (TB/HIV)</t>
  </si>
  <si>
    <t>a1O36000001EGHOEA4</t>
  </si>
  <si>
    <t>MCI-00139</t>
  </si>
  <si>
    <t>Other TB/HIV intervention(s)</t>
  </si>
  <si>
    <t>a1O36000001EGHPEA4</t>
  </si>
  <si>
    <t>MCI-00581</t>
  </si>
  <si>
    <t>Key populations (TB/HIV) - Prisoners</t>
  </si>
  <si>
    <t>a1O36000001qZ8gEAE</t>
  </si>
  <si>
    <t>MCI-00582</t>
  </si>
  <si>
    <t>Removing human rights and gender related barriers to TB/HIV collaborative programming</t>
  </si>
  <si>
    <t>a1O36000001qZ8hEAE</t>
  </si>
  <si>
    <t>MCI-00142</t>
  </si>
  <si>
    <t>Prevention for MDR-TB</t>
  </si>
  <si>
    <t>a1O36000001EGHSEA4</t>
  </si>
  <si>
    <t>MCI-00143</t>
  </si>
  <si>
    <t>Engaging all care providers (MDR-TB)</t>
  </si>
  <si>
    <t>a1O36000001EGHTEA4</t>
  </si>
  <si>
    <t>MCI-00144</t>
  </si>
  <si>
    <t>Community MDR-TB care delivery</t>
  </si>
  <si>
    <t>a1O36000001EGHUEA4</t>
  </si>
  <si>
    <t>MCI-00145</t>
  </si>
  <si>
    <t>Key populations (MDR-TB) - Others</t>
  </si>
  <si>
    <t>a1O36000001EGHVEA4</t>
  </si>
  <si>
    <t>MCI-00146</t>
  </si>
  <si>
    <t>Collaborative activities with other programs and sectors (MDR-TB)</t>
  </si>
  <si>
    <t>a1O36000001EGHWEA4</t>
  </si>
  <si>
    <t>MCI-00147</t>
  </si>
  <si>
    <t>Other MDR-TB intervention(s)</t>
  </si>
  <si>
    <t>a1O36000001EGHXEA4</t>
  </si>
  <si>
    <t>MCI-00140</t>
  </si>
  <si>
    <t>a1O36000001EGHQEA4</t>
  </si>
  <si>
    <t>MCI-00141</t>
  </si>
  <si>
    <t>a1O36000001EGHREA4</t>
  </si>
  <si>
    <t>MCI-00592</t>
  </si>
  <si>
    <t>Key populations (MDR-TB) - Prisoners</t>
  </si>
  <si>
    <t>a1O36000001qZ8rEAE</t>
  </si>
  <si>
    <t>MCI-00593</t>
  </si>
  <si>
    <t>Removing human rights and gender related barriers to MDR-TB</t>
  </si>
  <si>
    <t>a1O36000001qZ8sEAE</t>
  </si>
  <si>
    <t>MCI-00170</t>
  </si>
  <si>
    <t>Service organization and facility management</t>
  </si>
  <si>
    <t>a1O36000001EGHuEAO</t>
  </si>
  <si>
    <t>MCI-00171</t>
  </si>
  <si>
    <t>a1O36000001EGHvEAO</t>
  </si>
  <si>
    <t>MCI-00172</t>
  </si>
  <si>
    <t>Improving service delivery infrastructure</t>
  </si>
  <si>
    <t>a1O36000001EGHwEAO</t>
  </si>
  <si>
    <t>MCI-00173</t>
  </si>
  <si>
    <t>Other service delivery intervention(s)</t>
  </si>
  <si>
    <t>a1O36000001EGHxEAO</t>
  </si>
  <si>
    <t>MCI-00601</t>
  </si>
  <si>
    <t>Supportive policy and programmatic environment</t>
  </si>
  <si>
    <t>a1O36000001qZ90EAE</t>
  </si>
  <si>
    <t>MCI-00602</t>
  </si>
  <si>
    <t>Provider initiated feedback mechanisms</t>
  </si>
  <si>
    <t>a1O36000001qZ91EAE</t>
  </si>
  <si>
    <t>MCI-00177</t>
  </si>
  <si>
    <t>Other health and community workforce intervention(s)</t>
  </si>
  <si>
    <t>a1O36000001EGI1EAO</t>
  </si>
  <si>
    <t>MCI-00174</t>
  </si>
  <si>
    <t>Capacity building for health workers, including those at community level</t>
  </si>
  <si>
    <t>a1O36000001EGHyEAO</t>
  </si>
  <si>
    <t>MCI-00175</t>
  </si>
  <si>
    <t>Retention and scale-up of health workers, including for community health workers</t>
  </si>
  <si>
    <t>a1O36000001EGHzEAO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</si>
  <si>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</si>
  <si>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</si>
  <si>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</si>
  <si>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</si>
  <si>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</si>
  <si>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</si>
  <si>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</si>
  <si>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</si>
  <si>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</si>
  <si>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MCI-00598</t>
  </si>
  <si>
    <t>Procurement strategy</t>
  </si>
  <si>
    <t>a1O36000001qZ8xEAE</t>
  </si>
  <si>
    <t>MCI-00599</t>
  </si>
  <si>
    <t>National product selection, registration and quality monitoring</t>
  </si>
  <si>
    <t>a1O36000001qZ8yEAE</t>
  </si>
  <si>
    <t>MCI-00187</t>
  </si>
  <si>
    <t>Public financial management (PFM) strengthening</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</si>
  <si>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</si>
  <si>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</si>
  <si>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</si>
  <si>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</si>
  <si>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</si>
  <si>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</si>
  <si>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</si>
  <si>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</si>
  <si>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</si>
  <si>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</si>
  <si>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</si>
  <si>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Community led advocacy</t>
  </si>
  <si>
    <t>a1O36000001EGIKEA4</t>
  </si>
  <si>
    <t>MCI-00197</t>
  </si>
  <si>
    <t>Social mobilization, building community linkages, collaboration and coordination</t>
  </si>
  <si>
    <t>a1O36000001EGILEA4</t>
  </si>
  <si>
    <t>MCI-00198</t>
  </si>
  <si>
    <t>Institutional capacity building, planning and leadership development</t>
  </si>
  <si>
    <t>a1O36000001EGIMEA4</t>
  </si>
  <si>
    <t>MCI-00199</t>
  </si>
  <si>
    <t>Other community responses and systems intervention(s)</t>
  </si>
  <si>
    <t>a1O36000001EGINEA4</t>
  </si>
  <si>
    <t>MCI-00200</t>
  </si>
  <si>
    <t>a1O36000001EGIOEA4</t>
  </si>
  <si>
    <t>MCI-00201</t>
  </si>
  <si>
    <t>a1O36000001EGIPEA4</t>
  </si>
  <si>
    <t>MCI-00202</t>
  </si>
  <si>
    <t>a1O36000001EGIQEA4</t>
  </si>
  <si>
    <t>MCI-00203</t>
  </si>
  <si>
    <t>Administrative and finance data sources</t>
  </si>
  <si>
    <t>a1O36000001EGIREA4</t>
  </si>
  <si>
    <t>MCI-00204</t>
  </si>
  <si>
    <t>Vital registration system</t>
  </si>
  <si>
    <t>a1O36000001EGISEA4</t>
  </si>
  <si>
    <t>MCI-00205</t>
  </si>
  <si>
    <t>Other health information systems and M&amp;E intervention(s)</t>
  </si>
  <si>
    <t>a1O36000001EGITEA4</t>
  </si>
  <si>
    <t>MCI-00600</t>
  </si>
  <si>
    <t>a1O36000001qZ8zEAE</t>
  </si>
  <si>
    <t>MCI-00206</t>
  </si>
  <si>
    <t>a1O36000001EGIUEA4</t>
  </si>
  <si>
    <t>MCI-00207</t>
  </si>
  <si>
    <t>a1O36000001EGIVEA4</t>
  </si>
  <si>
    <t>MCI-00209</t>
  </si>
  <si>
    <t>Other program management intervention(s)</t>
  </si>
  <si>
    <t>a1O36000001EGIXEA4</t>
  </si>
  <si>
    <t>MCI-00210</t>
  </si>
  <si>
    <t>a1O36000001EGIYEA4</t>
  </si>
  <si>
    <t>MCI-00552</t>
  </si>
  <si>
    <t>Community empowerment for TGs</t>
  </si>
  <si>
    <t>a1O36000001qZ8DEAU</t>
  </si>
  <si>
    <t>MCI-00553</t>
  </si>
  <si>
    <t>Addressing stigma, discrimination and violence against TGs</t>
  </si>
  <si>
    <t>a1O36000001qZ8EEAU</t>
  </si>
  <si>
    <t>MCI-00554</t>
  </si>
  <si>
    <t>Behavioral interventions for TGs</t>
  </si>
  <si>
    <t>a1O36000001qZ8FEAU</t>
  </si>
  <si>
    <t>MCI-00555</t>
  </si>
  <si>
    <t>Condoms and lubricant programming for TGs</t>
  </si>
  <si>
    <t>a1O36000001qZ8GEAU</t>
  </si>
  <si>
    <t>MCI-00556</t>
  </si>
  <si>
    <t>Pre-exposure prophylaxis (PrEP) and other biomedical interventions for TGs</t>
  </si>
  <si>
    <t>a1O36000001qZ8HEAU</t>
  </si>
  <si>
    <t>MCI-00557</t>
  </si>
  <si>
    <t>Harm reduction interventions for TGs with substance use</t>
  </si>
  <si>
    <t>a1O36000001qZ8IEAU</t>
  </si>
  <si>
    <t>MCI-00558</t>
  </si>
  <si>
    <t>HIV testing services for TGs</t>
  </si>
  <si>
    <t>a1O36000001qZ8JEAU</t>
  </si>
  <si>
    <t>MCI-00559</t>
  </si>
  <si>
    <t>Diagnosis and treatment of STIs and sexual health services for TGs</t>
  </si>
  <si>
    <t>a1O36000001qZ8KEAU</t>
  </si>
  <si>
    <t>MCI-00560</t>
  </si>
  <si>
    <t>Prevention and management of coinfections and co-morbidities for TGs</t>
  </si>
  <si>
    <t>a1O36000001qZ8LEAU</t>
  </si>
  <si>
    <t>MCI-00561</t>
  </si>
  <si>
    <t>Interventions for young transgender people</t>
  </si>
  <si>
    <t>a1O36000001qZ8MEAU</t>
  </si>
  <si>
    <t>MCI-00562</t>
  </si>
  <si>
    <t>Other intervention(s) for TGs</t>
  </si>
  <si>
    <t>a1O36000001qZ8NEAU</t>
  </si>
  <si>
    <t>MCI-00565</t>
  </si>
  <si>
    <t>Behavioral interventions for people in prisons and other closed settings</t>
  </si>
  <si>
    <t>a1O36000001qZ8QEAU</t>
  </si>
  <si>
    <t>MCI-00566</t>
  </si>
  <si>
    <t>a1O36000001qZ8REAU</t>
  </si>
  <si>
    <t>MCI-00567</t>
  </si>
  <si>
    <t>Pre-exposure prophylaxis (PrEP) for people in prisons and other closed settings</t>
  </si>
  <si>
    <t>a1O36000001qZ8SEAU</t>
  </si>
  <si>
    <t>MCI-00568</t>
  </si>
  <si>
    <t>Harm reduction interventions for people in prisons and other closed settings</t>
  </si>
  <si>
    <t>a1O36000001qZ8TEAU</t>
  </si>
  <si>
    <t>MCI-00569</t>
  </si>
  <si>
    <t>HIV testing services for people in prisons and other closed settings</t>
  </si>
  <si>
    <t>a1O36000001qZ8UEAU</t>
  </si>
  <si>
    <t>MCI-00570</t>
  </si>
  <si>
    <t>Diagnosis and treatment of STIs and other sexual and reproductive health services for people in prisons and other closed settings</t>
  </si>
  <si>
    <t>a1O36000001qZ8VEAU</t>
  </si>
  <si>
    <t>MCI-00571</t>
  </si>
  <si>
    <t>Prevention and management of coinfections and co-morbidities for people in prisons and other closed settings</t>
  </si>
  <si>
    <t>a1O36000001qZ8WEAU</t>
  </si>
  <si>
    <t>MCI-00572</t>
  </si>
  <si>
    <t>Other intervention(s) for people in prisons and other closed settings</t>
  </si>
  <si>
    <t>a1O36000001qZ8XEAU</t>
  </si>
  <si>
    <t>MCI-00563</t>
  </si>
  <si>
    <t>Community empowerment for people in prisons and other closed settings</t>
  </si>
  <si>
    <t>a1O36000001qZ8OEAU</t>
  </si>
  <si>
    <t>MCI-00564</t>
  </si>
  <si>
    <t>Addressing stigma, discrimination and violence against people in prisons and other closed settings</t>
  </si>
  <si>
    <t>a1O36000001qZ8PEAU</t>
  </si>
  <si>
    <t>MCI-00579</t>
  </si>
  <si>
    <t>a1O36000001qZ8eEAE</t>
  </si>
  <si>
    <t>MCI-00538</t>
  </si>
  <si>
    <t>Community empowerment for MSM</t>
  </si>
  <si>
    <t>a1O36000001qZ7zEAE</t>
  </si>
  <si>
    <t>MCI-00539</t>
  </si>
  <si>
    <t>Addressing stigma, discrimination and violence against MSM</t>
  </si>
  <si>
    <t>a1O36000001qZ80EAE</t>
  </si>
  <si>
    <t>MCI-00540</t>
  </si>
  <si>
    <t>Pre-exposure prophylaxis (PrEP) for MSM</t>
  </si>
  <si>
    <t>a1O36000001qZ81EAE</t>
  </si>
  <si>
    <t>MCI-00541</t>
  </si>
  <si>
    <t>Harm reduction interventions for MSM who inject drugs</t>
  </si>
  <si>
    <t>a1O36000001qZ82EAE</t>
  </si>
  <si>
    <t>MCI-00542</t>
  </si>
  <si>
    <t>Interventions for young men who have sex with men</t>
  </si>
  <si>
    <t>a1O36000001qZ83EAE</t>
  </si>
  <si>
    <t>MCI-00605</t>
  </si>
  <si>
    <t>a1O36000001qZ94EAE</t>
  </si>
  <si>
    <t>MCI-00606</t>
  </si>
  <si>
    <t>a1O36000001qZ95EAE</t>
  </si>
  <si>
    <t>MCI-00607</t>
  </si>
  <si>
    <t>HIV testing services for MSM</t>
  </si>
  <si>
    <t>a1O36000001qZ96EAE</t>
  </si>
  <si>
    <t>MCI-00608</t>
  </si>
  <si>
    <t>Diagnosis and treatment of STIs and other sexual health services for MSM</t>
  </si>
  <si>
    <t>a1O36000001qZ97EAE</t>
  </si>
  <si>
    <t>MCI-00609</t>
  </si>
  <si>
    <t>Prevention and management of coinfections and co-morbidities for MSM</t>
  </si>
  <si>
    <t>a1O36000001qZ98EAE</t>
  </si>
  <si>
    <t>MCI-00610</t>
  </si>
  <si>
    <t>a1O36000001qZ99EAE</t>
  </si>
  <si>
    <t>MCI-00583</t>
  </si>
  <si>
    <t>Stigma and discrimination reduction</t>
  </si>
  <si>
    <t>a1O36000001qZ8iEAE</t>
  </si>
  <si>
    <t>MCI-00584</t>
  </si>
  <si>
    <t>Legal Literacy (“Know Your Rights")</t>
  </si>
  <si>
    <t>a1O36000001qZ8jEAE</t>
  </si>
  <si>
    <t>MCI-00585</t>
  </si>
  <si>
    <t>Training of health care providers on human rights and medical ethics related to HIV and HIV/TB</t>
  </si>
  <si>
    <t>a1O36000001qZ8kEAE</t>
  </si>
  <si>
    <t>MCI-00586</t>
  </si>
  <si>
    <t>HIV and HIV/TB-related legal services</t>
  </si>
  <si>
    <t>a1O36000001qZ8lEAE</t>
  </si>
  <si>
    <t>MCI-00587</t>
  </si>
  <si>
    <t>Sensitisation of law-makers and law-enforcement agents</t>
  </si>
  <si>
    <t>a1O36000001qZ8mEAE</t>
  </si>
  <si>
    <t>MCI-00588</t>
  </si>
  <si>
    <t>Improving laws, regulations and polices relating to HIV and HIV/TB</t>
  </si>
  <si>
    <t>a1O36000001qZ8nEAE</t>
  </si>
  <si>
    <t>MCI-00589</t>
  </si>
  <si>
    <t>Reducing HIV-related gender discrimination, harmful gender norms and violence against women and girls in all their diversity</t>
  </si>
  <si>
    <t>a1O36000001qZ8oEAE</t>
  </si>
  <si>
    <t>MCI-00604</t>
  </si>
  <si>
    <t>Other intervention(s) to reduce human rights-related barriers to HIV services</t>
  </si>
  <si>
    <t>a1O36000001qZ93EAE</t>
  </si>
  <si>
    <t>MCI-00611</t>
  </si>
  <si>
    <t>National health strategies, alignment with disease-specific plans, health sector governance and financing</t>
  </si>
  <si>
    <t>a1O36000001qZ9AEAU</t>
  </si>
  <si>
    <t>MCI-00612</t>
  </si>
  <si>
    <t>Other policy and governance intervention(s)</t>
  </si>
  <si>
    <t>a1O36000001qZ9BEAU</t>
  </si>
  <si>
    <t>Cost Input Name</t>
  </si>
  <si>
    <t>Performance-based supplements, incentives</t>
  </si>
  <si>
    <t>a2C360000007DAQEA2</t>
  </si>
  <si>
    <t>Other HR Costs</t>
  </si>
  <si>
    <t>a2C360000007DB5EAM</t>
  </si>
  <si>
    <t>Human Resources (HR)</t>
  </si>
  <si>
    <t>a2C360000007DA3EAM</t>
  </si>
  <si>
    <t>Salaries - program management</t>
  </si>
  <si>
    <t>a2C360000007DA4EAM</t>
  </si>
  <si>
    <t>Salaries - outreach workers, medical staff and other service providers</t>
  </si>
  <si>
    <t>a2C360000007DAFEA2</t>
  </si>
  <si>
    <t>Meeting/Advocacy related per diems/transport/other costs</t>
  </si>
  <si>
    <t>a2C360000007DB9EAM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</si>
  <si>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</si>
  <si>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</si>
  <si>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</si>
  <si>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</si>
  <si>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</si>
  <si>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</si>
  <si>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</si>
  <si>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</si>
  <si>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</si>
  <si>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</si>
  <si>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Insurance related costs</t>
  </si>
  <si>
    <t>a2C36000000vIr1EAE</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</si>
  <si>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</si>
  <si>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</si>
  <si>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</si>
  <si>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</si>
  <si>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</si>
  <si>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</si>
  <si>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</si>
  <si>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</si>
  <si>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</si>
  <si>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</si>
  <si>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Other medicines</t>
  </si>
  <si>
    <t>a2C360000007DAHEA2</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</si>
  <si>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</si>
  <si>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</si>
  <si>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</si>
  <si>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</si>
  <si>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</si>
  <si>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</si>
  <si>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</si>
  <si>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</si>
  <si>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</si>
  <si>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</si>
  <si>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</si>
  <si>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</si>
  <si>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</si>
  <si>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</si>
  <si>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</si>
  <si>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</si>
  <si>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</si>
  <si>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</si>
  <si>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</si>
  <si>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</si>
  <si>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</si>
  <si>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</si>
  <si>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</si>
  <si>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</si>
  <si>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</si>
  <si>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</si>
  <si>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</si>
  <si>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</si>
  <si>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</si>
  <si>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</si>
  <si>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</si>
  <si>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</si>
  <si>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</si>
  <si>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</si>
  <si>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</si>
  <si>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</si>
  <si>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</si>
  <si>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</si>
  <si>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</si>
  <si>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</si>
  <si>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</si>
  <si>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</si>
  <si>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</si>
  <si>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</si>
  <si>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</si>
  <si>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</si>
  <si>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</si>
  <si>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</si>
  <si>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</si>
  <si>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</si>
  <si>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</si>
  <si>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</si>
  <si>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</si>
  <si>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</si>
  <si>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</si>
  <si>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</si>
  <si>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</si>
  <si>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</si>
  <si>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</si>
  <si>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</si>
  <si>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</si>
  <si>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</si>
  <si>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</si>
  <si>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</si>
  <si>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</si>
  <si>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</si>
  <si>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</si>
  <si>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</si>
  <si>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</si>
  <si>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</si>
  <si>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</si>
  <si>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</si>
  <si>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</si>
  <si>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</si>
  <si>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</si>
  <si>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</si>
  <si>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</si>
  <si>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</si>
  <si>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</si>
  <si>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</si>
  <si>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</si>
  <si>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</si>
  <si>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</si>
  <si>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</si>
  <si>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</si>
  <si>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</si>
  <si>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</si>
  <si>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</si>
  <si>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</si>
  <si>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</si>
  <si>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</si>
  <si>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</si>
  <si>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</si>
  <si>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</si>
  <si>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</si>
  <si>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</si>
  <si>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</si>
  <si>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</si>
  <si>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</si>
  <si>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</si>
  <si>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</si>
  <si>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</si>
  <si>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</si>
  <si>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</si>
  <si>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</si>
  <si>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</si>
  <si>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</si>
  <si>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</si>
  <si>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</si>
  <si>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</si>
  <si>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</si>
  <si>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</si>
  <si>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</si>
  <si>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</si>
  <si>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Nicole Kouassi</t>
  </si>
  <si>
    <t>Resident Representative</t>
  </si>
  <si>
    <t>Date
(Mandatory field to enter in excel)</t>
  </si>
  <si>
    <t>Place</t>
  </si>
  <si>
    <t>Bujumbura</t>
  </si>
  <si>
    <t>Please enter the date in the excel document</t>
  </si>
  <si>
    <t>Principal Recipient Reporting</t>
  </si>
  <si>
    <t>Financial  Triggers for Principal Recipient Reporting</t>
  </si>
  <si>
    <t>Financial Triggers</t>
  </si>
  <si>
    <t>Answer</t>
  </si>
  <si>
    <t>Cash balance not reconciled to the cash reconciliation and bank account with significant (+/-5%) and unexplained differences</t>
  </si>
  <si>
    <t>Audit Report overdue</t>
  </si>
  <si>
    <t>Qualified, adverse or disclaimer of opinion received for the latest audit</t>
  </si>
  <si>
    <t>Enhanced Financial Report/Annual Financial Report has not been fully completed or does not include all the grant's expenditures for the period</t>
  </si>
  <si>
    <t>Inadequate explanation of significant variance (+/-10%) between budget and actual expenditures by intervention/Service Delivery Area and/or cost grouping/cost category linked to programmatic results</t>
  </si>
  <si>
    <t>Critical recommendations by auditors, OIG or the Global Fund on internal controls are not implemented or being addressed by the PR</t>
  </si>
  <si>
    <t>Presence of major issues identified with respect to the Financial Management and Systems Area</t>
  </si>
  <si>
    <t xml:space="preserve">Expenditure vs. Budget (in EFR/AFR) rate below 50% for the prior annual period. </t>
  </si>
  <si>
    <t>If answer to point 8 is "yes", the Annual Cash Forecast has been adjusted to take into consideration the past absorption</t>
  </si>
  <si>
    <t>Finance related Conditions are not met or are partly met</t>
  </si>
  <si>
    <t>ff921f16-0f78-49d2-a726-af02be12057d</t>
  </si>
  <si>
    <t xml:space="preserve">     </t>
  </si>
  <si>
    <t>PickListValue</t>
  </si>
  <si>
    <t>PickListKey</t>
  </si>
  <si>
    <t>AIM_Implementation_Period__c.AIM_Grant_Currency__c</t>
  </si>
  <si>
    <t>AIM_Procurement__c.AIM_Expiry_Response_LFA__c</t>
  </si>
  <si>
    <t>AIM_Procurement__c.AIM_PQR_Response_LFA__c</t>
  </si>
  <si>
    <t>AIM_Procurement__c.AIM_PQR_Response_PR__c</t>
  </si>
  <si>
    <t>AIM_Procurement__c.AIM_Stock_Out_Response_LFA__c</t>
  </si>
  <si>
    <t>AIM_Budget_Variance__c.AIM_Description__c</t>
  </si>
  <si>
    <t>AIM_Quarterly_Cash_Forecast__c.AIM_Type__c</t>
  </si>
  <si>
    <t>AIM_Performance__c.AIM_Major_Issues_Identified_LFA__c</t>
  </si>
  <si>
    <t>AIM_Performance__c.AIM_Overall_Rating_LFA__c</t>
  </si>
  <si>
    <t>AIM_Performance__c.AIM_Quantitative_Indicator_LFA__c</t>
  </si>
  <si>
    <t>AIM_Grant_Requirement__c.AIM_Status_LFA__c</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</si>
  <si>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</si>
  <si>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</si>
  <si>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</si>
  <si>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</si>
  <si>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</si>
  <si>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</si>
  <si>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</si>
  <si>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</si>
  <si>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</si>
  <si>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</si>
  <si>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</si>
  <si>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</si>
  <si>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AIM_Findings_and_Recommendations__c.AIM_Status__c</t>
  </si>
  <si>
    <t>AIM_Coverage_Indicator__c.AIM_Geographic_Coverage__c</t>
  </si>
  <si>
    <t>AIM_Coverage_Indicator__c.AIM_Rating_Cumulation_Type__c</t>
  </si>
  <si>
    <t>AIM_Coverage_Indicator__c.AIM_Year__c</t>
  </si>
  <si>
    <t>AIM_Coverage_Indicator_Targets_Results__c.AIM_Data_Source_Result_LFA__c</t>
  </si>
  <si>
    <t>AIM_Coverage_Indicator_Targets_Results__c.AIM_Verification_Method_LFA__c</t>
  </si>
  <si>
    <t>AIM_Coverage_Indicator_Targets_Results__c.AIM_Due_for_Reporting__c</t>
  </si>
  <si>
    <t>AIM_Coverage_Indicator_Targets_Results__c.AIM_Data_Source_Result_PR__c</t>
  </si>
  <si>
    <t>AIM_Coverage_Disaggregation_Result__c.AIM_LFA_Source__c</t>
  </si>
  <si>
    <t>AIM_Coverage_Disaggregation_Result__c.AIM_Source_PR__c</t>
  </si>
  <si>
    <t>AIM_Impact_Indicator__c.AIM_Baseline_Year__c</t>
  </si>
  <si>
    <t>AIM_Impact_Indicator_Targets_Results__c.AIM_Year_of_Target__c</t>
  </si>
  <si>
    <t>AIM_Impact_Indicator_Targets_Results__c.AIM_Data_Source_Result_LFA__c</t>
  </si>
  <si>
    <t>AIM_Impact_Indicator_Targets_Results__c.AIM_Data_Source_Result_PR__c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</si>
  <si>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</si>
  <si>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</si>
  <si>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</si>
  <si>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</si>
  <si>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</si>
  <si>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</si>
  <si>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</si>
  <si>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</si>
  <si>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AIM_Outcome_Indicator_Targets_Result__c.AIM_Year_of_Target__c</t>
  </si>
  <si>
    <t>AIM_Outcome_Indicator_Targets_Result__c.AIM_Data_Source_Result_LFA__c</t>
  </si>
  <si>
    <t>AIM_Outcome_Indicator_Targets_Result__c.AIM_Data_Source_Result_PR__c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</si>
  <si>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</si>
  <si>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</si>
  <si>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</si>
  <si>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</si>
  <si>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AIM_Outcome_Disaggregation_Results__c.AIM_Result_Source_PR__c</t>
  </si>
  <si>
    <t>AIM_Outcome_Disaggregation_Results__c.AIM_Verified_Result_Source_LFA__c</t>
  </si>
  <si>
    <t>AIM_WPTM_Results__c.AIM_Progress_Status_PR__c</t>
  </si>
  <si>
    <t>AIM_WPTM_Results__c.AIM_Progress_Status_LFA__c</t>
  </si>
  <si>
    <t>AIM_Opt_Ins__c.AIM_Tab_Name__c</t>
  </si>
  <si>
    <t>AIM_Opt_Ins__c.AIM_Type__c</t>
  </si>
  <si>
    <t>IRT_Mitigating_Action_Details__c.AIM_PR_Status__c</t>
  </si>
  <si>
    <t>IRT_Mitigating_Action_Details__c.AIM_LFA_Status__c</t>
  </si>
  <si>
    <t>Annual Grant Reporting  Requirements</t>
  </si>
  <si>
    <t>Annual_Grant_Reporting__Requirements</t>
  </si>
  <si>
    <t>CHF</t>
  </si>
  <si>
    <t>PR total expenditures</t>
  </si>
  <si>
    <t>A1</t>
  </si>
  <si>
    <t>2002</t>
  </si>
  <si>
    <t>PR Reporting</t>
  </si>
  <si>
    <t>Findings and Recomendations</t>
  </si>
  <si>
    <t>Findings_and_Recomendations</t>
  </si>
  <si>
    <t>EUR</t>
  </si>
  <si>
    <t>Disbursement to SRs</t>
  </si>
  <si>
    <t>A2</t>
  </si>
  <si>
    <t>Waived</t>
  </si>
  <si>
    <t>Subnational</t>
  </si>
  <si>
    <t>Non cumulative</t>
  </si>
  <si>
    <t>2003</t>
  </si>
  <si>
    <t>Cash Balance</t>
  </si>
  <si>
    <t>Grant_Requirements</t>
  </si>
  <si>
    <t>N/A</t>
  </si>
  <si>
    <t>Pharmaceutical Products</t>
  </si>
  <si>
    <t>LFA</t>
  </si>
  <si>
    <t>N.A.</t>
  </si>
  <si>
    <t>B1</t>
  </si>
  <si>
    <t>Rejected</t>
  </si>
  <si>
    <t>Geographic National, 100% of national program target</t>
  </si>
  <si>
    <t>Non cumulative – other</t>
  </si>
  <si>
    <t>2004</t>
  </si>
  <si>
    <t>TBD</t>
  </si>
  <si>
    <t>Tax Reporting</t>
  </si>
  <si>
    <t>Management Actions</t>
  </si>
  <si>
    <t>Management_Actions</t>
  </si>
  <si>
    <t>AFN</t>
  </si>
  <si>
    <t>Non-Pharmaceutical Products</t>
  </si>
  <si>
    <t>GF</t>
  </si>
  <si>
    <t>B2</t>
  </si>
  <si>
    <t>Geographic Subnational, less than 100% national program target</t>
  </si>
  <si>
    <t>Non cumulative - special</t>
  </si>
  <si>
    <t>2005</t>
  </si>
  <si>
    <t>Master</t>
  </si>
  <si>
    <t>AMD</t>
  </si>
  <si>
    <t>Disb - Final Forecast</t>
  </si>
  <si>
    <t>C</t>
  </si>
  <si>
    <t>Geographic Subnational, 100% of national program target</t>
  </si>
  <si>
    <t>2006</t>
  </si>
  <si>
    <t>AUD</t>
  </si>
  <si>
    <t>2007</t>
  </si>
  <si>
    <t>BAM</t>
  </si>
  <si>
    <t>2008</t>
  </si>
  <si>
    <t>BDT</t>
  </si>
  <si>
    <t>2009</t>
  </si>
  <si>
    <t>PR Cash Reconciliation_2ABCD</t>
  </si>
  <si>
    <t>BGN</t>
  </si>
  <si>
    <t>2010</t>
  </si>
  <si>
    <t>SR Cash Reconciliation_2E</t>
  </si>
  <si>
    <t>BTN</t>
  </si>
  <si>
    <t>2011</t>
  </si>
  <si>
    <t>BYR</t>
  </si>
  <si>
    <t>2012</t>
  </si>
  <si>
    <t>CNY</t>
  </si>
  <si>
    <t>2013</t>
  </si>
  <si>
    <t>COP</t>
  </si>
  <si>
    <t>2014</t>
  </si>
  <si>
    <t>PR/LFA Evaluation_5</t>
  </si>
  <si>
    <t>DOP</t>
  </si>
  <si>
    <t>LFA Findings and Recommendation_6</t>
  </si>
  <si>
    <t>GBP</t>
  </si>
  <si>
    <t>GEL</t>
  </si>
  <si>
    <t>GHS</t>
  </si>
  <si>
    <t>GNF</t>
  </si>
  <si>
    <t>GTQ</t>
  </si>
  <si>
    <t>2020</t>
  </si>
  <si>
    <t>IDR</t>
  </si>
  <si>
    <t>2021</t>
  </si>
  <si>
    <t>Quarterly Cash Info_QFR1</t>
  </si>
  <si>
    <t>ILS</t>
  </si>
  <si>
    <t>2022</t>
  </si>
  <si>
    <t>Tax Reporting_QFR2</t>
  </si>
  <si>
    <t>INR</t>
  </si>
  <si>
    <t>2023</t>
  </si>
  <si>
    <t>JMD</t>
  </si>
  <si>
    <t>2024</t>
  </si>
  <si>
    <t>JOD</t>
  </si>
  <si>
    <t>2025</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</si>
  <si>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</si>
  <si>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</si>
  <si>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</si>
  <si>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</si>
  <si>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</si>
  <si>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</si>
  <si>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</si>
  <si>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</si>
  <si>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</si>
  <si>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</si>
  <si>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</si>
  <si>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</si>
  <si>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</si>
  <si>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</si>
  <si>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</si>
  <si>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</si>
  <si>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</si>
  <si>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</si>
  <si>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</si>
  <si>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</si>
  <si>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</si>
  <si>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</si>
  <si>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</si>
  <si>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</si>
  <si>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</si>
  <si>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</si>
  <si>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</si>
  <si>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</si>
  <si>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</si>
  <si>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</si>
  <si>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</si>
  <si>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</si>
  <si>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</si>
  <si>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</si>
  <si>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</si>
  <si>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</si>
  <si>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</si>
  <si>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</si>
  <si>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</si>
  <si>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</si>
  <si>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</si>
  <si>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</si>
  <si>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</si>
  <si>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</si>
  <si>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</si>
  <si>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</si>
  <si>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</si>
  <si>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</si>
  <si>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</si>
  <si>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</si>
  <si>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</si>
  <si>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</si>
  <si>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</si>
  <si>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</si>
  <si>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</si>
  <si>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</si>
  <si>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</si>
  <si>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</si>
  <si>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</si>
  <si>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</si>
  <si>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</si>
  <si>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</si>
  <si>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</si>
  <si>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</si>
  <si>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</si>
  <si>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</si>
  <si>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</si>
  <si>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</si>
  <si>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</si>
  <si>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</si>
  <si>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</si>
  <si>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</si>
  <si>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</si>
  <si>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</si>
  <si>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</si>
  <si>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</si>
  <si>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</si>
  <si>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</si>
  <si>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</si>
  <si>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</si>
  <si>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</si>
  <si>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</si>
  <si>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</si>
  <si>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</si>
  <si>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</si>
  <si>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</si>
  <si>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</si>
  <si>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</si>
  <si>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MRO</t>
  </si>
  <si>
    <t>MVR</t>
  </si>
  <si>
    <t>MWK</t>
  </si>
  <si>
    <t>MXN</t>
  </si>
  <si>
    <t>MYR</t>
  </si>
  <si>
    <t>NIO</t>
  </si>
  <si>
    <t>NPR</t>
  </si>
  <si>
    <t>OMR</t>
  </si>
  <si>
    <t>PAB</t>
  </si>
  <si>
    <t>PEN</t>
  </si>
  <si>
    <t>PKR</t>
  </si>
  <si>
    <t>PLN</t>
  </si>
  <si>
    <t>QAR</t>
  </si>
  <si>
    <t>RON</t>
  </si>
  <si>
    <t>RWF</t>
  </si>
  <si>
    <t>SAR</t>
  </si>
  <si>
    <t>SBD</t>
  </si>
  <si>
    <t>SCR</t>
  </si>
  <si>
    <t>SDG</t>
  </si>
  <si>
    <t>SGD</t>
  </si>
  <si>
    <t>SHP</t>
  </si>
  <si>
    <t>SKK</t>
  </si>
  <si>
    <t>SOS</t>
  </si>
  <si>
    <t>STD</t>
  </si>
  <si>
    <t>SYP</t>
  </si>
  <si>
    <t>TJS</t>
  </si>
  <si>
    <t>TOP</t>
  </si>
  <si>
    <t>TRY</t>
  </si>
  <si>
    <t>TTD</t>
  </si>
  <si>
    <t>TWD</t>
  </si>
  <si>
    <t>UGX</t>
  </si>
  <si>
    <t>UYU</t>
  </si>
  <si>
    <t>UZS</t>
  </si>
  <si>
    <t>VND</t>
  </si>
  <si>
    <t>VUV</t>
  </si>
  <si>
    <t>WST</t>
  </si>
  <si>
    <t>XCD</t>
  </si>
  <si>
    <t>XPF</t>
  </si>
  <si>
    <t>ZWD</t>
  </si>
  <si>
    <t>MZN</t>
  </si>
  <si>
    <t>TMT</t>
  </si>
  <si>
    <t>VEF</t>
  </si>
  <si>
    <t>ZMW</t>
  </si>
  <si>
    <t>SSP</t>
  </si>
  <si>
    <t>CUP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</si>
</sst>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quot;$&quot;#,##0_);[Red]\(&quot;$&quot;#,##0\)"/>
    <numFmt numFmtId="165" formatCode="&quot;$&quot;#,##0.00_);[Red]\(&quot;$&quot;#,##0.00\)"/>
    <numFmt numFmtId="166" formatCode="_(&quot;$&quot;* #,##0.00_);_(&quot;$&quot;* \(#,##0.00\);_(&quot;$&quot;* &quot;-&quot;??_);_(@_)"/>
    <numFmt numFmtId="167" formatCode="_(* #,##0.00_);_(* \(#,##0.00\);_(* &quot;-&quot;??_);_(@_)"/>
    <numFmt numFmtId="168" formatCode="[$-409]d\-mmm\-yy;@"/>
    <numFmt numFmtId="169" formatCode="&quot;$&quot;#,##0"/>
    <numFmt numFmtId="170" formatCode="#,##0.0_ ;[Red]\-#,##0.0\ "/>
    <numFmt numFmtId="171" formatCode="_(* #,##0_);_(* \(#,##0\);_(* &quot;-&quot;??_);_(@_)"/>
    <numFmt numFmtId="172" formatCode="[$-809]dd\ mmmm\ yyyy;@"/>
    <numFmt numFmtId="173" formatCode="#,##0.00_ ;[Red]\-#,##0.00\ "/>
    <numFmt numFmtId="174" formatCode="#,##0.00;[Red]\(#,##0.00\)"/>
    <numFmt numFmtId="175" formatCode="0.0%"/>
    <numFmt numFmtId="176" formatCode="_ * #,##0_ ;_ * \-#,##0_ ;_ * &quot;-&quot;??_ ;_ @_ "/>
    <numFmt numFmtId="177" formatCode="#,##0;[Red]#,##0"/>
    <numFmt numFmtId="178" formatCode="0.000000"/>
    <numFmt numFmtId="179" formatCode="#,##0.00000"/>
    <numFmt numFmtId="180" formatCode="#,##0.0000"/>
    <numFmt numFmtId="181" formatCode="_(* #.##0_);_(* \(#.##0\);_(@_)"/>
    <numFmt numFmtId="182" formatCode="#,##0.00####"/>
    <numFmt numFmtId="183" formatCode="0.00##\%;[Red]\(0.00##\%\)"/>
    <numFmt numFmtId="184" formatCode="dd\.mm\.yyyy"/>
    <numFmt numFmtId="185" formatCode="_(* #,##0.00_);_(* \(#,##0.00\);_(@_)"/>
    <numFmt numFmtId="186" formatCode="_(* #,##0_);_(* \(#,##0\);_(@_)"/>
    <numFmt numFmtId="187" formatCode="_(* #,##0.0_);_(* \(#,##0.0\);_(@_)"/>
    <numFmt numFmtId="188" formatCode="_(* #,##0.00000_);_(* \(#,##0.00000\);_(@_)"/>
    <numFmt numFmtId="189" formatCode="d/m/yy;@"/>
  </numFmts>
  <fonts count="96"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b/>
      <sz val="12"/>
      <color theme="0" tint="-0.34998626667073579"/>
      <name val="Georgia"/>
      <family val="1"/>
    </font>
    <font>
      <b/>
      <u/>
      <sz val="14"/>
      <color theme="0" tint="-0.34998626667073579"/>
      <name val="Georgia"/>
      <family val="1"/>
    </font>
    <font>
      <b/>
      <i/>
      <sz val="14"/>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2"/>
      <color indexed="9"/>
      <name val="Georgia"/>
      <family val="1"/>
    </font>
    <font>
      <b/>
      <sz val="20"/>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sz val="18"/>
      <color theme="1"/>
      <name val="Georgia"/>
      <family val="1"/>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u/>
      <sz val="12"/>
      <name val="Georgia"/>
      <family val="1"/>
    </font>
    <font>
      <sz val="12"/>
      <color indexed="12"/>
      <name val="Georgia"/>
      <family val="1"/>
    </font>
    <font>
      <sz val="12"/>
      <color theme="1"/>
      <name val="Georgia"/>
      <family val="1"/>
      <charset val="238"/>
    </font>
    <font>
      <b/>
      <sz val="13"/>
      <color indexed="12"/>
      <name val="Georgia"/>
      <family val="1"/>
    </font>
    <font>
      <sz val="13"/>
      <name val="Georgia"/>
      <family val="1"/>
    </font>
    <font>
      <b/>
      <u/>
      <sz val="12"/>
      <name val="Georgia"/>
      <family val="1"/>
    </font>
    <font>
      <b/>
      <sz val="11"/>
      <color theme="0"/>
      <name val="Calibri"/>
      <family val="2"/>
      <scheme val="minor"/>
    </font>
    <font>
      <sz val="24"/>
      <name val="Georgia"/>
      <family val="1"/>
    </font>
    <font>
      <b/>
      <sz val="22"/>
      <color theme="1"/>
      <name val="Georgia"/>
      <family val="1"/>
    </font>
    <font>
      <sz val="11"/>
      <name val="Calibri"/>
      <family val="2"/>
      <scheme val="minor"/>
    </font>
    <font>
      <sz val="11"/>
      <color theme="0"/>
      <name val="Calibri"/>
      <family val="2"/>
      <scheme val="minor"/>
    </font>
    <font>
      <b/>
      <sz val="14"/>
      <color theme="0"/>
      <name val="Georgia"/>
      <family val="1"/>
    </font>
    <font>
      <sz val="24"/>
      <color theme="0"/>
      <name val="Georgia"/>
      <family val="1"/>
    </font>
    <font>
      <b/>
      <sz val="20"/>
      <color theme="0"/>
      <name val="Georgia"/>
      <family val="1"/>
    </font>
    <font>
      <b/>
      <sz val="18"/>
      <color theme="0"/>
      <name val="Georgia"/>
      <family val="1"/>
    </font>
    <font>
      <b/>
      <sz val="16"/>
      <color theme="0"/>
      <name val="Georgia"/>
      <family val="1"/>
    </font>
    <font>
      <sz val="14"/>
      <color theme="0"/>
      <name val="Georgia"/>
      <family val="1"/>
    </font>
    <font>
      <sz val="11"/>
      <name val="Calibri"/>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theme="0" tint="-0.14996795556505021"/>
        <bgColor indexed="64"/>
      </patternFill>
    </fill>
  </fills>
  <borders count="14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hair">
        <color theme="8"/>
      </right>
      <top style="hair">
        <color theme="8"/>
      </top>
      <bottom style="hair">
        <color theme="8"/>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style="hair">
        <color theme="8"/>
      </right>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top/>
      <bottom style="medium">
        <color indexed="64"/>
      </bottom>
      <diagonal/>
    </border>
    <border>
      <left style="thin">
        <color indexed="9"/>
      </left>
      <right style="thin">
        <color indexed="9"/>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style="medium">
        <color indexed="64"/>
      </right>
      <top style="medium">
        <color indexed="64"/>
      </top>
      <bottom/>
      <diagonal/>
    </border>
    <border>
      <left style="thin">
        <color indexed="9"/>
      </left>
      <right style="thin">
        <color indexed="9"/>
      </right>
      <top style="medium">
        <color indexed="64"/>
      </top>
      <bottom/>
      <diagonal/>
    </border>
    <border>
      <left/>
      <right style="thin">
        <color indexed="9"/>
      </right>
      <top style="medium">
        <color indexed="64"/>
      </top>
      <bottom/>
      <diagonal/>
    </border>
    <border>
      <left style="thin">
        <color indexed="9"/>
      </left>
      <right/>
      <top/>
      <bottom/>
      <diagonal/>
    </border>
    <border>
      <left style="thin">
        <color indexed="9"/>
      </left>
      <right style="thin">
        <color indexed="9"/>
      </right>
      <top style="medium">
        <color indexed="64"/>
      </top>
      <bottom style="medium">
        <color indexed="64"/>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top style="hair">
        <color rgb="FF33CCCC"/>
      </top>
      <bottom style="hair">
        <color rgb="FF33CCCC"/>
      </bottom>
      <diagonal/>
    </border>
    <border>
      <left style="hair">
        <color rgb="FF33CCCC"/>
      </left>
      <right style="hair">
        <color rgb="FF33CCCC"/>
      </right>
      <top/>
      <bottom style="medium">
        <color indexed="64"/>
      </bottom>
      <diagonal/>
    </border>
    <border>
      <left style="medium">
        <color indexed="64"/>
      </left>
      <right style="hair">
        <color rgb="FF33CCCC"/>
      </right>
      <top style="hair">
        <color rgb="FF33CCCC"/>
      </top>
      <bottom style="medium">
        <color indexed="64"/>
      </bottom>
      <diagonal/>
    </border>
    <border>
      <left/>
      <right/>
      <top style="hair">
        <color rgb="FF33CCCC"/>
      </top>
      <bottom/>
      <diagonal/>
    </border>
    <border>
      <left/>
      <right style="hair">
        <color rgb="FF33CCCC"/>
      </right>
      <top style="hair">
        <color rgb="FF33CCCC"/>
      </top>
      <bottom style="hair">
        <color rgb="FF33CCCC"/>
      </bottom>
      <diagonal/>
    </border>
    <border>
      <left style="hair">
        <color rgb="FF33CCCC"/>
      </left>
      <right style="hair">
        <color rgb="FF33CCCC"/>
      </right>
      <top style="medium">
        <color auto="1"/>
      </top>
      <bottom style="hair">
        <color rgb="FF33CCCC"/>
      </bottom>
      <diagonal/>
    </border>
    <border>
      <left style="medium">
        <color indexed="64"/>
      </left>
      <right/>
      <top style="medium">
        <color indexed="64"/>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medium">
        <color indexed="64"/>
      </left>
      <right style="thin">
        <color indexed="64"/>
      </right>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hair">
        <color theme="8"/>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rgb="FF33CCCC"/>
      </bottom>
      <diagonal/>
    </border>
    <border>
      <left/>
      <right/>
      <top/>
      <bottom style="medium">
        <color theme="1"/>
      </bottom>
      <diagonal/>
    </border>
    <border>
      <left style="hair">
        <color rgb="FF33CCCC"/>
      </left>
      <right style="medium">
        <color indexed="64"/>
      </right>
      <top/>
      <bottom style="medium">
        <color indexed="64"/>
      </bottom>
      <diagonal/>
    </border>
    <border>
      <left/>
      <right style="medium">
        <color indexed="64"/>
      </right>
      <top/>
      <bottom style="thin">
        <color indexed="64"/>
      </bottom>
      <diagonal/>
    </border>
    <border>
      <left style="hair">
        <color auto="1"/>
      </left>
      <right style="hair">
        <color indexed="64"/>
      </right>
      <top style="hair">
        <color auto="1"/>
      </top>
      <bottom style="hair">
        <color indexed="64"/>
      </bottom>
      <diagonal/>
    </border>
    <border>
      <left/>
      <right/>
      <top/>
      <bottom style="thin">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top/>
      <bottom style="thin">
        <color indexed="9"/>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medium">
        <color indexed="64"/>
      </left>
      <right style="thin">
        <color auto="1"/>
      </right>
      <top style="thin">
        <color auto="1"/>
      </top>
      <bottom style="medium">
        <color indexed="64"/>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9"/>
      </right>
      <top style="thin">
        <color indexed="9"/>
      </top>
      <bottom style="thin">
        <color indexed="9"/>
      </bottom>
      <diagonal/>
    </border>
    <border>
      <left/>
      <right style="thin">
        <color indexed="9"/>
      </right>
      <top style="thin">
        <color indexed="9"/>
      </top>
      <bottom style="thin">
        <color indexed="64"/>
      </bottom>
      <diagonal/>
    </border>
    <border>
      <left/>
      <right/>
      <top style="thin">
        <color indexed="9"/>
      </top>
      <bottom/>
      <diagonal/>
    </border>
    <border>
      <left/>
      <right/>
      <top style="thin">
        <color indexed="9"/>
      </top>
      <bottom style="thin">
        <color indexed="9"/>
      </bottom>
      <diagonal/>
    </border>
    <border>
      <left/>
      <right/>
      <top style="thin">
        <color auto="1"/>
      </top>
      <bottom style="thin">
        <color auto="1"/>
      </bottom>
      <diagonal/>
    </border>
  </borders>
  <cellStyleXfs count="16">
    <xf numFmtId="0" fontId="0" fillId="0" borderId="0"/>
    <xf numFmtId="0" fontId="28" fillId="0" borderId="0"/>
    <xf numFmtId="0" fontId="26" fillId="0" borderId="0"/>
    <xf numFmtId="166"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0" fontId="28" fillId="0" borderId="0"/>
    <xf numFmtId="0" fontId="26" fillId="0" borderId="0"/>
    <xf numFmtId="0" fontId="26" fillId="0" borderId="0"/>
    <xf numFmtId="0" fontId="26" fillId="0" borderId="0"/>
    <xf numFmtId="167" fontId="28" fillId="0" borderId="0" applyFont="0" applyFill="0" applyBorder="0" applyAlignment="0" applyProtection="0"/>
    <xf numFmtId="0" fontId="18" fillId="3" borderId="1">
      <alignment horizontal="left" vertical="center" wrapText="1"/>
    </xf>
    <xf numFmtId="0" fontId="18" fillId="2" borderId="1">
      <alignment horizontal="left" vertical="center" wrapText="1"/>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cellStyleXfs>
  <cellXfs count="1908">
    <xf numFmtId="0" fontId="0" fillId="0" borderId="0" xfId="0"/>
    <xf numFmtId="0" fontId="5" fillId="2" borderId="0" xfId="0" applyFont="1" applyFill="1" applyAlignment="1">
      <alignment vertical="center"/>
    </xf>
    <xf numFmtId="0" fontId="5" fillId="2" borderId="0" xfId="0" applyFont="1" applyFill="1"/>
    <xf numFmtId="0" fontId="5" fillId="4" borderId="0" xfId="0" applyFont="1" applyFill="1"/>
    <xf numFmtId="0" fontId="8" fillId="2" borderId="0" xfId="0" applyFont="1" applyFill="1"/>
    <xf numFmtId="0" fontId="8" fillId="2" borderId="11" xfId="0" applyFont="1" applyFill="1" applyBorder="1"/>
    <xf numFmtId="0" fontId="7" fillId="2" borderId="0" xfId="0" applyFont="1" applyFill="1" applyAlignment="1">
      <alignment horizontal="left" vertical="center" wrapText="1" indent="1"/>
    </xf>
    <xf numFmtId="0" fontId="4" fillId="4" borderId="0" xfId="0" applyFont="1" applyFill="1" applyAlignment="1">
      <alignment vertical="center" wrapText="1"/>
    </xf>
    <xf numFmtId="0" fontId="10" fillId="2" borderId="0" xfId="0" applyFont="1" applyFill="1" applyAlignment="1">
      <alignment horizontal="left" vertical="center" wrapText="1"/>
    </xf>
    <xf numFmtId="0" fontId="9" fillId="2" borderId="0" xfId="0" applyFont="1" applyFill="1" applyAlignment="1">
      <alignment horizontal="left" vertical="center" wrapText="1"/>
    </xf>
    <xf numFmtId="0" fontId="4" fillId="4" borderId="0" xfId="0" applyFont="1" applyFill="1" applyAlignment="1">
      <alignment horizontal="left" vertical="center"/>
    </xf>
    <xf numFmtId="0" fontId="10" fillId="4" borderId="0" xfId="0" applyFont="1" applyFill="1" applyAlignment="1">
      <alignment horizontal="left" vertical="center" wrapText="1"/>
    </xf>
    <xf numFmtId="0" fontId="2" fillId="4" borderId="0" xfId="0" applyFont="1" applyFill="1" applyAlignment="1">
      <alignment horizontal="left" vertical="top" wrapText="1"/>
    </xf>
    <xf numFmtId="0" fontId="11" fillId="4" borderId="0" xfId="0" applyFont="1" applyFill="1" applyAlignment="1">
      <alignment wrapText="1"/>
    </xf>
    <xf numFmtId="0" fontId="5" fillId="4" borderId="0" xfId="0" applyFont="1" applyFill="1" applyAlignment="1">
      <alignment horizontal="center"/>
    </xf>
    <xf numFmtId="0" fontId="10" fillId="2" borderId="0" xfId="0" applyFont="1" applyFill="1" applyAlignment="1">
      <alignment vertical="center" wrapText="1"/>
    </xf>
    <xf numFmtId="0" fontId="0" fillId="2" borderId="0" xfId="0" applyFill="1"/>
    <xf numFmtId="0" fontId="11" fillId="4" borderId="0" xfId="0" quotePrefix="1" applyFont="1" applyFill="1" applyAlignment="1">
      <alignment wrapText="1"/>
    </xf>
    <xf numFmtId="0" fontId="11" fillId="4" borderId="0" xfId="0" applyFont="1" applyFill="1" applyAlignment="1">
      <alignment vertical="top" wrapText="1"/>
    </xf>
    <xf numFmtId="0" fontId="12" fillId="4" borderId="0" xfId="0" applyFont="1" applyFill="1"/>
    <xf numFmtId="0" fontId="13" fillId="4" borderId="0" xfId="0" applyFont="1" applyFill="1"/>
    <xf numFmtId="0" fontId="14" fillId="4" borderId="0" xfId="0" applyFont="1" applyFill="1" applyAlignment="1">
      <alignment horizontal="left" vertical="top" wrapText="1"/>
    </xf>
    <xf numFmtId="0" fontId="15" fillId="4" borderId="0" xfId="0" applyFont="1" applyFill="1" applyAlignment="1">
      <alignment wrapText="1"/>
    </xf>
    <xf numFmtId="0" fontId="16" fillId="4" borderId="0" xfId="0" applyFont="1" applyFill="1" applyAlignment="1">
      <alignment wrapText="1"/>
    </xf>
    <xf numFmtId="0" fontId="12" fillId="4" borderId="0" xfId="0" applyFont="1" applyFill="1" applyProtection="1">
      <protection hidden="1"/>
    </xf>
    <xf numFmtId="14" fontId="12" fillId="4" borderId="0" xfId="0" applyNumberFormat="1" applyFont="1" applyFill="1" applyProtection="1">
      <protection hidden="1"/>
    </xf>
    <xf numFmtId="0" fontId="17" fillId="4" borderId="0" xfId="0" applyFont="1" applyFill="1" applyAlignment="1">
      <alignment wrapText="1"/>
    </xf>
    <xf numFmtId="14" fontId="12" fillId="4" borderId="0" xfId="0" applyNumberFormat="1" applyFont="1" applyFill="1"/>
    <xf numFmtId="0" fontId="3" fillId="2" borderId="2" xfId="0" applyFont="1" applyFill="1" applyBorder="1" applyAlignment="1">
      <alignment vertical="center"/>
    </xf>
    <xf numFmtId="0" fontId="4" fillId="2" borderId="0" xfId="0" applyFont="1" applyFill="1"/>
    <xf numFmtId="0" fontId="2" fillId="2" borderId="2" xfId="0" applyFont="1" applyFill="1" applyBorder="1" applyAlignment="1">
      <alignment horizontal="left" vertical="center" wrapText="1"/>
    </xf>
    <xf numFmtId="0" fontId="2" fillId="2" borderId="0" xfId="0" applyFont="1" applyFill="1" applyAlignment="1">
      <alignment horizontal="left" vertical="center" wrapText="1"/>
    </xf>
    <xf numFmtId="0" fontId="2" fillId="5" borderId="3" xfId="0" applyFont="1" applyFill="1" applyBorder="1" applyAlignment="1">
      <alignment horizontal="center" vertical="center" wrapText="1"/>
    </xf>
    <xf numFmtId="0" fontId="18" fillId="0" borderId="0" xfId="0" applyFont="1"/>
    <xf numFmtId="0" fontId="18" fillId="2" borderId="0" xfId="0" applyFont="1" applyFill="1"/>
    <xf numFmtId="0" fontId="22" fillId="2" borderId="0" xfId="0" applyFont="1" applyFill="1" applyAlignment="1">
      <alignment horizontal="left" vertical="center"/>
    </xf>
    <xf numFmtId="0" fontId="21" fillId="2" borderId="0" xfId="0" applyFont="1" applyFill="1" applyAlignment="1">
      <alignment vertical="center"/>
    </xf>
    <xf numFmtId="0" fontId="19" fillId="2" borderId="0" xfId="0" applyFont="1" applyFill="1"/>
    <xf numFmtId="0" fontId="22" fillId="3" borderId="14" xfId="0" applyFont="1" applyFill="1" applyBorder="1" applyAlignment="1">
      <alignment horizontal="left" vertical="center"/>
    </xf>
    <xf numFmtId="0" fontId="18" fillId="3" borderId="15" xfId="0" applyFont="1" applyFill="1" applyBorder="1"/>
    <xf numFmtId="0" fontId="18" fillId="3" borderId="16" xfId="0" applyFont="1" applyFill="1" applyBorder="1"/>
    <xf numFmtId="0" fontId="19" fillId="5" borderId="17" xfId="0" applyFont="1" applyFill="1" applyBorder="1" applyAlignment="1">
      <alignment horizontal="center" vertical="center" wrapText="1"/>
    </xf>
    <xf numFmtId="0" fontId="18" fillId="2" borderId="0" xfId="0" applyFont="1" applyFill="1" applyAlignment="1">
      <alignment horizontal="center"/>
    </xf>
    <xf numFmtId="0" fontId="19" fillId="5" borderId="18" xfId="0" applyFont="1" applyFill="1" applyBorder="1" applyAlignment="1">
      <alignment vertical="center" wrapText="1"/>
    </xf>
    <xf numFmtId="0" fontId="28" fillId="0" borderId="0" xfId="1"/>
    <xf numFmtId="0" fontId="29" fillId="13" borderId="0" xfId="1" applyFont="1" applyFill="1" applyAlignment="1">
      <alignment vertical="center" wrapText="1"/>
    </xf>
    <xf numFmtId="0" fontId="29" fillId="13" borderId="0" xfId="1" applyFont="1" applyFill="1" applyAlignment="1">
      <alignment horizontal="center" vertical="center" wrapText="1"/>
    </xf>
    <xf numFmtId="169" fontId="4" fillId="2" borderId="24" xfId="2" applyNumberFormat="1" applyFont="1" applyFill="1" applyBorder="1" applyAlignment="1">
      <alignment vertical="center" wrapText="1"/>
    </xf>
    <xf numFmtId="0" fontId="4" fillId="2" borderId="24" xfId="2" applyFont="1" applyFill="1" applyBorder="1" applyAlignment="1">
      <alignment vertical="center" wrapText="1"/>
    </xf>
    <xf numFmtId="169" fontId="2" fillId="15" borderId="25" xfId="1" applyNumberFormat="1" applyFont="1" applyFill="1" applyBorder="1" applyAlignment="1" applyProtection="1">
      <alignment vertical="center"/>
      <protection locked="0"/>
    </xf>
    <xf numFmtId="169" fontId="2" fillId="15" borderId="26" xfId="1" applyNumberFormat="1" applyFont="1" applyFill="1" applyBorder="1" applyAlignment="1" applyProtection="1">
      <alignment vertical="center"/>
      <protection locked="0"/>
    </xf>
    <xf numFmtId="49" fontId="7" fillId="15" borderId="27" xfId="1" applyNumberFormat="1" applyFont="1" applyFill="1" applyBorder="1" applyAlignment="1" applyProtection="1">
      <alignment horizontal="left" vertical="center" wrapText="1"/>
      <protection locked="0"/>
    </xf>
    <xf numFmtId="49" fontId="7" fillId="15" borderId="26" xfId="1" applyNumberFormat="1" applyFont="1" applyFill="1" applyBorder="1" applyAlignment="1" applyProtection="1">
      <alignment horizontal="left" vertical="center" wrapText="1"/>
      <protection locked="0"/>
    </xf>
    <xf numFmtId="170" fontId="7" fillId="15" borderId="26" xfId="2" applyNumberFormat="1" applyFont="1" applyFill="1" applyBorder="1" applyAlignment="1" applyProtection="1">
      <alignment vertical="center"/>
      <protection locked="0"/>
    </xf>
    <xf numFmtId="0" fontId="26" fillId="0" borderId="0" xfId="2" applyAlignment="1" applyProtection="1">
      <alignment horizontal="center"/>
      <protection locked="0"/>
    </xf>
    <xf numFmtId="169" fontId="2" fillId="15" borderId="28" xfId="1" applyNumberFormat="1" applyFont="1" applyFill="1" applyBorder="1" applyAlignment="1" applyProtection="1">
      <alignment vertical="center"/>
      <protection locked="0"/>
    </xf>
    <xf numFmtId="0" fontId="4" fillId="11" borderId="6" xfId="2" applyFont="1" applyFill="1" applyBorder="1" applyAlignment="1">
      <alignment horizontal="center" vertical="center" wrapText="1"/>
    </xf>
    <xf numFmtId="0" fontId="4" fillId="11" borderId="21" xfId="2" applyFont="1" applyFill="1" applyBorder="1" applyAlignment="1">
      <alignment horizontal="center" vertical="center" wrapText="1"/>
    </xf>
    <xf numFmtId="0" fontId="4" fillId="17" borderId="23" xfId="2" applyFont="1" applyFill="1" applyBorder="1" applyAlignment="1">
      <alignment horizontal="center" vertical="center" wrapText="1"/>
    </xf>
    <xf numFmtId="0" fontId="1" fillId="0" borderId="0" xfId="2" applyFont="1" applyAlignment="1">
      <alignment vertical="center"/>
    </xf>
    <xf numFmtId="0" fontId="5" fillId="0" borderId="0" xfId="1" applyFont="1" applyProtection="1">
      <protection locked="0"/>
    </xf>
    <xf numFmtId="0" fontId="5" fillId="0" borderId="0" xfId="1" applyFont="1"/>
    <xf numFmtId="0" fontId="5" fillId="0" borderId="0" xfId="1" applyFont="1" applyAlignment="1">
      <alignment wrapText="1"/>
    </xf>
    <xf numFmtId="0" fontId="2" fillId="0" borderId="0" xfId="1" applyFont="1"/>
    <xf numFmtId="0" fontId="2" fillId="0" borderId="22" xfId="1" applyFont="1" applyBorder="1"/>
    <xf numFmtId="0" fontId="2" fillId="0" borderId="0" xfId="1" applyFont="1" applyAlignment="1">
      <alignment wrapText="1"/>
    </xf>
    <xf numFmtId="49" fontId="6" fillId="0" borderId="0" xfId="1" applyNumberFormat="1" applyFont="1" applyAlignment="1">
      <alignment horizontal="right" vertical="center"/>
    </xf>
    <xf numFmtId="164" fontId="2" fillId="14" borderId="10" xfId="1" applyNumberFormat="1" applyFont="1" applyFill="1" applyBorder="1" applyAlignment="1">
      <alignment vertical="center"/>
    </xf>
    <xf numFmtId="0" fontId="2" fillId="2" borderId="32" xfId="1" applyFont="1" applyFill="1" applyBorder="1" applyAlignment="1">
      <alignment vertical="center" wrapText="1"/>
    </xf>
    <xf numFmtId="0" fontId="4" fillId="3" borderId="12" xfId="1" applyFont="1" applyFill="1" applyBorder="1" applyAlignment="1">
      <alignment horizontal="left" vertical="center" wrapText="1"/>
    </xf>
    <xf numFmtId="0" fontId="4" fillId="3" borderId="34" xfId="1" applyFont="1" applyFill="1" applyBorder="1" applyAlignment="1">
      <alignment horizontal="left" vertical="center" wrapText="1"/>
    </xf>
    <xf numFmtId="171" fontId="30" fillId="0" borderId="0" xfId="1" applyNumberFormat="1" applyFont="1" applyAlignment="1">
      <alignment vertical="center"/>
    </xf>
    <xf numFmtId="164" fontId="4" fillId="0" borderId="0" xfId="3" applyNumberFormat="1" applyFont="1" applyFill="1" applyBorder="1" applyAlignment="1" applyProtection="1">
      <alignment vertical="center"/>
    </xf>
    <xf numFmtId="0" fontId="30" fillId="0" borderId="0" xfId="1" applyFont="1" applyAlignment="1">
      <alignment vertical="center" wrapText="1"/>
    </xf>
    <xf numFmtId="164" fontId="2" fillId="14" borderId="5" xfId="1" applyNumberFormat="1" applyFont="1" applyFill="1" applyBorder="1" applyAlignment="1">
      <alignment vertical="center"/>
    </xf>
    <xf numFmtId="164" fontId="2" fillId="15" borderId="13" xfId="4" applyNumberFormat="1" applyFont="1" applyFill="1" applyBorder="1" applyAlignment="1" applyProtection="1">
      <alignment vertical="center"/>
      <protection locked="0"/>
    </xf>
    <xf numFmtId="164" fontId="2" fillId="15" borderId="5" xfId="1" applyNumberFormat="1" applyFont="1" applyFill="1" applyBorder="1" applyAlignment="1" applyProtection="1">
      <alignment vertical="center"/>
      <protection locked="0"/>
    </xf>
    <xf numFmtId="171" fontId="30" fillId="0" borderId="0" xfId="1" applyNumberFormat="1" applyFont="1" applyAlignment="1">
      <alignment vertical="center" wrapText="1"/>
    </xf>
    <xf numFmtId="0" fontId="4" fillId="0" borderId="10" xfId="1" applyFont="1" applyBorder="1" applyAlignment="1">
      <alignment vertical="center" wrapText="1"/>
    </xf>
    <xf numFmtId="172" fontId="4" fillId="16" borderId="23" xfId="1" applyNumberFormat="1" applyFont="1" applyFill="1" applyBorder="1" applyAlignment="1">
      <alignment horizontal="center" vertical="center" wrapText="1"/>
    </xf>
    <xf numFmtId="0" fontId="4" fillId="16" borderId="18" xfId="1" applyFont="1" applyFill="1" applyBorder="1" applyAlignment="1">
      <alignment horizontal="center" vertical="center" wrapText="1"/>
    </xf>
    <xf numFmtId="172" fontId="4" fillId="16" borderId="18" xfId="1" applyNumberFormat="1" applyFont="1" applyFill="1" applyBorder="1" applyAlignment="1">
      <alignment horizontal="center" vertical="center" wrapText="1"/>
    </xf>
    <xf numFmtId="164" fontId="4" fillId="19" borderId="36" xfId="3" applyNumberFormat="1" applyFont="1" applyFill="1" applyBorder="1" applyAlignment="1" applyProtection="1">
      <alignment vertical="center"/>
    </xf>
    <xf numFmtId="0" fontId="4" fillId="2" borderId="37" xfId="1" applyFont="1" applyFill="1" applyBorder="1" applyAlignment="1">
      <alignment vertical="center" wrapText="1"/>
    </xf>
    <xf numFmtId="164" fontId="4" fillId="14" borderId="18" xfId="3" applyNumberFormat="1" applyFont="1" applyFill="1" applyBorder="1" applyAlignment="1" applyProtection="1">
      <alignment vertical="center"/>
    </xf>
    <xf numFmtId="0" fontId="2" fillId="2" borderId="38" xfId="1" applyFont="1" applyFill="1" applyBorder="1" applyAlignment="1" applyProtection="1">
      <alignment vertical="center"/>
      <protection locked="0"/>
    </xf>
    <xf numFmtId="0" fontId="2" fillId="2" borderId="29" xfId="1" applyFont="1" applyFill="1" applyBorder="1" applyAlignment="1">
      <alignment vertical="center"/>
    </xf>
    <xf numFmtId="0" fontId="2" fillId="0" borderId="19" xfId="1" applyFont="1" applyBorder="1" applyAlignment="1">
      <alignment vertical="center"/>
    </xf>
    <xf numFmtId="0" fontId="4" fillId="0" borderId="39" xfId="1" applyFont="1" applyBorder="1" applyAlignment="1">
      <alignment vertical="center" wrapText="1"/>
    </xf>
    <xf numFmtId="164" fontId="4" fillId="14" borderId="11" xfId="3" applyNumberFormat="1" applyFont="1" applyFill="1" applyBorder="1" applyAlignment="1" applyProtection="1">
      <alignment vertical="center"/>
    </xf>
    <xf numFmtId="0" fontId="4" fillId="2" borderId="24" xfId="1" applyFont="1" applyFill="1" applyBorder="1" applyAlignment="1">
      <alignment vertical="center" wrapText="1"/>
    </xf>
    <xf numFmtId="0" fontId="4" fillId="0" borderId="30" xfId="1" applyFont="1" applyBorder="1" applyAlignment="1">
      <alignment vertical="center" wrapText="1"/>
    </xf>
    <xf numFmtId="0" fontId="4" fillId="2" borderId="38" xfId="1" applyFont="1" applyFill="1" applyBorder="1" applyAlignment="1" applyProtection="1">
      <alignment vertical="center"/>
      <protection locked="0"/>
    </xf>
    <xf numFmtId="49" fontId="5" fillId="0" borderId="0" xfId="1" applyNumberFormat="1" applyFont="1" applyAlignment="1">
      <alignment horizontal="right"/>
    </xf>
    <xf numFmtId="0" fontId="2" fillId="0" borderId="19" xfId="1" applyFont="1" applyBorder="1" applyAlignment="1">
      <alignment vertical="center" wrapText="1"/>
    </xf>
    <xf numFmtId="171" fontId="4" fillId="2" borderId="2" xfId="1" applyNumberFormat="1" applyFont="1" applyFill="1" applyBorder="1" applyAlignment="1" applyProtection="1">
      <alignment vertical="center" wrapText="1"/>
      <protection locked="0"/>
    </xf>
    <xf numFmtId="164" fontId="4" fillId="15" borderId="11" xfId="3" applyNumberFormat="1" applyFont="1" applyFill="1" applyBorder="1" applyAlignment="1" applyProtection="1">
      <alignment vertical="center"/>
      <protection locked="0"/>
    </xf>
    <xf numFmtId="0" fontId="4" fillId="2" borderId="30" xfId="1" applyFont="1" applyFill="1" applyBorder="1" applyAlignment="1">
      <alignment horizontal="center" vertical="center" wrapText="1"/>
    </xf>
    <xf numFmtId="0" fontId="5" fillId="0" borderId="40" xfId="1" applyFont="1" applyBorder="1" applyProtection="1">
      <protection locked="0"/>
    </xf>
    <xf numFmtId="0" fontId="2" fillId="0" borderId="0" xfId="1" applyFont="1" applyAlignment="1">
      <alignment vertical="center"/>
    </xf>
    <xf numFmtId="0" fontId="5" fillId="0" borderId="42" xfId="1" applyFont="1" applyBorder="1"/>
    <xf numFmtId="0" fontId="5" fillId="0" borderId="44" xfId="1" applyFont="1" applyBorder="1"/>
    <xf numFmtId="0" fontId="5" fillId="2" borderId="0" xfId="1" applyFont="1" applyFill="1" applyProtection="1">
      <protection locked="0"/>
    </xf>
    <xf numFmtId="0" fontId="5" fillId="2" borderId="0" xfId="1" applyFont="1" applyFill="1"/>
    <xf numFmtId="0" fontId="10" fillId="2" borderId="0" xfId="1" applyFont="1" applyFill="1" applyAlignment="1">
      <alignment horizontal="left" vertical="center" wrapText="1"/>
    </xf>
    <xf numFmtId="0" fontId="5" fillId="5" borderId="0" xfId="1" applyFont="1" applyFill="1"/>
    <xf numFmtId="174" fontId="4" fillId="21" borderId="23" xfId="1" applyNumberFormat="1" applyFont="1" applyFill="1" applyBorder="1" applyAlignment="1" applyProtection="1">
      <alignment horizontal="left" vertical="top" wrapText="1"/>
      <protection locked="0"/>
    </xf>
    <xf numFmtId="175" fontId="2" fillId="14" borderId="18" xfId="5" applyNumberFormat="1" applyFont="1" applyFill="1" applyBorder="1" applyAlignment="1" applyProtection="1">
      <alignment horizontal="center" vertical="center"/>
    </xf>
    <xf numFmtId="164" fontId="4" fillId="14" borderId="18" xfId="1" applyNumberFormat="1" applyFont="1" applyFill="1" applyBorder="1" applyAlignment="1">
      <alignment vertical="center"/>
    </xf>
    <xf numFmtId="0" fontId="4" fillId="16" borderId="3" xfId="1" applyFont="1" applyFill="1" applyBorder="1" applyAlignment="1">
      <alignment horizontal="center" vertical="center" wrapText="1"/>
    </xf>
    <xf numFmtId="0" fontId="4" fillId="16" borderId="15" xfId="1" applyFont="1" applyFill="1" applyBorder="1" applyAlignment="1">
      <alignment horizontal="center" vertical="center" wrapText="1"/>
    </xf>
    <xf numFmtId="0" fontId="4" fillId="16" borderId="14" xfId="1" applyFont="1" applyFill="1" applyBorder="1" applyAlignment="1">
      <alignment horizontal="center" vertical="center" wrapText="1"/>
    </xf>
    <xf numFmtId="174" fontId="2" fillId="0" borderId="42" xfId="1" applyNumberFormat="1" applyFont="1" applyBorder="1" applyAlignment="1">
      <alignment horizontal="right" vertical="center"/>
    </xf>
    <xf numFmtId="4" fontId="2" fillId="0" borderId="42" xfId="1" applyNumberFormat="1" applyFont="1" applyBorder="1" applyAlignment="1">
      <alignment horizontal="right" vertical="center"/>
    </xf>
    <xf numFmtId="0" fontId="2" fillId="0" borderId="42" xfId="1" applyFont="1" applyBorder="1" applyAlignment="1">
      <alignment horizontal="left" vertical="center" indent="1"/>
    </xf>
    <xf numFmtId="0" fontId="2" fillId="0" borderId="42" xfId="1" applyFont="1" applyBorder="1" applyAlignment="1">
      <alignment horizontal="left" vertical="center"/>
    </xf>
    <xf numFmtId="0" fontId="35" fillId="21" borderId="5" xfId="1" applyFont="1" applyFill="1" applyBorder="1" applyAlignment="1" applyProtection="1">
      <alignment horizontal="left" vertical="center"/>
      <protection locked="0"/>
    </xf>
    <xf numFmtId="164" fontId="4" fillId="14" borderId="13" xfId="1" applyNumberFormat="1" applyFont="1" applyFill="1" applyBorder="1" applyAlignment="1">
      <alignment vertical="center"/>
    </xf>
    <xf numFmtId="9" fontId="2" fillId="14" borderId="18" xfId="5" applyFont="1" applyFill="1" applyBorder="1" applyAlignment="1" applyProtection="1">
      <alignment horizontal="center" vertical="center"/>
    </xf>
    <xf numFmtId="0" fontId="4" fillId="16" borderId="34" xfId="1" applyFont="1" applyFill="1" applyBorder="1" applyAlignment="1">
      <alignment horizontal="center" vertical="center" wrapText="1"/>
    </xf>
    <xf numFmtId="0" fontId="4" fillId="16" borderId="22" xfId="1" applyFont="1" applyFill="1" applyBorder="1" applyAlignment="1">
      <alignment horizontal="center" vertical="center" wrapText="1"/>
    </xf>
    <xf numFmtId="0" fontId="4" fillId="16" borderId="8" xfId="1" applyFont="1" applyFill="1" applyBorder="1" applyAlignment="1">
      <alignment horizontal="center" vertical="center" wrapText="1"/>
    </xf>
    <xf numFmtId="0" fontId="4" fillId="16" borderId="6" xfId="1" applyFont="1" applyFill="1" applyBorder="1" applyAlignment="1">
      <alignment horizontal="center" vertical="center" wrapText="1"/>
    </xf>
    <xf numFmtId="0" fontId="4" fillId="0" borderId="16" xfId="1" applyFont="1" applyBorder="1" applyAlignment="1">
      <alignment horizontal="left" vertical="center"/>
    </xf>
    <xf numFmtId="0" fontId="36" fillId="0" borderId="15" xfId="1" applyFont="1" applyBorder="1" applyAlignment="1">
      <alignment horizontal="left" vertical="center"/>
    </xf>
    <xf numFmtId="0" fontId="5" fillId="0" borderId="22" xfId="1" applyFont="1" applyBorder="1"/>
    <xf numFmtId="0" fontId="5" fillId="0" borderId="22" xfId="1" applyFont="1" applyBorder="1" applyAlignment="1">
      <alignment vertical="center"/>
    </xf>
    <xf numFmtId="0" fontId="10" fillId="0" borderId="22" xfId="1" applyFont="1" applyBorder="1" applyAlignment="1">
      <alignment horizontal="left" vertical="center"/>
    </xf>
    <xf numFmtId="0" fontId="10" fillId="0" borderId="0" xfId="1" applyFont="1" applyAlignment="1">
      <alignment horizontal="left" vertical="center"/>
    </xf>
    <xf numFmtId="0" fontId="10" fillId="0" borderId="42" xfId="1" applyFont="1" applyBorder="1" applyAlignment="1">
      <alignment horizontal="left" vertical="center"/>
    </xf>
    <xf numFmtId="0" fontId="10" fillId="0" borderId="0" xfId="1" applyFont="1" applyAlignment="1">
      <alignment vertical="center" wrapText="1"/>
    </xf>
    <xf numFmtId="0" fontId="10" fillId="20" borderId="22" xfId="1" applyFont="1" applyFill="1" applyBorder="1" applyAlignment="1">
      <alignment vertical="center" wrapText="1"/>
    </xf>
    <xf numFmtId="0" fontId="5" fillId="4" borderId="42" xfId="1" applyFont="1" applyFill="1" applyBorder="1"/>
    <xf numFmtId="176" fontId="2" fillId="4" borderId="42" xfId="4" applyNumberFormat="1" applyFont="1" applyFill="1" applyBorder="1" applyProtection="1"/>
    <xf numFmtId="0" fontId="2" fillId="4" borderId="42" xfId="1" applyFont="1" applyFill="1" applyBorder="1"/>
    <xf numFmtId="0" fontId="2" fillId="4" borderId="42" xfId="1" applyFont="1" applyFill="1" applyBorder="1" applyAlignment="1">
      <alignment vertical="center"/>
    </xf>
    <xf numFmtId="0" fontId="37" fillId="4" borderId="42" xfId="1" applyFont="1" applyFill="1" applyBorder="1" applyAlignment="1">
      <alignment vertical="center"/>
    </xf>
    <xf numFmtId="0" fontId="4" fillId="14" borderId="3" xfId="1" applyFont="1" applyFill="1" applyBorder="1" applyAlignment="1">
      <alignment horizontal="center" vertical="center" wrapText="1"/>
    </xf>
    <xf numFmtId="0" fontId="2" fillId="0" borderId="40" xfId="1" applyFont="1" applyBorder="1"/>
    <xf numFmtId="0" fontId="4" fillId="0" borderId="42" xfId="1" applyFont="1" applyBorder="1" applyAlignment="1">
      <alignment horizontal="left" vertical="center"/>
    </xf>
    <xf numFmtId="0" fontId="36" fillId="0" borderId="42" xfId="1" applyFont="1" applyBorder="1" applyAlignment="1">
      <alignment horizontal="left" vertical="center"/>
    </xf>
    <xf numFmtId="0" fontId="5" fillId="0" borderId="38" xfId="1" applyFont="1" applyBorder="1" applyAlignment="1">
      <alignment vertical="center"/>
    </xf>
    <xf numFmtId="0" fontId="10" fillId="0" borderId="40" xfId="1" applyFont="1" applyBorder="1" applyAlignment="1">
      <alignment vertical="center" wrapText="1"/>
    </xf>
    <xf numFmtId="0" fontId="32" fillId="2" borderId="0" xfId="1" applyFont="1" applyFill="1" applyAlignment="1">
      <alignment horizontal="left" vertical="center" wrapText="1"/>
    </xf>
    <xf numFmtId="0" fontId="32" fillId="0" borderId="0" xfId="1" applyFont="1" applyAlignment="1">
      <alignment vertical="center" wrapText="1"/>
    </xf>
    <xf numFmtId="0" fontId="33" fillId="0" borderId="0" xfId="1" applyFont="1" applyProtection="1">
      <protection locked="0"/>
    </xf>
    <xf numFmtId="0" fontId="5" fillId="4" borderId="0" xfId="1" applyFont="1" applyFill="1"/>
    <xf numFmtId="176" fontId="5" fillId="4" borderId="0" xfId="4" applyNumberFormat="1" applyFont="1" applyFill="1" applyBorder="1" applyProtection="1"/>
    <xf numFmtId="0" fontId="8" fillId="4" borderId="0" xfId="1" applyFont="1" applyFill="1"/>
    <xf numFmtId="0" fontId="13" fillId="4" borderId="0" xfId="1" applyFont="1" applyFill="1"/>
    <xf numFmtId="0" fontId="13" fillId="4" borderId="0" xfId="1" applyFont="1" applyFill="1" applyProtection="1">
      <protection hidden="1"/>
    </xf>
    <xf numFmtId="0" fontId="5" fillId="2" borderId="22" xfId="1" applyFont="1" applyFill="1" applyBorder="1"/>
    <xf numFmtId="0" fontId="5" fillId="4" borderId="50" xfId="1" applyFont="1" applyFill="1" applyBorder="1"/>
    <xf numFmtId="0" fontId="7" fillId="0" borderId="51" xfId="1" applyFont="1" applyBorder="1" applyAlignment="1">
      <alignment vertical="center"/>
    </xf>
    <xf numFmtId="176" fontId="7" fillId="0" borderId="51" xfId="4" applyNumberFormat="1" applyFont="1" applyFill="1" applyBorder="1" applyAlignment="1" applyProtection="1">
      <alignment vertical="center"/>
    </xf>
    <xf numFmtId="0" fontId="5" fillId="0" borderId="51" xfId="1" applyFont="1" applyBorder="1" applyAlignment="1">
      <alignment vertical="center"/>
    </xf>
    <xf numFmtId="0" fontId="6" fillId="0" borderId="51" xfId="1" applyFont="1" applyBorder="1" applyAlignment="1">
      <alignment horizontal="center" vertical="center"/>
    </xf>
    <xf numFmtId="0" fontId="5" fillId="0" borderId="51" xfId="1" applyFont="1" applyBorder="1" applyAlignment="1">
      <alignment vertical="center" wrapText="1"/>
    </xf>
    <xf numFmtId="0" fontId="6" fillId="0" borderId="51" xfId="1" applyFont="1" applyBorder="1" applyAlignment="1">
      <alignment horizontal="left" vertical="center" wrapText="1"/>
    </xf>
    <xf numFmtId="0" fontId="7" fillId="4" borderId="0" xfId="1" applyFont="1" applyFill="1"/>
    <xf numFmtId="174" fontId="7" fillId="2" borderId="0" xfId="1" applyNumberFormat="1" applyFont="1" applyFill="1" applyAlignment="1">
      <alignment horizontal="right" vertical="center"/>
    </xf>
    <xf numFmtId="0" fontId="5" fillId="2" borderId="0" xfId="1" applyFont="1" applyFill="1" applyAlignment="1">
      <alignment horizontal="right" vertical="center"/>
    </xf>
    <xf numFmtId="174" fontId="6" fillId="2" borderId="0" xfId="1" applyNumberFormat="1" applyFont="1" applyFill="1" applyAlignment="1">
      <alignment horizontal="right" vertical="center"/>
    </xf>
    <xf numFmtId="0" fontId="7" fillId="2" borderId="0" xfId="1" applyFont="1" applyFill="1" applyAlignment="1">
      <alignment horizontal="left" vertical="center"/>
    </xf>
    <xf numFmtId="0" fontId="2" fillId="4" borderId="0" xfId="1" applyFont="1" applyFill="1"/>
    <xf numFmtId="176" fontId="2" fillId="4" borderId="0" xfId="4" applyNumberFormat="1" applyFont="1" applyFill="1" applyBorder="1" applyProtection="1"/>
    <xf numFmtId="0" fontId="4" fillId="2" borderId="24" xfId="1" applyFont="1" applyFill="1" applyBorder="1" applyAlignment="1" applyProtection="1">
      <alignment horizontal="center" vertical="center"/>
      <protection locked="0"/>
    </xf>
    <xf numFmtId="0" fontId="4" fillId="2" borderId="40" xfId="1" applyFont="1" applyFill="1" applyBorder="1" applyAlignment="1" applyProtection="1">
      <alignment horizontal="center" vertical="center"/>
      <protection locked="0"/>
    </xf>
    <xf numFmtId="0" fontId="4" fillId="2" borderId="35" xfId="1" applyFont="1" applyFill="1" applyBorder="1" applyAlignment="1" applyProtection="1">
      <alignment horizontal="center" vertical="center"/>
      <protection locked="0"/>
    </xf>
    <xf numFmtId="0" fontId="4" fillId="2" borderId="32" xfId="1" applyFont="1" applyFill="1" applyBorder="1" applyAlignment="1" applyProtection="1">
      <alignment horizontal="center" vertical="center"/>
      <protection locked="0"/>
    </xf>
    <xf numFmtId="0" fontId="4" fillId="2" borderId="34" xfId="1" applyFont="1" applyFill="1" applyBorder="1" applyAlignment="1" applyProtection="1">
      <alignment horizontal="center" vertical="center"/>
      <protection locked="0"/>
    </xf>
    <xf numFmtId="0" fontId="4" fillId="16" borderId="12" xfId="1" applyFont="1" applyFill="1" applyBorder="1" applyAlignment="1">
      <alignment horizontal="center" vertical="center" wrapText="1"/>
    </xf>
    <xf numFmtId="174" fontId="4" fillId="2" borderId="0" xfId="1" applyNumberFormat="1" applyFont="1" applyFill="1" applyAlignment="1">
      <alignment horizontal="right" vertical="center"/>
    </xf>
    <xf numFmtId="174" fontId="2" fillId="2" borderId="15" xfId="1" applyNumberFormat="1" applyFont="1" applyFill="1" applyBorder="1" applyAlignment="1">
      <alignment horizontal="right" vertical="center"/>
    </xf>
    <xf numFmtId="174" fontId="2" fillId="2" borderId="0" xfId="1" applyNumberFormat="1" applyFont="1" applyFill="1" applyAlignment="1">
      <alignment horizontal="right" vertical="center"/>
    </xf>
    <xf numFmtId="0" fontId="2" fillId="2" borderId="0" xfId="1" applyFont="1" applyFill="1" applyAlignment="1">
      <alignment horizontal="right" vertical="center"/>
    </xf>
    <xf numFmtId="0" fontId="4" fillId="2" borderId="0" xfId="1" applyFont="1" applyFill="1" applyAlignment="1">
      <alignment horizontal="right" vertical="center"/>
    </xf>
    <xf numFmtId="0" fontId="4" fillId="2" borderId="22" xfId="1" applyFont="1" applyFill="1" applyBorder="1" applyAlignment="1">
      <alignment horizontal="right" vertical="center"/>
    </xf>
    <xf numFmtId="174" fontId="2" fillId="0" borderId="52" xfId="1" applyNumberFormat="1" applyFont="1" applyBorder="1" applyAlignment="1">
      <alignment horizontal="left" vertical="center"/>
    </xf>
    <xf numFmtId="177" fontId="2" fillId="16" borderId="17" xfId="1" applyNumberFormat="1" applyFont="1" applyFill="1" applyBorder="1" applyAlignment="1">
      <alignment horizontal="center" vertical="center"/>
    </xf>
    <xf numFmtId="177" fontId="2" fillId="16" borderId="47" xfId="1" applyNumberFormat="1" applyFont="1" applyFill="1" applyBorder="1" applyAlignment="1">
      <alignment horizontal="center" vertical="center"/>
    </xf>
    <xf numFmtId="177" fontId="2" fillId="16" borderId="11" xfId="1" applyNumberFormat="1" applyFont="1" applyFill="1" applyBorder="1" applyAlignment="1">
      <alignment horizontal="center" vertical="center"/>
    </xf>
    <xf numFmtId="177" fontId="2" fillId="16" borderId="18" xfId="1" applyNumberFormat="1" applyFont="1" applyFill="1" applyBorder="1" applyAlignment="1">
      <alignment horizontal="center" vertical="center"/>
    </xf>
    <xf numFmtId="174" fontId="2" fillId="0" borderId="23" xfId="1" applyNumberFormat="1" applyFont="1" applyBorder="1" applyAlignment="1" applyProtection="1">
      <alignment horizontal="left" vertical="center"/>
      <protection locked="0"/>
    </xf>
    <xf numFmtId="177" fontId="2" fillId="0" borderId="18" xfId="1" applyNumberFormat="1" applyFont="1" applyBorder="1" applyAlignment="1" applyProtection="1">
      <alignment horizontal="center" vertical="center"/>
      <protection locked="0"/>
    </xf>
    <xf numFmtId="0" fontId="4" fillId="16" borderId="52" xfId="1" applyFont="1" applyFill="1" applyBorder="1" applyAlignment="1">
      <alignment horizontal="center" vertical="center" wrapText="1"/>
    </xf>
    <xf numFmtId="0" fontId="4" fillId="16" borderId="47" xfId="1" applyFont="1" applyFill="1" applyBorder="1" applyAlignment="1">
      <alignment horizontal="center" vertical="center" wrapText="1"/>
    </xf>
    <xf numFmtId="0" fontId="4" fillId="16" borderId="47" xfId="1" applyFont="1" applyFill="1" applyBorder="1" applyAlignment="1">
      <alignment horizontal="center" vertical="center"/>
    </xf>
    <xf numFmtId="0" fontId="4" fillId="4" borderId="42" xfId="1" applyFont="1" applyFill="1" applyBorder="1"/>
    <xf numFmtId="0" fontId="2" fillId="4" borderId="0" xfId="1" applyFont="1" applyFill="1" applyAlignment="1">
      <alignment vertical="center"/>
    </xf>
    <xf numFmtId="0" fontId="4" fillId="4" borderId="0" xfId="1" applyFont="1" applyFill="1" applyAlignment="1">
      <alignment horizontal="center" vertical="center"/>
    </xf>
    <xf numFmtId="0" fontId="2" fillId="4" borderId="12" xfId="1" applyFont="1" applyFill="1" applyBorder="1" applyAlignment="1" applyProtection="1">
      <alignment vertical="center"/>
      <protection locked="0"/>
    </xf>
    <xf numFmtId="0" fontId="4" fillId="16" borderId="55" xfId="1" applyFont="1" applyFill="1" applyBorder="1"/>
    <xf numFmtId="0" fontId="2" fillId="16" borderId="56" xfId="1" applyFont="1" applyFill="1" applyBorder="1" applyAlignment="1">
      <alignment vertical="center"/>
    </xf>
    <xf numFmtId="0" fontId="2" fillId="16" borderId="57" xfId="1" applyFont="1" applyFill="1" applyBorder="1"/>
    <xf numFmtId="0" fontId="2" fillId="16" borderId="22" xfId="1" applyFont="1" applyFill="1" applyBorder="1"/>
    <xf numFmtId="0" fontId="4" fillId="16" borderId="22" xfId="1" applyFont="1" applyFill="1" applyBorder="1" applyAlignment="1">
      <alignment vertical="center"/>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51" xfId="1" applyFont="1" applyBorder="1" applyAlignment="1">
      <alignment horizontal="center" vertical="center" wrapText="1"/>
    </xf>
    <xf numFmtId="0" fontId="4" fillId="0" borderId="59" xfId="1" applyFont="1" applyBorder="1" applyAlignment="1">
      <alignment horizontal="center" vertical="center" wrapText="1"/>
    </xf>
    <xf numFmtId="0" fontId="4" fillId="0" borderId="51" xfId="1" applyFont="1" applyBorder="1" applyAlignment="1">
      <alignment horizontal="center" vertical="center"/>
    </xf>
    <xf numFmtId="0" fontId="2" fillId="0" borderId="51" xfId="1" applyFont="1" applyBorder="1" applyAlignment="1">
      <alignment vertical="center" wrapText="1"/>
    </xf>
    <xf numFmtId="0" fontId="2" fillId="0" borderId="59" xfId="1" applyFont="1" applyBorder="1" applyAlignment="1">
      <alignment vertical="center" wrapText="1"/>
    </xf>
    <xf numFmtId="0" fontId="4" fillId="0" borderId="51" xfId="1" applyFont="1" applyBorder="1" applyAlignment="1">
      <alignment horizontal="center" vertical="center" wrapText="1"/>
    </xf>
    <xf numFmtId="0" fontId="4" fillId="0" borderId="59" xfId="1" applyFont="1" applyBorder="1" applyAlignment="1">
      <alignment horizontal="center" vertical="center"/>
    </xf>
    <xf numFmtId="0" fontId="2" fillId="0" borderId="59" xfId="1" applyFont="1" applyBorder="1" applyAlignment="1">
      <alignment wrapText="1"/>
    </xf>
    <xf numFmtId="0" fontId="4" fillId="0" borderId="59" xfId="1" applyFont="1" applyBorder="1" applyAlignment="1">
      <alignment horizontal="left" vertical="center" wrapText="1"/>
    </xf>
    <xf numFmtId="0" fontId="4" fillId="16" borderId="3" xfId="1" applyFont="1" applyFill="1" applyBorder="1" applyAlignment="1" applyProtection="1">
      <alignment horizontal="center" vertical="center"/>
      <protection locked="0"/>
    </xf>
    <xf numFmtId="0" fontId="4" fillId="16" borderId="14" xfId="1" applyFont="1" applyFill="1" applyBorder="1" applyAlignment="1">
      <alignment horizontal="center" vertical="center"/>
    </xf>
    <xf numFmtId="0" fontId="4" fillId="16" borderId="31" xfId="1" applyFont="1" applyFill="1" applyBorder="1" applyAlignment="1">
      <alignment horizontal="center" vertical="center"/>
    </xf>
    <xf numFmtId="174" fontId="2" fillId="4" borderId="58" xfId="1" applyNumberFormat="1" applyFont="1" applyFill="1" applyBorder="1" applyAlignment="1">
      <alignment horizontal="right" vertical="center"/>
    </xf>
    <xf numFmtId="174" fontId="2" fillId="4" borderId="51" xfId="1" applyNumberFormat="1" applyFont="1" applyFill="1" applyBorder="1" applyAlignment="1">
      <alignment horizontal="right" vertical="center"/>
    </xf>
    <xf numFmtId="0" fontId="38" fillId="4" borderId="58" xfId="1" applyFont="1" applyFill="1" applyBorder="1" applyAlignment="1">
      <alignment horizontal="left"/>
    </xf>
    <xf numFmtId="0" fontId="38" fillId="4" borderId="51" xfId="1" applyFont="1" applyFill="1" applyBorder="1" applyAlignment="1">
      <alignment horizontal="left"/>
    </xf>
    <xf numFmtId="0" fontId="39" fillId="4" borderId="0" xfId="1" applyFont="1" applyFill="1"/>
    <xf numFmtId="0" fontId="4" fillId="2" borderId="0" xfId="1" applyFont="1" applyFill="1" applyAlignment="1">
      <alignment horizontal="center"/>
    </xf>
    <xf numFmtId="174" fontId="2" fillId="2" borderId="22" xfId="1" applyNumberFormat="1" applyFont="1" applyFill="1" applyBorder="1" applyAlignment="1">
      <alignment horizontal="right" vertical="center"/>
    </xf>
    <xf numFmtId="176" fontId="2" fillId="4" borderId="40" xfId="4" applyNumberFormat="1" applyFont="1" applyFill="1" applyBorder="1" applyProtection="1"/>
    <xf numFmtId="0" fontId="4" fillId="8" borderId="49" xfId="1" applyFont="1" applyFill="1" applyBorder="1" applyAlignment="1">
      <alignment horizontal="center" vertical="center" wrapText="1"/>
    </xf>
    <xf numFmtId="0" fontId="4" fillId="8" borderId="3" xfId="1" applyFont="1" applyFill="1" applyBorder="1" applyAlignment="1">
      <alignment horizontal="center" vertical="center" wrapText="1"/>
    </xf>
    <xf numFmtId="0" fontId="2" fillId="4" borderId="15" xfId="1" applyFont="1" applyFill="1" applyBorder="1"/>
    <xf numFmtId="0" fontId="4" fillId="2" borderId="42" xfId="1" applyFont="1" applyFill="1" applyBorder="1"/>
    <xf numFmtId="0" fontId="4" fillId="2" borderId="15" xfId="1" applyFont="1" applyFill="1" applyBorder="1"/>
    <xf numFmtId="0" fontId="4" fillId="8" borderId="40" xfId="1" applyFont="1" applyFill="1" applyBorder="1" applyAlignment="1" applyProtection="1">
      <alignment horizontal="center" vertical="center"/>
      <protection locked="0"/>
    </xf>
    <xf numFmtId="0" fontId="4" fillId="0" borderId="41" xfId="1" applyFont="1" applyBorder="1" applyAlignment="1">
      <alignment horizontal="center" vertical="center"/>
    </xf>
    <xf numFmtId="174" fontId="2" fillId="4" borderId="42" xfId="1" applyNumberFormat="1" applyFont="1" applyFill="1" applyBorder="1" applyAlignment="1">
      <alignment horizontal="right" vertical="center"/>
    </xf>
    <xf numFmtId="4" fontId="2" fillId="4" borderId="42" xfId="1" applyNumberFormat="1" applyFont="1" applyFill="1" applyBorder="1" applyAlignment="1">
      <alignment horizontal="right" vertical="center"/>
    </xf>
    <xf numFmtId="0" fontId="2" fillId="4" borderId="42" xfId="1" applyFont="1" applyFill="1" applyBorder="1" applyAlignment="1">
      <alignment horizontal="left" vertical="center"/>
    </xf>
    <xf numFmtId="176" fontId="7" fillId="4" borderId="0" xfId="4" applyNumberFormat="1" applyFont="1" applyFill="1" applyBorder="1" applyProtection="1"/>
    <xf numFmtId="0" fontId="10" fillId="2" borderId="0" xfId="1" applyFont="1" applyFill="1" applyAlignment="1">
      <alignment horizontal="left" vertical="center"/>
    </xf>
    <xf numFmtId="176" fontId="7" fillId="2" borderId="0" xfId="4" applyNumberFormat="1" applyFont="1" applyFill="1" applyBorder="1" applyProtection="1"/>
    <xf numFmtId="0" fontId="5" fillId="0" borderId="0" xfId="1" applyFont="1" applyAlignment="1">
      <alignment vertical="center"/>
    </xf>
    <xf numFmtId="0" fontId="40" fillId="4" borderId="0" xfId="1" applyFont="1" applyFill="1" applyAlignment="1">
      <alignment horizontal="left" vertical="center" wrapText="1"/>
    </xf>
    <xf numFmtId="0" fontId="5" fillId="4" borderId="58" xfId="1" applyFont="1" applyFill="1" applyBorder="1"/>
    <xf numFmtId="0" fontId="5" fillId="4" borderId="51" xfId="1" applyFont="1" applyFill="1" applyBorder="1"/>
    <xf numFmtId="0" fontId="9" fillId="4" borderId="0" xfId="1" applyFont="1" applyFill="1"/>
    <xf numFmtId="0" fontId="7" fillId="4" borderId="58" xfId="1" applyFont="1" applyFill="1" applyBorder="1" applyAlignment="1">
      <alignment horizontal="left" vertical="center" wrapText="1" indent="1"/>
    </xf>
    <xf numFmtId="0" fontId="7" fillId="4" borderId="51" xfId="1" applyFont="1" applyFill="1" applyBorder="1" applyAlignment="1">
      <alignment horizontal="left" vertical="center" wrapText="1" indent="1"/>
    </xf>
    <xf numFmtId="0" fontId="7" fillId="4" borderId="0" xfId="1" applyFont="1" applyFill="1" applyAlignment="1">
      <alignment horizontal="left" vertical="center" wrapText="1"/>
    </xf>
    <xf numFmtId="0" fontId="5" fillId="2" borderId="0" xfId="1" applyFont="1" applyFill="1" applyAlignment="1">
      <alignment horizontal="left"/>
    </xf>
    <xf numFmtId="0" fontId="43" fillId="4" borderId="0" xfId="1" applyFont="1" applyFill="1" applyAlignment="1">
      <alignment horizontal="center" wrapText="1"/>
    </xf>
    <xf numFmtId="0" fontId="5" fillId="2" borderId="0" xfId="1" applyFont="1" applyFill="1" applyAlignment="1">
      <alignment horizontal="left" wrapText="1"/>
    </xf>
    <xf numFmtId="0" fontId="7" fillId="2" borderId="0" xfId="1" applyFont="1" applyFill="1" applyAlignment="1">
      <alignment horizontal="left"/>
    </xf>
    <xf numFmtId="0" fontId="6" fillId="2" borderId="0" xfId="1" applyFont="1" applyFill="1" applyAlignment="1">
      <alignment horizontal="left" wrapText="1"/>
    </xf>
    <xf numFmtId="0" fontId="44" fillId="2" borderId="0" xfId="1" applyFont="1" applyFill="1" applyAlignment="1">
      <alignment horizontal="left"/>
    </xf>
    <xf numFmtId="0" fontId="41" fillId="2" borderId="0" xfId="1" applyFont="1" applyFill="1" applyAlignment="1">
      <alignment horizontal="left"/>
    </xf>
    <xf numFmtId="0" fontId="10" fillId="0" borderId="51" xfId="1" applyFont="1" applyBorder="1" applyAlignment="1">
      <alignment horizontal="left"/>
    </xf>
    <xf numFmtId="0" fontId="7" fillId="4" borderId="0" xfId="1" applyFont="1" applyFill="1" applyAlignment="1">
      <alignment horizontal="center" vertical="center" wrapText="1"/>
    </xf>
    <xf numFmtId="0" fontId="37" fillId="4" borderId="0" xfId="1" applyFont="1" applyFill="1"/>
    <xf numFmtId="0" fontId="7" fillId="4" borderId="0" xfId="1" applyFont="1" applyFill="1" applyAlignment="1">
      <alignment horizontal="left" vertical="center" wrapText="1" indent="1"/>
    </xf>
    <xf numFmtId="0" fontId="10" fillId="0" borderId="0" xfId="1" applyFont="1" applyAlignment="1">
      <alignment horizontal="left"/>
    </xf>
    <xf numFmtId="0" fontId="5" fillId="4" borderId="0" xfId="1" applyFont="1" applyFill="1" applyAlignment="1">
      <alignment vertical="center"/>
    </xf>
    <xf numFmtId="0" fontId="10" fillId="5" borderId="0" xfId="1" applyFont="1" applyFill="1" applyAlignment="1">
      <alignment horizontal="left"/>
    </xf>
    <xf numFmtId="0" fontId="10" fillId="5" borderId="0" xfId="1" applyFont="1" applyFill="1" applyAlignment="1">
      <alignment horizontal="left" vertical="center"/>
    </xf>
    <xf numFmtId="0" fontId="33" fillId="4" borderId="0" xfId="1" applyFont="1" applyFill="1"/>
    <xf numFmtId="0" fontId="13" fillId="0" borderId="0" xfId="1" applyFont="1" applyProtection="1">
      <protection locked="0"/>
    </xf>
    <xf numFmtId="0" fontId="2" fillId="0" borderId="0" xfId="1" applyFont="1" applyProtection="1">
      <protection locked="0"/>
    </xf>
    <xf numFmtId="0" fontId="47" fillId="0" borderId="0" xfId="1" applyFont="1" applyProtection="1">
      <protection locked="0"/>
    </xf>
    <xf numFmtId="0" fontId="14" fillId="0" borderId="0" xfId="1" applyFont="1"/>
    <xf numFmtId="0" fontId="19" fillId="13" borderId="0" xfId="1" applyFont="1" applyFill="1" applyAlignment="1">
      <alignment horizontal="center" vertical="center" wrapText="1"/>
    </xf>
    <xf numFmtId="0" fontId="2" fillId="0" borderId="0" xfId="1" applyFont="1" applyAlignment="1" applyProtection="1">
      <alignment wrapText="1"/>
      <protection locked="0"/>
    </xf>
    <xf numFmtId="0" fontId="19" fillId="0" borderId="0" xfId="1" applyFont="1" applyAlignment="1">
      <alignment horizontal="center" vertical="center"/>
    </xf>
    <xf numFmtId="0" fontId="2" fillId="0" borderId="42" xfId="1" applyFont="1" applyBorder="1" applyProtection="1">
      <protection locked="0"/>
    </xf>
    <xf numFmtId="0" fontId="2" fillId="0" borderId="42" xfId="1" applyFont="1" applyBorder="1"/>
    <xf numFmtId="0" fontId="2" fillId="0" borderId="44" xfId="1" applyFont="1" applyBorder="1"/>
    <xf numFmtId="0" fontId="4" fillId="23" borderId="61" xfId="1" applyFont="1" applyFill="1" applyBorder="1" applyAlignment="1">
      <alignment vertical="center" wrapText="1"/>
    </xf>
    <xf numFmtId="178" fontId="48" fillId="0" borderId="0" xfId="1" applyNumberFormat="1" applyFont="1" applyAlignment="1">
      <alignment vertical="center"/>
    </xf>
    <xf numFmtId="0" fontId="49" fillId="0" borderId="0" xfId="1" applyFont="1"/>
    <xf numFmtId="175" fontId="2" fillId="14" borderId="61" xfId="5" applyNumberFormat="1" applyFont="1" applyFill="1" applyBorder="1" applyAlignment="1" applyProtection="1">
      <alignment vertical="center"/>
    </xf>
    <xf numFmtId="169" fontId="2" fillId="14" borderId="61" xfId="1" applyNumberFormat="1" applyFont="1" applyFill="1" applyBorder="1" applyAlignment="1">
      <alignment vertical="center"/>
    </xf>
    <xf numFmtId="169" fontId="2" fillId="15" borderId="61" xfId="1" applyNumberFormat="1" applyFont="1" applyFill="1" applyBorder="1" applyAlignment="1" applyProtection="1">
      <alignment vertical="center"/>
      <protection locked="0"/>
    </xf>
    <xf numFmtId="0" fontId="2" fillId="0" borderId="0" xfId="1" applyFont="1" applyAlignment="1" applyProtection="1">
      <alignment vertical="center"/>
      <protection locked="0"/>
    </xf>
    <xf numFmtId="0" fontId="47" fillId="0" borderId="0" xfId="1" applyFont="1" applyAlignment="1" applyProtection="1">
      <alignment vertical="center"/>
      <protection locked="0"/>
    </xf>
    <xf numFmtId="0" fontId="14" fillId="0" borderId="0" xfId="1" applyFont="1" applyAlignment="1">
      <alignment vertical="center"/>
    </xf>
    <xf numFmtId="0" fontId="4" fillId="17" borderId="61" xfId="1" applyFont="1" applyFill="1" applyBorder="1" applyAlignment="1">
      <alignment horizontal="center" vertical="center" wrapText="1"/>
    </xf>
    <xf numFmtId="0" fontId="2" fillId="0" borderId="22" xfId="1" applyFont="1" applyBorder="1" applyProtection="1">
      <protection locked="0"/>
    </xf>
    <xf numFmtId="0" fontId="2" fillId="0" borderId="31" xfId="1" applyFont="1" applyBorder="1"/>
    <xf numFmtId="0" fontId="2" fillId="24" borderId="0" xfId="6" applyFont="1" applyFill="1" applyAlignment="1">
      <alignment vertical="center"/>
    </xf>
    <xf numFmtId="0" fontId="4" fillId="24" borderId="0" xfId="6" applyFont="1" applyFill="1" applyAlignment="1">
      <alignment horizontal="left" vertical="center"/>
    </xf>
    <xf numFmtId="0" fontId="12" fillId="0" borderId="0" xfId="1" applyFont="1"/>
    <xf numFmtId="0" fontId="12" fillId="0" borderId="0" xfId="1" applyFont="1" applyProtection="1">
      <protection locked="0"/>
    </xf>
    <xf numFmtId="0" fontId="2" fillId="15" borderId="63" xfId="1" applyFont="1" applyFill="1" applyBorder="1" applyAlignment="1" applyProtection="1">
      <alignment vertical="top" wrapText="1"/>
      <protection locked="0"/>
    </xf>
    <xf numFmtId="0" fontId="24" fillId="0" borderId="0" xfId="1" applyFont="1" applyProtection="1">
      <protection locked="0"/>
    </xf>
    <xf numFmtId="0" fontId="24" fillId="0" borderId="0" xfId="1" applyFont="1"/>
    <xf numFmtId="175" fontId="4" fillId="14" borderId="64" xfId="5" applyNumberFormat="1" applyFont="1" applyFill="1" applyBorder="1" applyAlignment="1" applyProtection="1">
      <alignment vertical="center"/>
    </xf>
    <xf numFmtId="169" fontId="4" fillId="14" borderId="64" xfId="1" applyNumberFormat="1" applyFont="1" applyFill="1" applyBorder="1" applyAlignment="1">
      <alignment vertical="center"/>
    </xf>
    <xf numFmtId="0" fontId="4" fillId="23" borderId="64" xfId="1" applyFont="1" applyFill="1" applyBorder="1" applyAlignment="1">
      <alignment vertical="center" wrapText="1"/>
    </xf>
    <xf numFmtId="0" fontId="4" fillId="5" borderId="65" xfId="1" applyFont="1" applyFill="1" applyBorder="1" applyAlignment="1">
      <alignment vertical="top" wrapText="1"/>
    </xf>
    <xf numFmtId="0" fontId="2" fillId="0" borderId="66" xfId="1" applyFont="1" applyBorder="1" applyProtection="1">
      <protection locked="0"/>
    </xf>
    <xf numFmtId="49" fontId="18" fillId="15" borderId="61" xfId="1" applyNumberFormat="1" applyFont="1" applyFill="1" applyBorder="1" applyAlignment="1" applyProtection="1">
      <alignment vertical="center" wrapText="1"/>
      <protection locked="0"/>
    </xf>
    <xf numFmtId="0" fontId="4" fillId="23" borderId="67" xfId="1" applyFont="1" applyFill="1" applyBorder="1" applyAlignment="1">
      <alignment vertical="center" wrapText="1"/>
    </xf>
    <xf numFmtId="0" fontId="2" fillId="0" borderId="62" xfId="1" applyFont="1" applyBorder="1" applyAlignment="1">
      <alignment horizontal="left" vertical="top"/>
    </xf>
    <xf numFmtId="0" fontId="2" fillId="5" borderId="62" xfId="1" applyFont="1" applyFill="1" applyBorder="1" applyAlignment="1">
      <alignment horizontal="left" vertical="top" wrapText="1"/>
    </xf>
    <xf numFmtId="0" fontId="24" fillId="0" borderId="0" xfId="1" applyFont="1" applyAlignment="1" applyProtection="1">
      <alignment vertical="center"/>
      <protection locked="0"/>
    </xf>
    <xf numFmtId="0" fontId="24" fillId="0" borderId="0" xfId="1" applyFont="1" applyAlignment="1">
      <alignment vertical="center"/>
    </xf>
    <xf numFmtId="0" fontId="2" fillId="0" borderId="26" xfId="1" applyFont="1" applyBorder="1" applyAlignment="1" applyProtection="1">
      <alignment vertical="center"/>
      <protection locked="0"/>
    </xf>
    <xf numFmtId="0" fontId="4" fillId="23" borderId="68" xfId="1" applyFont="1" applyFill="1" applyBorder="1" applyAlignment="1">
      <alignment vertical="center" wrapText="1"/>
    </xf>
    <xf numFmtId="0" fontId="4" fillId="17" borderId="68" xfId="1" applyFont="1" applyFill="1" applyBorder="1" applyAlignment="1">
      <alignment horizontal="center" vertical="center" wrapText="1"/>
    </xf>
    <xf numFmtId="0" fontId="19" fillId="5" borderId="69" xfId="1" applyFont="1" applyFill="1" applyBorder="1" applyAlignment="1">
      <alignment horizontal="left" vertical="center" wrapText="1"/>
    </xf>
    <xf numFmtId="0" fontId="13" fillId="0" borderId="0" xfId="1" applyFont="1"/>
    <xf numFmtId="0" fontId="29" fillId="0" borderId="0" xfId="1" applyFont="1"/>
    <xf numFmtId="0" fontId="29" fillId="0" borderId="0" xfId="1" applyFont="1" applyAlignment="1">
      <alignment horizontal="left" vertical="center"/>
    </xf>
    <xf numFmtId="0" fontId="4" fillId="23" borderId="26" xfId="1" applyFont="1" applyFill="1" applyBorder="1" applyAlignment="1">
      <alignment vertical="center" wrapText="1"/>
    </xf>
    <xf numFmtId="0" fontId="29" fillId="5" borderId="62" xfId="1" applyFont="1" applyFill="1" applyBorder="1" applyAlignment="1">
      <alignment vertical="center"/>
    </xf>
    <xf numFmtId="175" fontId="7" fillId="14" borderId="61" xfId="5" applyNumberFormat="1" applyFont="1" applyFill="1" applyBorder="1" applyAlignment="1" applyProtection="1">
      <alignment vertical="center"/>
    </xf>
    <xf numFmtId="169" fontId="7" fillId="14" borderId="61" xfId="1" applyNumberFormat="1" applyFont="1" applyFill="1" applyBorder="1" applyAlignment="1">
      <alignment vertical="center"/>
    </xf>
    <xf numFmtId="169" fontId="7" fillId="15" borderId="61" xfId="1" applyNumberFormat="1" applyFont="1" applyFill="1" applyBorder="1" applyAlignment="1" applyProtection="1">
      <alignment vertical="center"/>
      <protection locked="0"/>
    </xf>
    <xf numFmtId="49" fontId="7" fillId="15" borderId="61" xfId="1" applyNumberFormat="1" applyFont="1" applyFill="1" applyBorder="1" applyAlignment="1" applyProtection="1">
      <alignment horizontal="left" vertical="center" wrapText="1"/>
      <protection locked="0"/>
    </xf>
    <xf numFmtId="169" fontId="7" fillId="14" borderId="61" xfId="1" applyNumberFormat="1" applyFont="1" applyFill="1" applyBorder="1" applyAlignment="1" applyProtection="1">
      <alignment vertical="center"/>
      <protection locked="0"/>
    </xf>
    <xf numFmtId="0" fontId="4" fillId="16" borderId="61" xfId="1" applyFont="1" applyFill="1" applyBorder="1" applyAlignment="1">
      <alignment horizontal="center" vertical="center" wrapText="1"/>
    </xf>
    <xf numFmtId="0" fontId="5" fillId="0" borderId="31" xfId="1" applyFont="1" applyBorder="1"/>
    <xf numFmtId="0" fontId="50" fillId="24" borderId="0" xfId="6" applyFont="1" applyFill="1" applyAlignment="1">
      <alignment horizontal="left" vertical="center"/>
    </xf>
    <xf numFmtId="0" fontId="5" fillId="24" borderId="0" xfId="6" applyFont="1" applyFill="1" applyAlignment="1">
      <alignment vertical="center"/>
    </xf>
    <xf numFmtId="0" fontId="5" fillId="0" borderId="71" xfId="1" applyFont="1" applyBorder="1"/>
    <xf numFmtId="0" fontId="5" fillId="0" borderId="40" xfId="1" applyFont="1" applyBorder="1"/>
    <xf numFmtId="0" fontId="4" fillId="0" borderId="26" xfId="1" applyFont="1" applyBorder="1" applyAlignment="1">
      <alignment vertical="center" wrapText="1"/>
    </xf>
    <xf numFmtId="0" fontId="8" fillId="0" borderId="0" xfId="1" applyFont="1" applyAlignment="1">
      <alignment vertical="center"/>
    </xf>
    <xf numFmtId="0" fontId="8" fillId="0" borderId="0" xfId="1" applyFont="1"/>
    <xf numFmtId="0" fontId="13" fillId="0" borderId="40" xfId="1" applyFont="1" applyBorder="1"/>
    <xf numFmtId="0" fontId="5" fillId="5" borderId="62" xfId="1" applyFont="1" applyFill="1" applyBorder="1" applyAlignment="1">
      <alignment horizontal="left" vertical="center" wrapText="1"/>
    </xf>
    <xf numFmtId="0" fontId="29" fillId="0" borderId="0" xfId="1" applyFont="1" applyAlignment="1">
      <alignment horizontal="center"/>
    </xf>
    <xf numFmtId="0" fontId="4" fillId="24" borderId="40" xfId="6" applyFont="1" applyFill="1" applyBorder="1" applyAlignment="1">
      <alignment horizontal="left" vertical="center"/>
    </xf>
    <xf numFmtId="0" fontId="10" fillId="15" borderId="3" xfId="6" applyFont="1" applyFill="1" applyBorder="1" applyAlignment="1" applyProtection="1">
      <alignment horizontal="center" vertical="center" wrapText="1"/>
      <protection locked="0"/>
    </xf>
    <xf numFmtId="0" fontId="4" fillId="22" borderId="3" xfId="6" applyFont="1" applyFill="1" applyBorder="1" applyAlignment="1">
      <alignment horizontal="center" vertical="center" wrapText="1"/>
    </xf>
    <xf numFmtId="0" fontId="10" fillId="3" borderId="22" xfId="6" applyFont="1" applyFill="1" applyBorder="1" applyAlignment="1">
      <alignment vertical="center"/>
    </xf>
    <xf numFmtId="0" fontId="51" fillId="0" borderId="0" xfId="7" applyFont="1" applyProtection="1">
      <protection locked="0"/>
    </xf>
    <xf numFmtId="0" fontId="52" fillId="0" borderId="0" xfId="7" applyFont="1"/>
    <xf numFmtId="0" fontId="51" fillId="0" borderId="0" xfId="7" applyFont="1"/>
    <xf numFmtId="0" fontId="53" fillId="0" borderId="0" xfId="7" applyFont="1"/>
    <xf numFmtId="0" fontId="54" fillId="0" borderId="0" xfId="7" applyFont="1"/>
    <xf numFmtId="0" fontId="55" fillId="0" borderId="0" xfId="7" applyFont="1"/>
    <xf numFmtId="0" fontId="53" fillId="0" borderId="0" xfId="7" quotePrefix="1" applyFont="1" applyAlignment="1">
      <alignment horizontal="left"/>
    </xf>
    <xf numFmtId="0" fontId="29" fillId="0" borderId="0" xfId="1" quotePrefix="1" applyFont="1" applyAlignment="1">
      <alignment horizontal="center" vertical="center"/>
    </xf>
    <xf numFmtId="0" fontId="51" fillId="0" borderId="0" xfId="7" applyFont="1" applyAlignment="1">
      <alignment wrapText="1"/>
    </xf>
    <xf numFmtId="0" fontId="29" fillId="0" borderId="0" xfId="1" applyFont="1" applyAlignment="1">
      <alignment horizontal="center" vertical="center"/>
    </xf>
    <xf numFmtId="169" fontId="6" fillId="14" borderId="45" xfId="7" applyNumberFormat="1" applyFont="1" applyFill="1" applyBorder="1" applyAlignment="1">
      <alignment vertical="center"/>
    </xf>
    <xf numFmtId="0" fontId="50" fillId="5" borderId="45" xfId="1" applyFont="1" applyFill="1" applyBorder="1" applyAlignment="1">
      <alignment horizontal="left" vertical="center" wrapText="1"/>
    </xf>
    <xf numFmtId="0" fontId="51" fillId="0" borderId="45" xfId="7" applyFont="1" applyBorder="1"/>
    <xf numFmtId="0" fontId="56" fillId="0" borderId="0" xfId="7" applyFont="1"/>
    <xf numFmtId="171" fontId="7" fillId="15" borderId="45" xfId="7" applyNumberFormat="1" applyFont="1" applyFill="1" applyBorder="1" applyAlignment="1" applyProtection="1">
      <alignment vertical="center" wrapText="1"/>
      <protection locked="0"/>
    </xf>
    <xf numFmtId="0" fontId="5" fillId="5" borderId="45" xfId="1" applyFont="1" applyFill="1" applyBorder="1" applyAlignment="1">
      <alignment horizontal="left" vertical="center" wrapText="1"/>
    </xf>
    <xf numFmtId="171" fontId="7" fillId="16" borderId="45" xfId="7" applyNumberFormat="1" applyFont="1" applyFill="1" applyBorder="1" applyAlignment="1">
      <alignment vertical="center" wrapText="1"/>
    </xf>
    <xf numFmtId="0" fontId="7" fillId="14" borderId="45" xfId="7" applyFont="1" applyFill="1" applyBorder="1" applyAlignment="1">
      <alignment vertical="center"/>
    </xf>
    <xf numFmtId="0" fontId="51" fillId="5" borderId="45" xfId="7" applyFont="1" applyFill="1" applyBorder="1"/>
    <xf numFmtId="0" fontId="57" fillId="0" borderId="45" xfId="1" applyFont="1" applyBorder="1" applyAlignment="1">
      <alignment horizontal="center" vertical="center" wrapText="1"/>
    </xf>
    <xf numFmtId="0" fontId="57" fillId="9" borderId="45" xfId="1" applyFont="1" applyFill="1" applyBorder="1" applyAlignment="1">
      <alignment horizontal="center" vertical="center" wrapText="1"/>
    </xf>
    <xf numFmtId="0" fontId="5" fillId="5" borderId="45" xfId="1" applyFont="1" applyFill="1" applyBorder="1" applyAlignment="1">
      <alignment horizontal="left" vertical="center"/>
    </xf>
    <xf numFmtId="0" fontId="51" fillId="25" borderId="0" xfId="7" applyFont="1" applyFill="1"/>
    <xf numFmtId="0" fontId="58" fillId="25" borderId="0" xfId="7" applyFont="1" applyFill="1"/>
    <xf numFmtId="0" fontId="3" fillId="24" borderId="0" xfId="6" applyFont="1" applyFill="1" applyAlignment="1">
      <alignment horizontal="left" vertical="center"/>
    </xf>
    <xf numFmtId="0" fontId="53" fillId="0" borderId="0" xfId="7" applyFont="1" applyProtection="1">
      <protection locked="0"/>
    </xf>
    <xf numFmtId="171" fontId="7" fillId="15" borderId="72" xfId="7" applyNumberFormat="1" applyFont="1" applyFill="1" applyBorder="1" applyAlignment="1" applyProtection="1">
      <alignment vertical="center" wrapText="1"/>
      <protection locked="0"/>
    </xf>
    <xf numFmtId="169" fontId="6" fillId="14" borderId="72" xfId="7" applyNumberFormat="1" applyFont="1" applyFill="1" applyBorder="1" applyAlignment="1">
      <alignment vertical="center"/>
    </xf>
    <xf numFmtId="0" fontId="29" fillId="5" borderId="72" xfId="1" applyFont="1" applyFill="1" applyBorder="1" applyAlignment="1">
      <alignment vertical="center"/>
    </xf>
    <xf numFmtId="0" fontId="2" fillId="0" borderId="0" xfId="6" applyFont="1" applyAlignment="1">
      <alignment vertical="center"/>
    </xf>
    <xf numFmtId="0" fontId="3" fillId="0" borderId="0" xfId="6" applyFont="1" applyAlignment="1">
      <alignment horizontal="left" vertical="center"/>
    </xf>
    <xf numFmtId="0" fontId="29" fillId="5" borderId="45" xfId="7" applyFont="1" applyFill="1" applyBorder="1" applyAlignment="1">
      <alignment vertical="center"/>
    </xf>
    <xf numFmtId="171" fontId="6" fillId="0" borderId="0" xfId="7" applyNumberFormat="1" applyFont="1" applyAlignment="1">
      <alignment horizontal="center" vertical="center" wrapText="1"/>
    </xf>
    <xf numFmtId="0" fontId="29" fillId="5" borderId="73" xfId="7" applyFont="1" applyFill="1" applyBorder="1" applyAlignment="1">
      <alignment vertical="center"/>
    </xf>
    <xf numFmtId="0" fontId="29" fillId="5" borderId="74" xfId="7" applyFont="1" applyFill="1" applyBorder="1" applyAlignment="1">
      <alignment vertical="center"/>
    </xf>
    <xf numFmtId="0" fontId="51" fillId="0" borderId="45" xfId="7" applyFont="1" applyBorder="1" applyAlignment="1">
      <alignment horizontal="left" vertical="center" wrapText="1"/>
    </xf>
    <xf numFmtId="0" fontId="51" fillId="0" borderId="73" xfId="7" applyFont="1" applyBorder="1"/>
    <xf numFmtId="0" fontId="51" fillId="0" borderId="74" xfId="7" applyFont="1" applyBorder="1"/>
    <xf numFmtId="49" fontId="7" fillId="0" borderId="0" xfId="7" applyNumberFormat="1" applyFont="1" applyAlignment="1">
      <alignment vertical="center"/>
    </xf>
    <xf numFmtId="0" fontId="51" fillId="0" borderId="0" xfId="7" applyFont="1" applyAlignment="1" applyProtection="1">
      <alignment vertical="center"/>
      <protection locked="0"/>
    </xf>
    <xf numFmtId="0" fontId="53" fillId="0" borderId="0" xfId="7" applyFont="1" applyAlignment="1" applyProtection="1">
      <alignment vertical="center"/>
      <protection locked="0"/>
    </xf>
    <xf numFmtId="0" fontId="59" fillId="0" borderId="0" xfId="7" applyFont="1"/>
    <xf numFmtId="0" fontId="8" fillId="0" borderId="0" xfId="7" applyFont="1" applyAlignment="1">
      <alignment horizontal="center" wrapText="1"/>
    </xf>
    <xf numFmtId="0" fontId="29" fillId="0" borderId="42" xfId="7" applyFont="1" applyBorder="1"/>
    <xf numFmtId="0" fontId="59" fillId="0" borderId="0" xfId="7" applyFont="1" applyAlignment="1">
      <alignment horizontal="center" wrapText="1"/>
    </xf>
    <xf numFmtId="0" fontId="52" fillId="0" borderId="0" xfId="7" applyFont="1" applyAlignment="1">
      <alignment vertical="center"/>
    </xf>
    <xf numFmtId="0" fontId="51" fillId="3" borderId="0" xfId="7" applyFont="1" applyFill="1"/>
    <xf numFmtId="0" fontId="52" fillId="3" borderId="0" xfId="7" applyFont="1" applyFill="1"/>
    <xf numFmtId="0" fontId="19" fillId="15" borderId="3" xfId="7" applyFont="1" applyFill="1" applyBorder="1" applyAlignment="1" applyProtection="1">
      <alignment horizontal="center" vertical="center"/>
      <protection locked="0"/>
    </xf>
    <xf numFmtId="15" fontId="3" fillId="9" borderId="42" xfId="6" applyNumberFormat="1" applyFont="1" applyFill="1" applyBorder="1" applyAlignment="1">
      <alignment vertical="center"/>
    </xf>
    <xf numFmtId="0" fontId="51" fillId="3" borderId="42" xfId="7" applyFont="1" applyFill="1" applyBorder="1"/>
    <xf numFmtId="0" fontId="3" fillId="9" borderId="42" xfId="6" applyFont="1" applyFill="1" applyBorder="1" applyAlignment="1">
      <alignment horizontal="right" vertical="center"/>
    </xf>
    <xf numFmtId="0" fontId="10" fillId="3" borderId="42" xfId="6" applyFont="1" applyFill="1" applyBorder="1" applyAlignment="1">
      <alignment vertical="center"/>
    </xf>
    <xf numFmtId="0" fontId="10" fillId="3" borderId="44" xfId="6" applyFont="1" applyFill="1" applyBorder="1" applyAlignment="1">
      <alignment vertical="center"/>
    </xf>
    <xf numFmtId="0" fontId="51" fillId="3" borderId="33" xfId="7" applyFont="1" applyFill="1" applyBorder="1"/>
    <xf numFmtId="0" fontId="51" fillId="3" borderId="22" xfId="7" applyFont="1" applyFill="1" applyBorder="1"/>
    <xf numFmtId="0" fontId="3" fillId="3" borderId="22" xfId="6" applyFont="1" applyFill="1" applyBorder="1" applyAlignment="1">
      <alignment vertical="center"/>
    </xf>
    <xf numFmtId="15" fontId="3" fillId="9" borderId="20" xfId="6" applyNumberFormat="1" applyFont="1" applyFill="1" applyBorder="1" applyAlignment="1">
      <alignment vertical="center"/>
    </xf>
    <xf numFmtId="0" fontId="51" fillId="3" borderId="19" xfId="7" applyFont="1" applyFill="1" applyBorder="1"/>
    <xf numFmtId="0" fontId="3" fillId="9" borderId="19" xfId="6" applyFont="1" applyFill="1" applyBorder="1" applyAlignment="1">
      <alignment horizontal="right" vertical="center"/>
    </xf>
    <xf numFmtId="15" fontId="3" fillId="9" borderId="19" xfId="6" applyNumberFormat="1" applyFont="1" applyFill="1" applyBorder="1" applyAlignment="1">
      <alignment vertical="center"/>
    </xf>
    <xf numFmtId="0" fontId="10" fillId="3" borderId="31" xfId="6" applyFont="1" applyFill="1" applyBorder="1" applyAlignment="1">
      <alignment vertical="center"/>
    </xf>
    <xf numFmtId="0" fontId="7" fillId="2" borderId="2" xfId="1" applyFont="1" applyFill="1" applyBorder="1" applyAlignment="1">
      <alignment horizontal="left" vertical="center"/>
    </xf>
    <xf numFmtId="0" fontId="28" fillId="2" borderId="0" xfId="1" applyFill="1"/>
    <xf numFmtId="0" fontId="4" fillId="2" borderId="0" xfId="1" applyFont="1" applyFill="1"/>
    <xf numFmtId="0" fontId="61" fillId="5" borderId="0" xfId="1" applyFont="1" applyFill="1" applyAlignment="1">
      <alignment horizontal="left"/>
    </xf>
    <xf numFmtId="0" fontId="61" fillId="2" borderId="0" xfId="1" applyFont="1" applyFill="1" applyAlignment="1">
      <alignment horizontal="left"/>
    </xf>
    <xf numFmtId="0" fontId="3" fillId="2" borderId="0" xfId="1" applyFont="1" applyFill="1" applyAlignment="1">
      <alignment horizontal="left" vertical="center"/>
    </xf>
    <xf numFmtId="0" fontId="5" fillId="4" borderId="0" xfId="1" applyFont="1" applyFill="1" applyAlignment="1" applyProtection="1">
      <alignment vertical="center"/>
      <protection locked="0"/>
    </xf>
    <xf numFmtId="0" fontId="6" fillId="2" borderId="0" xfId="1" applyFont="1" applyFill="1" applyAlignment="1">
      <alignment horizontal="left" vertical="center"/>
    </xf>
    <xf numFmtId="0" fontId="4" fillId="0" borderId="0" xfId="1" applyFont="1"/>
    <xf numFmtId="0" fontId="62" fillId="2" borderId="0" xfId="1" applyFont="1" applyFill="1" applyAlignment="1">
      <alignment horizontal="left" vertical="center"/>
    </xf>
    <xf numFmtId="0" fontId="26" fillId="0" borderId="0" xfId="9"/>
    <xf numFmtId="0" fontId="63" fillId="26" borderId="0" xfId="9" applyFont="1" applyFill="1" applyAlignment="1" applyProtection="1">
      <alignment horizontal="center" vertical="center"/>
      <protection locked="0"/>
    </xf>
    <xf numFmtId="0" fontId="27" fillId="0" borderId="0" xfId="9" applyFont="1"/>
    <xf numFmtId="0" fontId="18" fillId="0" borderId="0" xfId="9" applyFont="1" applyAlignment="1">
      <alignment horizontal="left" vertical="center"/>
    </xf>
    <xf numFmtId="0" fontId="64" fillId="0" borderId="0" xfId="9" applyFont="1" applyAlignment="1">
      <alignment horizontal="left" vertical="center"/>
    </xf>
    <xf numFmtId="0" fontId="32" fillId="4" borderId="0" xfId="1" applyFont="1" applyFill="1" applyAlignment="1">
      <alignment wrapText="1"/>
    </xf>
    <xf numFmtId="0" fontId="11" fillId="2" borderId="0" xfId="0" applyFont="1" applyFill="1"/>
    <xf numFmtId="0" fontId="24" fillId="0" borderId="0" xfId="0" applyFont="1"/>
    <xf numFmtId="0" fontId="18" fillId="9" borderId="0" xfId="0" applyFont="1" applyFill="1"/>
    <xf numFmtId="0" fontId="19" fillId="5" borderId="18" xfId="0" applyFont="1" applyFill="1" applyBorder="1" applyAlignment="1">
      <alignment horizontal="center" vertical="center" wrapText="1"/>
    </xf>
    <xf numFmtId="0" fontId="24" fillId="2" borderId="0" xfId="0" applyFont="1" applyFill="1"/>
    <xf numFmtId="0" fontId="19" fillId="5" borderId="4"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8" fillId="9" borderId="0" xfId="0" applyFont="1" applyFill="1" applyAlignment="1">
      <alignment horizontal="left" vertical="center" wrapText="1"/>
    </xf>
    <xf numFmtId="0" fontId="66" fillId="0" borderId="0" xfId="0" applyFont="1"/>
    <xf numFmtId="0" fontId="67" fillId="0" borderId="0" xfId="0" applyFont="1"/>
    <xf numFmtId="0" fontId="13" fillId="2" borderId="0" xfId="0" applyFont="1" applyFill="1"/>
    <xf numFmtId="0" fontId="7" fillId="14" borderId="45" xfId="7" applyFont="1" applyFill="1" applyBorder="1" applyAlignment="1">
      <alignment horizontal="center" vertical="center"/>
    </xf>
    <xf numFmtId="0" fontId="69" fillId="0" borderId="0" xfId="1" applyFont="1"/>
    <xf numFmtId="0" fontId="13" fillId="0" borderId="0" xfId="1" applyFont="1" applyAlignment="1">
      <alignment vertical="center"/>
    </xf>
    <xf numFmtId="0" fontId="12" fillId="0" borderId="0" xfId="1" applyFont="1" applyAlignment="1">
      <alignment vertical="center"/>
    </xf>
    <xf numFmtId="0" fontId="71" fillId="0" borderId="0" xfId="1" applyFont="1"/>
    <xf numFmtId="0" fontId="73" fillId="0" borderId="0" xfId="7" applyFont="1" applyProtection="1">
      <protection locked="0"/>
    </xf>
    <xf numFmtId="0" fontId="72" fillId="0" borderId="0" xfId="1" applyFont="1"/>
    <xf numFmtId="0" fontId="71" fillId="0" borderId="0" xfId="7" applyFont="1" applyProtection="1">
      <protection locked="0"/>
    </xf>
    <xf numFmtId="0" fontId="4" fillId="16" borderId="77" xfId="1" applyFont="1" applyFill="1" applyBorder="1" applyAlignment="1">
      <alignment horizontal="center" vertical="center" wrapText="1"/>
    </xf>
    <xf numFmtId="175" fontId="7" fillId="14" borderId="77" xfId="5" applyNumberFormat="1" applyFont="1" applyFill="1" applyBorder="1" applyAlignment="1" applyProtection="1">
      <alignment vertical="center"/>
    </xf>
    <xf numFmtId="0" fontId="7" fillId="0" borderId="0" xfId="7" applyFont="1"/>
    <xf numFmtId="0" fontId="5" fillId="4" borderId="0" xfId="1" applyFont="1" applyFill="1" applyProtection="1">
      <protection hidden="1"/>
    </xf>
    <xf numFmtId="0" fontId="7" fillId="0" borderId="0" xfId="7" applyFont="1" applyAlignment="1" applyProtection="1">
      <alignment vertical="center"/>
      <protection locked="0"/>
    </xf>
    <xf numFmtId="0" fontId="7" fillId="0" borderId="0" xfId="7" applyFont="1" applyProtection="1">
      <protection locked="0"/>
    </xf>
    <xf numFmtId="0" fontId="50" fillId="0" borderId="0" xfId="7" applyFont="1" applyProtection="1">
      <protection locked="0"/>
    </xf>
    <xf numFmtId="169" fontId="7" fillId="15" borderId="26" xfId="7" applyNumberFormat="1" applyFont="1" applyFill="1" applyBorder="1" applyAlignment="1">
      <alignment vertical="center"/>
    </xf>
    <xf numFmtId="164" fontId="68" fillId="14" borderId="0" xfId="1" applyNumberFormat="1" applyFont="1" applyFill="1" applyAlignment="1">
      <alignment vertical="center"/>
    </xf>
    <xf numFmtId="164" fontId="68" fillId="0" borderId="0" xfId="1" applyNumberFormat="1" applyFont="1" applyAlignment="1">
      <alignment vertical="center"/>
    </xf>
    <xf numFmtId="164" fontId="75" fillId="14" borderId="0" xfId="1" applyNumberFormat="1" applyFont="1" applyFill="1" applyAlignment="1">
      <alignment vertical="center"/>
    </xf>
    <xf numFmtId="164" fontId="75" fillId="0" borderId="0" xfId="1" applyNumberFormat="1" applyFont="1" applyAlignment="1">
      <alignment vertical="center"/>
    </xf>
    <xf numFmtId="0" fontId="76" fillId="0" borderId="0" xfId="0" applyFont="1"/>
    <xf numFmtId="0" fontId="76" fillId="0" borderId="0" xfId="1" quotePrefix="1" applyFont="1" applyAlignment="1">
      <alignment horizontal="left"/>
    </xf>
    <xf numFmtId="0" fontId="76" fillId="0" borderId="0" xfId="1" applyFont="1"/>
    <xf numFmtId="0" fontId="27" fillId="0" borderId="0" xfId="0" applyFont="1"/>
    <xf numFmtId="0" fontId="5" fillId="4" borderId="0" xfId="0" applyFont="1" applyFill="1" applyAlignment="1">
      <alignment vertical="center"/>
    </xf>
    <xf numFmtId="0" fontId="5" fillId="0" borderId="0" xfId="0" applyFont="1"/>
    <xf numFmtId="0" fontId="10" fillId="5" borderId="0" xfId="0" applyFont="1" applyFill="1" applyAlignment="1">
      <alignment horizontal="left" vertical="center"/>
    </xf>
    <xf numFmtId="0" fontId="5" fillId="5" borderId="0" xfId="0" applyFont="1" applyFill="1" applyAlignment="1">
      <alignment vertical="center"/>
    </xf>
    <xf numFmtId="0" fontId="10" fillId="5" borderId="0" xfId="0" applyFont="1" applyFill="1"/>
    <xf numFmtId="0" fontId="5" fillId="5" borderId="0" xfId="0" applyFont="1" applyFill="1"/>
    <xf numFmtId="0" fontId="4" fillId="0" borderId="0" xfId="0" applyFont="1" applyAlignment="1">
      <alignment horizontal="left" vertical="top" wrapText="1"/>
    </xf>
    <xf numFmtId="0" fontId="3" fillId="16" borderId="22" xfId="0" applyFont="1" applyFill="1" applyBorder="1" applyAlignment="1">
      <alignment horizontal="center" vertical="center" wrapText="1"/>
    </xf>
    <xf numFmtId="0" fontId="4" fillId="0" borderId="22" xfId="0" applyFont="1" applyBorder="1" applyAlignment="1">
      <alignment horizontal="left" vertical="top" wrapText="1"/>
    </xf>
    <xf numFmtId="0" fontId="3" fillId="16" borderId="0" xfId="0" applyFont="1" applyFill="1" applyAlignment="1">
      <alignment horizontal="center" vertical="center" wrapText="1"/>
    </xf>
    <xf numFmtId="0" fontId="3" fillId="7" borderId="0" xfId="0" applyFont="1" applyFill="1" applyAlignment="1">
      <alignment horizontal="center" vertical="center" wrapText="1"/>
    </xf>
    <xf numFmtId="0" fontId="4" fillId="17" borderId="26" xfId="0" applyFont="1" applyFill="1" applyBorder="1" applyAlignment="1">
      <alignment horizontal="center" vertical="center" wrapText="1"/>
    </xf>
    <xf numFmtId="0" fontId="4" fillId="23" borderId="26" xfId="0" applyFont="1" applyFill="1" applyBorder="1" applyAlignment="1">
      <alignment vertical="center" wrapText="1"/>
    </xf>
    <xf numFmtId="0" fontId="4" fillId="8" borderId="26" xfId="0" applyFont="1" applyFill="1" applyBorder="1" applyAlignment="1">
      <alignment horizontal="center" vertical="center" wrapText="1"/>
    </xf>
    <xf numFmtId="0" fontId="4" fillId="27" borderId="26" xfId="0" applyFont="1" applyFill="1" applyBorder="1" applyAlignment="1">
      <alignment vertical="center" wrapText="1"/>
    </xf>
    <xf numFmtId="0" fontId="4" fillId="7" borderId="26" xfId="0" applyFont="1" applyFill="1" applyBorder="1" applyAlignment="1">
      <alignment horizontal="center" vertical="center" wrapText="1"/>
    </xf>
    <xf numFmtId="0" fontId="5" fillId="4" borderId="26" xfId="0" applyFont="1" applyFill="1" applyBorder="1" applyAlignment="1">
      <alignment vertical="center"/>
    </xf>
    <xf numFmtId="0" fontId="13" fillId="4" borderId="26" xfId="0" applyFont="1" applyFill="1" applyBorder="1" applyAlignment="1">
      <alignment vertical="center"/>
    </xf>
    <xf numFmtId="0" fontId="4" fillId="16" borderId="0" xfId="0" applyFont="1" applyFill="1" applyAlignment="1">
      <alignment horizontal="center" vertical="center" wrapText="1"/>
    </xf>
    <xf numFmtId="0" fontId="2" fillId="0" borderId="26" xfId="0" applyFont="1" applyBorder="1" applyAlignment="1" applyProtection="1">
      <alignment horizontal="center" vertical="center" wrapText="1"/>
      <protection locked="0"/>
    </xf>
    <xf numFmtId="0" fontId="2" fillId="0" borderId="26" xfId="0" applyFont="1" applyBorder="1" applyAlignment="1" applyProtection="1">
      <alignment horizontal="left" vertical="center" wrapText="1"/>
      <protection locked="0"/>
    </xf>
    <xf numFmtId="0" fontId="2" fillId="4" borderId="26" xfId="0" applyFont="1" applyFill="1" applyBorder="1"/>
    <xf numFmtId="0" fontId="47" fillId="4" borderId="26" xfId="0" applyFont="1" applyFill="1" applyBorder="1"/>
    <xf numFmtId="0" fontId="2" fillId="4" borderId="0" xfId="0" applyFont="1" applyFill="1"/>
    <xf numFmtId="0" fontId="7" fillId="0" borderId="39" xfId="0" applyFont="1" applyBorder="1" applyAlignment="1">
      <alignment horizontal="left" vertical="center" wrapText="1"/>
    </xf>
    <xf numFmtId="0" fontId="7" fillId="0" borderId="0" xfId="0" applyFont="1" applyAlignment="1" applyProtection="1">
      <alignment horizontal="left" vertical="center" wrapText="1"/>
      <protection locked="0"/>
    </xf>
    <xf numFmtId="0" fontId="5" fillId="4" borderId="38" xfId="0" applyFont="1" applyFill="1" applyBorder="1"/>
    <xf numFmtId="0" fontId="6" fillId="2" borderId="42" xfId="0" applyFont="1" applyFill="1" applyBorder="1" applyAlignment="1" applyProtection="1">
      <alignment horizontal="center" vertical="center" wrapText="1"/>
      <protection locked="0"/>
    </xf>
    <xf numFmtId="0" fontId="5" fillId="2" borderId="42" xfId="0" applyFont="1" applyFill="1" applyBorder="1"/>
    <xf numFmtId="0" fontId="5" fillId="2" borderId="41" xfId="0" applyFont="1" applyFill="1" applyBorder="1"/>
    <xf numFmtId="0" fontId="7" fillId="0" borderId="18" xfId="0" applyFont="1" applyBorder="1" applyAlignment="1" applyProtection="1">
      <alignment horizontal="center" vertical="center" wrapText="1"/>
      <protection locked="0"/>
    </xf>
    <xf numFmtId="0" fontId="7" fillId="0" borderId="39"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5" fillId="4" borderId="42" xfId="0" applyFont="1" applyFill="1" applyBorder="1"/>
    <xf numFmtId="0" fontId="5" fillId="4" borderId="41" xfId="0" applyFont="1" applyFill="1" applyBorder="1"/>
    <xf numFmtId="0" fontId="13" fillId="4" borderId="42" xfId="0" applyFont="1" applyFill="1" applyBorder="1"/>
    <xf numFmtId="0" fontId="7" fillId="4" borderId="0" xfId="0" applyFont="1" applyFill="1" applyAlignment="1">
      <alignment horizontal="left" vertical="center" wrapText="1"/>
    </xf>
    <xf numFmtId="0" fontId="7" fillId="0" borderId="0" xfId="0" applyFont="1" applyAlignment="1">
      <alignment horizontal="left" vertical="center" wrapText="1"/>
    </xf>
    <xf numFmtId="0" fontId="52" fillId="4" borderId="0" xfId="0" applyFont="1" applyFill="1" applyAlignment="1">
      <alignment horizontal="left" vertical="center" wrapText="1"/>
    </xf>
    <xf numFmtId="0" fontId="5" fillId="5" borderId="15" xfId="0" applyFont="1" applyFill="1" applyBorder="1"/>
    <xf numFmtId="0" fontId="5" fillId="5" borderId="16" xfId="0" applyFont="1" applyFill="1" applyBorder="1"/>
    <xf numFmtId="0" fontId="5" fillId="4" borderId="2" xfId="0" applyFont="1" applyFill="1" applyBorder="1" applyAlignment="1">
      <alignment vertical="center"/>
    </xf>
    <xf numFmtId="0" fontId="19" fillId="28" borderId="6" xfId="0" applyFont="1" applyFill="1" applyBorder="1" applyAlignment="1">
      <alignment vertical="center" wrapText="1"/>
    </xf>
    <xf numFmtId="0" fontId="4" fillId="23" borderId="78" xfId="0" applyFont="1" applyFill="1" applyBorder="1" applyAlignment="1">
      <alignment vertical="center" wrapText="1"/>
    </xf>
    <xf numFmtId="0" fontId="19" fillId="28" borderId="17" xfId="0" applyFont="1" applyFill="1" applyBorder="1" applyAlignment="1">
      <alignment horizontal="center" vertical="center"/>
    </xf>
    <xf numFmtId="0" fontId="4" fillId="27" borderId="79" xfId="0" applyFont="1" applyFill="1" applyBorder="1" applyAlignment="1">
      <alignment vertical="center" wrapText="1"/>
    </xf>
    <xf numFmtId="0" fontId="4" fillId="8" borderId="79" xfId="0" applyFont="1" applyFill="1" applyBorder="1" applyAlignment="1">
      <alignment horizontal="center" vertical="center" wrapText="1"/>
    </xf>
    <xf numFmtId="0" fontId="4" fillId="16" borderId="79" xfId="0" applyFont="1" applyFill="1" applyBorder="1" applyAlignment="1">
      <alignment horizontal="center" vertical="center" wrapText="1"/>
    </xf>
    <xf numFmtId="0" fontId="4" fillId="16" borderId="80" xfId="0" applyFont="1" applyFill="1" applyBorder="1" applyAlignment="1">
      <alignment horizontal="center" vertical="center" wrapText="1"/>
    </xf>
    <xf numFmtId="0" fontId="80" fillId="3" borderId="54" xfId="11" applyFont="1" applyBorder="1" applyAlignment="1">
      <alignment horizontal="left" vertical="top" wrapText="1"/>
    </xf>
    <xf numFmtId="0" fontId="4" fillId="23" borderId="49" xfId="0" applyFont="1" applyFill="1" applyBorder="1" applyAlignment="1">
      <alignment vertical="center" wrapText="1"/>
    </xf>
    <xf numFmtId="0" fontId="80" fillId="3" borderId="76" xfId="11" applyFont="1" applyBorder="1">
      <alignment horizontal="left" vertical="center" wrapText="1"/>
    </xf>
    <xf numFmtId="168" fontId="80" fillId="3" borderId="76" xfId="11" applyNumberFormat="1" applyFont="1" applyBorder="1">
      <alignment horizontal="left" vertical="center" wrapText="1"/>
    </xf>
    <xf numFmtId="0" fontId="4" fillId="27" borderId="70" xfId="0" applyFont="1" applyFill="1" applyBorder="1" applyAlignment="1">
      <alignment vertical="center" wrapText="1"/>
    </xf>
    <xf numFmtId="0" fontId="18" fillId="2" borderId="76" xfId="12" applyBorder="1">
      <alignment horizontal="left" vertical="center" wrapText="1"/>
      <protection locked="0"/>
    </xf>
    <xf numFmtId="0" fontId="18" fillId="2" borderId="75" xfId="12" applyBorder="1">
      <alignment horizontal="left" vertical="center" wrapText="1"/>
      <protection locked="0"/>
    </xf>
    <xf numFmtId="0" fontId="5" fillId="4" borderId="0" xfId="0" applyFont="1" applyFill="1" applyProtection="1">
      <protection locked="0"/>
    </xf>
    <xf numFmtId="0" fontId="3" fillId="2" borderId="0" xfId="0" applyFont="1" applyFill="1" applyAlignment="1">
      <alignment horizontal="left" vertical="center"/>
    </xf>
    <xf numFmtId="0" fontId="81" fillId="0" borderId="0" xfId="0" applyFont="1" applyAlignment="1">
      <alignment vertical="center"/>
    </xf>
    <xf numFmtId="0" fontId="82" fillId="0" borderId="0" xfId="0" applyFont="1" applyAlignment="1">
      <alignment vertical="center"/>
    </xf>
    <xf numFmtId="0" fontId="81" fillId="0" borderId="22" xfId="0" applyFont="1" applyBorder="1" applyAlignment="1">
      <alignment vertical="center"/>
    </xf>
    <xf numFmtId="0" fontId="82" fillId="0" borderId="22" xfId="0" applyFont="1" applyBorder="1" applyAlignment="1">
      <alignment vertical="center"/>
    </xf>
    <xf numFmtId="0" fontId="0" fillId="0" borderId="81" xfId="0" applyBorder="1"/>
    <xf numFmtId="0" fontId="85" fillId="4" borderId="0" xfId="0" applyFont="1" applyFill="1"/>
    <xf numFmtId="0" fontId="3" fillId="4" borderId="0" xfId="0" applyFont="1" applyFill="1" applyAlignment="1">
      <alignment horizontal="left"/>
    </xf>
    <xf numFmtId="0" fontId="5" fillId="4" borderId="40" xfId="0" applyFont="1" applyFill="1" applyBorder="1" applyProtection="1">
      <protection locked="0"/>
    </xf>
    <xf numFmtId="0" fontId="5" fillId="4" borderId="0" xfId="0" applyFont="1" applyFill="1" applyAlignment="1" applyProtection="1">
      <alignment horizontal="center"/>
      <protection locked="0"/>
    </xf>
    <xf numFmtId="173" fontId="2" fillId="30" borderId="45" xfId="0" applyNumberFormat="1" applyFont="1" applyFill="1" applyBorder="1" applyAlignment="1" applyProtection="1">
      <alignment horizontal="left" vertical="center" wrapText="1"/>
      <protection locked="0"/>
    </xf>
    <xf numFmtId="0" fontId="5" fillId="2" borderId="0" xfId="0" applyFont="1" applyFill="1" applyProtection="1">
      <protection locked="0"/>
    </xf>
    <xf numFmtId="0" fontId="18" fillId="0" borderId="0" xfId="0" applyFont="1" applyProtection="1">
      <protection hidden="1"/>
    </xf>
    <xf numFmtId="0" fontId="18" fillId="2" borderId="0" xfId="0" applyFont="1" applyFill="1" applyProtection="1">
      <protection hidden="1"/>
    </xf>
    <xf numFmtId="0" fontId="18" fillId="12" borderId="4" xfId="0" applyFont="1" applyFill="1" applyBorder="1" applyAlignment="1">
      <alignment horizontal="left" vertical="center" wrapText="1"/>
    </xf>
    <xf numFmtId="0" fontId="18" fillId="12" borderId="13" xfId="0" applyFont="1" applyFill="1" applyBorder="1" applyAlignment="1">
      <alignment horizontal="left" vertical="center" wrapText="1"/>
    </xf>
    <xf numFmtId="0" fontId="4" fillId="5" borderId="46" xfId="1" applyFont="1" applyFill="1" applyBorder="1" applyAlignment="1">
      <alignment horizontal="left" vertical="center" wrapText="1"/>
    </xf>
    <xf numFmtId="0" fontId="10" fillId="0" borderId="40" xfId="1" applyFont="1" applyBorder="1" applyAlignment="1">
      <alignment horizontal="left" vertical="center" wrapText="1"/>
    </xf>
    <xf numFmtId="0" fontId="10" fillId="0" borderId="0" xfId="1" applyFont="1" applyAlignment="1">
      <alignment horizontal="left" vertical="center" wrapText="1"/>
    </xf>
    <xf numFmtId="0" fontId="5" fillId="0" borderId="38" xfId="1" applyFont="1" applyBorder="1"/>
    <xf numFmtId="0" fontId="4" fillId="5" borderId="13" xfId="1" applyFont="1" applyFill="1" applyBorder="1" applyAlignment="1">
      <alignment horizontal="left" vertical="center" wrapText="1"/>
    </xf>
    <xf numFmtId="15" fontId="2" fillId="3" borderId="13" xfId="1" applyNumberFormat="1" applyFont="1" applyFill="1" applyBorder="1" applyAlignment="1">
      <alignment horizontal="left" vertical="center" wrapText="1"/>
    </xf>
    <xf numFmtId="15" fontId="2" fillId="3" borderId="13" xfId="1" applyNumberFormat="1" applyFont="1" applyFill="1" applyBorder="1" applyAlignment="1">
      <alignment vertical="center" wrapText="1"/>
    </xf>
    <xf numFmtId="15" fontId="2" fillId="3" borderId="47" xfId="1" applyNumberFormat="1" applyFont="1" applyFill="1" applyBorder="1" applyAlignment="1">
      <alignment horizontal="left" vertical="center" wrapText="1"/>
    </xf>
    <xf numFmtId="0" fontId="34" fillId="5" borderId="0" xfId="1" applyFont="1" applyFill="1" applyAlignment="1">
      <alignment vertical="center"/>
    </xf>
    <xf numFmtId="0" fontId="65" fillId="5" borderId="0" xfId="1" applyFont="1" applyFill="1" applyAlignment="1">
      <alignment vertical="center"/>
    </xf>
    <xf numFmtId="0" fontId="34" fillId="5" borderId="0" xfId="1" applyFont="1" applyFill="1" applyAlignment="1">
      <alignment horizontal="left" vertical="center"/>
    </xf>
    <xf numFmtId="0" fontId="33" fillId="5" borderId="0" xfId="1" applyFont="1" applyFill="1"/>
    <xf numFmtId="0" fontId="33" fillId="5" borderId="0" xfId="1" applyFont="1" applyFill="1" applyProtection="1">
      <protection locked="0"/>
    </xf>
    <xf numFmtId="15" fontId="2" fillId="20" borderId="13" xfId="1" applyNumberFormat="1" applyFont="1" applyFill="1" applyBorder="1" applyAlignment="1">
      <alignment horizontal="left" vertical="center" wrapText="1"/>
    </xf>
    <xf numFmtId="0" fontId="3" fillId="31" borderId="40" xfId="0" applyFont="1" applyFill="1" applyBorder="1" applyAlignment="1">
      <alignment horizontal="center" vertical="center" wrapText="1"/>
    </xf>
    <xf numFmtId="0" fontId="3" fillId="31" borderId="38" xfId="0" applyFont="1" applyFill="1" applyBorder="1" applyAlignment="1">
      <alignment horizontal="center" vertical="center" wrapText="1"/>
    </xf>
    <xf numFmtId="0" fontId="10" fillId="20" borderId="14" xfId="6" applyFont="1" applyFill="1" applyBorder="1" applyAlignment="1">
      <alignment vertical="center"/>
    </xf>
    <xf numFmtId="0" fontId="10" fillId="20" borderId="15" xfId="6" applyFont="1" applyFill="1" applyBorder="1" applyAlignment="1">
      <alignment vertical="center"/>
    </xf>
    <xf numFmtId="0" fontId="5" fillId="20" borderId="15" xfId="1" applyFont="1" applyFill="1" applyBorder="1" applyAlignment="1">
      <alignment vertical="center"/>
    </xf>
    <xf numFmtId="0" fontId="5" fillId="20" borderId="16" xfId="1" applyFont="1" applyFill="1" applyBorder="1" applyAlignment="1">
      <alignment vertical="center"/>
    </xf>
    <xf numFmtId="15" fontId="2" fillId="5" borderId="19" xfId="1" applyNumberFormat="1" applyFont="1" applyFill="1" applyBorder="1" applyAlignment="1">
      <alignment horizontal="left" vertical="center" wrapText="1"/>
    </xf>
    <xf numFmtId="0" fontId="10" fillId="20" borderId="22" xfId="6" applyFont="1" applyFill="1" applyBorder="1" applyAlignment="1">
      <alignment vertical="center"/>
    </xf>
    <xf numFmtId="0" fontId="2" fillId="20" borderId="22" xfId="1" applyFont="1" applyFill="1" applyBorder="1" applyProtection="1">
      <protection locked="0"/>
    </xf>
    <xf numFmtId="0" fontId="5" fillId="20" borderId="22" xfId="1" applyFont="1" applyFill="1" applyBorder="1" applyAlignment="1">
      <alignment vertical="center"/>
    </xf>
    <xf numFmtId="15" fontId="2" fillId="5" borderId="13" xfId="1" applyNumberFormat="1" applyFont="1" applyFill="1" applyBorder="1" applyAlignment="1">
      <alignment horizontal="left" vertical="center" wrapText="1"/>
    </xf>
    <xf numFmtId="0" fontId="4" fillId="5" borderId="13" xfId="1" applyFont="1" applyFill="1" applyBorder="1" applyAlignment="1">
      <alignment vertical="center" wrapText="1"/>
    </xf>
    <xf numFmtId="15" fontId="2" fillId="3" borderId="5" xfId="1" applyNumberFormat="1" applyFont="1" applyFill="1" applyBorder="1" applyAlignment="1">
      <alignment horizontal="left" vertical="center" wrapText="1"/>
    </xf>
    <xf numFmtId="0" fontId="40" fillId="0" borderId="31" xfId="6" applyFont="1" applyBorder="1" applyAlignment="1">
      <alignment vertical="center"/>
    </xf>
    <xf numFmtId="0" fontId="10" fillId="0" borderId="22" xfId="6" applyFont="1" applyBorder="1" applyAlignment="1">
      <alignment vertical="center"/>
    </xf>
    <xf numFmtId="0" fontId="10" fillId="5" borderId="31" xfId="6" applyFont="1" applyFill="1" applyBorder="1" applyAlignment="1">
      <alignment vertical="center"/>
    </xf>
    <xf numFmtId="0" fontId="10" fillId="5" borderId="22" xfId="6" applyFont="1" applyFill="1" applyBorder="1" applyAlignment="1">
      <alignment vertical="center"/>
    </xf>
    <xf numFmtId="0" fontId="3" fillId="5" borderId="19" xfId="6" applyFont="1" applyFill="1" applyBorder="1" applyAlignment="1">
      <alignment horizontal="right" vertical="center"/>
    </xf>
    <xf numFmtId="15" fontId="3" fillId="5" borderId="20" xfId="6" applyNumberFormat="1" applyFont="1" applyFill="1" applyBorder="1" applyAlignment="1">
      <alignment vertical="center"/>
    </xf>
    <xf numFmtId="0" fontId="10" fillId="5" borderId="44" xfId="6" applyFont="1" applyFill="1" applyBorder="1" applyAlignment="1">
      <alignment vertical="center"/>
    </xf>
    <xf numFmtId="0" fontId="10" fillId="5" borderId="42" xfId="6" applyFont="1" applyFill="1" applyBorder="1" applyAlignment="1">
      <alignment vertical="center"/>
    </xf>
    <xf numFmtId="15" fontId="3" fillId="5" borderId="42" xfId="6" applyNumberFormat="1" applyFont="1" applyFill="1" applyBorder="1" applyAlignment="1">
      <alignment vertical="center"/>
    </xf>
    <xf numFmtId="0" fontId="3" fillId="5" borderId="42" xfId="6" applyFont="1" applyFill="1" applyBorder="1" applyAlignment="1">
      <alignment horizontal="right" vertical="center"/>
    </xf>
    <xf numFmtId="0" fontId="3" fillId="5" borderId="22" xfId="6" applyFont="1" applyFill="1" applyBorder="1" applyAlignment="1">
      <alignment vertical="center"/>
    </xf>
    <xf numFmtId="0" fontId="51" fillId="5" borderId="22" xfId="7" applyFont="1" applyFill="1" applyBorder="1"/>
    <xf numFmtId="0" fontId="51" fillId="5" borderId="33" xfId="7" applyFont="1" applyFill="1" applyBorder="1"/>
    <xf numFmtId="0" fontId="3" fillId="5" borderId="19" xfId="6" applyFont="1" applyFill="1" applyBorder="1" applyAlignment="1">
      <alignment vertical="center" wrapText="1"/>
    </xf>
    <xf numFmtId="0" fontId="3" fillId="24" borderId="4" xfId="6" applyFont="1" applyFill="1" applyBorder="1" applyAlignment="1">
      <alignment horizontal="left" vertical="center"/>
    </xf>
    <xf numFmtId="0" fontId="58" fillId="25" borderId="13" xfId="7" applyFont="1" applyFill="1" applyBorder="1"/>
    <xf numFmtId="0" fontId="51" fillId="25" borderId="13" xfId="7" applyFont="1" applyFill="1" applyBorder="1"/>
    <xf numFmtId="0" fontId="51" fillId="0" borderId="5" xfId="7" applyFont="1" applyBorder="1"/>
    <xf numFmtId="0" fontId="8" fillId="2" borderId="0" xfId="1" applyFont="1" applyFill="1"/>
    <xf numFmtId="0" fontId="32" fillId="0" borderId="0" xfId="1" applyFont="1"/>
    <xf numFmtId="169" fontId="5" fillId="2" borderId="0" xfId="1" applyNumberFormat="1" applyFont="1" applyFill="1"/>
    <xf numFmtId="169" fontId="6" fillId="14" borderId="16" xfId="1" applyNumberFormat="1" applyFont="1" applyFill="1" applyBorder="1" applyAlignment="1">
      <alignment vertical="center"/>
    </xf>
    <xf numFmtId="169" fontId="7" fillId="14" borderId="75" xfId="1" applyNumberFormat="1" applyFont="1" applyFill="1" applyBorder="1" applyAlignment="1">
      <alignment vertical="center"/>
    </xf>
    <xf numFmtId="169" fontId="7" fillId="14" borderId="76" xfId="1" applyNumberFormat="1" applyFont="1" applyFill="1" applyBorder="1" applyAlignment="1">
      <alignment vertical="center"/>
    </xf>
    <xf numFmtId="169" fontId="7" fillId="14" borderId="54" xfId="1" applyNumberFormat="1" applyFont="1" applyFill="1" applyBorder="1" applyAlignment="1">
      <alignment vertical="center"/>
    </xf>
    <xf numFmtId="0" fontId="6" fillId="0" borderId="12" xfId="1" applyFont="1" applyBorder="1" applyAlignment="1">
      <alignment wrapText="1"/>
    </xf>
    <xf numFmtId="169" fontId="7" fillId="14" borderId="5" xfId="1" applyNumberFormat="1" applyFont="1" applyFill="1" applyBorder="1" applyAlignment="1">
      <alignment vertical="center"/>
    </xf>
    <xf numFmtId="0" fontId="6" fillId="0" borderId="40" xfId="1" applyFont="1" applyBorder="1" applyAlignment="1">
      <alignment wrapText="1"/>
    </xf>
    <xf numFmtId="169" fontId="7" fillId="14" borderId="13" xfId="1" applyNumberFormat="1" applyFont="1" applyFill="1" applyBorder="1" applyAlignment="1">
      <alignment vertical="center"/>
    </xf>
    <xf numFmtId="169" fontId="7" fillId="14" borderId="4" xfId="1" applyNumberFormat="1" applyFont="1" applyFill="1" applyBorder="1" applyAlignment="1">
      <alignment vertical="center"/>
    </xf>
    <xf numFmtId="0" fontId="6" fillId="0" borderId="31" xfId="1" applyFont="1" applyBorder="1" applyAlignment="1">
      <alignment wrapText="1"/>
    </xf>
    <xf numFmtId="0" fontId="50" fillId="2" borderId="0" xfId="1" applyFont="1" applyFill="1" applyAlignment="1">
      <alignment horizontal="center"/>
    </xf>
    <xf numFmtId="0" fontId="50" fillId="2" borderId="0" xfId="1" applyFont="1" applyFill="1" applyAlignment="1">
      <alignment wrapText="1"/>
    </xf>
    <xf numFmtId="0" fontId="5" fillId="2" borderId="60" xfId="1" applyFont="1" applyFill="1" applyBorder="1" applyAlignment="1">
      <alignment vertical="center" wrapText="1"/>
    </xf>
    <xf numFmtId="0" fontId="5" fillId="2" borderId="0" xfId="1" applyFont="1" applyFill="1" applyAlignment="1">
      <alignment vertical="center" wrapText="1"/>
    </xf>
    <xf numFmtId="0" fontId="5" fillId="2" borderId="0" xfId="1" applyFont="1" applyFill="1" applyAlignment="1">
      <alignment wrapText="1"/>
    </xf>
    <xf numFmtId="169" fontId="7" fillId="15" borderId="85" xfId="1" applyNumberFormat="1" applyFont="1" applyFill="1" applyBorder="1" applyAlignment="1" applyProtection="1">
      <alignment vertical="center"/>
      <protection locked="0"/>
    </xf>
    <xf numFmtId="0" fontId="6" fillId="0" borderId="35" xfId="1" applyFont="1" applyBorder="1" applyAlignment="1">
      <alignment wrapText="1"/>
    </xf>
    <xf numFmtId="169" fontId="7" fillId="14" borderId="85" xfId="1" applyNumberFormat="1" applyFont="1" applyFill="1" applyBorder="1" applyAlignment="1">
      <alignment vertical="center"/>
    </xf>
    <xf numFmtId="169" fontId="7" fillId="14" borderId="86" xfId="1" applyNumberFormat="1" applyFont="1" applyFill="1" applyBorder="1" applyAlignment="1">
      <alignment vertical="center"/>
    </xf>
    <xf numFmtId="169" fontId="7" fillId="14" borderId="87" xfId="1" applyNumberFormat="1" applyFont="1" applyFill="1" applyBorder="1" applyAlignment="1">
      <alignment vertical="center"/>
    </xf>
    <xf numFmtId="169" fontId="7" fillId="14" borderId="88" xfId="1" applyNumberFormat="1" applyFont="1" applyFill="1" applyBorder="1" applyAlignment="1">
      <alignment vertical="center"/>
    </xf>
    <xf numFmtId="169" fontId="7" fillId="14" borderId="89" xfId="1" applyNumberFormat="1" applyFont="1" applyFill="1" applyBorder="1" applyAlignment="1">
      <alignment vertical="center"/>
    </xf>
    <xf numFmtId="169" fontId="7" fillId="14" borderId="90" xfId="1" applyNumberFormat="1" applyFont="1" applyFill="1" applyBorder="1" applyAlignment="1">
      <alignment vertical="center"/>
    </xf>
    <xf numFmtId="169" fontId="7" fillId="14" borderId="91" xfId="1" applyNumberFormat="1" applyFont="1" applyFill="1" applyBorder="1" applyAlignment="1">
      <alignment vertical="center"/>
    </xf>
    <xf numFmtId="0" fontId="5" fillId="20" borderId="5" xfId="1" applyFont="1" applyFill="1" applyBorder="1" applyAlignment="1">
      <alignment wrapText="1"/>
    </xf>
    <xf numFmtId="0" fontId="5" fillId="14" borderId="4" xfId="1" applyFont="1" applyFill="1" applyBorder="1" applyAlignment="1">
      <alignment horizontal="center" wrapText="1"/>
    </xf>
    <xf numFmtId="0" fontId="6" fillId="0" borderId="34" xfId="1" applyFont="1" applyBorder="1" applyAlignment="1">
      <alignment wrapText="1"/>
    </xf>
    <xf numFmtId="0" fontId="50" fillId="0" borderId="0" xfId="1" applyFont="1" applyAlignment="1">
      <alignment horizontal="center"/>
    </xf>
    <xf numFmtId="0" fontId="5" fillId="2" borderId="0" xfId="1" quotePrefix="1" applyFont="1" applyFill="1"/>
    <xf numFmtId="0" fontId="50" fillId="2" borderId="0" xfId="1" applyFont="1" applyFill="1"/>
    <xf numFmtId="169" fontId="7" fillId="14" borderId="43" xfId="1" applyNumberFormat="1" applyFont="1" applyFill="1" applyBorder="1" applyAlignment="1">
      <alignment vertical="center"/>
    </xf>
    <xf numFmtId="169" fontId="7" fillId="14" borderId="44" xfId="1" applyNumberFormat="1" applyFont="1" applyFill="1" applyBorder="1" applyAlignment="1">
      <alignment vertical="center"/>
    </xf>
    <xf numFmtId="169" fontId="7" fillId="14" borderId="42" xfId="1" applyNumberFormat="1" applyFont="1" applyFill="1" applyBorder="1" applyAlignment="1">
      <alignment vertical="center"/>
    </xf>
    <xf numFmtId="169" fontId="13" fillId="2" borderId="0" xfId="1" applyNumberFormat="1" applyFont="1" applyFill="1"/>
    <xf numFmtId="169" fontId="7" fillId="14" borderId="92" xfId="1" applyNumberFormat="1" applyFont="1" applyFill="1" applyBorder="1" applyAlignment="1">
      <alignment vertical="center"/>
    </xf>
    <xf numFmtId="0" fontId="5" fillId="20" borderId="38" xfId="1" applyFont="1" applyFill="1" applyBorder="1"/>
    <xf numFmtId="0" fontId="5" fillId="14" borderId="13" xfId="1" applyFont="1" applyFill="1" applyBorder="1" applyAlignment="1">
      <alignment horizontal="center" wrapText="1"/>
    </xf>
    <xf numFmtId="0" fontId="5" fillId="20" borderId="33" xfId="1" applyFont="1" applyFill="1" applyBorder="1" applyAlignment="1">
      <alignment wrapText="1"/>
    </xf>
    <xf numFmtId="0" fontId="50" fillId="2" borderId="0" xfId="1" applyFont="1" applyFill="1" applyAlignment="1">
      <alignment horizontal="center" vertical="center"/>
    </xf>
    <xf numFmtId="0" fontId="50" fillId="0" borderId="0" xfId="1" applyFont="1"/>
    <xf numFmtId="0" fontId="3" fillId="0" borderId="0" xfId="1" applyFont="1"/>
    <xf numFmtId="15" fontId="2" fillId="5" borderId="22" xfId="6" applyNumberFormat="1" applyFont="1" applyFill="1" applyBorder="1" applyAlignment="1">
      <alignment vertical="center"/>
    </xf>
    <xf numFmtId="0" fontId="10" fillId="5" borderId="33" xfId="6" applyFont="1" applyFill="1" applyBorder="1" applyAlignment="1">
      <alignment vertical="center"/>
    </xf>
    <xf numFmtId="15" fontId="2" fillId="5" borderId="42" xfId="6" applyNumberFormat="1" applyFont="1" applyFill="1" applyBorder="1" applyAlignment="1">
      <alignment vertical="center"/>
    </xf>
    <xf numFmtId="0" fontId="5" fillId="5" borderId="42" xfId="1" applyFont="1" applyFill="1" applyBorder="1"/>
    <xf numFmtId="0" fontId="5" fillId="5" borderId="41" xfId="1" applyFont="1" applyFill="1" applyBorder="1"/>
    <xf numFmtId="15" fontId="4" fillId="5" borderId="19" xfId="6" applyNumberFormat="1" applyFont="1" applyFill="1" applyBorder="1" applyAlignment="1">
      <alignment vertical="center" wrapText="1"/>
    </xf>
    <xf numFmtId="15" fontId="4" fillId="5" borderId="42" xfId="6" applyNumberFormat="1" applyFont="1" applyFill="1" applyBorder="1" applyAlignment="1">
      <alignment vertical="center" wrapText="1"/>
    </xf>
    <xf numFmtId="0" fontId="19" fillId="5" borderId="19" xfId="8" applyFont="1" applyFill="1" applyBorder="1" applyAlignment="1">
      <alignment horizontal="right"/>
    </xf>
    <xf numFmtId="0" fontId="19" fillId="5" borderId="42" xfId="8" applyFont="1" applyFill="1" applyBorder="1" applyAlignment="1">
      <alignment horizontal="right"/>
    </xf>
    <xf numFmtId="0" fontId="52" fillId="0" borderId="0" xfId="7" quotePrefix="1" applyFont="1"/>
    <xf numFmtId="0" fontId="3" fillId="16" borderId="14" xfId="0" applyFont="1" applyFill="1" applyBorder="1" applyAlignment="1">
      <alignment horizontal="center" vertical="center" wrapText="1"/>
    </xf>
    <xf numFmtId="0" fontId="3" fillId="16" borderId="15" xfId="0" applyFont="1" applyFill="1" applyBorder="1" applyAlignment="1">
      <alignment horizontal="center" vertical="center" wrapText="1"/>
    </xf>
    <xf numFmtId="169" fontId="7" fillId="2" borderId="45" xfId="7" applyNumberFormat="1" applyFont="1" applyFill="1" applyBorder="1" applyAlignment="1">
      <alignment vertical="center"/>
    </xf>
    <xf numFmtId="169" fontId="6" fillId="2" borderId="45" xfId="7" applyNumberFormat="1" applyFont="1" applyFill="1" applyBorder="1" applyAlignment="1">
      <alignment vertical="center"/>
    </xf>
    <xf numFmtId="0" fontId="51" fillId="2" borderId="45" xfId="7" applyFont="1" applyFill="1" applyBorder="1"/>
    <xf numFmtId="0" fontId="5" fillId="2" borderId="45" xfId="1" applyFont="1" applyFill="1" applyBorder="1" applyAlignment="1">
      <alignment horizontal="left" vertical="center" wrapText="1"/>
    </xf>
    <xf numFmtId="171" fontId="7" fillId="2" borderId="45" xfId="7" applyNumberFormat="1" applyFont="1" applyFill="1" applyBorder="1" applyAlignment="1" applyProtection="1">
      <alignment vertical="center" wrapText="1"/>
      <protection locked="0"/>
    </xf>
    <xf numFmtId="0" fontId="84" fillId="29" borderId="0" xfId="0" applyFont="1" applyFill="1"/>
    <xf numFmtId="0" fontId="4" fillId="17" borderId="13" xfId="0" applyFont="1" applyFill="1" applyBorder="1" applyAlignment="1">
      <alignment horizontal="center" vertical="center" wrapText="1"/>
    </xf>
    <xf numFmtId="0" fontId="4" fillId="16" borderId="13" xfId="0" applyFont="1" applyFill="1" applyBorder="1" applyAlignment="1">
      <alignment horizontal="center" vertical="center" wrapText="1"/>
    </xf>
    <xf numFmtId="0" fontId="4" fillId="31" borderId="13" xfId="0" applyFont="1" applyFill="1" applyBorder="1" applyAlignment="1">
      <alignment horizontal="center" vertical="center" wrapText="1"/>
    </xf>
    <xf numFmtId="0" fontId="4" fillId="31" borderId="5" xfId="0" applyFont="1" applyFill="1" applyBorder="1" applyAlignment="1">
      <alignment horizontal="center" vertical="center" wrapText="1"/>
    </xf>
    <xf numFmtId="0" fontId="3" fillId="16" borderId="16" xfId="0" applyFont="1" applyFill="1" applyBorder="1" applyAlignment="1">
      <alignment horizontal="center" vertical="center" wrapText="1"/>
    </xf>
    <xf numFmtId="181" fontId="12" fillId="0" borderId="0" xfId="1" applyNumberFormat="1" applyFont="1"/>
    <xf numFmtId="181" fontId="14" fillId="0" borderId="0" xfId="1" applyNumberFormat="1" applyFont="1"/>
    <xf numFmtId="181" fontId="14" fillId="0" borderId="0" xfId="1" applyNumberFormat="1" applyFont="1" applyAlignment="1">
      <alignment vertical="center"/>
    </xf>
    <xf numFmtId="181" fontId="2" fillId="0" borderId="0" xfId="1" applyNumberFormat="1" applyFont="1" applyProtection="1">
      <protection locked="0"/>
    </xf>
    <xf numFmtId="181" fontId="5" fillId="0" borderId="0" xfId="1" applyNumberFormat="1" applyFont="1" applyProtection="1">
      <protection locked="0"/>
    </xf>
    <xf numFmtId="181" fontId="69" fillId="0" borderId="0" xfId="1" applyNumberFormat="1" applyFont="1"/>
    <xf numFmtId="181" fontId="12" fillId="0" borderId="0" xfId="1" applyNumberFormat="1" applyFont="1" applyAlignment="1">
      <alignment vertical="center"/>
    </xf>
    <xf numFmtId="181" fontId="5" fillId="0" borderId="0" xfId="1" applyNumberFormat="1" applyFont="1"/>
    <xf numFmtId="14" fontId="28" fillId="0" borderId="0" xfId="1" applyNumberFormat="1"/>
    <xf numFmtId="14" fontId="0" fillId="0" borderId="0" xfId="0" applyNumberFormat="1"/>
    <xf numFmtId="14" fontId="5" fillId="4" borderId="0" xfId="1" applyNumberFormat="1" applyFont="1" applyFill="1"/>
    <xf numFmtId="173" fontId="2" fillId="30" borderId="0" xfId="0" applyNumberFormat="1" applyFont="1" applyFill="1" applyAlignment="1" applyProtection="1">
      <alignment vertical="center" wrapText="1"/>
      <protection locked="0"/>
    </xf>
    <xf numFmtId="0" fontId="47" fillId="0" borderId="0" xfId="0" applyFont="1" applyProtection="1">
      <protection hidden="1"/>
    </xf>
    <xf numFmtId="0" fontId="0" fillId="0" borderId="26" xfId="0" applyBorder="1"/>
    <xf numFmtId="0" fontId="74" fillId="0" borderId="0" xfId="0" applyFont="1" applyAlignment="1">
      <alignment wrapText="1"/>
    </xf>
    <xf numFmtId="0" fontId="74" fillId="0" borderId="0" xfId="0" applyFont="1"/>
    <xf numFmtId="173" fontId="75" fillId="15" borderId="0" xfId="1" applyNumberFormat="1" applyFont="1" applyFill="1" applyAlignment="1">
      <alignment vertical="center"/>
    </xf>
    <xf numFmtId="173" fontId="2" fillId="15" borderId="0" xfId="1" applyNumberFormat="1" applyFont="1" applyFill="1" applyAlignment="1">
      <alignment vertical="center"/>
    </xf>
    <xf numFmtId="173" fontId="75" fillId="0" borderId="0" xfId="1" applyNumberFormat="1" applyFont="1" applyAlignment="1">
      <alignment vertical="center"/>
    </xf>
    <xf numFmtId="173" fontId="2" fillId="0" borderId="0" xfId="1" applyNumberFormat="1" applyFont="1" applyAlignment="1">
      <alignment vertical="center"/>
    </xf>
    <xf numFmtId="0" fontId="13" fillId="2" borderId="0" xfId="1" applyFont="1" applyFill="1" applyProtection="1">
      <protection hidden="1"/>
    </xf>
    <xf numFmtId="0" fontId="5" fillId="2" borderId="0" xfId="1" applyFont="1" applyFill="1" applyAlignment="1">
      <alignment vertical="center"/>
    </xf>
    <xf numFmtId="0" fontId="13" fillId="2" borderId="0" xfId="0" applyFont="1" applyFill="1" applyProtection="1">
      <protection hidden="1"/>
    </xf>
    <xf numFmtId="0" fontId="52" fillId="2" borderId="0" xfId="0" applyFont="1" applyFill="1" applyAlignment="1" applyProtection="1">
      <alignment horizontal="left" vertical="center" wrapText="1"/>
      <protection hidden="1"/>
    </xf>
    <xf numFmtId="0" fontId="47" fillId="2" borderId="0" xfId="0" applyFont="1" applyFill="1" applyProtection="1">
      <protection hidden="1"/>
    </xf>
    <xf numFmtId="0" fontId="5" fillId="2" borderId="0" xfId="0" applyFont="1" applyFill="1" applyAlignment="1">
      <alignment horizontal="left" vertical="center" wrapText="1" indent="1"/>
    </xf>
    <xf numFmtId="0" fontId="88" fillId="2" borderId="0" xfId="0" applyFont="1" applyFill="1" applyProtection="1">
      <protection hidden="1"/>
    </xf>
    <xf numFmtId="0" fontId="52" fillId="2" borderId="0" xfId="0" applyFont="1" applyFill="1" applyAlignment="1">
      <alignment horizontal="left" vertical="center" wrapText="1" indent="1"/>
    </xf>
    <xf numFmtId="0" fontId="89" fillId="2" borderId="0" xfId="0" applyFont="1" applyFill="1" applyAlignment="1">
      <alignment horizontal="left" vertical="center"/>
    </xf>
    <xf numFmtId="0" fontId="4" fillId="8" borderId="4" xfId="0" applyFont="1" applyFill="1" applyBorder="1" applyAlignment="1">
      <alignment horizontal="left" vertical="center" wrapText="1"/>
    </xf>
    <xf numFmtId="0" fontId="4" fillId="8" borderId="13" xfId="1"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16" borderId="13" xfId="0" applyFont="1" applyFill="1" applyBorder="1" applyAlignment="1">
      <alignment horizontal="center" vertical="center"/>
    </xf>
    <xf numFmtId="0" fontId="4" fillId="7" borderId="13" xfId="0" applyFont="1" applyFill="1" applyBorder="1" applyAlignment="1">
      <alignment horizontal="center" vertical="center" wrapText="1"/>
    </xf>
    <xf numFmtId="0" fontId="4" fillId="7" borderId="13" xfId="0" applyFont="1" applyFill="1" applyBorder="1" applyAlignment="1">
      <alignment vertical="center" wrapText="1"/>
    </xf>
    <xf numFmtId="0" fontId="4" fillId="7" borderId="5" xfId="0" applyFont="1" applyFill="1" applyBorder="1" applyAlignment="1">
      <alignment horizontal="center" vertical="center"/>
    </xf>
    <xf numFmtId="0" fontId="13" fillId="4" borderId="0" xfId="0" applyFont="1" applyFill="1" applyProtection="1">
      <protection hidden="1"/>
    </xf>
    <xf numFmtId="0" fontId="13" fillId="2" borderId="0" xfId="0" applyFont="1" applyFill="1" applyAlignment="1">
      <alignment vertical="center"/>
    </xf>
    <xf numFmtId="0" fontId="18" fillId="0" borderId="13" xfId="0" applyFont="1" applyBorder="1" applyAlignment="1" applyProtection="1">
      <alignment horizontal="left" vertical="center" wrapText="1"/>
      <protection locked="0"/>
    </xf>
    <xf numFmtId="0" fontId="18" fillId="0" borderId="5" xfId="0" applyFont="1" applyBorder="1" applyAlignment="1" applyProtection="1">
      <alignment horizontal="left" vertical="center" wrapText="1"/>
      <protection locked="0"/>
    </xf>
    <xf numFmtId="0" fontId="18" fillId="5" borderId="13" xfId="0" applyFont="1" applyFill="1" applyBorder="1" applyAlignment="1">
      <alignment horizontal="left" vertical="center" wrapText="1"/>
    </xf>
    <xf numFmtId="0" fontId="6" fillId="2" borderId="0" xfId="0" applyFont="1" applyFill="1" applyAlignment="1">
      <alignment vertical="center" wrapText="1"/>
    </xf>
    <xf numFmtId="168" fontId="7" fillId="2" borderId="0" xfId="0" applyNumberFormat="1" applyFont="1" applyFill="1" applyAlignment="1">
      <alignment horizontal="left" vertical="center" wrapText="1"/>
    </xf>
    <xf numFmtId="0" fontId="6" fillId="2" borderId="0" xfId="0" applyFont="1" applyFill="1" applyAlignment="1">
      <alignment horizontal="left" vertical="center" wrapText="1"/>
    </xf>
    <xf numFmtId="0" fontId="5" fillId="2" borderId="0" xfId="0" applyFont="1" applyFill="1" applyAlignment="1">
      <alignment wrapText="1"/>
    </xf>
    <xf numFmtId="0" fontId="40" fillId="2" borderId="0" xfId="0" applyFont="1" applyFill="1" applyAlignment="1">
      <alignment horizontal="left" vertical="center"/>
    </xf>
    <xf numFmtId="0" fontId="19" fillId="5" borderId="4" xfId="1" applyFont="1" applyFill="1" applyBorder="1" applyAlignment="1">
      <alignment horizontal="center" vertical="center"/>
    </xf>
    <xf numFmtId="0" fontId="19" fillId="5" borderId="13" xfId="1" applyFont="1" applyFill="1" applyBorder="1" applyAlignment="1">
      <alignment horizontal="center" vertical="center"/>
    </xf>
    <xf numFmtId="0" fontId="4" fillId="17" borderId="13" xfId="1" applyFont="1" applyFill="1" applyBorder="1" applyAlignment="1">
      <alignment horizontal="center" vertical="center" wrapText="1"/>
    </xf>
    <xf numFmtId="0" fontId="4" fillId="23" borderId="13" xfId="1" applyFont="1" applyFill="1" applyBorder="1" applyAlignment="1">
      <alignment vertical="center" wrapText="1"/>
    </xf>
    <xf numFmtId="0" fontId="4" fillId="17" borderId="5" xfId="1" applyFont="1" applyFill="1" applyBorder="1" applyAlignment="1">
      <alignment horizontal="center" vertical="center" wrapText="1"/>
    </xf>
    <xf numFmtId="0" fontId="19" fillId="0" borderId="0" xfId="1" applyFont="1" applyAlignment="1">
      <alignment horizontal="center"/>
    </xf>
    <xf numFmtId="0" fontId="13" fillId="2" borderId="0" xfId="1" applyFont="1" applyFill="1" applyAlignment="1" applyProtection="1">
      <alignment vertical="center"/>
      <protection hidden="1"/>
    </xf>
    <xf numFmtId="0" fontId="47" fillId="2" borderId="0" xfId="1" applyFont="1" applyFill="1" applyProtection="1">
      <protection hidden="1"/>
    </xf>
    <xf numFmtId="0" fontId="47" fillId="2" borderId="0" xfId="1" applyFont="1" applyFill="1" applyAlignment="1" applyProtection="1">
      <alignment vertical="center"/>
      <protection hidden="1"/>
    </xf>
    <xf numFmtId="0" fontId="5" fillId="5" borderId="15" xfId="0" applyFont="1" applyFill="1" applyBorder="1" applyAlignment="1">
      <alignment horizontal="left"/>
    </xf>
    <xf numFmtId="0" fontId="5" fillId="5" borderId="16" xfId="0" applyFont="1" applyFill="1" applyBorder="1" applyAlignment="1">
      <alignment horizontal="left"/>
    </xf>
    <xf numFmtId="0" fontId="13" fillId="4" borderId="2" xfId="0" applyFont="1" applyFill="1" applyBorder="1" applyAlignment="1">
      <alignment horizontal="left" vertical="center"/>
    </xf>
    <xf numFmtId="0" fontId="5" fillId="4" borderId="0" xfId="0" applyFont="1" applyFill="1" applyAlignment="1">
      <alignment horizontal="left" vertical="center"/>
    </xf>
    <xf numFmtId="0" fontId="19" fillId="28" borderId="17" xfId="0" applyFont="1" applyFill="1" applyBorder="1" applyAlignment="1">
      <alignment horizontal="left" vertical="center"/>
    </xf>
    <xf numFmtId="0" fontId="4" fillId="8" borderId="79" xfId="0" applyFont="1" applyFill="1" applyBorder="1" applyAlignment="1">
      <alignment horizontal="left" vertical="center" wrapText="1"/>
    </xf>
    <xf numFmtId="0" fontId="4" fillId="16" borderId="79" xfId="0" applyFont="1" applyFill="1" applyBorder="1" applyAlignment="1">
      <alignment horizontal="left" vertical="center" wrapText="1"/>
    </xf>
    <xf numFmtId="0" fontId="4" fillId="16" borderId="80" xfId="0" applyFont="1" applyFill="1" applyBorder="1" applyAlignment="1">
      <alignment horizontal="left" vertical="center" wrapText="1"/>
    </xf>
    <xf numFmtId="0" fontId="90" fillId="2" borderId="0" xfId="0" applyFont="1" applyFill="1" applyProtection="1">
      <protection hidden="1"/>
    </xf>
    <xf numFmtId="0" fontId="7" fillId="4" borderId="0" xfId="1" applyFont="1" applyFill="1" applyAlignment="1">
      <alignment vertical="center"/>
    </xf>
    <xf numFmtId="14" fontId="7" fillId="4" borderId="0" xfId="1" applyNumberFormat="1" applyFont="1" applyFill="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0" xfId="1" applyFont="1" applyFill="1" applyAlignment="1">
      <alignment wrapText="1"/>
    </xf>
    <xf numFmtId="0" fontId="52" fillId="2" borderId="0" xfId="1" applyFont="1" applyFill="1" applyAlignment="1">
      <alignment vertical="center"/>
    </xf>
    <xf numFmtId="0" fontId="32" fillId="2" borderId="0" xfId="0" applyFont="1" applyFill="1" applyAlignment="1">
      <alignment vertical="center"/>
    </xf>
    <xf numFmtId="0" fontId="13" fillId="2" borderId="0" xfId="0" applyFont="1" applyFill="1" applyAlignment="1" applyProtection="1">
      <alignment vertical="center"/>
      <protection hidden="1"/>
    </xf>
    <xf numFmtId="0" fontId="52" fillId="2" borderId="0" xfId="0" applyFont="1" applyFill="1" applyAlignment="1">
      <alignment horizontal="left" vertical="center" wrapText="1"/>
    </xf>
    <xf numFmtId="0" fontId="91" fillId="2" borderId="0" xfId="0" applyFont="1" applyFill="1" applyAlignment="1" applyProtection="1">
      <alignment vertical="center"/>
      <protection hidden="1"/>
    </xf>
    <xf numFmtId="0" fontId="92" fillId="2" borderId="0" xfId="0" applyFont="1" applyFill="1" applyAlignment="1" applyProtection="1">
      <alignment wrapText="1"/>
      <protection hidden="1"/>
    </xf>
    <xf numFmtId="0" fontId="93" fillId="2" borderId="0" xfId="0" applyFont="1" applyFill="1" applyAlignment="1" applyProtection="1">
      <alignment wrapText="1"/>
      <protection hidden="1"/>
    </xf>
    <xf numFmtId="0" fontId="94" fillId="2" borderId="0" xfId="0" applyFont="1" applyFill="1" applyAlignment="1" applyProtection="1">
      <alignment horizontal="center" vertical="center"/>
      <protection hidden="1"/>
    </xf>
    <xf numFmtId="0" fontId="4" fillId="5" borderId="4" xfId="1" applyFont="1" applyFill="1" applyBorder="1" applyAlignment="1">
      <alignment horizontal="left" vertical="center" wrapText="1"/>
    </xf>
    <xf numFmtId="0" fontId="29" fillId="5" borderId="4" xfId="1" applyFont="1" applyFill="1" applyBorder="1" applyAlignment="1">
      <alignment vertical="center"/>
    </xf>
    <xf numFmtId="0" fontId="4" fillId="16" borderId="13" xfId="1" applyFont="1" applyFill="1" applyBorder="1" applyAlignment="1">
      <alignment horizontal="center" vertical="center" wrapText="1"/>
    </xf>
    <xf numFmtId="0" fontId="4" fillId="16" borderId="5" xfId="1" applyFont="1" applyFill="1" applyBorder="1" applyAlignment="1">
      <alignment horizontal="center" vertical="center" wrapText="1"/>
    </xf>
    <xf numFmtId="0" fontId="4" fillId="24" borderId="44" xfId="6" applyFont="1" applyFill="1" applyBorder="1" applyAlignment="1">
      <alignment horizontal="left" vertical="center"/>
    </xf>
    <xf numFmtId="0" fontId="4" fillId="24" borderId="42" xfId="6" applyFont="1" applyFill="1" applyBorder="1" applyAlignment="1">
      <alignment horizontal="left" vertical="center"/>
    </xf>
    <xf numFmtId="0" fontId="5" fillId="24" borderId="42" xfId="6" applyFont="1" applyFill="1" applyBorder="1" applyAlignment="1">
      <alignment vertical="center"/>
    </xf>
    <xf numFmtId="0" fontId="50" fillId="24" borderId="42" xfId="6" applyFont="1" applyFill="1" applyBorder="1" applyAlignment="1">
      <alignment horizontal="left" vertical="center"/>
    </xf>
    <xf numFmtId="0" fontId="2" fillId="24" borderId="42" xfId="6" applyFont="1" applyFill="1" applyBorder="1" applyAlignment="1">
      <alignment vertical="center"/>
    </xf>
    <xf numFmtId="0" fontId="2" fillId="24" borderId="41" xfId="6" applyFont="1" applyFill="1" applyBorder="1" applyAlignment="1">
      <alignment vertical="center"/>
    </xf>
    <xf numFmtId="0" fontId="5" fillId="0" borderId="97" xfId="1" applyFont="1" applyBorder="1"/>
    <xf numFmtId="0" fontId="29" fillId="0" borderId="0" xfId="7" applyFont="1"/>
    <xf numFmtId="0" fontId="29" fillId="5" borderId="13" xfId="7" applyFont="1" applyFill="1" applyBorder="1" applyAlignment="1">
      <alignment vertical="center"/>
    </xf>
    <xf numFmtId="0" fontId="19" fillId="5" borderId="13" xfId="1" applyFont="1" applyFill="1" applyBorder="1" applyAlignment="1">
      <alignment horizontal="center" vertical="center" wrapText="1"/>
    </xf>
    <xf numFmtId="171" fontId="6" fillId="16" borderId="4" xfId="7" applyNumberFormat="1" applyFont="1" applyFill="1" applyBorder="1" applyAlignment="1">
      <alignment horizontal="center" vertical="center" wrapText="1"/>
    </xf>
    <xf numFmtId="171" fontId="6" fillId="16" borderId="13" xfId="7" applyNumberFormat="1" applyFont="1" applyFill="1" applyBorder="1" applyAlignment="1">
      <alignment horizontal="center" vertical="center" wrapText="1"/>
    </xf>
    <xf numFmtId="171" fontId="6" fillId="16" borderId="5" xfId="7" applyNumberFormat="1" applyFont="1" applyFill="1" applyBorder="1" applyAlignment="1">
      <alignment horizontal="center" vertical="center" wrapText="1"/>
    </xf>
    <xf numFmtId="0" fontId="3" fillId="24" borderId="13" xfId="6" applyFont="1" applyFill="1" applyBorder="1" applyAlignment="1">
      <alignment horizontal="left" vertical="center"/>
    </xf>
    <xf numFmtId="0" fontId="5" fillId="24" borderId="13" xfId="6" applyFont="1" applyFill="1" applyBorder="1" applyAlignment="1">
      <alignment vertical="center"/>
    </xf>
    <xf numFmtId="0" fontId="50" fillId="24" borderId="13" xfId="6" applyFont="1" applyFill="1" applyBorder="1" applyAlignment="1">
      <alignment horizontal="left" vertical="center"/>
    </xf>
    <xf numFmtId="0" fontId="2" fillId="24" borderId="13" xfId="6" applyFont="1" applyFill="1" applyBorder="1" applyAlignment="1">
      <alignment vertical="center"/>
    </xf>
    <xf numFmtId="0" fontId="2" fillId="24" borderId="5" xfId="6" applyFont="1" applyFill="1" applyBorder="1" applyAlignment="1">
      <alignment vertical="center"/>
    </xf>
    <xf numFmtId="2" fontId="14" fillId="0" borderId="0" xfId="1" applyNumberFormat="1" applyFont="1"/>
    <xf numFmtId="2" fontId="12" fillId="0" borderId="0" xfId="1" applyNumberFormat="1" applyFont="1"/>
    <xf numFmtId="2" fontId="7" fillId="0" borderId="0" xfId="7" applyNumberFormat="1" applyFont="1" applyProtection="1">
      <protection locked="0"/>
    </xf>
    <xf numFmtId="0" fontId="13" fillId="2" borderId="0" xfId="1" applyFont="1" applyFill="1"/>
    <xf numFmtId="0" fontId="13" fillId="2" borderId="0" xfId="1" applyFont="1" applyFill="1" applyAlignment="1">
      <alignment vertical="center"/>
    </xf>
    <xf numFmtId="0" fontId="47" fillId="2" borderId="0" xfId="1" applyFont="1" applyFill="1" applyProtection="1">
      <protection locked="0"/>
    </xf>
    <xf numFmtId="0" fontId="47" fillId="2" borderId="0" xfId="1" applyFont="1" applyFill="1" applyAlignment="1" applyProtection="1">
      <alignment vertical="center"/>
      <protection locked="0"/>
    </xf>
    <xf numFmtId="0" fontId="13" fillId="2" borderId="0" xfId="1" applyFont="1" applyFill="1" applyProtection="1">
      <protection locked="0"/>
    </xf>
    <xf numFmtId="0" fontId="0" fillId="0" borderId="0" xfId="0" applyAlignment="1">
      <alignment wrapText="1"/>
    </xf>
    <xf numFmtId="0" fontId="2" fillId="0" borderId="0" xfId="1" applyFont="1" applyAlignment="1">
      <alignment horizontal="left" vertical="center"/>
    </xf>
    <xf numFmtId="4" fontId="2" fillId="0" borderId="0" xfId="1" applyNumberFormat="1" applyFont="1" applyAlignment="1">
      <alignment horizontal="right" vertical="center"/>
    </xf>
    <xf numFmtId="174" fontId="2" fillId="0" borderId="0" xfId="1" applyNumberFormat="1" applyFont="1" applyAlignment="1">
      <alignment horizontal="right" vertical="center"/>
    </xf>
    <xf numFmtId="0" fontId="2" fillId="0" borderId="0" xfId="1" applyFont="1" applyAlignment="1">
      <alignment horizontal="left" vertical="center" indent="1"/>
    </xf>
    <xf numFmtId="0" fontId="4" fillId="14" borderId="13" xfId="1" applyFont="1" applyFill="1" applyBorder="1" applyAlignment="1">
      <alignment horizontal="center" vertical="center" wrapText="1"/>
    </xf>
    <xf numFmtId="0" fontId="4" fillId="14" borderId="5" xfId="1" applyFont="1" applyFill="1" applyBorder="1" applyAlignment="1">
      <alignment horizontal="center" vertical="center" wrapText="1"/>
    </xf>
    <xf numFmtId="0" fontId="2" fillId="6" borderId="12" xfId="0" applyFont="1" applyFill="1" applyBorder="1" applyAlignment="1" applyProtection="1">
      <alignment horizontal="center" vertical="center" wrapText="1"/>
      <protection locked="0"/>
    </xf>
    <xf numFmtId="0" fontId="19" fillId="5" borderId="4" xfId="1" applyFont="1" applyFill="1" applyBorder="1" applyAlignment="1">
      <alignment horizontal="left" vertical="center" wrapText="1"/>
    </xf>
    <xf numFmtId="175" fontId="4" fillId="14" borderId="98" xfId="5" applyNumberFormat="1" applyFont="1" applyFill="1" applyBorder="1" applyAlignment="1" applyProtection="1">
      <alignment vertical="center"/>
    </xf>
    <xf numFmtId="0" fontId="95" fillId="0" borderId="0" xfId="0" applyFont="1"/>
    <xf numFmtId="0" fontId="0" fillId="0" borderId="0" xfId="0" quotePrefix="1"/>
    <xf numFmtId="0" fontId="90" fillId="4" borderId="0" xfId="0" applyFont="1" applyFill="1"/>
    <xf numFmtId="181" fontId="8" fillId="0" borderId="0" xfId="1" applyNumberFormat="1" applyFont="1"/>
    <xf numFmtId="181" fontId="8" fillId="0" borderId="0" xfId="1" applyNumberFormat="1" applyFont="1" applyAlignment="1">
      <alignment vertical="center"/>
    </xf>
    <xf numFmtId="181" fontId="24" fillId="0" borderId="0" xfId="1" applyNumberFormat="1" applyFont="1"/>
    <xf numFmtId="181" fontId="24" fillId="0" borderId="0" xfId="1" applyNumberFormat="1" applyFont="1" applyAlignment="1">
      <alignment vertical="center"/>
    </xf>
    <xf numFmtId="181" fontId="24" fillId="0" borderId="0" xfId="1" applyNumberFormat="1" applyFont="1" applyProtection="1">
      <protection locked="0"/>
    </xf>
    <xf numFmtId="0" fontId="8" fillId="0" borderId="0" xfId="1" applyFont="1" applyProtection="1">
      <protection locked="0"/>
    </xf>
    <xf numFmtId="181" fontId="8" fillId="0" borderId="0" xfId="1" applyNumberFormat="1" applyFont="1" applyProtection="1">
      <protection locked="0"/>
    </xf>
    <xf numFmtId="0" fontId="13" fillId="2" borderId="31" xfId="1" applyFont="1" applyFill="1" applyBorder="1" applyAlignment="1" applyProtection="1">
      <alignment vertical="center"/>
      <protection hidden="1"/>
    </xf>
    <xf numFmtId="0" fontId="13" fillId="2" borderId="22" xfId="1" applyFont="1" applyFill="1" applyBorder="1" applyAlignment="1" applyProtection="1">
      <alignment vertical="center"/>
      <protection hidden="1"/>
    </xf>
    <xf numFmtId="0" fontId="13" fillId="2" borderId="40" xfId="1" applyFont="1" applyFill="1" applyBorder="1" applyProtection="1">
      <protection hidden="1"/>
    </xf>
    <xf numFmtId="0" fontId="13" fillId="2" borderId="44" xfId="1" applyFont="1" applyFill="1" applyBorder="1" applyProtection="1">
      <protection hidden="1"/>
    </xf>
    <xf numFmtId="0" fontId="13" fillId="2" borderId="42" xfId="1" applyFont="1" applyFill="1" applyBorder="1" applyProtection="1">
      <protection hidden="1"/>
    </xf>
    <xf numFmtId="0" fontId="52" fillId="2" borderId="0" xfId="7" applyFont="1" applyFill="1" applyProtection="1">
      <protection hidden="1"/>
    </xf>
    <xf numFmtId="0" fontId="52" fillId="2" borderId="0" xfId="7" applyFont="1" applyFill="1" applyAlignment="1" applyProtection="1">
      <alignment vertical="center"/>
      <protection hidden="1"/>
    </xf>
    <xf numFmtId="0" fontId="88" fillId="0" borderId="0" xfId="0" applyFont="1" applyProtection="1">
      <protection hidden="1"/>
    </xf>
    <xf numFmtId="0" fontId="13" fillId="0" borderId="0" xfId="1" applyFont="1" applyProtection="1">
      <protection hidden="1"/>
    </xf>
    <xf numFmtId="0" fontId="13" fillId="0" borderId="0" xfId="1" applyFont="1" applyAlignment="1" applyProtection="1">
      <alignment vertical="center"/>
      <protection hidden="1"/>
    </xf>
    <xf numFmtId="0" fontId="47" fillId="0" borderId="0" xfId="1" applyFont="1" applyProtection="1">
      <protection hidden="1"/>
    </xf>
    <xf numFmtId="0" fontId="13" fillId="0" borderId="96" xfId="1" applyFont="1" applyBorder="1" applyProtection="1">
      <protection hidden="1"/>
    </xf>
    <xf numFmtId="49" fontId="0" fillId="0" borderId="0" xfId="0" applyNumberFormat="1"/>
    <xf numFmtId="49" fontId="13" fillId="2" borderId="0" xfId="1" applyNumberFormat="1" applyFont="1" applyFill="1" applyProtection="1">
      <protection hidden="1"/>
    </xf>
    <xf numFmtId="184" fontId="0" fillId="0" borderId="0" xfId="0" applyNumberFormat="1"/>
    <xf numFmtId="184" fontId="28" fillId="0" borderId="0" xfId="1" applyNumberFormat="1"/>
    <xf numFmtId="185" fontId="28" fillId="0" borderId="0" xfId="1" applyNumberFormat="1"/>
    <xf numFmtId="49" fontId="28" fillId="0" borderId="0" xfId="1" applyNumberFormat="1"/>
    <xf numFmtId="49" fontId="0" fillId="0" borderId="26" xfId="0" applyNumberFormat="1" applyBorder="1"/>
    <xf numFmtId="185" fontId="0" fillId="0" borderId="26" xfId="0" applyNumberFormat="1" applyBorder="1"/>
    <xf numFmtId="0" fontId="18" fillId="2" borderId="26" xfId="0" applyFont="1" applyFill="1" applyBorder="1"/>
    <xf numFmtId="0" fontId="18" fillId="0" borderId="26" xfId="0" applyFont="1" applyBorder="1"/>
    <xf numFmtId="0" fontId="25" fillId="5" borderId="26"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26" xfId="0" applyFont="1" applyFill="1" applyBorder="1" applyAlignment="1">
      <alignment vertical="center" wrapText="1"/>
    </xf>
    <xf numFmtId="0" fontId="19" fillId="8" borderId="26" xfId="0" applyFont="1" applyFill="1" applyBorder="1" applyAlignment="1">
      <alignment horizontal="center" vertical="center" wrapText="1"/>
    </xf>
    <xf numFmtId="0" fontId="19" fillId="10" borderId="26" xfId="0" applyFont="1" applyFill="1" applyBorder="1" applyAlignment="1">
      <alignment horizontal="center" vertical="center" wrapText="1"/>
    </xf>
    <xf numFmtId="0" fontId="19" fillId="11" borderId="26" xfId="0" applyFont="1" applyFill="1" applyBorder="1" applyAlignment="1">
      <alignment horizontal="center" vertical="center" wrapText="1"/>
    </xf>
    <xf numFmtId="49" fontId="18" fillId="9" borderId="26" xfId="0" applyNumberFormat="1" applyFont="1" applyFill="1" applyBorder="1"/>
    <xf numFmtId="0" fontId="18" fillId="9" borderId="26" xfId="0" applyFont="1" applyFill="1" applyBorder="1"/>
    <xf numFmtId="185" fontId="18" fillId="9" borderId="26" xfId="0" applyNumberFormat="1" applyFont="1" applyFill="1" applyBorder="1"/>
    <xf numFmtId="186" fontId="18" fillId="9" borderId="26" xfId="0" applyNumberFormat="1" applyFont="1" applyFill="1" applyBorder="1"/>
    <xf numFmtId="187" fontId="18" fillId="9" borderId="26" xfId="0" applyNumberFormat="1" applyFont="1" applyFill="1" applyBorder="1"/>
    <xf numFmtId="185" fontId="18" fillId="9" borderId="26" xfId="0" applyNumberFormat="1" applyFont="1" applyFill="1" applyBorder="1" applyAlignment="1">
      <alignment wrapText="1"/>
    </xf>
    <xf numFmtId="186" fontId="18" fillId="0" borderId="26" xfId="0" applyNumberFormat="1" applyFont="1" applyBorder="1"/>
    <xf numFmtId="49" fontId="18" fillId="0" borderId="26" xfId="0" applyNumberFormat="1" applyFont="1" applyBorder="1"/>
    <xf numFmtId="49" fontId="18" fillId="9" borderId="26" xfId="0" applyNumberFormat="1" applyFont="1" applyFill="1" applyBorder="1" applyAlignment="1">
      <alignment wrapText="1"/>
    </xf>
    <xf numFmtId="49" fontId="18" fillId="0" borderId="26" xfId="0" applyNumberFormat="1" applyFont="1" applyBorder="1" applyAlignment="1">
      <alignment wrapText="1"/>
    </xf>
    <xf numFmtId="0" fontId="18" fillId="9" borderId="26" xfId="0" applyFont="1" applyFill="1" applyBorder="1" applyAlignment="1">
      <alignment horizontal="center"/>
    </xf>
    <xf numFmtId="188" fontId="18" fillId="0" borderId="26" xfId="0" applyNumberFormat="1" applyFont="1" applyBorder="1"/>
    <xf numFmtId="185" fontId="18" fillId="0" borderId="26" xfId="0" applyNumberFormat="1" applyFont="1" applyBorder="1"/>
    <xf numFmtId="184" fontId="18" fillId="0" borderId="26" xfId="0" applyNumberFormat="1" applyFont="1" applyBorder="1"/>
    <xf numFmtId="185" fontId="2" fillId="0" borderId="26" xfId="0" applyNumberFormat="1" applyFont="1" applyBorder="1"/>
    <xf numFmtId="186" fontId="2" fillId="0" borderId="26" xfId="0" applyNumberFormat="1" applyFont="1" applyBorder="1"/>
    <xf numFmtId="49" fontId="2" fillId="0" borderId="26" xfId="0" applyNumberFormat="1" applyFont="1" applyBorder="1"/>
    <xf numFmtId="185" fontId="2" fillId="2" borderId="26" xfId="0" applyNumberFormat="1" applyFont="1" applyFill="1" applyBorder="1"/>
    <xf numFmtId="0" fontId="2" fillId="0" borderId="26" xfId="0" applyFont="1" applyBorder="1"/>
    <xf numFmtId="49" fontId="18" fillId="12" borderId="26" xfId="0" applyNumberFormat="1" applyFont="1" applyFill="1" applyBorder="1"/>
    <xf numFmtId="0" fontId="18" fillId="12" borderId="26" xfId="0" applyFont="1" applyFill="1" applyBorder="1"/>
    <xf numFmtId="187" fontId="18" fillId="0" borderId="26" xfId="0" applyNumberFormat="1" applyFont="1" applyBorder="1"/>
    <xf numFmtId="49" fontId="18" fillId="12" borderId="26" xfId="0" applyNumberFormat="1" applyFont="1" applyFill="1" applyBorder="1" applyAlignment="1">
      <alignment wrapText="1"/>
    </xf>
    <xf numFmtId="0" fontId="28" fillId="0" borderId="26" xfId="1" applyBorder="1"/>
    <xf numFmtId="49" fontId="28" fillId="0" borderId="26" xfId="1" applyNumberFormat="1" applyBorder="1"/>
    <xf numFmtId="0" fontId="69" fillId="0" borderId="26" xfId="1" applyFont="1" applyBorder="1"/>
    <xf numFmtId="2" fontId="69" fillId="0" borderId="26" xfId="1" applyNumberFormat="1" applyFont="1" applyBorder="1"/>
    <xf numFmtId="49" fontId="2" fillId="5" borderId="26" xfId="1" applyNumberFormat="1" applyFont="1" applyFill="1" applyBorder="1" applyAlignment="1">
      <alignment horizontal="left" vertical="top" wrapText="1"/>
    </xf>
    <xf numFmtId="169" fontId="2" fillId="14" borderId="26" xfId="1" applyNumberFormat="1" applyFont="1" applyFill="1" applyBorder="1" applyAlignment="1">
      <alignment vertical="center"/>
    </xf>
    <xf numFmtId="175" fontId="2" fillId="14" borderId="26" xfId="5" applyNumberFormat="1" applyFont="1" applyFill="1" applyBorder="1" applyAlignment="1" applyProtection="1">
      <alignment vertical="center"/>
    </xf>
    <xf numFmtId="49" fontId="18" fillId="15" borderId="26" xfId="1" applyNumberFormat="1" applyFont="1" applyFill="1" applyBorder="1" applyAlignment="1" applyProtection="1">
      <alignment vertical="center" wrapText="1"/>
      <protection locked="0"/>
    </xf>
    <xf numFmtId="0" fontId="14" fillId="0" borderId="26" xfId="1" applyFont="1" applyBorder="1"/>
    <xf numFmtId="2" fontId="14" fillId="0" borderId="26" xfId="1" applyNumberFormat="1" applyFont="1" applyBorder="1"/>
    <xf numFmtId="186" fontId="14" fillId="0" borderId="26" xfId="1" applyNumberFormat="1" applyFont="1" applyBorder="1"/>
    <xf numFmtId="0" fontId="2" fillId="0" borderId="26" xfId="1" applyFont="1" applyBorder="1" applyProtection="1">
      <protection locked="0"/>
    </xf>
    <xf numFmtId="0" fontId="2" fillId="0" borderId="26" xfId="1" applyFont="1" applyBorder="1" applyAlignment="1">
      <alignment horizontal="left" vertical="top"/>
    </xf>
    <xf numFmtId="169" fontId="2" fillId="0" borderId="26" xfId="1" applyNumberFormat="1" applyFont="1" applyBorder="1" applyAlignment="1" applyProtection="1">
      <alignment vertical="center"/>
      <protection locked="0"/>
    </xf>
    <xf numFmtId="169" fontId="2" fillId="0" borderId="26" xfId="1" applyNumberFormat="1" applyFont="1" applyBorder="1" applyAlignment="1">
      <alignment vertical="center"/>
    </xf>
    <xf numFmtId="175" fontId="2" fillId="0" borderId="26" xfId="5" applyNumberFormat="1" applyFont="1" applyFill="1" applyBorder="1" applyAlignment="1" applyProtection="1">
      <alignment vertical="center"/>
    </xf>
    <xf numFmtId="49" fontId="18" fillId="0" borderId="26" xfId="1" applyNumberFormat="1" applyFont="1" applyBorder="1" applyAlignment="1" applyProtection="1">
      <alignment horizontal="left" vertical="center" wrapText="1"/>
      <protection locked="0"/>
    </xf>
    <xf numFmtId="0" fontId="2" fillId="15" borderId="26" xfId="1" applyFont="1" applyFill="1" applyBorder="1" applyAlignment="1" applyProtection="1">
      <alignment vertical="top" wrapText="1"/>
      <protection locked="0"/>
    </xf>
    <xf numFmtId="0" fontId="19" fillId="5" borderId="26" xfId="1" applyFont="1" applyFill="1" applyBorder="1" applyAlignment="1">
      <alignment horizontal="center" vertical="center"/>
    </xf>
    <xf numFmtId="0" fontId="4" fillId="17" borderId="26" xfId="1" applyFont="1" applyFill="1" applyBorder="1" applyAlignment="1">
      <alignment horizontal="center" vertical="center" wrapText="1"/>
    </xf>
    <xf numFmtId="49" fontId="2" fillId="5" borderId="26" xfId="1" applyNumberFormat="1" applyFont="1" applyFill="1" applyBorder="1" applyAlignment="1">
      <alignment vertical="top" wrapText="1"/>
    </xf>
    <xf numFmtId="49" fontId="18" fillId="15" borderId="26" xfId="1" applyNumberFormat="1" applyFont="1" applyFill="1" applyBorder="1" applyAlignment="1" applyProtection="1">
      <alignment horizontal="left" vertical="center" wrapText="1"/>
      <protection locked="0"/>
    </xf>
    <xf numFmtId="0" fontId="2" fillId="0" borderId="26" xfId="1" applyFont="1" applyBorder="1" applyAlignment="1" applyProtection="1">
      <alignment vertical="top" wrapText="1"/>
      <protection locked="0"/>
    </xf>
    <xf numFmtId="49" fontId="2" fillId="0" borderId="26" xfId="1" applyNumberFormat="1" applyFont="1" applyBorder="1" applyAlignment="1" applyProtection="1">
      <alignment horizontal="left" vertical="center" wrapText="1"/>
      <protection locked="0"/>
    </xf>
    <xf numFmtId="0" fontId="14" fillId="0" borderId="26" xfId="1" applyFont="1" applyBorder="1" applyProtection="1">
      <protection locked="0"/>
    </xf>
    <xf numFmtId="0" fontId="70" fillId="0" borderId="26" xfId="1" applyFont="1" applyBorder="1"/>
    <xf numFmtId="181" fontId="69" fillId="0" borderId="26" xfId="1" applyNumberFormat="1" applyFont="1" applyBorder="1"/>
    <xf numFmtId="49" fontId="2" fillId="15" borderId="26" xfId="1" applyNumberFormat="1" applyFont="1" applyFill="1" applyBorder="1" applyAlignment="1" applyProtection="1">
      <alignment vertical="top" wrapText="1"/>
      <protection locked="0"/>
    </xf>
    <xf numFmtId="181" fontId="14" fillId="0" borderId="26" xfId="1" applyNumberFormat="1" applyFont="1" applyBorder="1"/>
    <xf numFmtId="0" fontId="14" fillId="0" borderId="26" xfId="1" applyFont="1" applyBorder="1" applyAlignment="1" applyProtection="1">
      <alignment vertical="center"/>
      <protection locked="0"/>
    </xf>
    <xf numFmtId="0" fontId="5" fillId="0" borderId="26" xfId="1" applyFont="1" applyBorder="1" applyAlignment="1">
      <alignment vertical="center"/>
    </xf>
    <xf numFmtId="0" fontId="8" fillId="0" borderId="26" xfId="1" applyFont="1" applyBorder="1" applyAlignment="1">
      <alignment vertical="center"/>
    </xf>
    <xf numFmtId="0" fontId="71" fillId="0" borderId="26" xfId="1" applyFont="1" applyBorder="1" applyAlignment="1">
      <alignment vertical="center"/>
    </xf>
    <xf numFmtId="2" fontId="71" fillId="0" borderId="26" xfId="1" applyNumberFormat="1" applyFont="1" applyBorder="1" applyAlignment="1">
      <alignment vertical="center"/>
    </xf>
    <xf numFmtId="49" fontId="5" fillId="5" borderId="26" xfId="1" applyNumberFormat="1" applyFont="1" applyFill="1" applyBorder="1" applyAlignment="1">
      <alignment horizontal="left" vertical="center" wrapText="1"/>
    </xf>
    <xf numFmtId="169" fontId="7" fillId="14" borderId="26" xfId="1" applyNumberFormat="1" applyFont="1" applyFill="1" applyBorder="1" applyAlignment="1">
      <alignment vertical="center"/>
    </xf>
    <xf numFmtId="169" fontId="7" fillId="15" borderId="26" xfId="1" applyNumberFormat="1" applyFont="1" applyFill="1" applyBorder="1" applyAlignment="1" applyProtection="1">
      <alignment vertical="center"/>
      <protection locked="0"/>
    </xf>
    <xf numFmtId="175" fontId="7" fillId="14" borderId="26" xfId="5" applyNumberFormat="1" applyFont="1" applyFill="1" applyBorder="1" applyAlignment="1" applyProtection="1">
      <alignment vertical="center"/>
    </xf>
    <xf numFmtId="169" fontId="7" fillId="14" borderId="26" xfId="1" applyNumberFormat="1" applyFont="1" applyFill="1" applyBorder="1" applyAlignment="1" applyProtection="1">
      <alignment vertical="center"/>
      <protection locked="0"/>
    </xf>
    <xf numFmtId="0" fontId="8" fillId="0" borderId="26" xfId="1" applyFont="1" applyBorder="1"/>
    <xf numFmtId="0" fontId="12" fillId="0" borderId="26" xfId="1" applyFont="1" applyBorder="1"/>
    <xf numFmtId="2" fontId="12" fillId="0" borderId="26" xfId="1" applyNumberFormat="1" applyFont="1" applyBorder="1"/>
    <xf numFmtId="186" fontId="12" fillId="0" borderId="26" xfId="1" applyNumberFormat="1" applyFont="1" applyBorder="1"/>
    <xf numFmtId="0" fontId="5" fillId="0" borderId="26" xfId="1" applyFont="1" applyBorder="1"/>
    <xf numFmtId="0" fontId="71" fillId="0" borderId="26" xfId="1" applyFont="1" applyBorder="1"/>
    <xf numFmtId="0" fontId="51" fillId="15" borderId="26" xfId="1" applyFont="1" applyFill="1" applyBorder="1" applyAlignment="1" applyProtection="1">
      <alignment vertical="center"/>
      <protection locked="0"/>
    </xf>
    <xf numFmtId="0" fontId="4" fillId="16" borderId="26" xfId="1" applyFont="1" applyFill="1" applyBorder="1" applyAlignment="1">
      <alignment horizontal="center" vertical="center" wrapText="1"/>
    </xf>
    <xf numFmtId="49" fontId="5" fillId="5" borderId="26" xfId="1" applyNumberFormat="1" applyFont="1" applyFill="1" applyBorder="1" applyAlignment="1" applyProtection="1">
      <alignment horizontal="left" vertical="center" wrapText="1"/>
      <protection locked="0"/>
    </xf>
    <xf numFmtId="0" fontId="5" fillId="0" borderId="26" xfId="1" applyFont="1" applyBorder="1" applyAlignment="1" applyProtection="1">
      <alignment horizontal="left" vertical="center" wrapText="1"/>
      <protection locked="0"/>
    </xf>
    <xf numFmtId="169" fontId="7" fillId="0" borderId="26" xfId="1" applyNumberFormat="1" applyFont="1" applyBorder="1" applyAlignment="1">
      <alignment vertical="center"/>
    </xf>
    <xf numFmtId="169" fontId="7" fillId="0" borderId="26" xfId="1" applyNumberFormat="1" applyFont="1" applyBorder="1" applyAlignment="1" applyProtection="1">
      <alignment vertical="center"/>
      <protection locked="0"/>
    </xf>
    <xf numFmtId="175" fontId="7" fillId="0" borderId="26" xfId="5" applyNumberFormat="1" applyFont="1" applyFill="1" applyBorder="1" applyAlignment="1" applyProtection="1">
      <alignment vertical="center"/>
    </xf>
    <xf numFmtId="49" fontId="7" fillId="0" borderId="26" xfId="1" applyNumberFormat="1" applyFont="1" applyBorder="1" applyAlignment="1" applyProtection="1">
      <alignment horizontal="left" vertical="center" wrapText="1"/>
      <protection locked="0"/>
    </xf>
    <xf numFmtId="0" fontId="72" fillId="0" borderId="26" xfId="1" applyFont="1" applyBorder="1"/>
    <xf numFmtId="181" fontId="12" fillId="0" borderId="26" xfId="1" applyNumberFormat="1" applyFont="1" applyBorder="1"/>
    <xf numFmtId="49" fontId="51" fillId="15" borderId="26" xfId="1" applyNumberFormat="1" applyFont="1" applyFill="1" applyBorder="1" applyAlignment="1" applyProtection="1">
      <alignment vertical="center"/>
      <protection locked="0"/>
    </xf>
    <xf numFmtId="49" fontId="5" fillId="5" borderId="26" xfId="1" applyNumberFormat="1" applyFont="1" applyFill="1" applyBorder="1" applyAlignment="1" applyProtection="1">
      <alignment vertical="top"/>
      <protection locked="0"/>
    </xf>
    <xf numFmtId="169" fontId="5" fillId="15" borderId="26" xfId="1" applyNumberFormat="1" applyFont="1" applyFill="1" applyBorder="1" applyAlignment="1" applyProtection="1">
      <alignment vertical="center"/>
      <protection locked="0"/>
    </xf>
    <xf numFmtId="0" fontId="29" fillId="5" borderId="26" xfId="7" applyFont="1" applyFill="1" applyBorder="1" applyAlignment="1">
      <alignment vertical="center"/>
    </xf>
    <xf numFmtId="0" fontId="2" fillId="0" borderId="26" xfId="6" applyFont="1" applyBorder="1" applyAlignment="1">
      <alignment vertical="center"/>
    </xf>
    <xf numFmtId="171" fontId="6" fillId="16" borderId="26" xfId="7" applyNumberFormat="1" applyFont="1" applyFill="1" applyBorder="1" applyAlignment="1">
      <alignment horizontal="center" vertical="center" wrapText="1"/>
    </xf>
    <xf numFmtId="0" fontId="51" fillId="0" borderId="26" xfId="7" applyFont="1" applyBorder="1" applyAlignment="1" applyProtection="1">
      <alignment vertical="center"/>
      <protection locked="0"/>
    </xf>
    <xf numFmtId="0" fontId="7" fillId="0" borderId="26" xfId="7" applyFont="1" applyBorder="1"/>
    <xf numFmtId="2" fontId="7" fillId="0" borderId="26" xfId="7" applyNumberFormat="1" applyFont="1" applyBorder="1" applyProtection="1">
      <protection locked="0"/>
    </xf>
    <xf numFmtId="0" fontId="7" fillId="0" borderId="26" xfId="7" applyFont="1" applyBorder="1" applyAlignment="1" applyProtection="1">
      <alignment vertical="center"/>
      <protection locked="0"/>
    </xf>
    <xf numFmtId="49" fontId="51" fillId="5" borderId="26" xfId="7" applyNumberFormat="1" applyFont="1" applyFill="1" applyBorder="1" applyAlignment="1">
      <alignment horizontal="left" vertical="center" wrapText="1"/>
    </xf>
    <xf numFmtId="0" fontId="51" fillId="5" borderId="26" xfId="7" applyFont="1" applyFill="1" applyBorder="1" applyAlignment="1">
      <alignment horizontal="left" vertical="center"/>
    </xf>
    <xf numFmtId="169" fontId="7" fillId="15" borderId="26" xfId="7" applyNumberFormat="1" applyFont="1" applyFill="1" applyBorder="1" applyAlignment="1" applyProtection="1">
      <alignment vertical="center"/>
      <protection locked="0"/>
    </xf>
    <xf numFmtId="169" fontId="7" fillId="14" borderId="26" xfId="7" applyNumberFormat="1" applyFont="1" applyFill="1" applyBorder="1" applyAlignment="1">
      <alignment vertical="center"/>
    </xf>
    <xf numFmtId="171" fontId="7" fillId="15" borderId="26" xfId="1" applyNumberFormat="1" applyFont="1" applyFill="1" applyBorder="1" applyAlignment="1" applyProtection="1">
      <alignment horizontal="left" vertical="center" wrapText="1"/>
      <protection locked="0"/>
    </xf>
    <xf numFmtId="0" fontId="7" fillId="0" borderId="26" xfId="7" applyFont="1" applyBorder="1" applyAlignment="1">
      <alignment vertical="center"/>
    </xf>
    <xf numFmtId="171" fontId="7" fillId="15" borderId="26" xfId="7" applyNumberFormat="1" applyFont="1" applyFill="1" applyBorder="1" applyAlignment="1" applyProtection="1">
      <alignment horizontal="left" vertical="center" wrapText="1"/>
      <protection locked="0"/>
    </xf>
    <xf numFmtId="0" fontId="51" fillId="0" borderId="26" xfId="7" applyFont="1" applyBorder="1" applyProtection="1">
      <protection locked="0"/>
    </xf>
    <xf numFmtId="0" fontId="7" fillId="0" borderId="26" xfId="7" applyFont="1" applyBorder="1" applyProtection="1">
      <protection locked="0"/>
    </xf>
    <xf numFmtId="0" fontId="29" fillId="5" borderId="26" xfId="1" applyFont="1" applyFill="1" applyBorder="1" applyAlignment="1">
      <alignment vertical="center"/>
    </xf>
    <xf numFmtId="0" fontId="51" fillId="0" borderId="26" xfId="7" applyFont="1" applyBorder="1"/>
    <xf numFmtId="0" fontId="51" fillId="5" borderId="26" xfId="7" applyFont="1" applyFill="1" applyBorder="1" applyAlignment="1">
      <alignment horizontal="left" vertical="center" wrapText="1"/>
    </xf>
    <xf numFmtId="171" fontId="7" fillId="15" borderId="26" xfId="7" applyNumberFormat="1" applyFont="1" applyFill="1" applyBorder="1" applyAlignment="1" applyProtection="1">
      <alignment vertical="center" wrapText="1"/>
      <protection locked="0"/>
    </xf>
    <xf numFmtId="0" fontId="19" fillId="5" borderId="26" xfId="1" applyFont="1" applyFill="1" applyBorder="1" applyAlignment="1">
      <alignment horizontal="center" vertical="center" wrapText="1"/>
    </xf>
    <xf numFmtId="0" fontId="6" fillId="0" borderId="26" xfId="7" applyFont="1" applyBorder="1" applyAlignment="1">
      <alignment horizontal="center" vertical="center" wrapText="1"/>
    </xf>
    <xf numFmtId="0" fontId="51" fillId="0" borderId="26" xfId="7" applyFont="1" applyBorder="1" applyAlignment="1">
      <alignment horizontal="left" vertical="center"/>
    </xf>
    <xf numFmtId="169" fontId="7" fillId="0" borderId="26" xfId="7" applyNumberFormat="1" applyFont="1" applyBorder="1" applyAlignment="1">
      <alignment vertical="center"/>
    </xf>
    <xf numFmtId="171" fontId="7" fillId="0" borderId="26" xfId="1" applyNumberFormat="1" applyFont="1" applyBorder="1" applyAlignment="1" applyProtection="1">
      <alignment horizontal="left" vertical="center" wrapText="1"/>
      <protection locked="0"/>
    </xf>
    <xf numFmtId="169" fontId="7" fillId="0" borderId="26" xfId="7" applyNumberFormat="1" applyFont="1" applyBorder="1" applyAlignment="1" applyProtection="1">
      <alignment vertical="center"/>
      <protection locked="0"/>
    </xf>
    <xf numFmtId="171" fontId="7" fillId="0" borderId="26" xfId="7" applyNumberFormat="1" applyFont="1" applyBorder="1" applyAlignment="1" applyProtection="1">
      <alignment horizontal="left" vertical="center" wrapText="1"/>
      <protection locked="0"/>
    </xf>
    <xf numFmtId="49" fontId="51" fillId="15" borderId="26" xfId="7" applyNumberFormat="1" applyFont="1" applyFill="1" applyBorder="1" applyAlignment="1" applyProtection="1">
      <alignment horizontal="left" vertical="center" wrapText="1"/>
      <protection locked="0"/>
    </xf>
    <xf numFmtId="0" fontId="0" fillId="0" borderId="100" xfId="0" applyBorder="1"/>
    <xf numFmtId="49" fontId="0" fillId="0" borderId="100" xfId="0" applyNumberFormat="1" applyBorder="1"/>
    <xf numFmtId="0" fontId="77" fillId="0" borderId="26" xfId="0" applyFont="1" applyBorder="1"/>
    <xf numFmtId="186" fontId="0" fillId="0" borderId="26" xfId="0" applyNumberFormat="1" applyBorder="1"/>
    <xf numFmtId="0" fontId="5" fillId="0" borderId="26" xfId="1" applyFont="1" applyBorder="1" applyAlignment="1">
      <alignment horizontal="left" vertical="center"/>
    </xf>
    <xf numFmtId="0" fontId="57" fillId="0" borderId="26" xfId="1" applyFont="1" applyBorder="1" applyAlignment="1">
      <alignment horizontal="center" vertical="center" wrapText="1"/>
    </xf>
    <xf numFmtId="169" fontId="6" fillId="14" borderId="26" xfId="7" applyNumberFormat="1" applyFont="1" applyFill="1" applyBorder="1" applyAlignment="1">
      <alignment vertical="center"/>
    </xf>
    <xf numFmtId="0" fontId="56" fillId="0" borderId="26" xfId="7" applyFont="1" applyBorder="1"/>
    <xf numFmtId="49" fontId="5" fillId="5" borderId="26" xfId="1" quotePrefix="1" applyNumberFormat="1" applyFont="1" applyFill="1" applyBorder="1" applyAlignment="1">
      <alignment horizontal="left" vertical="center" wrapText="1"/>
    </xf>
    <xf numFmtId="0" fontId="5" fillId="5" borderId="26" xfId="1" quotePrefix="1" applyFont="1" applyFill="1" applyBorder="1" applyAlignment="1">
      <alignment horizontal="left" vertical="center" wrapText="1"/>
    </xf>
    <xf numFmtId="169" fontId="6" fillId="2" borderId="26" xfId="7" applyNumberFormat="1" applyFont="1" applyFill="1" applyBorder="1" applyAlignment="1">
      <alignment vertical="center"/>
    </xf>
    <xf numFmtId="0" fontId="50" fillId="5" borderId="26" xfId="1" applyFont="1" applyFill="1" applyBorder="1" applyAlignment="1">
      <alignment horizontal="left" vertical="center" wrapText="1"/>
    </xf>
    <xf numFmtId="184" fontId="28" fillId="0" borderId="26" xfId="1" applyNumberFormat="1" applyBorder="1"/>
    <xf numFmtId="0" fontId="87" fillId="0" borderId="26" xfId="0" applyFont="1" applyBorder="1"/>
    <xf numFmtId="49" fontId="0" fillId="0" borderId="26" xfId="0" applyNumberFormat="1" applyBorder="1" applyAlignment="1">
      <alignment wrapText="1"/>
    </xf>
    <xf numFmtId="49" fontId="2" fillId="3" borderId="26" xfId="0" applyNumberFormat="1" applyFont="1" applyFill="1" applyBorder="1" applyAlignment="1">
      <alignment horizontal="left" vertical="center" wrapText="1"/>
    </xf>
    <xf numFmtId="49" fontId="2" fillId="0" borderId="26" xfId="0" applyNumberFormat="1" applyFont="1" applyBorder="1" applyAlignment="1" applyProtection="1">
      <alignment horizontal="left" vertical="center" wrapText="1"/>
      <protection locked="0"/>
    </xf>
    <xf numFmtId="49" fontId="2" fillId="0" borderId="26" xfId="0" applyNumberFormat="1" applyFont="1" applyBorder="1" applyAlignment="1" applyProtection="1">
      <alignment horizontal="center" vertical="center" wrapText="1"/>
      <protection locked="0"/>
    </xf>
    <xf numFmtId="0" fontId="4" fillId="27" borderId="0" xfId="0" applyFont="1" applyFill="1" applyAlignment="1">
      <alignment vertical="center" wrapText="1"/>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47" fillId="4" borderId="0" xfId="0" applyFont="1" applyFill="1"/>
    <xf numFmtId="0" fontId="5" fillId="0" borderId="26" xfId="0" applyFont="1" applyBorder="1" applyAlignment="1">
      <alignment vertical="center"/>
    </xf>
    <xf numFmtId="0" fontId="4" fillId="16" borderId="26" xfId="0" applyFont="1" applyFill="1" applyBorder="1" applyAlignment="1">
      <alignment horizontal="center" vertical="center" wrapText="1"/>
    </xf>
    <xf numFmtId="49" fontId="2" fillId="4" borderId="26" xfId="0" applyNumberFormat="1" applyFont="1" applyFill="1" applyBorder="1"/>
    <xf numFmtId="0" fontId="0" fillId="0" borderId="0" xfId="0" applyProtection="1">
      <protection locked="0"/>
    </xf>
    <xf numFmtId="0" fontId="66" fillId="0" borderId="0" xfId="0" applyFont="1" applyProtection="1">
      <protection locked="0"/>
    </xf>
    <xf numFmtId="0" fontId="0" fillId="0" borderId="26" xfId="0" applyBorder="1" applyProtection="1">
      <protection locked="0"/>
    </xf>
    <xf numFmtId="49" fontId="0" fillId="0" borderId="26" xfId="0" applyNumberFormat="1" applyBorder="1" applyProtection="1">
      <protection locked="0"/>
    </xf>
    <xf numFmtId="185" fontId="0" fillId="0" borderId="26" xfId="0" applyNumberFormat="1" applyBorder="1" applyProtection="1">
      <protection locked="0"/>
    </xf>
    <xf numFmtId="0" fontId="5" fillId="4" borderId="26" xfId="0" applyFont="1" applyFill="1" applyBorder="1"/>
    <xf numFmtId="173" fontId="2" fillId="30" borderId="26" xfId="0" applyNumberFormat="1" applyFont="1" applyFill="1" applyBorder="1" applyAlignment="1" applyProtection="1">
      <alignment horizontal="left" vertical="center" wrapText="1"/>
      <protection locked="0"/>
    </xf>
    <xf numFmtId="0" fontId="5" fillId="4" borderId="26" xfId="0" applyFont="1" applyFill="1" applyBorder="1" applyProtection="1">
      <protection locked="0"/>
    </xf>
    <xf numFmtId="173" fontId="2" fillId="16" borderId="26" xfId="0" applyNumberFormat="1" applyFont="1" applyFill="1" applyBorder="1" applyAlignment="1" applyProtection="1">
      <alignment horizontal="center" vertical="center"/>
      <protection locked="0"/>
    </xf>
    <xf numFmtId="173" fontId="2" fillId="16" borderId="26" xfId="0" applyNumberFormat="1" applyFont="1" applyFill="1" applyBorder="1" applyAlignment="1" applyProtection="1">
      <alignment horizontal="center" vertical="center" wrapText="1"/>
      <protection locked="0"/>
    </xf>
    <xf numFmtId="0" fontId="5" fillId="2" borderId="26" xfId="0" applyFont="1" applyFill="1" applyBorder="1" applyProtection="1">
      <protection locked="0"/>
    </xf>
    <xf numFmtId="0" fontId="18" fillId="0" borderId="26" xfId="0" applyFont="1" applyBorder="1" applyProtection="1">
      <protection locked="0"/>
    </xf>
    <xf numFmtId="0" fontId="18" fillId="2" borderId="26" xfId="0" applyFont="1" applyFill="1" applyBorder="1" applyProtection="1">
      <protection locked="0"/>
    </xf>
    <xf numFmtId="0" fontId="8" fillId="4" borderId="26" xfId="0" applyFont="1" applyFill="1" applyBorder="1" applyProtection="1">
      <protection locked="0"/>
    </xf>
    <xf numFmtId="49" fontId="8" fillId="4" borderId="26" xfId="0" applyNumberFormat="1" applyFont="1" applyFill="1" applyBorder="1" applyProtection="1">
      <protection locked="0"/>
    </xf>
    <xf numFmtId="14" fontId="8" fillId="4" borderId="26" xfId="0" applyNumberFormat="1" applyFont="1" applyFill="1" applyBorder="1" applyProtection="1">
      <protection locked="0"/>
    </xf>
    <xf numFmtId="0" fontId="18" fillId="0" borderId="0" xfId="0" applyFont="1" applyProtection="1">
      <protection locked="0"/>
    </xf>
    <xf numFmtId="0" fontId="18" fillId="2" borderId="0" xfId="0" applyFont="1" applyFill="1" applyProtection="1">
      <protection locked="0"/>
    </xf>
    <xf numFmtId="0" fontId="8" fillId="4" borderId="0" xfId="0" applyFont="1" applyFill="1" applyProtection="1">
      <protection locked="0"/>
    </xf>
    <xf numFmtId="0" fontId="0" fillId="2" borderId="0" xfId="0" applyFill="1" applyProtection="1">
      <protection locked="0"/>
    </xf>
    <xf numFmtId="165" fontId="4" fillId="14" borderId="18" xfId="3" applyNumberFormat="1" applyFont="1" applyFill="1" applyBorder="1" applyAlignment="1" applyProtection="1">
      <alignment vertical="center"/>
    </xf>
    <xf numFmtId="189" fontId="7" fillId="15" borderId="26" xfId="1" applyNumberFormat="1" applyFont="1" applyFill="1" applyBorder="1" applyAlignment="1" applyProtection="1">
      <alignment horizontal="left" vertical="center" wrapText="1"/>
      <protection locked="0"/>
    </xf>
    <xf numFmtId="189" fontId="7" fillId="15" borderId="27" xfId="1" applyNumberFormat="1" applyFont="1" applyFill="1" applyBorder="1" applyAlignment="1" applyProtection="1">
      <alignment horizontal="left" vertical="center" wrapText="1"/>
      <protection locked="0"/>
    </xf>
    <xf numFmtId="0" fontId="2" fillId="0" borderId="101" xfId="1" applyFont="1" applyBorder="1" applyAlignment="1">
      <alignment vertical="center"/>
    </xf>
    <xf numFmtId="0" fontId="2" fillId="2" borderId="99" xfId="1" applyFont="1" applyFill="1" applyBorder="1" applyAlignment="1">
      <alignment vertical="center"/>
    </xf>
    <xf numFmtId="0" fontId="2" fillId="0" borderId="101" xfId="1" applyFont="1" applyBorder="1" applyAlignment="1">
      <alignment vertical="center" wrapText="1"/>
    </xf>
    <xf numFmtId="172" fontId="4" fillId="16" borderId="101" xfId="1" applyNumberFormat="1" applyFont="1" applyFill="1" applyBorder="1" applyAlignment="1">
      <alignment horizontal="center" vertical="center" wrapText="1"/>
    </xf>
    <xf numFmtId="0" fontId="4" fillId="17" borderId="10" xfId="1" applyFont="1" applyFill="1" applyBorder="1" applyAlignment="1">
      <alignment horizontal="center" vertical="center" wrapText="1"/>
    </xf>
    <xf numFmtId="0" fontId="4" fillId="17" borderId="18" xfId="1" applyFont="1" applyFill="1" applyBorder="1" applyAlignment="1">
      <alignment horizontal="center" vertical="center" wrapText="1"/>
    </xf>
    <xf numFmtId="0" fontId="4" fillId="17" borderId="18" xfId="1" quotePrefix="1" applyFont="1" applyFill="1" applyBorder="1" applyAlignment="1">
      <alignment horizontal="center" vertical="center" wrapText="1"/>
    </xf>
    <xf numFmtId="172" fontId="4" fillId="31" borderId="18" xfId="1" applyNumberFormat="1" applyFont="1" applyFill="1" applyBorder="1" applyAlignment="1">
      <alignment horizontal="center" vertical="center" wrapText="1"/>
    </xf>
    <xf numFmtId="0" fontId="4" fillId="31" borderId="18" xfId="1" applyFont="1" applyFill="1" applyBorder="1" applyAlignment="1">
      <alignment horizontal="center" vertical="center" wrapText="1"/>
    </xf>
    <xf numFmtId="0" fontId="4" fillId="31" borderId="23" xfId="1" applyFont="1" applyFill="1" applyBorder="1" applyAlignment="1">
      <alignment horizontal="center" vertical="center" wrapText="1"/>
    </xf>
    <xf numFmtId="174" fontId="4" fillId="21" borderId="94" xfId="1" applyNumberFormat="1" applyFont="1" applyFill="1" applyBorder="1" applyAlignment="1" applyProtection="1">
      <alignment horizontal="right" vertical="center" wrapText="1"/>
      <protection locked="0"/>
    </xf>
    <xf numFmtId="174" fontId="4" fillId="21" borderId="95" xfId="1" applyNumberFormat="1" applyFont="1" applyFill="1" applyBorder="1" applyAlignment="1" applyProtection="1">
      <alignment horizontal="right" vertical="center" wrapText="1"/>
      <protection locked="0"/>
    </xf>
    <xf numFmtId="0" fontId="2" fillId="4" borderId="102" xfId="1" applyFont="1" applyFill="1" applyBorder="1" applyAlignment="1">
      <alignment horizontal="left" vertical="center" wrapText="1"/>
    </xf>
    <xf numFmtId="0" fontId="7" fillId="0" borderId="101" xfId="0" applyFont="1" applyBorder="1" applyAlignment="1" applyProtection="1">
      <alignment horizontal="left" vertical="center" wrapText="1"/>
      <protection locked="0"/>
    </xf>
    <xf numFmtId="0" fontId="7" fillId="0" borderId="101" xfId="0" applyFont="1" applyBorder="1" applyAlignment="1" applyProtection="1">
      <alignment vertical="center" wrapText="1"/>
      <protection locked="0"/>
    </xf>
    <xf numFmtId="0" fontId="3" fillId="16" borderId="101" xfId="1" applyFont="1" applyFill="1" applyBorder="1" applyAlignment="1">
      <alignment vertical="center"/>
    </xf>
    <xf numFmtId="0" fontId="3" fillId="0" borderId="102" xfId="0" applyFont="1" applyBorder="1" applyAlignment="1">
      <alignment horizontal="left"/>
    </xf>
    <xf numFmtId="0" fontId="3" fillId="0" borderId="103" xfId="0" applyFont="1" applyBorder="1" applyAlignment="1">
      <alignment horizontal="center"/>
    </xf>
    <xf numFmtId="173" fontId="2" fillId="16" borderId="95" xfId="0" applyNumberFormat="1" applyFont="1" applyFill="1" applyBorder="1" applyAlignment="1">
      <alignment horizontal="center" vertical="center" wrapText="1"/>
    </xf>
    <xf numFmtId="173" fontId="2" fillId="16" borderId="18" xfId="0" applyNumberFormat="1" applyFont="1" applyFill="1" applyBorder="1" applyAlignment="1">
      <alignment horizontal="center" vertical="center" wrapText="1"/>
    </xf>
    <xf numFmtId="173" fontId="2" fillId="16" borderId="94" xfId="0" applyNumberFormat="1" applyFont="1" applyFill="1" applyBorder="1" applyAlignment="1">
      <alignment horizontal="center" vertical="center" wrapText="1"/>
    </xf>
    <xf numFmtId="180" fontId="7" fillId="16" borderId="101" xfId="1" applyNumberFormat="1" applyFont="1" applyFill="1" applyBorder="1" applyAlignment="1" applyProtection="1">
      <alignment horizontal="right"/>
      <protection locked="0"/>
    </xf>
    <xf numFmtId="179" fontId="7" fillId="15" borderId="101" xfId="1" applyNumberFormat="1" applyFont="1" applyFill="1" applyBorder="1" applyAlignment="1" applyProtection="1">
      <alignment horizontal="right"/>
      <protection locked="0"/>
    </xf>
    <xf numFmtId="0" fontId="5" fillId="2" borderId="102" xfId="1" applyFont="1" applyFill="1" applyBorder="1" applyAlignment="1">
      <alignment horizontal="center" vertical="center"/>
    </xf>
    <xf numFmtId="0" fontId="7" fillId="4" borderId="101" xfId="1" applyFont="1" applyFill="1" applyBorder="1" applyAlignment="1" applyProtection="1">
      <alignment horizontal="center"/>
      <protection locked="0"/>
    </xf>
    <xf numFmtId="168" fontId="2" fillId="0" borderId="105" xfId="0" applyNumberFormat="1" applyFont="1" applyBorder="1" applyAlignment="1" applyProtection="1">
      <alignment horizontal="left" vertical="center" wrapText="1"/>
      <protection locked="0"/>
    </xf>
    <xf numFmtId="0" fontId="7" fillId="0" borderId="108" xfId="0" applyFont="1" applyBorder="1" applyAlignment="1" applyProtection="1">
      <alignment horizontal="left" vertical="center" wrapText="1"/>
      <protection locked="0"/>
    </xf>
    <xf numFmtId="0" fontId="7" fillId="0" borderId="109" xfId="0" applyFont="1" applyBorder="1" applyAlignment="1" applyProtection="1">
      <alignment horizontal="left" vertical="center" wrapText="1"/>
      <protection locked="0"/>
    </xf>
    <xf numFmtId="0" fontId="2" fillId="5" borderId="105" xfId="1" applyFont="1" applyFill="1" applyBorder="1" applyAlignment="1">
      <alignment horizontal="left" vertical="top" wrapText="1"/>
    </xf>
    <xf numFmtId="0" fontId="2" fillId="15" borderId="105" xfId="1" applyFont="1" applyFill="1" applyBorder="1" applyAlignment="1" applyProtection="1">
      <alignment vertical="top" wrapText="1"/>
      <protection locked="0"/>
    </xf>
    <xf numFmtId="0" fontId="2" fillId="5" borderId="105" xfId="1" applyFont="1" applyFill="1" applyBorder="1" applyAlignment="1">
      <alignment vertical="top" wrapText="1"/>
    </xf>
    <xf numFmtId="15" fontId="2" fillId="5" borderId="109" xfId="1" applyNumberFormat="1" applyFont="1" applyFill="1" applyBorder="1" applyAlignment="1">
      <alignment horizontal="left" vertical="center" wrapText="1"/>
    </xf>
    <xf numFmtId="0" fontId="5" fillId="5" borderId="105" xfId="1" applyFont="1" applyFill="1" applyBorder="1" applyAlignment="1">
      <alignment horizontal="left" vertical="center" wrapText="1"/>
    </xf>
    <xf numFmtId="0" fontId="5" fillId="5" borderId="105" xfId="1" applyFont="1" applyFill="1" applyBorder="1" applyAlignment="1" applyProtection="1">
      <alignment horizontal="left" vertical="center" wrapText="1"/>
      <protection locked="0"/>
    </xf>
    <xf numFmtId="0" fontId="51" fillId="15" borderId="105" xfId="1" applyFont="1" applyFill="1" applyBorder="1" applyAlignment="1" applyProtection="1">
      <alignment vertical="center"/>
      <protection locked="0"/>
    </xf>
    <xf numFmtId="0" fontId="3" fillId="5" borderId="109" xfId="6" applyFont="1" applyFill="1" applyBorder="1" applyAlignment="1">
      <alignment vertical="center" wrapText="1"/>
    </xf>
    <xf numFmtId="0" fontId="51" fillId="5" borderId="105" xfId="7" applyFont="1" applyFill="1" applyBorder="1" applyAlignment="1">
      <alignment horizontal="left" vertical="center" wrapText="1"/>
    </xf>
    <xf numFmtId="169" fontId="7" fillId="15" borderId="105" xfId="7" applyNumberFormat="1" applyFont="1" applyFill="1" applyBorder="1" applyAlignment="1" applyProtection="1">
      <alignment vertical="center"/>
      <protection locked="0"/>
    </xf>
    <xf numFmtId="0" fontId="51" fillId="15" borderId="105" xfId="7" applyFont="1" applyFill="1" applyBorder="1" applyAlignment="1" applyProtection="1">
      <alignment horizontal="left" vertical="center" wrapText="1"/>
      <protection locked="0"/>
    </xf>
    <xf numFmtId="0" fontId="19" fillId="5" borderId="105" xfId="1" applyFont="1" applyFill="1" applyBorder="1" applyAlignment="1">
      <alignment horizontal="center" vertical="center"/>
    </xf>
    <xf numFmtId="0" fontId="51" fillId="5" borderId="105" xfId="7" applyFont="1" applyFill="1" applyBorder="1"/>
    <xf numFmtId="0" fontId="5" fillId="25" borderId="105" xfId="1" applyFont="1" applyFill="1" applyBorder="1"/>
    <xf numFmtId="169" fontId="7" fillId="14" borderId="105" xfId="1" applyNumberFormat="1" applyFont="1" applyFill="1" applyBorder="1" applyAlignment="1">
      <alignment vertical="center"/>
    </xf>
    <xf numFmtId="169" fontId="7" fillId="5" borderId="105" xfId="1" applyNumberFormat="1" applyFont="1" applyFill="1" applyBorder="1" applyAlignment="1">
      <alignment vertical="center"/>
    </xf>
    <xf numFmtId="0" fontId="6" fillId="3" borderId="112" xfId="1" applyFont="1" applyFill="1" applyBorder="1" applyAlignment="1">
      <alignment vertical="center"/>
    </xf>
    <xf numFmtId="0" fontId="6" fillId="3" borderId="113" xfId="1" applyFont="1" applyFill="1" applyBorder="1" applyAlignment="1">
      <alignment vertical="center"/>
    </xf>
    <xf numFmtId="0" fontId="6" fillId="3" borderId="114" xfId="1" applyFont="1" applyFill="1" applyBorder="1" applyAlignment="1">
      <alignment vertical="center"/>
    </xf>
    <xf numFmtId="15" fontId="7" fillId="0" borderId="111" xfId="1" applyNumberFormat="1" applyFont="1" applyBorder="1" applyAlignment="1">
      <alignment horizontal="left" indent="1"/>
    </xf>
    <xf numFmtId="0" fontId="6" fillId="3" borderId="111" xfId="1" applyFont="1" applyFill="1" applyBorder="1" applyAlignment="1">
      <alignment horizontal="left" vertical="center"/>
    </xf>
    <xf numFmtId="15" fontId="7" fillId="0" borderId="114" xfId="1" applyNumberFormat="1" applyFont="1" applyBorder="1" applyAlignment="1">
      <alignment horizontal="left" indent="1"/>
    </xf>
    <xf numFmtId="15" fontId="7" fillId="0" borderId="113" xfId="1" applyNumberFormat="1" applyFont="1" applyBorder="1" applyAlignment="1">
      <alignment horizontal="left" indent="1"/>
    </xf>
    <xf numFmtId="0" fontId="29" fillId="3" borderId="111" xfId="9" applyFont="1" applyFill="1" applyBorder="1" applyAlignment="1">
      <alignment horizontal="center" vertical="center" wrapText="1"/>
    </xf>
    <xf numFmtId="0" fontId="19" fillId="3" borderId="111" xfId="9" applyFont="1" applyFill="1" applyBorder="1" applyAlignment="1">
      <alignment vertical="center" wrapText="1"/>
    </xf>
    <xf numFmtId="0" fontId="19" fillId="14" borderId="111" xfId="9" applyFont="1" applyFill="1" applyBorder="1" applyAlignment="1">
      <alignment horizontal="center" vertical="center" wrapText="1"/>
    </xf>
    <xf numFmtId="0" fontId="4" fillId="16" borderId="111" xfId="9" applyFont="1" applyFill="1" applyBorder="1" applyAlignment="1">
      <alignment horizontal="center" vertical="center" wrapText="1"/>
    </xf>
    <xf numFmtId="0" fontId="19" fillId="16" borderId="111" xfId="9" applyFont="1" applyFill="1" applyBorder="1" applyAlignment="1">
      <alignment horizontal="center" vertical="center" wrapText="1"/>
    </xf>
    <xf numFmtId="0" fontId="51" fillId="0" borderId="111" xfId="9" applyFont="1" applyBorder="1" applyAlignment="1">
      <alignment horizontal="center" vertical="center" wrapText="1"/>
    </xf>
    <xf numFmtId="0" fontId="18" fillId="0" borderId="111" xfId="9" applyFont="1" applyBorder="1" applyAlignment="1">
      <alignment horizontal="left" vertical="top" wrapText="1"/>
    </xf>
    <xf numFmtId="0" fontId="18" fillId="26" borderId="111" xfId="9" applyFont="1" applyFill="1" applyBorder="1" applyAlignment="1" applyProtection="1">
      <alignment horizontal="center" vertical="center" wrapText="1"/>
      <protection locked="0"/>
    </xf>
    <xf numFmtId="0" fontId="18" fillId="26" borderId="111" xfId="9" applyFont="1" applyFill="1" applyBorder="1" applyAlignment="1" applyProtection="1">
      <alignment horizontal="center" vertical="top" wrapText="1"/>
      <protection locked="0"/>
    </xf>
    <xf numFmtId="0" fontId="18" fillId="0" borderId="111" xfId="9" applyFont="1" applyBorder="1" applyAlignment="1" applyProtection="1">
      <alignment horizontal="center" vertical="center" wrapText="1"/>
      <protection locked="0"/>
    </xf>
    <xf numFmtId="0" fontId="18" fillId="0" borderId="111" xfId="9" applyFont="1" applyBorder="1" applyAlignment="1" applyProtection="1">
      <alignment horizontal="left" vertical="top" wrapText="1"/>
      <protection locked="0"/>
    </xf>
    <xf numFmtId="0" fontId="7" fillId="0" borderId="111" xfId="9" applyFont="1" applyBorder="1" applyAlignment="1">
      <alignment horizontal="center" vertical="center" wrapText="1"/>
    </xf>
    <xf numFmtId="0" fontId="2" fillId="0" borderId="111" xfId="9" applyFont="1" applyBorder="1" applyAlignment="1">
      <alignment horizontal="left" vertical="top" wrapText="1"/>
    </xf>
    <xf numFmtId="0" fontId="2" fillId="0" borderId="111" xfId="9" applyFont="1" applyBorder="1" applyAlignment="1" applyProtection="1">
      <alignment horizontal="left" vertical="top" wrapText="1"/>
      <protection locked="0"/>
    </xf>
    <xf numFmtId="0" fontId="7" fillId="3" borderId="111" xfId="0" applyFont="1" applyFill="1" applyBorder="1" applyAlignment="1">
      <alignment horizontal="left" vertical="center" wrapText="1" indent="1"/>
    </xf>
    <xf numFmtId="0" fontId="2" fillId="2" borderId="113" xfId="0" applyFont="1" applyFill="1" applyBorder="1" applyAlignment="1">
      <alignment vertical="center" wrapText="1"/>
    </xf>
    <xf numFmtId="0" fontId="2" fillId="2" borderId="114" xfId="0" applyFont="1" applyFill="1" applyBorder="1" applyAlignment="1">
      <alignment vertical="center" wrapText="1"/>
    </xf>
    <xf numFmtId="0" fontId="6" fillId="5" borderId="111" xfId="0" applyFont="1" applyFill="1" applyBorder="1" applyAlignment="1">
      <alignment vertical="center" wrapText="1"/>
    </xf>
    <xf numFmtId="168" fontId="7" fillId="3" borderId="111" xfId="0" applyNumberFormat="1" applyFont="1" applyFill="1" applyBorder="1" applyAlignment="1">
      <alignment horizontal="left" vertical="center" wrapText="1"/>
    </xf>
    <xf numFmtId="0" fontId="6" fillId="5" borderId="111" xfId="0" applyFont="1" applyFill="1" applyBorder="1" applyAlignment="1">
      <alignment horizontal="left" vertical="center" wrapText="1"/>
    </xf>
    <xf numFmtId="0" fontId="7" fillId="6" borderId="111" xfId="0" applyFont="1" applyFill="1" applyBorder="1" applyAlignment="1" applyProtection="1">
      <alignment horizontal="left" vertical="center" wrapText="1" indent="1"/>
      <protection locked="0"/>
    </xf>
    <xf numFmtId="168" fontId="7" fillId="3" borderId="111" xfId="0" applyNumberFormat="1" applyFont="1" applyFill="1" applyBorder="1" applyAlignment="1">
      <alignment horizontal="left" vertical="center" wrapText="1" indent="1"/>
    </xf>
    <xf numFmtId="0" fontId="9" fillId="2" borderId="115" xfId="0" applyFont="1" applyFill="1" applyBorder="1" applyAlignment="1">
      <alignment horizontal="left" vertical="center" wrapText="1"/>
    </xf>
    <xf numFmtId="0" fontId="0" fillId="0" borderId="111" xfId="0" applyBorder="1"/>
    <xf numFmtId="15" fontId="0" fillId="0" borderId="111" xfId="0" applyNumberFormat="1" applyBorder="1"/>
    <xf numFmtId="0" fontId="0" fillId="0" borderId="111" xfId="0" applyBorder="1" applyAlignment="1">
      <alignment wrapText="1"/>
    </xf>
    <xf numFmtId="14" fontId="0" fillId="0" borderId="111" xfId="0" applyNumberFormat="1" applyBorder="1"/>
    <xf numFmtId="0" fontId="21" fillId="3" borderId="112" xfId="0" applyFont="1" applyFill="1" applyBorder="1" applyAlignment="1">
      <alignment horizontal="left" vertical="center"/>
    </xf>
    <xf numFmtId="0" fontId="19" fillId="3" borderId="113" xfId="0" applyFont="1" applyFill="1" applyBorder="1" applyAlignment="1">
      <alignment horizontal="left" vertical="center"/>
    </xf>
    <xf numFmtId="0" fontId="19" fillId="3" borderId="114" xfId="0" applyFont="1" applyFill="1" applyBorder="1" applyAlignment="1">
      <alignment horizontal="left" vertical="center"/>
    </xf>
    <xf numFmtId="0" fontId="20" fillId="7" borderId="113" xfId="0" applyFont="1" applyFill="1" applyBorder="1" applyAlignment="1">
      <alignment horizontal="left" wrapText="1"/>
    </xf>
    <xf numFmtId="0" fontId="18" fillId="7" borderId="113" xfId="0" applyFont="1" applyFill="1" applyBorder="1"/>
    <xf numFmtId="0" fontId="18" fillId="7" borderId="114" xfId="0" applyFont="1" applyFill="1" applyBorder="1"/>
    <xf numFmtId="0" fontId="21" fillId="3" borderId="112" xfId="0" applyFont="1" applyFill="1" applyBorder="1" applyAlignment="1">
      <alignment vertical="center"/>
    </xf>
    <xf numFmtId="0" fontId="19" fillId="3" borderId="113" xfId="0" applyFont="1" applyFill="1" applyBorder="1"/>
    <xf numFmtId="0" fontId="19" fillId="3" borderId="114" xfId="0" applyFont="1" applyFill="1" applyBorder="1"/>
    <xf numFmtId="0" fontId="19" fillId="5" borderId="111" xfId="0" applyFont="1" applyFill="1" applyBorder="1" applyAlignment="1">
      <alignment horizontal="center" vertical="center" wrapText="1"/>
    </xf>
    <xf numFmtId="0" fontId="19" fillId="8" borderId="111" xfId="0" applyFont="1" applyFill="1" applyBorder="1" applyAlignment="1">
      <alignment horizontal="center" vertical="center" wrapText="1"/>
    </xf>
    <xf numFmtId="0" fontId="19" fillId="10" borderId="111" xfId="0" applyFont="1" applyFill="1" applyBorder="1" applyAlignment="1">
      <alignment horizontal="center" vertical="center" wrapText="1"/>
    </xf>
    <xf numFmtId="0" fontId="19" fillId="33" borderId="111" xfId="0" applyFont="1" applyFill="1" applyBorder="1" applyAlignment="1">
      <alignment horizontal="center" vertical="center" wrapText="1"/>
    </xf>
    <xf numFmtId="0" fontId="18" fillId="12" borderId="105" xfId="0" applyFont="1" applyFill="1" applyBorder="1" applyAlignment="1">
      <alignment wrapText="1"/>
    </xf>
    <xf numFmtId="0" fontId="18" fillId="12" borderId="111" xfId="0" applyFont="1" applyFill="1" applyBorder="1" applyAlignment="1">
      <alignment wrapText="1"/>
    </xf>
    <xf numFmtId="10" fontId="18" fillId="12" borderId="111" xfId="0" applyNumberFormat="1" applyFont="1" applyFill="1" applyBorder="1" applyAlignment="1">
      <alignment wrapText="1"/>
    </xf>
    <xf numFmtId="49" fontId="18" fillId="12" borderId="111" xfId="0" applyNumberFormat="1" applyFont="1" applyFill="1" applyBorder="1" applyAlignment="1">
      <alignment wrapText="1"/>
    </xf>
    <xf numFmtId="182" fontId="18" fillId="12" borderId="111" xfId="0" applyNumberFormat="1" applyFont="1" applyFill="1" applyBorder="1" applyAlignment="1">
      <alignment wrapText="1"/>
    </xf>
    <xf numFmtId="183" fontId="18" fillId="12" borderId="111" xfId="0" applyNumberFormat="1" applyFont="1" applyFill="1" applyBorder="1" applyAlignment="1">
      <alignment wrapText="1"/>
    </xf>
    <xf numFmtId="15" fontId="18" fillId="12" borderId="111" xfId="0" applyNumberFormat="1" applyFont="1" applyFill="1" applyBorder="1" applyAlignment="1">
      <alignment wrapText="1"/>
    </xf>
    <xf numFmtId="182" fontId="18" fillId="2" borderId="111" xfId="0" applyNumberFormat="1" applyFont="1" applyFill="1" applyBorder="1" applyAlignment="1" applyProtection="1">
      <alignment horizontal="center" vertical="center" wrapText="1"/>
      <protection locked="0"/>
    </xf>
    <xf numFmtId="183" fontId="18" fillId="2" borderId="111" xfId="0" applyNumberFormat="1" applyFont="1" applyFill="1" applyBorder="1" applyAlignment="1" applyProtection="1">
      <alignment horizontal="center" vertical="center" wrapText="1"/>
      <protection locked="0"/>
    </xf>
    <xf numFmtId="0" fontId="18" fillId="0" borderId="111" xfId="0" applyFont="1" applyBorder="1" applyAlignment="1" applyProtection="1">
      <alignment horizontal="center" vertical="center" wrapText="1"/>
      <protection locked="0"/>
    </xf>
    <xf numFmtId="0" fontId="18" fillId="0" borderId="111" xfId="0" applyFont="1" applyBorder="1" applyAlignment="1" applyProtection="1">
      <alignment vertical="center" wrapText="1"/>
      <protection locked="0"/>
    </xf>
    <xf numFmtId="49" fontId="18" fillId="0" borderId="111" xfId="0" applyNumberFormat="1" applyFont="1" applyBorder="1" applyAlignment="1" applyProtection="1">
      <alignment vertical="center" wrapText="1"/>
      <protection locked="0"/>
    </xf>
    <xf numFmtId="0" fontId="18" fillId="3" borderId="111" xfId="0" applyFont="1" applyFill="1" applyBorder="1" applyAlignment="1">
      <alignment vertical="center" wrapText="1"/>
    </xf>
    <xf numFmtId="0" fontId="18" fillId="3" borderId="118" xfId="0" applyFont="1" applyFill="1" applyBorder="1" applyAlignment="1">
      <alignment vertical="center" wrapText="1"/>
    </xf>
    <xf numFmtId="49" fontId="18" fillId="0" borderId="111" xfId="0" quotePrefix="1" applyNumberFormat="1" applyFont="1" applyBorder="1" applyAlignment="1" applyProtection="1">
      <alignment vertical="center" wrapText="1"/>
      <protection locked="0"/>
    </xf>
    <xf numFmtId="0" fontId="18" fillId="12" borderId="106" xfId="0" applyFont="1" applyFill="1" applyBorder="1" applyAlignment="1">
      <alignment wrapText="1"/>
    </xf>
    <xf numFmtId="0" fontId="18" fillId="12" borderId="119" xfId="0" applyFont="1" applyFill="1" applyBorder="1" applyAlignment="1">
      <alignment wrapText="1"/>
    </xf>
    <xf numFmtId="10" fontId="18" fillId="12" borderId="119" xfId="0" applyNumberFormat="1" applyFont="1" applyFill="1" applyBorder="1" applyAlignment="1">
      <alignment wrapText="1"/>
    </xf>
    <xf numFmtId="49" fontId="18" fillId="12" borderId="119" xfId="0" applyNumberFormat="1" applyFont="1" applyFill="1" applyBorder="1" applyAlignment="1">
      <alignment wrapText="1"/>
    </xf>
    <xf numFmtId="182" fontId="18" fillId="12" borderId="119" xfId="0" applyNumberFormat="1" applyFont="1" applyFill="1" applyBorder="1" applyAlignment="1">
      <alignment wrapText="1"/>
    </xf>
    <xf numFmtId="183" fontId="18" fillId="12" borderId="119" xfId="0" applyNumberFormat="1" applyFont="1" applyFill="1" applyBorder="1" applyAlignment="1">
      <alignment wrapText="1"/>
    </xf>
    <xf numFmtId="15" fontId="18" fillId="12" borderId="119" xfId="0" applyNumberFormat="1" applyFont="1" applyFill="1" applyBorder="1" applyAlignment="1">
      <alignment wrapText="1"/>
    </xf>
    <xf numFmtId="182" fontId="18" fillId="2" borderId="119" xfId="0" applyNumberFormat="1" applyFont="1" applyFill="1" applyBorder="1" applyAlignment="1" applyProtection="1">
      <alignment horizontal="center" vertical="center" wrapText="1"/>
      <protection locked="0"/>
    </xf>
    <xf numFmtId="183" fontId="18" fillId="2" borderId="119" xfId="0" applyNumberFormat="1" applyFont="1" applyFill="1" applyBorder="1" applyAlignment="1" applyProtection="1">
      <alignment horizontal="center" vertical="center" wrapText="1"/>
      <protection locked="0"/>
    </xf>
    <xf numFmtId="0" fontId="18" fillId="0" borderId="119" xfId="0" applyFont="1" applyBorder="1" applyAlignment="1" applyProtection="1">
      <alignment horizontal="center" vertical="center" wrapText="1"/>
      <protection locked="0"/>
    </xf>
    <xf numFmtId="0" fontId="18" fillId="0" borderId="119" xfId="0" applyFont="1" applyBorder="1" applyAlignment="1" applyProtection="1">
      <alignment vertical="center" wrapText="1"/>
      <protection locked="0"/>
    </xf>
    <xf numFmtId="49" fontId="18" fillId="0" borderId="119" xfId="0" applyNumberFormat="1" applyFont="1" applyBorder="1" applyAlignment="1" applyProtection="1">
      <alignment vertical="center" wrapText="1"/>
      <protection locked="0"/>
    </xf>
    <xf numFmtId="0" fontId="18" fillId="3" borderId="119" xfId="0" applyFont="1" applyFill="1" applyBorder="1" applyAlignment="1">
      <alignment vertical="center" wrapText="1"/>
    </xf>
    <xf numFmtId="0" fontId="18" fillId="3" borderId="120" xfId="0" applyFont="1" applyFill="1" applyBorder="1" applyAlignment="1">
      <alignment vertical="center" wrapText="1"/>
    </xf>
    <xf numFmtId="0" fontId="19" fillId="5" borderId="105" xfId="0" applyFont="1" applyFill="1" applyBorder="1" applyAlignment="1">
      <alignment horizontal="center" vertical="center" wrapText="1"/>
    </xf>
    <xf numFmtId="0" fontId="19" fillId="11" borderId="111" xfId="0" applyFont="1" applyFill="1" applyBorder="1" applyAlignment="1">
      <alignment horizontal="center" vertical="center" wrapText="1"/>
    </xf>
    <xf numFmtId="0" fontId="18" fillId="0" borderId="105" xfId="0" applyFont="1" applyBorder="1"/>
    <xf numFmtId="0" fontId="18" fillId="0" borderId="111" xfId="0" applyFont="1" applyBorder="1"/>
    <xf numFmtId="0" fontId="18" fillId="0" borderId="118" xfId="0" applyFont="1" applyBorder="1"/>
    <xf numFmtId="0" fontId="20" fillId="34" borderId="113" xfId="0" applyFont="1" applyFill="1" applyBorder="1" applyAlignment="1">
      <alignment horizontal="left" wrapText="1"/>
    </xf>
    <xf numFmtId="0" fontId="19" fillId="5" borderId="111" xfId="0" applyFont="1" applyFill="1" applyBorder="1" applyAlignment="1">
      <alignment vertical="center" wrapText="1"/>
    </xf>
    <xf numFmtId="0" fontId="19" fillId="8" borderId="111" xfId="0" applyFont="1" applyFill="1" applyBorder="1" applyAlignment="1">
      <alignment vertical="center" wrapText="1"/>
    </xf>
    <xf numFmtId="182" fontId="18" fillId="0" borderId="111" xfId="0" applyNumberFormat="1" applyFont="1" applyBorder="1" applyAlignment="1" applyProtection="1">
      <alignment horizontal="center" vertical="center" wrapText="1"/>
      <protection locked="0"/>
    </xf>
    <xf numFmtId="0" fontId="18" fillId="0" borderId="111" xfId="0" applyFont="1" applyBorder="1" applyAlignment="1" applyProtection="1">
      <alignment wrapText="1"/>
      <protection locked="0"/>
    </xf>
    <xf numFmtId="0" fontId="18" fillId="3" borderId="111" xfId="0" applyFont="1" applyFill="1" applyBorder="1" applyAlignment="1">
      <alignment wrapText="1"/>
    </xf>
    <xf numFmtId="182" fontId="18" fillId="0" borderId="111" xfId="0" applyNumberFormat="1" applyFont="1" applyBorder="1" applyAlignment="1" applyProtection="1">
      <alignment horizontal="center" wrapText="1"/>
      <protection locked="0"/>
    </xf>
    <xf numFmtId="0" fontId="18" fillId="0" borderId="118" xfId="0" applyFont="1" applyBorder="1" applyAlignment="1" applyProtection="1">
      <alignment wrapText="1"/>
      <protection locked="0"/>
    </xf>
    <xf numFmtId="0" fontId="18" fillId="3" borderId="121" xfId="0" applyFont="1" applyFill="1" applyBorder="1" applyAlignment="1">
      <alignment wrapText="1"/>
    </xf>
    <xf numFmtId="0" fontId="18" fillId="3" borderId="110" xfId="0" applyFont="1" applyFill="1" applyBorder="1" applyAlignment="1">
      <alignment wrapText="1"/>
    </xf>
    <xf numFmtId="0" fontId="18" fillId="12" borderId="122" xfId="0" applyFont="1" applyFill="1" applyBorder="1" applyAlignment="1">
      <alignment wrapText="1"/>
    </xf>
    <xf numFmtId="182" fontId="18" fillId="0" borderId="119" xfId="0" applyNumberFormat="1" applyFont="1" applyBorder="1" applyAlignment="1" applyProtection="1">
      <alignment horizontal="center" vertical="center" wrapText="1"/>
      <protection locked="0"/>
    </xf>
    <xf numFmtId="0" fontId="18" fillId="0" borderId="119" xfId="0" applyFont="1" applyBorder="1" applyAlignment="1" applyProtection="1">
      <alignment wrapText="1"/>
      <protection locked="0"/>
    </xf>
    <xf numFmtId="0" fontId="18" fillId="3" borderId="119" xfId="0" applyFont="1" applyFill="1" applyBorder="1" applyAlignment="1">
      <alignment wrapText="1"/>
    </xf>
    <xf numFmtId="182" fontId="18" fillId="0" borderId="119" xfId="0" applyNumberFormat="1" applyFont="1" applyBorder="1" applyAlignment="1" applyProtection="1">
      <alignment horizontal="center" wrapText="1"/>
      <protection locked="0"/>
    </xf>
    <xf numFmtId="0" fontId="18" fillId="0" borderId="120" xfId="0" applyFont="1" applyBorder="1" applyAlignment="1" applyProtection="1">
      <alignment wrapText="1"/>
      <protection locked="0"/>
    </xf>
    <xf numFmtId="0" fontId="18" fillId="12" borderId="111" xfId="0" applyFont="1" applyFill="1" applyBorder="1"/>
    <xf numFmtId="0" fontId="18" fillId="0" borderId="112" xfId="0" applyFont="1" applyBorder="1"/>
    <xf numFmtId="0" fontId="18" fillId="12" borderId="105" xfId="0" applyFont="1" applyFill="1" applyBorder="1"/>
    <xf numFmtId="0" fontId="25" fillId="5" borderId="111" xfId="0" applyFont="1" applyFill="1" applyBorder="1" applyAlignment="1">
      <alignment horizontal="center" vertical="center" wrapText="1"/>
    </xf>
    <xf numFmtId="49" fontId="18" fillId="12" borderId="105" xfId="0" applyNumberFormat="1" applyFont="1" applyFill="1" applyBorder="1" applyAlignment="1">
      <alignment horizontal="left" vertical="center" wrapText="1"/>
    </xf>
    <xf numFmtId="0" fontId="18" fillId="12" borderId="111" xfId="0" applyFont="1" applyFill="1" applyBorder="1" applyAlignment="1">
      <alignment horizontal="left" vertical="center" wrapText="1"/>
    </xf>
    <xf numFmtId="182" fontId="18" fillId="12" borderId="111" xfId="0" applyNumberFormat="1" applyFont="1" applyFill="1" applyBorder="1" applyAlignment="1">
      <alignment horizontal="left" vertical="center" wrapText="1"/>
    </xf>
    <xf numFmtId="183" fontId="18" fillId="12" borderId="111" xfId="0" applyNumberFormat="1" applyFont="1" applyFill="1" applyBorder="1" applyAlignment="1">
      <alignment horizontal="left" vertical="center" wrapText="1"/>
    </xf>
    <xf numFmtId="182" fontId="18" fillId="0" borderId="111" xfId="0" applyNumberFormat="1" applyFont="1" applyBorder="1" applyAlignment="1" applyProtection="1">
      <alignment horizontal="left" vertical="center" wrapText="1"/>
      <protection locked="0"/>
    </xf>
    <xf numFmtId="183" fontId="18" fillId="0" borderId="111" xfId="0" applyNumberFormat="1" applyFont="1" applyBorder="1" applyAlignment="1" applyProtection="1">
      <alignment horizontal="left" vertical="center" wrapText="1"/>
      <protection locked="0"/>
    </xf>
    <xf numFmtId="0" fontId="18" fillId="0" borderId="111" xfId="0" applyFont="1" applyBorder="1" applyAlignment="1" applyProtection="1">
      <alignment horizontal="left" vertical="center" wrapText="1"/>
      <protection locked="0"/>
    </xf>
    <xf numFmtId="9" fontId="18" fillId="35" borderId="111" xfId="0" applyNumberFormat="1" applyFont="1" applyFill="1" applyBorder="1" applyAlignment="1">
      <alignment horizontal="left" vertical="center" wrapText="1"/>
    </xf>
    <xf numFmtId="0" fontId="18" fillId="3" borderId="111" xfId="0" applyFont="1" applyFill="1" applyBorder="1" applyAlignment="1">
      <alignment horizontal="left" vertical="center" wrapText="1"/>
    </xf>
    <xf numFmtId="0" fontId="18" fillId="3" borderId="118" xfId="0" applyFont="1" applyFill="1" applyBorder="1" applyAlignment="1">
      <alignment horizontal="left" vertical="center" wrapText="1"/>
    </xf>
    <xf numFmtId="49" fontId="18" fillId="12" borderId="122" xfId="0" applyNumberFormat="1" applyFont="1" applyFill="1" applyBorder="1" applyAlignment="1">
      <alignment horizontal="left" vertical="center" wrapText="1"/>
    </xf>
    <xf numFmtId="0" fontId="18" fillId="12" borderId="119" xfId="0" applyFont="1" applyFill="1" applyBorder="1" applyAlignment="1">
      <alignment horizontal="left" vertical="center" wrapText="1"/>
    </xf>
    <xf numFmtId="182" fontId="18" fillId="12" borderId="119" xfId="0" applyNumberFormat="1" applyFont="1" applyFill="1" applyBorder="1" applyAlignment="1">
      <alignment horizontal="left" vertical="center" wrapText="1"/>
    </xf>
    <xf numFmtId="183" fontId="18" fillId="12" borderId="119" xfId="0" applyNumberFormat="1" applyFont="1" applyFill="1" applyBorder="1" applyAlignment="1">
      <alignment horizontal="left" vertical="center" wrapText="1"/>
    </xf>
    <xf numFmtId="182" fontId="18" fillId="0" borderId="119" xfId="0" applyNumberFormat="1" applyFont="1" applyBorder="1" applyAlignment="1" applyProtection="1">
      <alignment horizontal="left" vertical="center" wrapText="1"/>
      <protection locked="0"/>
    </xf>
    <xf numFmtId="183" fontId="18" fillId="0" borderId="119" xfId="0" applyNumberFormat="1" applyFont="1" applyBorder="1" applyAlignment="1" applyProtection="1">
      <alignment horizontal="left" vertical="center" wrapText="1"/>
      <protection locked="0"/>
    </xf>
    <xf numFmtId="0" fontId="18" fillId="0" borderId="119" xfId="0" applyFont="1" applyBorder="1" applyAlignment="1" applyProtection="1">
      <alignment horizontal="left" vertical="center" wrapText="1"/>
      <protection locked="0"/>
    </xf>
    <xf numFmtId="9" fontId="18" fillId="35" borderId="119"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0" fontId="18" fillId="3" borderId="120" xfId="0" applyFont="1" applyFill="1" applyBorder="1" applyAlignment="1">
      <alignment horizontal="left" vertical="center" wrapText="1"/>
    </xf>
    <xf numFmtId="0" fontId="18" fillId="12" borderId="122" xfId="0" applyFont="1" applyFill="1" applyBorder="1"/>
    <xf numFmtId="0" fontId="18" fillId="12" borderId="107" xfId="0" applyFont="1" applyFill="1" applyBorder="1"/>
    <xf numFmtId="0" fontId="18" fillId="12" borderId="119" xfId="0" applyFont="1" applyFill="1" applyBorder="1"/>
    <xf numFmtId="0" fontId="18" fillId="0" borderId="119" xfId="0" applyFont="1" applyBorder="1"/>
    <xf numFmtId="0" fontId="18" fillId="0" borderId="123" xfId="0" applyFont="1" applyBorder="1"/>
    <xf numFmtId="0" fontId="18" fillId="0" borderId="120" xfId="0" applyFont="1" applyBorder="1"/>
    <xf numFmtId="182" fontId="18" fillId="12" borderId="111" xfId="0" applyNumberFormat="1" applyFont="1" applyFill="1" applyBorder="1" applyAlignment="1">
      <alignment horizontal="center" vertical="center" wrapText="1"/>
    </xf>
    <xf numFmtId="183" fontId="18" fillId="12" borderId="111" xfId="0" applyNumberFormat="1" applyFont="1" applyFill="1" applyBorder="1" applyAlignment="1">
      <alignment horizontal="center" vertical="center" wrapText="1"/>
    </xf>
    <xf numFmtId="183" fontId="18" fillId="0" borderId="111" xfId="0" applyNumberFormat="1" applyFont="1" applyBorder="1" applyAlignment="1" applyProtection="1">
      <alignment horizontal="center" vertical="center" wrapText="1"/>
      <protection locked="0"/>
    </xf>
    <xf numFmtId="182" fontId="18" fillId="0" borderId="111" xfId="0" applyNumberFormat="1" applyFont="1" applyBorder="1" applyAlignment="1" applyProtection="1">
      <alignment wrapText="1"/>
      <protection locked="0"/>
    </xf>
    <xf numFmtId="183" fontId="18" fillId="0" borderId="111" xfId="0" applyNumberFormat="1" applyFont="1" applyBorder="1" applyAlignment="1" applyProtection="1">
      <alignment wrapText="1"/>
      <protection locked="0"/>
    </xf>
    <xf numFmtId="0" fontId="18" fillId="0" borderId="112" xfId="0" applyFont="1" applyBorder="1" applyAlignment="1" applyProtection="1">
      <alignment wrapText="1"/>
      <protection locked="0"/>
    </xf>
    <xf numFmtId="0" fontId="18" fillId="3" borderId="118" xfId="0" applyFont="1" applyFill="1" applyBorder="1" applyAlignment="1">
      <alignment wrapText="1"/>
    </xf>
    <xf numFmtId="0" fontId="4" fillId="5" borderId="119" xfId="1" applyFont="1" applyFill="1" applyBorder="1" applyAlignment="1">
      <alignment horizontal="left" vertical="center" wrapText="1"/>
    </xf>
    <xf numFmtId="15" fontId="2" fillId="3" borderId="119" xfId="1" applyNumberFormat="1" applyFont="1" applyFill="1" applyBorder="1" applyAlignment="1">
      <alignment horizontal="left" vertical="center" wrapText="1"/>
    </xf>
    <xf numFmtId="15" fontId="2" fillId="3" borderId="119" xfId="1" applyNumberFormat="1" applyFont="1" applyFill="1" applyBorder="1" applyAlignment="1">
      <alignment vertical="center" wrapText="1"/>
    </xf>
    <xf numFmtId="0" fontId="4" fillId="3" borderId="105" xfId="1" applyFont="1" applyFill="1" applyBorder="1" applyAlignment="1">
      <alignment horizontal="center" vertical="center" wrapText="1"/>
    </xf>
    <xf numFmtId="0" fontId="4" fillId="3" borderId="108" xfId="1" applyFont="1" applyFill="1" applyBorder="1" applyAlignment="1">
      <alignment vertical="center" wrapText="1"/>
    </xf>
    <xf numFmtId="0" fontId="4" fillId="17" borderId="111" xfId="1" applyFont="1" applyFill="1" applyBorder="1" applyAlignment="1">
      <alignment horizontal="center" vertical="center" wrapText="1"/>
    </xf>
    <xf numFmtId="0" fontId="4" fillId="17" borderId="118" xfId="1" applyFont="1" applyFill="1" applyBorder="1" applyAlignment="1">
      <alignment horizontal="center" vertical="center" wrapText="1"/>
    </xf>
    <xf numFmtId="172" fontId="4" fillId="16" borderId="105" xfId="1" applyNumberFormat="1" applyFont="1" applyFill="1" applyBorder="1" applyAlignment="1">
      <alignment horizontal="center" vertical="center" wrapText="1"/>
    </xf>
    <xf numFmtId="172" fontId="4" fillId="16" borderId="111" xfId="1" applyNumberFormat="1" applyFont="1" applyFill="1" applyBorder="1" applyAlignment="1">
      <alignment horizontal="center" vertical="center" wrapText="1"/>
    </xf>
    <xf numFmtId="0" fontId="4" fillId="16" borderId="111" xfId="1" applyFont="1" applyFill="1" applyBorder="1" applyAlignment="1">
      <alignment horizontal="center" vertical="center" wrapText="1"/>
    </xf>
    <xf numFmtId="172" fontId="4" fillId="16" borderId="118" xfId="1" applyNumberFormat="1" applyFont="1" applyFill="1" applyBorder="1" applyAlignment="1">
      <alignment horizontal="center" vertical="center" wrapText="1"/>
    </xf>
    <xf numFmtId="172" fontId="4" fillId="31" borderId="114" xfId="1" applyNumberFormat="1" applyFont="1" applyFill="1" applyBorder="1" applyAlignment="1">
      <alignment horizontal="center" vertical="center" wrapText="1"/>
    </xf>
    <xf numFmtId="0" fontId="4" fillId="31" borderId="112" xfId="1" applyFont="1" applyFill="1" applyBorder="1" applyAlignment="1">
      <alignment horizontal="center" vertical="center" wrapText="1"/>
    </xf>
    <xf numFmtId="0" fontId="4" fillId="31" borderId="118" xfId="1" applyFont="1" applyFill="1" applyBorder="1" applyAlignment="1">
      <alignment horizontal="center" vertical="center" wrapText="1"/>
    </xf>
    <xf numFmtId="0" fontId="4" fillId="2" borderId="125" xfId="1" applyFont="1" applyFill="1" applyBorder="1" applyAlignment="1">
      <alignment vertical="center" wrapText="1"/>
    </xf>
    <xf numFmtId="164" fontId="4" fillId="19" borderId="126" xfId="3" applyNumberFormat="1" applyFont="1" applyFill="1" applyBorder="1" applyAlignment="1" applyProtection="1">
      <alignment vertical="center"/>
    </xf>
    <xf numFmtId="164" fontId="2" fillId="18" borderId="127" xfId="4" applyNumberFormat="1" applyFont="1" applyFill="1" applyBorder="1" applyAlignment="1" applyProtection="1">
      <alignment vertical="center"/>
      <protection locked="0"/>
    </xf>
    <xf numFmtId="164" fontId="2" fillId="15" borderId="128" xfId="4" applyNumberFormat="1" applyFont="1" applyFill="1" applyBorder="1" applyAlignment="1" applyProtection="1">
      <alignment vertical="center"/>
      <protection locked="0"/>
    </xf>
    <xf numFmtId="164" fontId="4" fillId="14" borderId="128" xfId="1" applyNumberFormat="1" applyFont="1" applyFill="1" applyBorder="1" applyAlignment="1">
      <alignment vertical="center"/>
    </xf>
    <xf numFmtId="0" fontId="4" fillId="2" borderId="124" xfId="1" applyFont="1" applyFill="1" applyBorder="1" applyAlignment="1" applyProtection="1">
      <alignment vertical="center" wrapText="1"/>
      <protection locked="0"/>
    </xf>
    <xf numFmtId="164" fontId="2" fillId="15" borderId="105" xfId="4" applyNumberFormat="1" applyFont="1" applyFill="1" applyBorder="1" applyAlignment="1" applyProtection="1">
      <alignment vertical="center"/>
      <protection locked="0"/>
    </xf>
    <xf numFmtId="164" fontId="4" fillId="14" borderId="123" xfId="1" applyNumberFormat="1" applyFont="1" applyFill="1" applyBorder="1" applyAlignment="1">
      <alignment vertical="center"/>
    </xf>
    <xf numFmtId="0" fontId="4" fillId="2" borderId="120" xfId="1" applyFont="1" applyFill="1" applyBorder="1" applyAlignment="1" applyProtection="1">
      <alignment vertical="center"/>
      <protection locked="0"/>
    </xf>
    <xf numFmtId="0" fontId="2" fillId="0" borderId="113" xfId="1" applyFont="1" applyBorder="1" applyAlignment="1">
      <alignment vertical="center"/>
    </xf>
    <xf numFmtId="0" fontId="4" fillId="2" borderId="108" xfId="1" applyFont="1" applyFill="1" applyBorder="1" applyAlignment="1">
      <alignment vertical="center" wrapText="1"/>
    </xf>
    <xf numFmtId="171" fontId="4" fillId="2" borderId="113" xfId="1" applyNumberFormat="1" applyFont="1" applyFill="1" applyBorder="1" applyAlignment="1">
      <alignment vertical="center"/>
    </xf>
    <xf numFmtId="171" fontId="4" fillId="2" borderId="113" xfId="1" applyNumberFormat="1" applyFont="1" applyFill="1" applyBorder="1" applyAlignment="1">
      <alignment vertical="center" wrapText="1"/>
    </xf>
    <xf numFmtId="0" fontId="2" fillId="2" borderId="121" xfId="1" applyFont="1" applyFill="1" applyBorder="1" applyAlignment="1">
      <alignment vertical="center"/>
    </xf>
    <xf numFmtId="0" fontId="2" fillId="2" borderId="108" xfId="1" applyFont="1" applyFill="1" applyBorder="1" applyAlignment="1">
      <alignment vertical="center" wrapText="1"/>
    </xf>
    <xf numFmtId="164" fontId="2" fillId="15" borderId="105" xfId="3" applyNumberFormat="1" applyFont="1" applyFill="1" applyBorder="1" applyAlignment="1" applyProtection="1">
      <alignment vertical="center"/>
      <protection locked="0"/>
    </xf>
    <xf numFmtId="164" fontId="2" fillId="15" borderId="111" xfId="3" applyNumberFormat="1" applyFont="1" applyFill="1" applyBorder="1" applyAlignment="1" applyProtection="1">
      <alignment vertical="center"/>
      <protection locked="0"/>
    </xf>
    <xf numFmtId="171" fontId="2" fillId="0" borderId="112" xfId="1" applyNumberFormat="1" applyFont="1" applyBorder="1" applyAlignment="1" applyProtection="1">
      <alignment vertical="center" wrapText="1"/>
      <protection locked="0"/>
    </xf>
    <xf numFmtId="164" fontId="2" fillId="15" borderId="111" xfId="4" applyNumberFormat="1" applyFont="1" applyFill="1" applyBorder="1" applyAlignment="1" applyProtection="1">
      <alignment vertical="center"/>
      <protection locked="0"/>
    </xf>
    <xf numFmtId="164" fontId="2" fillId="14" borderId="111" xfId="1" applyNumberFormat="1" applyFont="1" applyFill="1" applyBorder="1" applyAlignment="1">
      <alignment vertical="center"/>
    </xf>
    <xf numFmtId="0" fontId="2" fillId="2" borderId="118" xfId="1" applyFont="1" applyFill="1" applyBorder="1" applyAlignment="1" applyProtection="1">
      <alignment vertical="center" wrapText="1"/>
      <protection locked="0"/>
    </xf>
    <xf numFmtId="0" fontId="2" fillId="2" borderId="118" xfId="1" applyFont="1" applyFill="1" applyBorder="1" applyAlignment="1" applyProtection="1">
      <alignment vertical="center"/>
      <protection locked="0"/>
    </xf>
    <xf numFmtId="164" fontId="2" fillId="15" borderId="114" xfId="4" applyNumberFormat="1" applyFont="1" applyFill="1" applyBorder="1" applyAlignment="1" applyProtection="1">
      <alignment vertical="center"/>
      <protection locked="0"/>
    </xf>
    <xf numFmtId="0" fontId="2" fillId="2" borderId="129" xfId="1" applyFont="1" applyFill="1" applyBorder="1" applyAlignment="1">
      <alignment vertical="center" wrapText="1"/>
    </xf>
    <xf numFmtId="164" fontId="2" fillId="15" borderId="114" xfId="3" applyNumberFormat="1" applyFont="1" applyFill="1" applyBorder="1" applyAlignment="1" applyProtection="1">
      <alignment vertical="center"/>
      <protection locked="0"/>
    </xf>
    <xf numFmtId="165" fontId="2" fillId="15" borderId="111" xfId="3" applyNumberFormat="1" applyFont="1" applyFill="1" applyBorder="1" applyAlignment="1" applyProtection="1">
      <alignment vertical="center"/>
      <protection locked="0"/>
    </xf>
    <xf numFmtId="171" fontId="2" fillId="0" borderId="118" xfId="1" applyNumberFormat="1" applyFont="1" applyBorder="1" applyAlignment="1" applyProtection="1">
      <alignment vertical="center" wrapText="1"/>
      <protection locked="0"/>
    </xf>
    <xf numFmtId="164" fontId="4" fillId="14" borderId="122" xfId="3" applyNumberFormat="1" applyFont="1" applyFill="1" applyBorder="1" applyAlignment="1" applyProtection="1">
      <alignment vertical="center"/>
    </xf>
    <xf numFmtId="164" fontId="4" fillId="14" borderId="119" xfId="3" applyNumberFormat="1" applyFont="1" applyFill="1" applyBorder="1" applyAlignment="1" applyProtection="1">
      <alignment vertical="center"/>
    </xf>
    <xf numFmtId="171" fontId="4" fillId="0" borderId="116" xfId="1" applyNumberFormat="1" applyFont="1" applyBorder="1" applyAlignment="1" applyProtection="1">
      <alignment vertical="center" wrapText="1"/>
      <protection locked="0"/>
    </xf>
    <xf numFmtId="164" fontId="4" fillId="14" borderId="127" xfId="1" applyNumberFormat="1" applyFont="1" applyFill="1" applyBorder="1" applyAlignment="1">
      <alignment vertical="center"/>
    </xf>
    <xf numFmtId="164" fontId="4" fillId="14" borderId="119" xfId="1" applyNumberFormat="1" applyFont="1" applyFill="1" applyBorder="1" applyAlignment="1">
      <alignment vertical="center"/>
    </xf>
    <xf numFmtId="0" fontId="2" fillId="2" borderId="120" xfId="1" applyFont="1" applyFill="1" applyBorder="1" applyAlignment="1" applyProtection="1">
      <alignment vertical="center" wrapText="1"/>
      <protection locked="0"/>
    </xf>
    <xf numFmtId="164" fontId="4" fillId="14" borderId="117" xfId="1" applyNumberFormat="1" applyFont="1" applyFill="1" applyBorder="1" applyAlignment="1">
      <alignment vertical="center"/>
    </xf>
    <xf numFmtId="0" fontId="2" fillId="0" borderId="118" xfId="1" applyFont="1" applyBorder="1" applyAlignment="1" applyProtection="1">
      <alignment vertical="center" wrapText="1"/>
      <protection locked="0"/>
    </xf>
    <xf numFmtId="0" fontId="2" fillId="0" borderId="118" xfId="1" applyFont="1" applyBorder="1" applyAlignment="1" applyProtection="1">
      <alignment vertical="center"/>
      <protection locked="0"/>
    </xf>
    <xf numFmtId="164" fontId="2" fillId="14" borderId="105" xfId="3" applyNumberFormat="1" applyFont="1" applyFill="1" applyBorder="1" applyAlignment="1" applyProtection="1">
      <alignment vertical="center"/>
    </xf>
    <xf numFmtId="164" fontId="2" fillId="14" borderId="114" xfId="1" applyNumberFormat="1" applyFont="1" applyFill="1" applyBorder="1" applyAlignment="1">
      <alignment vertical="center"/>
    </xf>
    <xf numFmtId="164" fontId="2" fillId="15" borderId="114" xfId="1" applyNumberFormat="1" applyFont="1" applyFill="1" applyBorder="1" applyAlignment="1" applyProtection="1">
      <alignment vertical="center"/>
      <protection locked="0"/>
    </xf>
    <xf numFmtId="164" fontId="2" fillId="14" borderId="127" xfId="1" applyNumberFormat="1" applyFont="1" applyFill="1" applyBorder="1" applyAlignment="1">
      <alignment vertical="center"/>
    </xf>
    <xf numFmtId="171" fontId="4" fillId="0" borderId="124" xfId="1" applyNumberFormat="1" applyFont="1" applyBorder="1" applyAlignment="1" applyProtection="1">
      <alignment vertical="center" wrapText="1"/>
      <protection locked="0"/>
    </xf>
    <xf numFmtId="164" fontId="2" fillId="14" borderId="117" xfId="1" applyNumberFormat="1" applyFont="1" applyFill="1" applyBorder="1" applyAlignment="1">
      <alignment vertical="center"/>
    </xf>
    <xf numFmtId="0" fontId="4" fillId="2" borderId="120" xfId="1" applyFont="1" applyFill="1" applyBorder="1" applyAlignment="1" applyProtection="1">
      <alignment vertical="center" wrapText="1"/>
      <protection locked="0"/>
    </xf>
    <xf numFmtId="164" fontId="2" fillId="15" borderId="105" xfId="1" applyNumberFormat="1" applyFont="1" applyFill="1" applyBorder="1" applyAlignment="1" applyProtection="1">
      <alignment vertical="center"/>
      <protection locked="0"/>
    </xf>
    <xf numFmtId="164" fontId="2" fillId="15" borderId="112" xfId="1" applyNumberFormat="1" applyFont="1" applyFill="1" applyBorder="1" applyAlignment="1" applyProtection="1">
      <alignment vertical="center"/>
      <protection locked="0"/>
    </xf>
    <xf numFmtId="164" fontId="2" fillId="15" borderId="111" xfId="1" applyNumberFormat="1" applyFont="1" applyFill="1" applyBorder="1" applyAlignment="1" applyProtection="1">
      <alignment vertical="center"/>
      <protection locked="0"/>
    </xf>
    <xf numFmtId="164" fontId="2" fillId="15" borderId="117" xfId="1" applyNumberFormat="1" applyFont="1" applyFill="1" applyBorder="1" applyAlignment="1" applyProtection="1">
      <alignment vertical="center"/>
      <protection locked="0"/>
    </xf>
    <xf numFmtId="164" fontId="2" fillId="14" borderId="128" xfId="1" applyNumberFormat="1" applyFont="1" applyFill="1" applyBorder="1" applyAlignment="1">
      <alignment vertical="center"/>
    </xf>
    <xf numFmtId="0" fontId="2" fillId="2" borderId="124" xfId="1" applyFont="1" applyFill="1" applyBorder="1" applyAlignment="1" applyProtection="1">
      <alignment vertical="center"/>
      <protection locked="0"/>
    </xf>
    <xf numFmtId="171" fontId="4" fillId="2" borderId="112" xfId="1" applyNumberFormat="1" applyFont="1" applyFill="1" applyBorder="1" applyAlignment="1" applyProtection="1">
      <alignment vertical="center" wrapText="1"/>
      <protection locked="0"/>
    </xf>
    <xf numFmtId="164" fontId="4" fillId="18" borderId="105" xfId="3" applyNumberFormat="1" applyFont="1" applyFill="1" applyBorder="1" applyAlignment="1" applyProtection="1">
      <alignment vertical="center"/>
    </xf>
    <xf numFmtId="171" fontId="2" fillId="2" borderId="118" xfId="1" applyNumberFormat="1" applyFont="1" applyFill="1" applyBorder="1" applyAlignment="1" applyProtection="1">
      <alignment vertical="center" wrapText="1"/>
      <protection locked="0"/>
    </xf>
    <xf numFmtId="171" fontId="2" fillId="2" borderId="118" xfId="1" applyNumberFormat="1" applyFont="1" applyFill="1" applyBorder="1" applyAlignment="1" applyProtection="1">
      <alignment vertical="center"/>
      <protection locked="0"/>
    </xf>
    <xf numFmtId="164" fontId="30" fillId="18" borderId="105" xfId="1" applyNumberFormat="1" applyFont="1" applyFill="1" applyBorder="1" applyAlignment="1" applyProtection="1">
      <alignment vertical="center"/>
      <protection locked="0"/>
    </xf>
    <xf numFmtId="164" fontId="30" fillId="15" borderId="114" xfId="1" applyNumberFormat="1" applyFont="1" applyFill="1" applyBorder="1" applyAlignment="1" applyProtection="1">
      <alignment vertical="center"/>
      <protection locked="0"/>
    </xf>
    <xf numFmtId="171" fontId="31" fillId="2" borderId="118" xfId="1" applyNumberFormat="1" applyFont="1" applyFill="1" applyBorder="1" applyAlignment="1" applyProtection="1">
      <alignment vertical="center"/>
      <protection locked="0"/>
    </xf>
    <xf numFmtId="171" fontId="4" fillId="2" borderId="123" xfId="1" applyNumberFormat="1" applyFont="1" applyFill="1" applyBorder="1" applyAlignment="1" applyProtection="1">
      <alignment vertical="center" wrapText="1"/>
      <protection locked="0"/>
    </xf>
    <xf numFmtId="164" fontId="4" fillId="18" borderId="122" xfId="3" applyNumberFormat="1" applyFont="1" applyFill="1" applyBorder="1" applyAlignment="1" applyProtection="1">
      <alignment vertical="center"/>
    </xf>
    <xf numFmtId="171" fontId="4" fillId="2" borderId="120" xfId="1" applyNumberFormat="1" applyFont="1" applyFill="1" applyBorder="1" applyAlignment="1" applyProtection="1">
      <alignment vertical="center" wrapText="1"/>
      <protection locked="0"/>
    </xf>
    <xf numFmtId="171" fontId="30" fillId="2" borderId="120" xfId="1" applyNumberFormat="1" applyFont="1" applyFill="1" applyBorder="1" applyAlignment="1" applyProtection="1">
      <alignment vertical="center"/>
      <protection locked="0"/>
    </xf>
    <xf numFmtId="172" fontId="4" fillId="31" borderId="105" xfId="1" applyNumberFormat="1" applyFont="1" applyFill="1" applyBorder="1" applyAlignment="1">
      <alignment horizontal="center" vertical="center" wrapText="1"/>
    </xf>
    <xf numFmtId="171" fontId="2" fillId="18" borderId="111" xfId="1" applyNumberFormat="1" applyFont="1" applyFill="1" applyBorder="1" applyAlignment="1">
      <alignment vertical="center"/>
    </xf>
    <xf numFmtId="164" fontId="2" fillId="19" borderId="105" xfId="1" applyNumberFormat="1" applyFont="1" applyFill="1" applyBorder="1" applyAlignment="1">
      <alignment vertical="center"/>
    </xf>
    <xf numFmtId="164" fontId="2" fillId="15" borderId="108" xfId="1" applyNumberFormat="1" applyFont="1" applyFill="1" applyBorder="1" applyAlignment="1" applyProtection="1">
      <alignment vertical="center"/>
      <protection locked="0"/>
    </xf>
    <xf numFmtId="0" fontId="2" fillId="0" borderId="105" xfId="1" applyFont="1" applyBorder="1" applyAlignment="1">
      <alignment vertical="center" wrapText="1"/>
    </xf>
    <xf numFmtId="164" fontId="2" fillId="19" borderId="114" xfId="1" applyNumberFormat="1" applyFont="1" applyFill="1" applyBorder="1" applyAlignment="1">
      <alignment vertical="center"/>
    </xf>
    <xf numFmtId="0" fontId="2" fillId="0" borderId="130" xfId="1" applyFont="1" applyBorder="1" applyAlignment="1">
      <alignment vertical="center" wrapText="1"/>
    </xf>
    <xf numFmtId="171" fontId="2" fillId="18" borderId="109" xfId="1" applyNumberFormat="1" applyFont="1" applyFill="1" applyBorder="1" applyAlignment="1">
      <alignment vertical="center"/>
    </xf>
    <xf numFmtId="164" fontId="2" fillId="15" borderId="119" xfId="1" applyNumberFormat="1" applyFont="1" applyFill="1" applyBorder="1" applyAlignment="1" applyProtection="1">
      <alignment vertical="center"/>
      <protection locked="0"/>
    </xf>
    <xf numFmtId="171" fontId="2" fillId="0" borderId="120" xfId="1" applyNumberFormat="1" applyFont="1" applyBorder="1" applyAlignment="1" applyProtection="1">
      <alignment vertical="center" wrapText="1"/>
      <protection locked="0"/>
    </xf>
    <xf numFmtId="164" fontId="2" fillId="19" borderId="109" xfId="1" applyNumberFormat="1" applyFont="1" applyFill="1" applyBorder="1" applyAlignment="1">
      <alignment vertical="center"/>
    </xf>
    <xf numFmtId="164" fontId="2" fillId="14" borderId="109" xfId="1" applyNumberFormat="1" applyFont="1" applyFill="1" applyBorder="1" applyAlignment="1">
      <alignment vertical="center"/>
    </xf>
    <xf numFmtId="164" fontId="2" fillId="15" borderId="130" xfId="1" applyNumberFormat="1" applyFont="1" applyFill="1" applyBorder="1" applyAlignment="1" applyProtection="1">
      <alignment vertical="center"/>
      <protection locked="0"/>
    </xf>
    <xf numFmtId="164" fontId="2" fillId="14" borderId="123" xfId="1" applyNumberFormat="1" applyFont="1" applyFill="1" applyBorder="1" applyAlignment="1">
      <alignment vertical="center"/>
    </xf>
    <xf numFmtId="171" fontId="2" fillId="0" borderId="113" xfId="1" applyNumberFormat="1" applyFont="1" applyBorder="1" applyAlignment="1" applyProtection="1">
      <alignment vertical="center" wrapText="1"/>
      <protection locked="0"/>
    </xf>
    <xf numFmtId="0" fontId="2" fillId="2" borderId="121" xfId="1" applyFont="1" applyFill="1" applyBorder="1" applyAlignment="1" applyProtection="1">
      <alignment vertical="center" wrapText="1"/>
      <protection locked="0"/>
    </xf>
    <xf numFmtId="164" fontId="4" fillId="14" borderId="111" xfId="1" applyNumberFormat="1" applyFont="1" applyFill="1" applyBorder="1" applyAlignment="1">
      <alignment vertical="center"/>
    </xf>
    <xf numFmtId="164" fontId="2" fillId="15" borderId="118" xfId="1" applyNumberFormat="1" applyFont="1" applyFill="1" applyBorder="1" applyAlignment="1" applyProtection="1">
      <alignment vertical="center"/>
      <protection locked="0"/>
    </xf>
    <xf numFmtId="164" fontId="2" fillId="14" borderId="118" xfId="1" applyNumberFormat="1" applyFont="1" applyFill="1" applyBorder="1" applyAlignment="1">
      <alignment vertical="center"/>
    </xf>
    <xf numFmtId="164" fontId="4" fillId="14" borderId="112" xfId="1" applyNumberFormat="1" applyFont="1" applyFill="1" applyBorder="1" applyAlignment="1">
      <alignment vertical="center"/>
    </xf>
    <xf numFmtId="0" fontId="4" fillId="2" borderId="130" xfId="1" applyFont="1" applyFill="1" applyBorder="1" applyAlignment="1">
      <alignment vertical="center" wrapText="1"/>
    </xf>
    <xf numFmtId="164" fontId="4" fillId="14" borderId="120" xfId="3" applyNumberFormat="1" applyFont="1" applyFill="1" applyBorder="1" applyAlignment="1" applyProtection="1">
      <alignment vertical="center"/>
    </xf>
    <xf numFmtId="171" fontId="4" fillId="0" borderId="109" xfId="1" applyNumberFormat="1" applyFont="1" applyBorder="1" applyAlignment="1" applyProtection="1">
      <alignment vertical="center" wrapText="1"/>
      <protection locked="0"/>
    </xf>
    <xf numFmtId="164" fontId="4" fillId="14" borderId="120" xfId="1" applyNumberFormat="1" applyFont="1" applyFill="1" applyBorder="1" applyAlignment="1">
      <alignment vertical="center"/>
    </xf>
    <xf numFmtId="0" fontId="4" fillId="2" borderId="110" xfId="1" applyFont="1" applyFill="1" applyBorder="1" applyAlignment="1" applyProtection="1">
      <alignment vertical="center" wrapText="1"/>
      <protection locked="0"/>
    </xf>
    <xf numFmtId="172" fontId="4" fillId="16" borderId="105" xfId="1" applyNumberFormat="1" applyFont="1" applyFill="1" applyBorder="1" applyAlignment="1">
      <alignment horizontal="center" wrapText="1"/>
    </xf>
    <xf numFmtId="172" fontId="4" fillId="16" borderId="111" xfId="1" applyNumberFormat="1" applyFont="1" applyFill="1" applyBorder="1" applyAlignment="1">
      <alignment horizontal="center" wrapText="1"/>
    </xf>
    <xf numFmtId="0" fontId="4" fillId="16" borderId="111" xfId="1" applyFont="1" applyFill="1" applyBorder="1" applyAlignment="1">
      <alignment horizontal="center" wrapText="1"/>
    </xf>
    <xf numFmtId="172" fontId="4" fillId="16" borderId="118" xfId="1" applyNumberFormat="1" applyFont="1" applyFill="1" applyBorder="1" applyAlignment="1">
      <alignment horizontal="center" wrapText="1"/>
    </xf>
    <xf numFmtId="172" fontId="4" fillId="31" borderId="105" xfId="1" applyNumberFormat="1" applyFont="1" applyFill="1" applyBorder="1" applyAlignment="1">
      <alignment horizontal="center" wrapText="1"/>
    </xf>
    <xf numFmtId="0" fontId="4" fillId="31" borderId="111" xfId="1" applyFont="1" applyFill="1" applyBorder="1" applyAlignment="1">
      <alignment horizontal="center" wrapText="1"/>
    </xf>
    <xf numFmtId="0" fontId="4" fillId="31" borderId="121" xfId="1" applyFont="1" applyFill="1" applyBorder="1" applyAlignment="1">
      <alignment horizontal="center" wrapText="1"/>
    </xf>
    <xf numFmtId="164" fontId="2" fillId="15" borderId="128" xfId="1" applyNumberFormat="1" applyFont="1" applyFill="1" applyBorder="1" applyAlignment="1" applyProtection="1">
      <alignment vertical="center"/>
      <protection locked="0"/>
    </xf>
    <xf numFmtId="164" fontId="2" fillId="14" borderId="105" xfId="1" applyNumberFormat="1" applyFont="1" applyFill="1" applyBorder="1" applyAlignment="1">
      <alignment vertical="center"/>
    </xf>
    <xf numFmtId="0" fontId="4" fillId="2" borderId="118" xfId="1" applyFont="1" applyFill="1" applyBorder="1" applyAlignment="1" applyProtection="1">
      <alignment vertical="center" wrapText="1"/>
      <protection locked="0"/>
    </xf>
    <xf numFmtId="164" fontId="2" fillId="14" borderId="122" xfId="1" applyNumberFormat="1" applyFont="1" applyFill="1" applyBorder="1" applyAlignment="1">
      <alignment vertical="center"/>
    </xf>
    <xf numFmtId="164" fontId="2" fillId="14" borderId="119" xfId="1" applyNumberFormat="1" applyFont="1" applyFill="1" applyBorder="1" applyAlignment="1">
      <alignment vertical="center"/>
    </xf>
    <xf numFmtId="0" fontId="4" fillId="0" borderId="120" xfId="1" applyFont="1" applyBorder="1" applyAlignment="1" applyProtection="1">
      <alignment vertical="center" wrapText="1"/>
      <protection locked="0"/>
    </xf>
    <xf numFmtId="164" fontId="30" fillId="15" borderId="107" xfId="1" applyNumberFormat="1" applyFont="1" applyFill="1" applyBorder="1" applyAlignment="1" applyProtection="1">
      <alignment vertical="center"/>
      <protection locked="0"/>
    </xf>
    <xf numFmtId="0" fontId="4" fillId="17" borderId="118" xfId="2" applyFont="1" applyFill="1" applyBorder="1" applyAlignment="1">
      <alignment horizontal="center" vertical="center" wrapText="1"/>
    </xf>
    <xf numFmtId="0" fontId="4" fillId="16" borderId="111" xfId="2" applyFont="1" applyFill="1" applyBorder="1" applyAlignment="1">
      <alignment horizontal="center" vertical="center" wrapText="1"/>
    </xf>
    <xf numFmtId="0" fontId="4" fillId="16" borderId="112" xfId="2" applyFont="1" applyFill="1" applyBorder="1" applyAlignment="1">
      <alignment horizontal="center" vertical="center" wrapText="1"/>
    </xf>
    <xf numFmtId="0" fontId="4" fillId="11" borderId="111" xfId="2" applyFont="1" applyFill="1" applyBorder="1" applyAlignment="1">
      <alignment horizontal="center" vertical="center" wrapText="1"/>
    </xf>
    <xf numFmtId="0" fontId="26" fillId="0" borderId="111" xfId="2" applyBorder="1" applyProtection="1">
      <protection locked="0"/>
    </xf>
    <xf numFmtId="164" fontId="2" fillId="14" borderId="111" xfId="2" applyNumberFormat="1" applyFont="1" applyFill="1" applyBorder="1" applyAlignment="1">
      <alignment vertical="center"/>
    </xf>
    <xf numFmtId="164" fontId="2" fillId="14" borderId="112" xfId="2" applyNumberFormat="1" applyFont="1" applyFill="1" applyBorder="1" applyAlignment="1">
      <alignment vertical="center"/>
    </xf>
    <xf numFmtId="0" fontId="2" fillId="15" borderId="105" xfId="1" applyFont="1" applyFill="1" applyBorder="1" applyAlignment="1" applyProtection="1">
      <alignment vertical="center"/>
      <protection locked="0"/>
    </xf>
    <xf numFmtId="173" fontId="2" fillId="15" borderId="111" xfId="1" applyNumberFormat="1" applyFont="1" applyFill="1" applyBorder="1" applyAlignment="1" applyProtection="1">
      <alignment vertical="center"/>
      <protection locked="0"/>
    </xf>
    <xf numFmtId="173" fontId="2" fillId="14" borderId="111" xfId="1" applyNumberFormat="1" applyFont="1" applyFill="1" applyBorder="1" applyAlignment="1">
      <alignment vertical="center"/>
    </xf>
    <xf numFmtId="171" fontId="2" fillId="0" borderId="111" xfId="1" applyNumberFormat="1" applyFont="1" applyBorder="1" applyAlignment="1" applyProtection="1">
      <alignment horizontal="left" vertical="center" wrapText="1"/>
      <protection locked="0"/>
    </xf>
    <xf numFmtId="165" fontId="2" fillId="15" borderId="111" xfId="4" applyNumberFormat="1" applyFont="1" applyFill="1" applyBorder="1" applyAlignment="1" applyProtection="1">
      <alignment vertical="center"/>
      <protection locked="0"/>
    </xf>
    <xf numFmtId="165" fontId="2" fillId="14" borderId="111" xfId="1" applyNumberFormat="1" applyFont="1" applyFill="1" applyBorder="1" applyAlignment="1">
      <alignment vertical="center"/>
    </xf>
    <xf numFmtId="0" fontId="2" fillId="0" borderId="111" xfId="1" applyFont="1" applyBorder="1" applyAlignment="1" applyProtection="1">
      <alignment horizontal="left" vertical="center" wrapText="1"/>
      <protection locked="0"/>
    </xf>
    <xf numFmtId="0" fontId="2" fillId="0" borderId="118" xfId="1" applyFont="1" applyBorder="1" applyAlignment="1" applyProtection="1">
      <alignment horizontal="left" vertical="center"/>
      <protection locked="0"/>
    </xf>
    <xf numFmtId="0" fontId="4" fillId="0" borderId="122" xfId="1" applyFont="1" applyBorder="1" applyAlignment="1">
      <alignment vertical="center" wrapText="1"/>
    </xf>
    <xf numFmtId="165" fontId="4" fillId="14" borderId="119" xfId="1" applyNumberFormat="1" applyFont="1" applyFill="1" applyBorder="1" applyAlignment="1">
      <alignment vertical="center"/>
    </xf>
    <xf numFmtId="171" fontId="2" fillId="0" borderId="119" xfId="1" applyNumberFormat="1" applyFont="1" applyBorder="1" applyAlignment="1" applyProtection="1">
      <alignment horizontal="left" vertical="center" wrapText="1"/>
      <protection locked="0"/>
    </xf>
    <xf numFmtId="165" fontId="2" fillId="14" borderId="119" xfId="1" applyNumberFormat="1" applyFont="1" applyFill="1" applyBorder="1" applyAlignment="1">
      <alignment vertical="center"/>
    </xf>
    <xf numFmtId="0" fontId="2" fillId="0" borderId="119" xfId="1" applyFont="1" applyBorder="1" applyAlignment="1" applyProtection="1">
      <alignment horizontal="left" vertical="center" wrapText="1"/>
      <protection locked="0"/>
    </xf>
    <xf numFmtId="0" fontId="2" fillId="0" borderId="120" xfId="1" applyFont="1" applyBorder="1" applyAlignment="1" applyProtection="1">
      <alignment horizontal="left" vertical="center"/>
      <protection locked="0"/>
    </xf>
    <xf numFmtId="15" fontId="2" fillId="20" borderId="119" xfId="1" applyNumberFormat="1" applyFont="1" applyFill="1" applyBorder="1" applyAlignment="1">
      <alignment horizontal="left" vertical="center" wrapText="1"/>
    </xf>
    <xf numFmtId="0" fontId="4" fillId="14" borderId="120" xfId="1" applyFont="1" applyFill="1" applyBorder="1" applyAlignment="1">
      <alignment horizontal="center" vertical="center" wrapText="1"/>
    </xf>
    <xf numFmtId="175" fontId="2" fillId="14" borderId="111" xfId="5" applyNumberFormat="1" applyFont="1" applyFill="1" applyBorder="1" applyAlignment="1" applyProtection="1">
      <alignment horizontal="center" vertical="center"/>
    </xf>
    <xf numFmtId="0" fontId="35" fillId="21" borderId="118" xfId="1" applyFont="1" applyFill="1" applyBorder="1" applyAlignment="1" applyProtection="1">
      <alignment horizontal="left" vertical="center"/>
      <protection locked="0"/>
    </xf>
    <xf numFmtId="0" fontId="2" fillId="0" borderId="118" xfId="1" applyFont="1" applyBorder="1" applyAlignment="1" applyProtection="1">
      <alignment horizontal="left" vertical="center" wrapText="1"/>
      <protection locked="0"/>
    </xf>
    <xf numFmtId="164" fontId="4" fillId="14" borderId="111" xfId="1" applyNumberFormat="1" applyFont="1" applyFill="1" applyBorder="1" applyAlignment="1" applyProtection="1">
      <alignment vertical="center"/>
      <protection locked="0"/>
    </xf>
    <xf numFmtId="174" fontId="4" fillId="21" borderId="118" xfId="1" applyNumberFormat="1" applyFont="1" applyFill="1" applyBorder="1" applyAlignment="1" applyProtection="1">
      <alignment horizontal="left" vertical="top" wrapText="1"/>
      <protection locked="0"/>
    </xf>
    <xf numFmtId="164" fontId="68" fillId="14" borderId="111" xfId="1" applyNumberFormat="1" applyFont="1" applyFill="1" applyBorder="1" applyAlignment="1">
      <alignment vertical="center"/>
    </xf>
    <xf numFmtId="174" fontId="2" fillId="0" borderId="118" xfId="1" applyNumberFormat="1" applyFont="1" applyBorder="1" applyAlignment="1" applyProtection="1">
      <alignment horizontal="left" vertical="center" wrapText="1"/>
      <protection locked="0"/>
    </xf>
    <xf numFmtId="164" fontId="68" fillId="14" borderId="119" xfId="1" applyNumberFormat="1" applyFont="1" applyFill="1" applyBorder="1" applyAlignment="1">
      <alignment vertical="center"/>
    </xf>
    <xf numFmtId="173" fontId="2" fillId="15" borderId="119" xfId="1" applyNumberFormat="1" applyFont="1" applyFill="1" applyBorder="1" applyAlignment="1" applyProtection="1">
      <alignment vertical="center"/>
      <protection locked="0"/>
    </xf>
    <xf numFmtId="175" fontId="2" fillId="14" borderId="119" xfId="5" applyNumberFormat="1" applyFont="1" applyFill="1" applyBorder="1" applyAlignment="1" applyProtection="1">
      <alignment horizontal="center" vertical="center"/>
    </xf>
    <xf numFmtId="174" fontId="2" fillId="0" borderId="120" xfId="1" applyNumberFormat="1" applyFont="1" applyBorder="1" applyAlignment="1" applyProtection="1">
      <alignment horizontal="left" vertical="center" wrapText="1"/>
      <protection locked="0"/>
    </xf>
    <xf numFmtId="164" fontId="2" fillId="14" borderId="111" xfId="1" applyNumberFormat="1" applyFont="1" applyFill="1" applyBorder="1" applyAlignment="1">
      <alignment vertical="center" wrapText="1"/>
    </xf>
    <xf numFmtId="9" fontId="2" fillId="14" borderId="111" xfId="5" applyFont="1" applyFill="1" applyBorder="1" applyAlignment="1" applyProtection="1">
      <alignment horizontal="center" vertical="center"/>
    </xf>
    <xf numFmtId="0" fontId="5" fillId="0" borderId="115" xfId="1" applyFont="1" applyBorder="1"/>
    <xf numFmtId="0" fontId="4" fillId="2" borderId="129" xfId="1" applyFont="1" applyFill="1" applyBorder="1" applyAlignment="1" applyProtection="1">
      <alignment horizontal="center" vertical="center"/>
      <protection locked="0"/>
    </xf>
    <xf numFmtId="0" fontId="4" fillId="2" borderId="131" xfId="1" applyFont="1" applyFill="1" applyBorder="1" applyAlignment="1" applyProtection="1">
      <alignment horizontal="center" vertical="center"/>
      <protection locked="0"/>
    </xf>
    <xf numFmtId="0" fontId="4" fillId="4" borderId="133" xfId="1" applyFont="1" applyFill="1" applyBorder="1" applyAlignment="1">
      <alignment horizontal="left"/>
    </xf>
    <xf numFmtId="0" fontId="38" fillId="4" borderId="133" xfId="1" applyFont="1" applyFill="1" applyBorder="1" applyAlignment="1">
      <alignment horizontal="left"/>
    </xf>
    <xf numFmtId="0" fontId="2" fillId="0" borderId="133" xfId="1" applyFont="1" applyBorder="1" applyAlignment="1">
      <alignment horizontal="left" vertical="center"/>
    </xf>
    <xf numFmtId="0" fontId="2" fillId="0" borderId="134" xfId="1" applyFont="1" applyBorder="1" applyAlignment="1">
      <alignment horizontal="left" vertical="center"/>
    </xf>
    <xf numFmtId="177" fontId="2" fillId="0" borderId="111" xfId="1" applyNumberFormat="1" applyFont="1" applyBorder="1" applyAlignment="1" applyProtection="1">
      <alignment horizontal="center" vertical="center"/>
      <protection locked="0"/>
    </xf>
    <xf numFmtId="174" fontId="2" fillId="0" borderId="118" xfId="1" applyNumberFormat="1" applyFont="1" applyBorder="1" applyAlignment="1" applyProtection="1">
      <alignment horizontal="left" vertical="center"/>
      <protection locked="0"/>
    </xf>
    <xf numFmtId="177" fontId="2" fillId="0" borderId="128" xfId="1" applyNumberFormat="1" applyFont="1" applyBorder="1" applyAlignment="1" applyProtection="1">
      <alignment horizontal="center" vertical="center"/>
      <protection locked="0"/>
    </xf>
    <xf numFmtId="174" fontId="2" fillId="0" borderId="124" xfId="1" applyNumberFormat="1" applyFont="1" applyBorder="1" applyAlignment="1" applyProtection="1">
      <alignment horizontal="left" vertical="center"/>
      <protection locked="0"/>
    </xf>
    <xf numFmtId="0" fontId="7" fillId="0" borderId="111" xfId="0" applyFont="1" applyBorder="1" applyAlignment="1" applyProtection="1">
      <alignment horizontal="left" vertical="center" wrapText="1"/>
      <protection locked="0"/>
    </xf>
    <xf numFmtId="0" fontId="5" fillId="4" borderId="111" xfId="0" applyFont="1" applyFill="1" applyBorder="1" applyAlignment="1" applyProtection="1">
      <alignment horizontal="left"/>
      <protection locked="0"/>
    </xf>
    <xf numFmtId="0" fontId="5" fillId="4" borderId="118" xfId="0" applyFont="1" applyFill="1" applyBorder="1" applyAlignment="1" applyProtection="1">
      <alignment horizontal="left"/>
      <protection locked="0"/>
    </xf>
    <xf numFmtId="0" fontId="5" fillId="4" borderId="124" xfId="0" applyFont="1" applyFill="1" applyBorder="1" applyAlignment="1" applyProtection="1">
      <alignment horizontal="left"/>
      <protection locked="0"/>
    </xf>
    <xf numFmtId="0" fontId="7" fillId="0" borderId="119" xfId="0" applyFont="1" applyBorder="1" applyAlignment="1" applyProtection="1">
      <alignment horizontal="left" vertical="center" wrapText="1"/>
      <protection locked="0"/>
    </xf>
    <xf numFmtId="0" fontId="5" fillId="4" borderId="119" xfId="0" applyFont="1" applyFill="1" applyBorder="1" applyAlignment="1" applyProtection="1">
      <alignment horizontal="left"/>
      <protection locked="0"/>
    </xf>
    <xf numFmtId="0" fontId="5" fillId="4" borderId="120" xfId="0" applyFont="1" applyFill="1" applyBorder="1" applyAlignment="1" applyProtection="1">
      <alignment horizontal="left"/>
      <protection locked="0"/>
    </xf>
    <xf numFmtId="15" fontId="80" fillId="3" borderId="111" xfId="11" applyNumberFormat="1" applyFont="1" applyBorder="1">
      <alignment horizontal="left" vertical="center" wrapText="1"/>
    </xf>
    <xf numFmtId="0" fontId="18" fillId="2" borderId="111" xfId="12" applyBorder="1">
      <alignment horizontal="left" vertical="center" wrapText="1"/>
      <protection locked="0"/>
    </xf>
    <xf numFmtId="168" fontId="2" fillId="0" borderId="111" xfId="0" applyNumberFormat="1" applyFont="1" applyBorder="1" applyAlignment="1" applyProtection="1">
      <alignment horizontal="center" vertical="center" wrapText="1"/>
      <protection locked="0"/>
    </xf>
    <xf numFmtId="0" fontId="2" fillId="0" borderId="111" xfId="0" applyFont="1" applyBorder="1" applyAlignment="1" applyProtection="1">
      <alignment horizontal="center" vertical="center" wrapText="1"/>
      <protection locked="0"/>
    </xf>
    <xf numFmtId="15" fontId="2" fillId="4" borderId="111" xfId="0" applyNumberFormat="1" applyFont="1" applyFill="1" applyBorder="1" applyAlignment="1" applyProtection="1">
      <alignment horizontal="center" vertical="center"/>
      <protection locked="0"/>
    </xf>
    <xf numFmtId="0" fontId="2" fillId="4" borderId="111" xfId="0" applyFont="1" applyFill="1" applyBorder="1" applyAlignment="1" applyProtection="1">
      <alignment vertical="center" wrapText="1"/>
      <protection locked="0"/>
    </xf>
    <xf numFmtId="0" fontId="2" fillId="0" borderId="118" xfId="0" applyFont="1" applyBorder="1" applyAlignment="1" applyProtection="1">
      <alignment horizontal="center" wrapText="1"/>
      <protection locked="0"/>
    </xf>
    <xf numFmtId="168" fontId="2" fillId="0" borderId="122" xfId="0" applyNumberFormat="1" applyFont="1" applyBorder="1" applyAlignment="1" applyProtection="1">
      <alignment horizontal="left" vertical="center" wrapText="1"/>
      <protection locked="0"/>
    </xf>
    <xf numFmtId="168" fontId="2" fillId="0" borderId="119" xfId="0" applyNumberFormat="1" applyFont="1" applyBorder="1" applyAlignment="1" applyProtection="1">
      <alignment horizontal="center" vertical="center" wrapText="1"/>
      <protection locked="0"/>
    </xf>
    <xf numFmtId="0" fontId="2" fillId="0" borderId="119" xfId="0" applyFont="1" applyBorder="1" applyAlignment="1" applyProtection="1">
      <alignment horizontal="center" vertical="center" wrapText="1"/>
      <protection locked="0"/>
    </xf>
    <xf numFmtId="15" fontId="2" fillId="4" borderId="119" xfId="0" applyNumberFormat="1" applyFont="1" applyFill="1" applyBorder="1" applyAlignment="1" applyProtection="1">
      <alignment horizontal="center" vertical="center"/>
      <protection locked="0"/>
    </xf>
    <xf numFmtId="0" fontId="2" fillId="4" borderId="119" xfId="0" applyFont="1" applyFill="1" applyBorder="1" applyAlignment="1" applyProtection="1">
      <alignment vertical="center" wrapText="1"/>
      <protection locked="0"/>
    </xf>
    <xf numFmtId="0" fontId="2" fillId="0" borderId="120" xfId="0" applyFont="1" applyBorder="1" applyAlignment="1" applyProtection="1">
      <alignment horizontal="center" wrapText="1"/>
      <protection locked="0"/>
    </xf>
    <xf numFmtId="0" fontId="7" fillId="0" borderId="113" xfId="0" applyFont="1" applyBorder="1" applyAlignment="1" applyProtection="1">
      <alignment horizontal="left" vertical="center" wrapText="1"/>
      <protection locked="0"/>
    </xf>
    <xf numFmtId="0" fontId="7" fillId="0" borderId="113" xfId="0" applyFont="1" applyBorder="1" applyAlignment="1" applyProtection="1">
      <alignment vertical="center" wrapText="1"/>
      <protection locked="0"/>
    </xf>
    <xf numFmtId="0" fontId="7" fillId="0" borderId="121" xfId="0" applyFont="1" applyBorder="1" applyAlignment="1" applyProtection="1">
      <alignment vertical="center" wrapText="1"/>
      <protection locked="0"/>
    </xf>
    <xf numFmtId="0" fontId="7" fillId="0" borderId="111" xfId="0" applyFont="1" applyBorder="1" applyAlignment="1" applyProtection="1">
      <alignment horizontal="center" vertical="center" wrapText="1"/>
      <protection locked="0"/>
    </xf>
    <xf numFmtId="0" fontId="7" fillId="0" borderId="130" xfId="0" applyFont="1" applyBorder="1" applyAlignment="1" applyProtection="1">
      <alignment horizontal="left" vertical="center" wrapText="1"/>
      <protection locked="0"/>
    </xf>
    <xf numFmtId="0" fontId="7" fillId="0" borderId="119" xfId="0" applyFont="1" applyBorder="1" applyAlignment="1" applyProtection="1">
      <alignment horizontal="center" vertical="center" wrapText="1"/>
      <protection locked="0"/>
    </xf>
    <xf numFmtId="0" fontId="10" fillId="0" borderId="136" xfId="1" applyFont="1" applyBorder="1" applyAlignment="1">
      <alignment horizontal="left"/>
    </xf>
    <xf numFmtId="0" fontId="10" fillId="0" borderId="137" xfId="1" applyFont="1" applyBorder="1" applyAlignment="1">
      <alignment horizontal="left"/>
    </xf>
    <xf numFmtId="0" fontId="43" fillId="4" borderId="138" xfId="1" applyFont="1" applyFill="1" applyBorder="1" applyAlignment="1" applyProtection="1">
      <alignment horizontal="center" wrapText="1"/>
      <protection locked="0"/>
    </xf>
    <xf numFmtId="0" fontId="43" fillId="4" borderId="138" xfId="1" quotePrefix="1" applyFont="1" applyFill="1" applyBorder="1" applyAlignment="1" applyProtection="1">
      <alignment horizontal="center" wrapText="1"/>
      <protection locked="0"/>
    </xf>
    <xf numFmtId="0" fontId="3" fillId="0" borderId="139" xfId="0" applyFont="1" applyBorder="1" applyAlignment="1">
      <alignment horizontal="left"/>
    </xf>
    <xf numFmtId="173" fontId="2" fillId="30" borderId="140" xfId="0" applyNumberFormat="1" applyFont="1" applyFill="1" applyBorder="1" applyAlignment="1" applyProtection="1">
      <alignment horizontal="left" vertical="center" wrapText="1"/>
      <protection locked="0"/>
    </xf>
    <xf numFmtId="173" fontId="2" fillId="30" borderId="138" xfId="0" applyNumberFormat="1" applyFont="1" applyFill="1" applyBorder="1" applyAlignment="1" applyProtection="1">
      <alignment horizontal="left" vertical="center" wrapText="1"/>
      <protection locked="0"/>
    </xf>
    <xf numFmtId="14" fontId="2" fillId="30" borderId="138" xfId="0" applyNumberFormat="1" applyFont="1" applyFill="1" applyBorder="1" applyAlignment="1" applyProtection="1">
      <alignment horizontal="left" vertical="center" wrapText="1"/>
      <protection locked="0"/>
    </xf>
    <xf numFmtId="173" fontId="2" fillId="30" borderId="141" xfId="0" applyNumberFormat="1" applyFont="1" applyFill="1" applyBorder="1" applyAlignment="1" applyProtection="1">
      <alignment horizontal="left" vertical="center" wrapText="1"/>
      <protection locked="0"/>
    </xf>
    <xf numFmtId="15" fontId="2" fillId="5" borderId="119" xfId="1" applyNumberFormat="1" applyFont="1" applyFill="1" applyBorder="1" applyAlignment="1">
      <alignment horizontal="left" vertical="center" wrapText="1"/>
    </xf>
    <xf numFmtId="0" fontId="4" fillId="5" borderId="119" xfId="1" applyFont="1" applyFill="1" applyBorder="1" applyAlignment="1">
      <alignment vertical="center" wrapText="1"/>
    </xf>
    <xf numFmtId="15" fontId="2" fillId="3" borderId="120" xfId="1" applyNumberFormat="1" applyFont="1" applyFill="1" applyBorder="1" applyAlignment="1">
      <alignment horizontal="left" vertical="center" wrapText="1"/>
    </xf>
    <xf numFmtId="0" fontId="4" fillId="23" borderId="111" xfId="1" applyFont="1" applyFill="1" applyBorder="1" applyAlignment="1">
      <alignment vertical="center" wrapText="1"/>
    </xf>
    <xf numFmtId="169" fontId="2" fillId="14" borderId="111" xfId="1" applyNumberFormat="1" applyFont="1" applyFill="1" applyBorder="1" applyAlignment="1">
      <alignment vertical="center"/>
    </xf>
    <xf numFmtId="169" fontId="2" fillId="15" borderId="111" xfId="1" applyNumberFormat="1" applyFont="1" applyFill="1" applyBorder="1" applyAlignment="1" applyProtection="1">
      <alignment vertical="center"/>
      <protection locked="0"/>
    </xf>
    <xf numFmtId="175" fontId="2" fillId="14" borderId="111" xfId="5" applyNumberFormat="1" applyFont="1" applyFill="1" applyBorder="1" applyAlignment="1" applyProtection="1">
      <alignment vertical="center"/>
    </xf>
    <xf numFmtId="49" fontId="18" fillId="15" borderId="111" xfId="1" applyNumberFormat="1" applyFont="1" applyFill="1" applyBorder="1" applyAlignment="1" applyProtection="1">
      <alignment vertical="center" wrapText="1"/>
      <protection locked="0"/>
    </xf>
    <xf numFmtId="175" fontId="2" fillId="14" borderId="118" xfId="5" applyNumberFormat="1" applyFont="1" applyFill="1" applyBorder="1" applyAlignment="1" applyProtection="1">
      <alignment vertical="center"/>
    </xf>
    <xf numFmtId="0" fontId="2" fillId="5" borderId="111" xfId="1" applyFont="1" applyFill="1" applyBorder="1" applyAlignment="1">
      <alignment vertical="top" wrapText="1"/>
    </xf>
    <xf numFmtId="49" fontId="18" fillId="15" borderId="111" xfId="1" applyNumberFormat="1" applyFont="1" applyFill="1" applyBorder="1" applyAlignment="1" applyProtection="1">
      <alignment horizontal="left" vertical="center" wrapText="1"/>
      <protection locked="0"/>
    </xf>
    <xf numFmtId="0" fontId="2" fillId="15" borderId="111" xfId="1" applyFont="1" applyFill="1" applyBorder="1" applyAlignment="1" applyProtection="1">
      <alignment vertical="top" wrapText="1"/>
      <protection locked="0"/>
    </xf>
    <xf numFmtId="169" fontId="2" fillId="14" borderId="118" xfId="1" applyNumberFormat="1" applyFont="1" applyFill="1" applyBorder="1" applyAlignment="1">
      <alignment vertical="center"/>
    </xf>
    <xf numFmtId="169" fontId="4" fillId="14" borderId="119" xfId="1" applyNumberFormat="1" applyFont="1" applyFill="1" applyBorder="1" applyAlignment="1">
      <alignment vertical="center"/>
    </xf>
    <xf numFmtId="175" fontId="4" fillId="14" borderId="120" xfId="5" applyNumberFormat="1" applyFont="1" applyFill="1" applyBorder="1" applyAlignment="1" applyProtection="1">
      <alignment vertical="center"/>
    </xf>
    <xf numFmtId="175" fontId="4" fillId="14" borderId="119" xfId="5" applyNumberFormat="1" applyFont="1" applyFill="1" applyBorder="1" applyAlignment="1" applyProtection="1">
      <alignment vertical="center"/>
    </xf>
    <xf numFmtId="0" fontId="4" fillId="23" borderId="119" xfId="1" applyFont="1" applyFill="1" applyBorder="1" applyAlignment="1">
      <alignment vertical="center" wrapText="1"/>
    </xf>
    <xf numFmtId="169" fontId="7" fillId="14" borderId="111" xfId="1" applyNumberFormat="1" applyFont="1" applyFill="1" applyBorder="1" applyAlignment="1">
      <alignment vertical="center"/>
    </xf>
    <xf numFmtId="169" fontId="7" fillId="15" borderId="111" xfId="1" applyNumberFormat="1" applyFont="1" applyFill="1" applyBorder="1" applyAlignment="1" applyProtection="1">
      <alignment vertical="center"/>
      <protection locked="0"/>
    </xf>
    <xf numFmtId="175" fontId="7" fillId="14" borderId="111" xfId="5" applyNumberFormat="1" applyFont="1" applyFill="1" applyBorder="1" applyAlignment="1" applyProtection="1">
      <alignment vertical="center"/>
    </xf>
    <xf numFmtId="49" fontId="7" fillId="15" borderId="111" xfId="1" applyNumberFormat="1" applyFont="1" applyFill="1" applyBorder="1" applyAlignment="1" applyProtection="1">
      <alignment horizontal="left" vertical="center" wrapText="1"/>
      <protection locked="0"/>
    </xf>
    <xf numFmtId="175" fontId="7" fillId="14" borderId="118" xfId="5" applyNumberFormat="1" applyFont="1" applyFill="1" applyBorder="1" applyAlignment="1" applyProtection="1">
      <alignment vertical="center"/>
    </xf>
    <xf numFmtId="0" fontId="29" fillId="5" borderId="122" xfId="1" applyFont="1" applyFill="1" applyBorder="1" applyAlignment="1">
      <alignment vertical="center"/>
    </xf>
    <xf numFmtId="169" fontId="6" fillId="14" borderId="119" xfId="1" applyNumberFormat="1" applyFont="1" applyFill="1" applyBorder="1" applyAlignment="1">
      <alignment vertical="center"/>
    </xf>
    <xf numFmtId="175" fontId="6" fillId="14" borderId="119" xfId="5" applyNumberFormat="1" applyFont="1" applyFill="1" applyBorder="1" applyAlignment="1" applyProtection="1">
      <alignment vertical="center"/>
    </xf>
    <xf numFmtId="175" fontId="6" fillId="14" borderId="120" xfId="5" applyNumberFormat="1" applyFont="1" applyFill="1" applyBorder="1" applyAlignment="1" applyProtection="1">
      <alignment vertical="center"/>
    </xf>
    <xf numFmtId="0" fontId="5" fillId="5" borderId="111" xfId="1" applyFont="1" applyFill="1" applyBorder="1" applyAlignment="1" applyProtection="1">
      <alignment horizontal="left" vertical="center" wrapText="1"/>
      <protection locked="0"/>
    </xf>
    <xf numFmtId="0" fontId="51" fillId="15" borderId="111" xfId="1" applyFont="1" applyFill="1" applyBorder="1" applyAlignment="1" applyProtection="1">
      <alignment vertical="center"/>
      <protection locked="0"/>
    </xf>
    <xf numFmtId="0" fontId="29" fillId="5" borderId="119" xfId="1" applyFont="1" applyFill="1" applyBorder="1" applyAlignment="1">
      <alignment vertical="center"/>
    </xf>
    <xf numFmtId="0" fontId="5" fillId="5" borderId="111" xfId="1" applyFont="1" applyFill="1" applyBorder="1" applyAlignment="1" applyProtection="1">
      <alignment vertical="top"/>
      <protection locked="0"/>
    </xf>
    <xf numFmtId="169" fontId="5" fillId="15" borderId="111" xfId="1" applyNumberFormat="1" applyFont="1" applyFill="1" applyBorder="1" applyAlignment="1" applyProtection="1">
      <alignment vertical="center"/>
      <protection locked="0"/>
    </xf>
    <xf numFmtId="0" fontId="51" fillId="5" borderId="111" xfId="7" applyFont="1" applyFill="1" applyBorder="1" applyAlignment="1">
      <alignment horizontal="left" vertical="center"/>
    </xf>
    <xf numFmtId="169" fontId="7" fillId="15" borderId="111" xfId="7" applyNumberFormat="1" applyFont="1" applyFill="1" applyBorder="1" applyAlignment="1" applyProtection="1">
      <alignment vertical="center"/>
      <protection locked="0"/>
    </xf>
    <xf numFmtId="169" fontId="7" fillId="14" borderId="111" xfId="7" applyNumberFormat="1" applyFont="1" applyFill="1" applyBorder="1" applyAlignment="1">
      <alignment vertical="center"/>
    </xf>
    <xf numFmtId="171" fontId="7" fillId="15" borderId="118" xfId="1" applyNumberFormat="1" applyFont="1" applyFill="1" applyBorder="1" applyAlignment="1" applyProtection="1">
      <alignment horizontal="left" vertical="center" wrapText="1"/>
      <protection locked="0"/>
    </xf>
    <xf numFmtId="171" fontId="7" fillId="15" borderId="118" xfId="7" applyNumberFormat="1" applyFont="1" applyFill="1" applyBorder="1" applyAlignment="1" applyProtection="1">
      <alignment horizontal="left" vertical="center" wrapText="1"/>
      <protection locked="0"/>
    </xf>
    <xf numFmtId="0" fontId="29" fillId="5" borderId="122" xfId="7" applyFont="1" applyFill="1" applyBorder="1" applyAlignment="1">
      <alignment vertical="center"/>
    </xf>
    <xf numFmtId="0" fontId="29" fillId="5" borderId="119" xfId="7" applyFont="1" applyFill="1" applyBorder="1" applyAlignment="1">
      <alignment vertical="center"/>
    </xf>
    <xf numFmtId="169" fontId="6" fillId="14" borderId="119" xfId="7" applyNumberFormat="1" applyFont="1" applyFill="1" applyBorder="1" applyAlignment="1">
      <alignment vertical="center"/>
    </xf>
    <xf numFmtId="171" fontId="7" fillId="15" borderId="120" xfId="7" applyNumberFormat="1" applyFont="1" applyFill="1" applyBorder="1" applyAlignment="1" applyProtection="1">
      <alignment vertical="center" wrapText="1"/>
      <protection locked="0"/>
    </xf>
    <xf numFmtId="169" fontId="6" fillId="14" borderId="122" xfId="7" applyNumberFormat="1" applyFont="1" applyFill="1" applyBorder="1" applyAlignment="1">
      <alignment vertical="center"/>
    </xf>
    <xf numFmtId="0" fontId="51" fillId="5" borderId="111" xfId="7" applyFont="1" applyFill="1" applyBorder="1" applyAlignment="1">
      <alignment horizontal="left" vertical="center" wrapText="1"/>
    </xf>
    <xf numFmtId="171" fontId="7" fillId="15" borderId="118" xfId="7" applyNumberFormat="1" applyFont="1" applyFill="1" applyBorder="1" applyAlignment="1" applyProtection="1">
      <alignment vertical="center" wrapText="1"/>
      <protection locked="0"/>
    </xf>
    <xf numFmtId="0" fontId="51" fillId="15" borderId="111" xfId="7" applyFont="1" applyFill="1" applyBorder="1" applyAlignment="1" applyProtection="1">
      <alignment horizontal="left" vertical="center" wrapText="1"/>
      <protection locked="0"/>
    </xf>
    <xf numFmtId="0" fontId="51" fillId="0" borderId="111" xfId="7" applyFont="1" applyBorder="1"/>
    <xf numFmtId="0" fontId="29" fillId="5" borderId="111" xfId="1" applyFont="1" applyFill="1" applyBorder="1" applyAlignment="1">
      <alignment vertical="center"/>
    </xf>
    <xf numFmtId="0" fontId="2" fillId="5" borderId="111" xfId="1" applyFont="1" applyFill="1" applyBorder="1" applyAlignment="1">
      <alignment horizontal="left" vertical="center"/>
    </xf>
    <xf numFmtId="0" fontId="57" fillId="32" borderId="111" xfId="1" applyFont="1" applyFill="1" applyBorder="1" applyAlignment="1">
      <alignment horizontal="center" vertical="center" wrapText="1"/>
    </xf>
    <xf numFmtId="0" fontId="57" fillId="0" borderId="111" xfId="1" applyFont="1" applyBorder="1" applyAlignment="1">
      <alignment horizontal="center" vertical="center" wrapText="1"/>
    </xf>
    <xf numFmtId="0" fontId="51" fillId="0" borderId="118" xfId="7" applyFont="1" applyBorder="1"/>
    <xf numFmtId="0" fontId="2" fillId="5" borderId="111" xfId="1" quotePrefix="1" applyFont="1" applyFill="1" applyBorder="1" applyAlignment="1">
      <alignment horizontal="left" vertical="center" wrapText="1"/>
    </xf>
    <xf numFmtId="169" fontId="6" fillId="14" borderId="118" xfId="7" applyNumberFormat="1" applyFont="1" applyFill="1" applyBorder="1" applyAlignment="1">
      <alignment vertical="center"/>
    </xf>
    <xf numFmtId="0" fontId="2" fillId="5" borderId="111" xfId="1" applyFont="1" applyFill="1" applyBorder="1" applyAlignment="1">
      <alignment horizontal="left" vertical="center" wrapText="1"/>
    </xf>
    <xf numFmtId="171" fontId="7" fillId="15" borderId="111" xfId="7" applyNumberFormat="1" applyFont="1" applyFill="1" applyBorder="1" applyAlignment="1" applyProtection="1">
      <alignment vertical="center" wrapText="1"/>
      <protection locked="0"/>
    </xf>
    <xf numFmtId="0" fontId="3" fillId="5" borderId="111" xfId="1" applyFont="1" applyFill="1" applyBorder="1" applyAlignment="1">
      <alignment horizontal="left" vertical="center" wrapText="1"/>
    </xf>
    <xf numFmtId="169" fontId="6" fillId="14" borderId="111" xfId="7" applyNumberFormat="1" applyFont="1" applyFill="1" applyBorder="1" applyAlignment="1">
      <alignment vertical="center"/>
    </xf>
    <xf numFmtId="0" fontId="3" fillId="5" borderId="119" xfId="1" applyFont="1" applyFill="1" applyBorder="1" applyAlignment="1">
      <alignment horizontal="left" vertical="center" wrapText="1"/>
    </xf>
    <xf numFmtId="169" fontId="6" fillId="14" borderId="120" xfId="7" applyNumberFormat="1" applyFont="1" applyFill="1" applyBorder="1" applyAlignment="1">
      <alignment vertical="center"/>
    </xf>
    <xf numFmtId="0" fontId="4" fillId="14" borderId="128" xfId="1" applyFont="1" applyFill="1" applyBorder="1" applyAlignment="1">
      <alignment horizontal="center"/>
    </xf>
    <xf numFmtId="0" fontId="4" fillId="14" borderId="111" xfId="1" applyFont="1" applyFill="1" applyBorder="1" applyAlignment="1">
      <alignment horizontal="center"/>
    </xf>
    <xf numFmtId="0" fontId="5" fillId="25" borderId="111" xfId="1" applyFont="1" applyFill="1" applyBorder="1"/>
    <xf numFmtId="0" fontId="5" fillId="25" borderId="118" xfId="1" applyFont="1" applyFill="1" applyBorder="1"/>
    <xf numFmtId="0" fontId="5" fillId="25" borderId="128" xfId="1" applyFont="1" applyFill="1" applyBorder="1"/>
    <xf numFmtId="0" fontId="5" fillId="25" borderId="124" xfId="1" applyFont="1" applyFill="1" applyBorder="1"/>
    <xf numFmtId="0" fontId="5" fillId="25" borderId="127" xfId="1" applyFont="1" applyFill="1" applyBorder="1"/>
    <xf numFmtId="169" fontId="7" fillId="14" borderId="122" xfId="1" applyNumberFormat="1" applyFont="1" applyFill="1" applyBorder="1" applyAlignment="1">
      <alignment vertical="center"/>
    </xf>
    <xf numFmtId="169" fontId="7" fillId="14" borderId="119" xfId="1" applyNumberFormat="1" applyFont="1" applyFill="1" applyBorder="1" applyAlignment="1">
      <alignment vertical="center"/>
    </xf>
    <xf numFmtId="169" fontId="7" fillId="14" borderId="120" xfId="1" applyNumberFormat="1" applyFont="1" applyFill="1" applyBorder="1" applyAlignment="1">
      <alignment vertical="center"/>
    </xf>
    <xf numFmtId="169" fontId="7" fillId="14" borderId="118" xfId="1" applyNumberFormat="1" applyFont="1" applyFill="1" applyBorder="1" applyAlignment="1">
      <alignment vertical="center"/>
    </xf>
    <xf numFmtId="0" fontId="3" fillId="10" borderId="128" xfId="1" applyFont="1" applyFill="1" applyBorder="1" applyAlignment="1">
      <alignment horizontal="center"/>
    </xf>
    <xf numFmtId="169" fontId="7" fillId="5" borderId="111" xfId="1" applyNumberFormat="1" applyFont="1" applyFill="1" applyBorder="1" applyAlignment="1">
      <alignment vertical="center"/>
    </xf>
    <xf numFmtId="169" fontId="7" fillId="5" borderId="118" xfId="1" applyNumberFormat="1" applyFont="1" applyFill="1" applyBorder="1" applyAlignment="1">
      <alignment vertical="center"/>
    </xf>
    <xf numFmtId="169" fontId="7" fillId="5" borderId="128" xfId="1" applyNumberFormat="1" applyFont="1" applyFill="1" applyBorder="1" applyAlignment="1">
      <alignment vertical="center"/>
    </xf>
    <xf numFmtId="169" fontId="7" fillId="5" borderId="124" xfId="1" applyNumberFormat="1" applyFont="1" applyFill="1" applyBorder="1" applyAlignment="1">
      <alignment vertical="center"/>
    </xf>
    <xf numFmtId="169" fontId="7" fillId="5" borderId="127" xfId="1" applyNumberFormat="1" applyFont="1" applyFill="1" applyBorder="1" applyAlignment="1">
      <alignment vertical="center"/>
    </xf>
    <xf numFmtId="0" fontId="6" fillId="0" borderId="142" xfId="1" applyFont="1" applyBorder="1" applyAlignment="1">
      <alignment horizontal="left" vertical="center" wrapText="1"/>
    </xf>
    <xf numFmtId="0" fontId="6" fillId="2" borderId="142" xfId="1" applyFont="1" applyFill="1" applyBorder="1" applyAlignment="1">
      <alignment horizontal="left" vertical="center" wrapText="1"/>
    </xf>
    <xf numFmtId="0" fontId="6" fillId="2" borderId="136" xfId="1" applyFont="1" applyFill="1" applyBorder="1"/>
    <xf numFmtId="0" fontId="7" fillId="2" borderId="137" xfId="1" quotePrefix="1" applyFont="1" applyFill="1" applyBorder="1" applyAlignment="1">
      <alignment wrapText="1"/>
    </xf>
    <xf numFmtId="179" fontId="7" fillId="15" borderId="143" xfId="1" applyNumberFormat="1" applyFont="1" applyFill="1" applyBorder="1" applyAlignment="1" applyProtection="1">
      <alignment horizontal="right"/>
      <protection locked="0"/>
    </xf>
    <xf numFmtId="0" fontId="7" fillId="2" borderId="144" xfId="1" quotePrefix="1" applyFont="1" applyFill="1" applyBorder="1" applyAlignment="1">
      <alignment wrapText="1"/>
    </xf>
    <xf numFmtId="0" fontId="52" fillId="0" borderId="138" xfId="8" applyFont="1" applyBorder="1"/>
    <xf numFmtId="169" fontId="52" fillId="0" borderId="138" xfId="8" applyNumberFormat="1" applyFont="1" applyBorder="1"/>
    <xf numFmtId="0" fontId="3" fillId="5" borderId="145" xfId="1" applyFont="1" applyFill="1" applyBorder="1" applyAlignment="1">
      <alignment horizontal="left" vertical="center"/>
    </xf>
    <xf numFmtId="0" fontId="6" fillId="3" borderId="141" xfId="1" applyFont="1" applyFill="1" applyBorder="1" applyAlignment="1">
      <alignment vertical="center"/>
    </xf>
    <xf numFmtId="0" fontId="6" fillId="3" borderId="146" xfId="1" applyFont="1" applyFill="1" applyBorder="1" applyAlignment="1">
      <alignment vertical="center"/>
    </xf>
    <xf numFmtId="0" fontId="6" fillId="3" borderId="140" xfId="1" applyFont="1" applyFill="1" applyBorder="1" applyAlignment="1">
      <alignment vertical="center"/>
    </xf>
    <xf numFmtId="15" fontId="7" fillId="0" borderId="140" xfId="1" applyNumberFormat="1" applyFont="1" applyBorder="1" applyAlignment="1">
      <alignment horizontal="left" indent="1"/>
    </xf>
    <xf numFmtId="0" fontId="6" fillId="3" borderId="138" xfId="1" applyFont="1" applyFill="1" applyBorder="1" applyAlignment="1">
      <alignment horizontal="left" vertical="center"/>
    </xf>
    <xf numFmtId="15" fontId="7" fillId="0" borderId="138" xfId="1" applyNumberFormat="1" applyFont="1" applyBorder="1" applyAlignment="1">
      <alignment horizontal="left" indent="1"/>
    </xf>
    <xf numFmtId="15" fontId="7" fillId="0" borderId="146" xfId="1" applyNumberFormat="1" applyFont="1" applyBorder="1" applyAlignment="1">
      <alignment horizontal="left" indent="1"/>
    </xf>
    <xf numFmtId="0" fontId="7" fillId="2" borderId="115" xfId="1" applyFont="1" applyFill="1" applyBorder="1" applyAlignment="1">
      <alignment horizontal="left" vertical="center"/>
    </xf>
    <xf numFmtId="0" fontId="7" fillId="4" borderId="115" xfId="1" applyFont="1" applyFill="1" applyBorder="1"/>
    <xf numFmtId="0" fontId="2" fillId="2" borderId="116" xfId="0" quotePrefix="1" applyFont="1" applyFill="1" applyBorder="1" applyAlignment="1">
      <alignment horizontal="left" vertical="center" wrapText="1"/>
    </xf>
    <xf numFmtId="0" fontId="2" fillId="2" borderId="115" xfId="0" quotePrefix="1" applyFont="1" applyFill="1" applyBorder="1" applyAlignment="1">
      <alignment horizontal="left" vertical="center" wrapText="1"/>
    </xf>
    <xf numFmtId="0" fontId="2" fillId="2" borderId="117" xfId="0" quotePrefix="1" applyFont="1" applyFill="1" applyBorder="1" applyAlignment="1">
      <alignment horizontal="left" vertical="center" wrapText="1"/>
    </xf>
    <xf numFmtId="0" fontId="2" fillId="2" borderId="94" xfId="0" quotePrefix="1" applyFont="1" applyFill="1" applyBorder="1" applyAlignment="1">
      <alignment horizontal="left" vertical="center" wrapText="1"/>
    </xf>
    <xf numFmtId="0" fontId="2" fillId="2" borderId="101" xfId="0" quotePrefix="1" applyFont="1" applyFill="1" applyBorder="1" applyAlignment="1">
      <alignment horizontal="left" vertical="center" wrapText="1"/>
    </xf>
    <xf numFmtId="0" fontId="2" fillId="2" borderId="95" xfId="0" quotePrefix="1" applyFont="1" applyFill="1" applyBorder="1" applyAlignment="1">
      <alignment horizontal="left" vertical="center" wrapText="1"/>
    </xf>
    <xf numFmtId="0" fontId="1" fillId="3" borderId="0" xfId="0" applyFont="1" applyFill="1" applyAlignment="1">
      <alignment horizontal="left" vertical="center" wrapText="1"/>
    </xf>
    <xf numFmtId="0" fontId="2" fillId="3" borderId="101" xfId="0" applyFont="1" applyFill="1" applyBorder="1" applyAlignment="1">
      <alignment horizontal="center" vertical="center" wrapText="1"/>
    </xf>
    <xf numFmtId="0" fontId="6" fillId="5" borderId="112" xfId="0" applyFont="1" applyFill="1" applyBorder="1" applyAlignment="1">
      <alignment horizontal="left" vertical="center"/>
    </xf>
    <xf numFmtId="0" fontId="6" fillId="5" borderId="113" xfId="0" applyFont="1" applyFill="1" applyBorder="1" applyAlignment="1">
      <alignment horizontal="left" vertical="center"/>
    </xf>
    <xf numFmtId="0" fontId="6" fillId="5" borderId="114" xfId="0" applyFont="1" applyFill="1" applyBorder="1" applyAlignment="1">
      <alignment horizontal="left" vertical="center"/>
    </xf>
    <xf numFmtId="0" fontId="6" fillId="5" borderId="112" xfId="0" applyFont="1" applyFill="1" applyBorder="1" applyAlignment="1">
      <alignment horizontal="left" vertical="center" wrapText="1"/>
    </xf>
    <xf numFmtId="0" fontId="6" fillId="5" borderId="113" xfId="0" applyFont="1" applyFill="1" applyBorder="1" applyAlignment="1">
      <alignment horizontal="left" vertical="center" wrapText="1"/>
    </xf>
    <xf numFmtId="0" fontId="6" fillId="5" borderId="114" xfId="0" applyFont="1" applyFill="1" applyBorder="1" applyAlignment="1">
      <alignment horizontal="left" vertical="center" wrapText="1"/>
    </xf>
    <xf numFmtId="0" fontId="4" fillId="2" borderId="112" xfId="0" applyFont="1" applyFill="1" applyBorder="1" applyAlignment="1">
      <alignment horizontal="left" wrapText="1"/>
    </xf>
    <xf numFmtId="0" fontId="4" fillId="2" borderId="113" xfId="0" applyFont="1" applyFill="1" applyBorder="1" applyAlignment="1">
      <alignment horizontal="left" wrapText="1"/>
    </xf>
    <xf numFmtId="0" fontId="4" fillId="2" borderId="114" xfId="0" applyFont="1" applyFill="1" applyBorder="1" applyAlignment="1">
      <alignment horizontal="left" wrapText="1"/>
    </xf>
    <xf numFmtId="0" fontId="19" fillId="8" borderId="17"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19" fillId="11" borderId="5" xfId="0" applyFont="1" applyFill="1" applyBorder="1" applyAlignment="1">
      <alignment horizontal="center" vertical="center" wrapText="1"/>
    </xf>
    <xf numFmtId="0" fontId="19" fillId="11" borderId="118" xfId="0" applyFont="1" applyFill="1" applyBorder="1" applyAlignment="1">
      <alignment horizontal="center" vertical="center" wrapText="1"/>
    </xf>
    <xf numFmtId="0" fontId="19" fillId="33" borderId="9" xfId="0" applyFont="1" applyFill="1" applyBorder="1" applyAlignment="1">
      <alignment horizontal="center" vertical="center" wrapText="1"/>
    </xf>
    <xf numFmtId="0" fontId="19" fillId="33" borderId="19" xfId="0" applyFont="1" applyFill="1" applyBorder="1" applyAlignment="1">
      <alignment horizontal="center" vertical="center" wrapText="1"/>
    </xf>
    <xf numFmtId="0" fontId="19" fillId="33" borderId="20" xfId="0" applyFont="1" applyFill="1" applyBorder="1" applyAlignment="1">
      <alignment horizontal="center" vertical="center" wrapText="1"/>
    </xf>
    <xf numFmtId="0" fontId="4" fillId="7" borderId="112" xfId="0" applyFont="1" applyFill="1" applyBorder="1" applyAlignment="1">
      <alignment horizontal="left" vertical="center" wrapText="1"/>
    </xf>
    <xf numFmtId="0" fontId="4" fillId="7" borderId="113" xfId="0" applyFont="1" applyFill="1" applyBorder="1" applyAlignment="1">
      <alignment horizontal="left" vertical="center" wrapText="1"/>
    </xf>
    <xf numFmtId="0" fontId="19" fillId="5" borderId="9"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19" xfId="0" applyFont="1" applyFill="1" applyBorder="1" applyAlignment="1">
      <alignment horizontal="center" vertical="center" wrapText="1"/>
    </xf>
    <xf numFmtId="0" fontId="19" fillId="5" borderId="17"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19" fillId="8" borderId="20"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9" fillId="5" borderId="23" xfId="0" applyFont="1" applyFill="1" applyBorder="1" applyAlignment="1">
      <alignment horizontal="center" vertical="center" wrapText="1"/>
    </xf>
    <xf numFmtId="0" fontId="19" fillId="10" borderId="9"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18" fillId="9" borderId="0" xfId="0" applyFont="1" applyFill="1" applyAlignment="1">
      <alignment horizontal="left" vertical="center" wrapText="1"/>
    </xf>
    <xf numFmtId="0" fontId="19" fillId="8" borderId="13" xfId="0" applyFont="1" applyFill="1" applyBorder="1" applyAlignment="1">
      <alignment horizontal="center" vertical="center" wrapText="1"/>
    </xf>
    <xf numFmtId="0" fontId="19" fillId="8" borderId="111"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11" xfId="0" applyFont="1" applyFill="1" applyBorder="1" applyAlignment="1">
      <alignment horizontal="center" vertical="center" wrapText="1"/>
    </xf>
    <xf numFmtId="0" fontId="18" fillId="2" borderId="0" xfId="0" applyFont="1" applyFill="1" applyAlignment="1">
      <alignment horizontal="center"/>
    </xf>
    <xf numFmtId="0" fontId="19" fillId="11" borderId="13" xfId="0" applyFont="1" applyFill="1" applyBorder="1" applyAlignment="1">
      <alignment horizontal="center" vertical="center" wrapText="1"/>
    </xf>
    <xf numFmtId="0" fontId="4" fillId="34" borderId="112" xfId="0" applyFont="1" applyFill="1" applyBorder="1" applyAlignment="1">
      <alignment horizontal="left" vertical="center" wrapText="1"/>
    </xf>
    <xf numFmtId="0" fontId="4" fillId="34" borderId="113" xfId="0" applyFont="1" applyFill="1" applyBorder="1" applyAlignment="1">
      <alignment horizontal="left" vertical="center" wrapText="1"/>
    </xf>
    <xf numFmtId="0" fontId="19" fillId="5" borderId="4" xfId="0" applyFont="1" applyFill="1" applyBorder="1" applyAlignment="1">
      <alignment horizontal="center" vertical="center" wrapText="1"/>
    </xf>
    <xf numFmtId="0" fontId="19" fillId="5" borderId="105"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111"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99" xfId="0" applyFont="1" applyFill="1" applyBorder="1" applyAlignment="1">
      <alignment horizontal="center" vertical="center" wrapText="1"/>
    </xf>
    <xf numFmtId="0" fontId="2" fillId="9" borderId="112" xfId="0" applyFont="1" applyFill="1" applyBorder="1" applyAlignment="1">
      <alignment horizontal="left" vertical="center" wrapText="1"/>
    </xf>
    <xf numFmtId="0" fontId="2" fillId="9" borderId="113"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9" fillId="5" borderId="94"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101"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19" fillId="11" borderId="111"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118"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10" borderId="26"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24" fillId="9" borderId="112" xfId="0" applyFont="1" applyFill="1" applyBorder="1" applyAlignment="1">
      <alignment horizontal="left" vertical="center" wrapText="1"/>
    </xf>
    <xf numFmtId="0" fontId="11" fillId="9" borderId="113" xfId="0" applyFont="1" applyFill="1" applyBorder="1" applyAlignment="1">
      <alignment horizontal="left" vertical="center" wrapText="1"/>
    </xf>
    <xf numFmtId="0" fontId="2" fillId="7" borderId="113" xfId="0" applyFont="1" applyFill="1" applyBorder="1" applyAlignment="1">
      <alignment horizontal="left" vertical="center" wrapText="1"/>
    </xf>
    <xf numFmtId="0" fontId="19" fillId="5" borderId="82"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60" xfId="0" applyFont="1" applyFill="1" applyBorder="1" applyAlignment="1">
      <alignment horizontal="center" vertical="center" wrapText="1"/>
    </xf>
    <xf numFmtId="0" fontId="19" fillId="5" borderId="43" xfId="0" applyFont="1" applyFill="1" applyBorder="1" applyAlignment="1">
      <alignment horizontal="center" vertical="center" wrapText="1"/>
    </xf>
    <xf numFmtId="0" fontId="19" fillId="5" borderId="49"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11" borderId="124"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0" xfId="0" applyFont="1" applyFill="1" applyAlignment="1">
      <alignment horizontal="center" vertical="center" wrapText="1"/>
    </xf>
    <xf numFmtId="0" fontId="19" fillId="8" borderId="11"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23" fillId="9" borderId="112" xfId="0" applyFont="1" applyFill="1" applyBorder="1" applyAlignment="1">
      <alignment horizontal="left" vertical="center" wrapText="1"/>
    </xf>
    <xf numFmtId="0" fontId="19" fillId="5" borderId="0" xfId="0" applyFont="1" applyFill="1" applyAlignment="1">
      <alignment horizontal="center" vertical="center" wrapText="1"/>
    </xf>
    <xf numFmtId="0" fontId="86" fillId="3" borderId="31" xfId="0" applyFont="1" applyFill="1" applyBorder="1" applyAlignment="1">
      <alignment horizontal="left" vertical="center"/>
    </xf>
    <xf numFmtId="0" fontId="86" fillId="3" borderId="22" xfId="0" applyFont="1" applyFill="1" applyBorder="1" applyAlignment="1">
      <alignment horizontal="left" vertical="center"/>
    </xf>
    <xf numFmtId="0" fontId="86" fillId="3" borderId="33" xfId="0" applyFont="1" applyFill="1" applyBorder="1" applyAlignment="1">
      <alignment horizontal="left" vertical="center"/>
    </xf>
    <xf numFmtId="0" fontId="2" fillId="5" borderId="8" xfId="1" applyFont="1" applyFill="1" applyBorder="1" applyAlignment="1">
      <alignment horizontal="center" vertical="center" wrapText="1"/>
    </xf>
    <xf numFmtId="0" fontId="2" fillId="5" borderId="22" xfId="1" applyFont="1" applyFill="1" applyBorder="1" applyAlignment="1">
      <alignment horizontal="center" vertical="center" wrapText="1"/>
    </xf>
    <xf numFmtId="0" fontId="2" fillId="5" borderId="33" xfId="1" applyFont="1" applyFill="1" applyBorder="1" applyAlignment="1">
      <alignment horizontal="center" vertical="center" wrapText="1"/>
    </xf>
    <xf numFmtId="0" fontId="2" fillId="5" borderId="43" xfId="1" applyFont="1" applyFill="1" applyBorder="1" applyAlignment="1">
      <alignment horizontal="center" vertical="center" wrapText="1"/>
    </xf>
    <xf numFmtId="0" fontId="2" fillId="5" borderId="42" xfId="1" applyFont="1" applyFill="1" applyBorder="1" applyAlignment="1">
      <alignment horizontal="center" vertical="center" wrapText="1"/>
    </xf>
    <xf numFmtId="0" fontId="2" fillId="5" borderId="41" xfId="1" applyFont="1" applyFill="1" applyBorder="1" applyAlignment="1">
      <alignment horizontal="center" vertical="center" wrapText="1"/>
    </xf>
    <xf numFmtId="0" fontId="4" fillId="17" borderId="8" xfId="1" applyFont="1" applyFill="1" applyBorder="1" applyAlignment="1">
      <alignment horizontal="center" vertical="center" wrapText="1"/>
    </xf>
    <xf numFmtId="0" fontId="4" fillId="17" borderId="22" xfId="1" applyFont="1" applyFill="1" applyBorder="1" applyAlignment="1">
      <alignment horizontal="center" vertical="center" wrapText="1"/>
    </xf>
    <xf numFmtId="0" fontId="4" fillId="17" borderId="33" xfId="1" applyFont="1" applyFill="1" applyBorder="1" applyAlignment="1">
      <alignment horizontal="center" vertical="center" wrapText="1"/>
    </xf>
    <xf numFmtId="0" fontId="4" fillId="16" borderId="30" xfId="1" applyFont="1" applyFill="1" applyBorder="1" applyAlignment="1">
      <alignment horizontal="center" vertical="center" wrapText="1"/>
    </xf>
    <xf numFmtId="0" fontId="4" fillId="16" borderId="19" xfId="1" applyFont="1" applyFill="1" applyBorder="1" applyAlignment="1">
      <alignment horizontal="center" vertical="center" wrapText="1"/>
    </xf>
    <xf numFmtId="0" fontId="4" fillId="16" borderId="29" xfId="1" applyFont="1" applyFill="1" applyBorder="1" applyAlignment="1">
      <alignment horizontal="center" vertical="center" wrapText="1"/>
    </xf>
    <xf numFmtId="0" fontId="4" fillId="31" borderId="6" xfId="1" applyFont="1" applyFill="1" applyBorder="1" applyAlignment="1">
      <alignment horizontal="center" vertical="center" wrapText="1"/>
    </xf>
    <xf numFmtId="0" fontId="4" fillId="31" borderId="17" xfId="1" applyFont="1" applyFill="1" applyBorder="1" applyAlignment="1">
      <alignment horizontal="center" vertical="center" wrapText="1"/>
    </xf>
    <xf numFmtId="0" fontId="4" fillId="31" borderId="7" xfId="1" applyFont="1" applyFill="1" applyBorder="1" applyAlignment="1">
      <alignment horizontal="center" vertical="center" wrapText="1"/>
    </xf>
    <xf numFmtId="0" fontId="10" fillId="5" borderId="31" xfId="1" applyFont="1" applyFill="1" applyBorder="1" applyAlignment="1">
      <alignment horizontal="center" vertical="center" wrapText="1"/>
    </xf>
    <xf numFmtId="0" fontId="10" fillId="5" borderId="22" xfId="1" applyFont="1" applyFill="1" applyBorder="1" applyAlignment="1">
      <alignment horizontal="center" vertical="center" wrapText="1"/>
    </xf>
    <xf numFmtId="0" fontId="10" fillId="5" borderId="44" xfId="1" applyFont="1" applyFill="1" applyBorder="1" applyAlignment="1">
      <alignment horizontal="center" vertical="center" wrapText="1"/>
    </xf>
    <xf numFmtId="0" fontId="10" fillId="5" borderId="42" xfId="1" applyFont="1" applyFill="1" applyBorder="1" applyAlignment="1">
      <alignment horizontal="center" vertical="center" wrapText="1"/>
    </xf>
    <xf numFmtId="0" fontId="4" fillId="5" borderId="13" xfId="1" applyFont="1" applyFill="1" applyBorder="1" applyAlignment="1">
      <alignment horizontal="left" vertical="center" wrapText="1"/>
    </xf>
    <xf numFmtId="0" fontId="4" fillId="5" borderId="119" xfId="1" applyFont="1" applyFill="1" applyBorder="1" applyAlignment="1">
      <alignment horizontal="left" vertical="center" wrapText="1"/>
    </xf>
    <xf numFmtId="0" fontId="10" fillId="3" borderId="44" xfId="1" applyFont="1" applyFill="1" applyBorder="1" applyAlignment="1">
      <alignment horizontal="left" vertical="center" wrapText="1"/>
    </xf>
    <xf numFmtId="0" fontId="10" fillId="3" borderId="42" xfId="1" applyFont="1" applyFill="1" applyBorder="1" applyAlignment="1">
      <alignment horizontal="left" vertical="center" wrapText="1"/>
    </xf>
    <xf numFmtId="0" fontId="10" fillId="3" borderId="16" xfId="1" applyFont="1" applyFill="1" applyBorder="1" applyAlignment="1">
      <alignment horizontal="left" vertical="center" wrapText="1"/>
    </xf>
    <xf numFmtId="0" fontId="4" fillId="0" borderId="30" xfId="1" applyFont="1" applyBorder="1" applyAlignment="1">
      <alignment horizontal="left" vertical="center" wrapText="1"/>
    </xf>
    <xf numFmtId="0" fontId="4" fillId="0" borderId="19" xfId="1" applyFont="1" applyBorder="1" applyAlignment="1">
      <alignment horizontal="left" vertical="center" wrapText="1"/>
    </xf>
    <xf numFmtId="0" fontId="4" fillId="0" borderId="29" xfId="1" applyFont="1" applyBorder="1" applyAlignment="1">
      <alignment horizontal="left" vertical="center" wrapText="1"/>
    </xf>
    <xf numFmtId="0" fontId="4" fillId="3" borderId="14" xfId="1" applyFont="1" applyFill="1" applyBorder="1" applyAlignment="1">
      <alignment horizontal="left" vertical="center" wrapText="1"/>
    </xf>
    <xf numFmtId="0" fontId="4" fillId="3" borderId="15" xfId="1" applyFont="1" applyFill="1" applyBorder="1" applyAlignment="1">
      <alignment horizontal="left" vertical="center" wrapText="1"/>
    </xf>
    <xf numFmtId="0" fontId="4" fillId="3" borderId="16" xfId="1" applyFont="1" applyFill="1" applyBorder="1" applyAlignment="1">
      <alignment horizontal="left" vertical="center" wrapText="1"/>
    </xf>
    <xf numFmtId="0" fontId="4" fillId="3" borderId="35" xfId="1" applyFont="1" applyFill="1" applyBorder="1" applyAlignment="1">
      <alignment horizontal="center" vertical="center" wrapText="1"/>
    </xf>
    <xf numFmtId="0" fontId="4" fillId="3" borderId="12" xfId="1" applyFont="1" applyFill="1" applyBorder="1" applyAlignment="1">
      <alignment horizontal="center" vertical="center" wrapText="1"/>
    </xf>
    <xf numFmtId="0" fontId="4" fillId="31" borderId="4" xfId="1" applyFont="1" applyFill="1" applyBorder="1" applyAlignment="1">
      <alignment horizontal="center" vertical="center" wrapText="1"/>
    </xf>
    <xf numFmtId="0" fontId="4" fillId="31" borderId="13" xfId="1" applyFont="1" applyFill="1" applyBorder="1" applyAlignment="1">
      <alignment horizontal="center" vertical="center" wrapText="1"/>
    </xf>
    <xf numFmtId="0" fontId="4" fillId="31" borderId="5" xfId="1" applyFont="1" applyFill="1" applyBorder="1" applyAlignment="1">
      <alignment horizontal="center" vertical="center" wrapText="1"/>
    </xf>
    <xf numFmtId="0" fontId="4" fillId="3" borderId="14" xfId="1" quotePrefix="1" applyFont="1" applyFill="1" applyBorder="1" applyAlignment="1">
      <alignment horizontal="left" vertical="center" wrapText="1"/>
    </xf>
    <xf numFmtId="0" fontId="4" fillId="3" borderId="31" xfId="1" applyFont="1" applyFill="1" applyBorder="1" applyAlignment="1">
      <alignment horizontal="left" vertical="center" wrapText="1"/>
    </xf>
    <xf numFmtId="0" fontId="4" fillId="16" borderId="31" xfId="1" applyFont="1" applyFill="1" applyBorder="1" applyAlignment="1">
      <alignment horizontal="center" vertical="center" wrapText="1"/>
    </xf>
    <xf numFmtId="0" fontId="4" fillId="16" borderId="22" xfId="1" applyFont="1" applyFill="1" applyBorder="1" applyAlignment="1">
      <alignment horizontal="center" vertical="center" wrapText="1"/>
    </xf>
    <xf numFmtId="0" fontId="4" fillId="16" borderId="33" xfId="1" applyFont="1" applyFill="1" applyBorder="1" applyAlignment="1">
      <alignment horizontal="center" vertical="center" wrapText="1"/>
    </xf>
    <xf numFmtId="0" fontId="4" fillId="11" borderId="31" xfId="2" applyFont="1" applyFill="1" applyBorder="1" applyAlignment="1">
      <alignment horizontal="center" vertical="center" wrapText="1"/>
    </xf>
    <xf numFmtId="0" fontId="4" fillId="11" borderId="15" xfId="2" applyFont="1" applyFill="1" applyBorder="1" applyAlignment="1">
      <alignment horizontal="center" vertical="center" wrapText="1"/>
    </xf>
    <xf numFmtId="0" fontId="4" fillId="11" borderId="16" xfId="2" applyFont="1" applyFill="1" applyBorder="1" applyAlignment="1">
      <alignment horizontal="center" vertical="center" wrapText="1"/>
    </xf>
    <xf numFmtId="0" fontId="4" fillId="17" borderId="14" xfId="2" applyFont="1" applyFill="1" applyBorder="1" applyAlignment="1">
      <alignment horizontal="center" vertical="center" wrapText="1"/>
    </xf>
    <xf numFmtId="0" fontId="4" fillId="17" borderId="15" xfId="2" applyFont="1" applyFill="1" applyBorder="1" applyAlignment="1">
      <alignment horizontal="center" vertical="center" wrapText="1"/>
    </xf>
    <xf numFmtId="0" fontId="4" fillId="17" borderId="16" xfId="2" applyFont="1" applyFill="1" applyBorder="1" applyAlignment="1">
      <alignment horizontal="center" vertical="center" wrapText="1"/>
    </xf>
    <xf numFmtId="0" fontId="4" fillId="16" borderId="14" xfId="2" applyFont="1" applyFill="1" applyBorder="1" applyAlignment="1">
      <alignment horizontal="center" vertical="center" wrapText="1"/>
    </xf>
    <xf numFmtId="0" fontId="4" fillId="16" borderId="15" xfId="2" applyFont="1" applyFill="1" applyBorder="1" applyAlignment="1">
      <alignment horizontal="center" vertical="center" wrapText="1"/>
    </xf>
    <xf numFmtId="0" fontId="4" fillId="16" borderId="16" xfId="2" applyFont="1" applyFill="1" applyBorder="1" applyAlignment="1">
      <alignment horizontal="center" vertical="center" wrapText="1"/>
    </xf>
    <xf numFmtId="0" fontId="26" fillId="0" borderId="112" xfId="2" applyBorder="1" applyAlignment="1" applyProtection="1">
      <alignment horizontal="left"/>
      <protection locked="0"/>
    </xf>
    <xf numFmtId="0" fontId="26" fillId="0" borderId="114" xfId="2" applyBorder="1" applyAlignment="1" applyProtection="1">
      <alignment horizontal="left"/>
      <protection locked="0"/>
    </xf>
    <xf numFmtId="0" fontId="4" fillId="17" borderId="30" xfId="2" applyFont="1" applyFill="1" applyBorder="1" applyAlignment="1">
      <alignment horizontal="left" vertical="center" wrapText="1"/>
    </xf>
    <xf numFmtId="0" fontId="4" fillId="17" borderId="29" xfId="2" applyFont="1" applyFill="1" applyBorder="1" applyAlignment="1">
      <alignment horizontal="left" vertical="center" wrapText="1"/>
    </xf>
    <xf numFmtId="0" fontId="4" fillId="2" borderId="130" xfId="2" applyFont="1" applyFill="1" applyBorder="1" applyAlignment="1">
      <alignment horizontal="left" vertical="center" wrapText="1"/>
    </xf>
    <xf numFmtId="0" fontId="4" fillId="2" borderId="110" xfId="2" applyFont="1" applyFill="1" applyBorder="1" applyAlignment="1">
      <alignment horizontal="left" vertical="center" wrapText="1"/>
    </xf>
    <xf numFmtId="0" fontId="4" fillId="17" borderId="83" xfId="1" applyFont="1" applyFill="1" applyBorder="1" applyAlignment="1">
      <alignment horizontal="center" vertical="center" wrapText="1"/>
    </xf>
    <xf numFmtId="0" fontId="4" fillId="17" borderId="84" xfId="1" applyFont="1" applyFill="1" applyBorder="1" applyAlignment="1">
      <alignment horizontal="center" vertical="center" wrapText="1"/>
    </xf>
    <xf numFmtId="0" fontId="4" fillId="16" borderId="84" xfId="1" applyFont="1" applyFill="1" applyBorder="1" applyAlignment="1">
      <alignment horizontal="center" vertical="center" wrapText="1"/>
    </xf>
    <xf numFmtId="0" fontId="4" fillId="31" borderId="48" xfId="1" applyFont="1" applyFill="1" applyBorder="1" applyAlignment="1">
      <alignment horizontal="center" vertical="center" wrapText="1"/>
    </xf>
    <xf numFmtId="0" fontId="4" fillId="31" borderId="47" xfId="1" applyFont="1" applyFill="1" applyBorder="1" applyAlignment="1">
      <alignment horizontal="center" vertical="center" wrapText="1"/>
    </xf>
    <xf numFmtId="0" fontId="4" fillId="31" borderId="52" xfId="1" applyFont="1" applyFill="1" applyBorder="1" applyAlignment="1">
      <alignment horizontal="center" vertical="center" wrapText="1"/>
    </xf>
    <xf numFmtId="15" fontId="2" fillId="20" borderId="8" xfId="1" applyNumberFormat="1" applyFont="1" applyFill="1" applyBorder="1" applyAlignment="1">
      <alignment horizontal="center" vertical="center" wrapText="1"/>
    </xf>
    <xf numFmtId="15" fontId="2" fillId="20" borderId="22" xfId="1" applyNumberFormat="1" applyFont="1" applyFill="1" applyBorder="1" applyAlignment="1">
      <alignment horizontal="center" vertical="center" wrapText="1"/>
    </xf>
    <xf numFmtId="15" fontId="2" fillId="20" borderId="33" xfId="1" applyNumberFormat="1" applyFont="1" applyFill="1" applyBorder="1" applyAlignment="1">
      <alignment horizontal="center" vertical="center" wrapText="1"/>
    </xf>
    <xf numFmtId="15" fontId="2" fillId="20" borderId="43" xfId="1" applyNumberFormat="1" applyFont="1" applyFill="1" applyBorder="1" applyAlignment="1">
      <alignment horizontal="center" vertical="center" wrapText="1"/>
    </xf>
    <xf numFmtId="15" fontId="2" fillId="20" borderId="42" xfId="1" applyNumberFormat="1" applyFont="1" applyFill="1" applyBorder="1" applyAlignment="1">
      <alignment horizontal="center" vertical="center" wrapText="1"/>
    </xf>
    <xf numFmtId="15" fontId="2" fillId="20" borderId="41" xfId="1" applyNumberFormat="1" applyFont="1" applyFill="1" applyBorder="1" applyAlignment="1">
      <alignment horizontal="center" vertical="center" wrapText="1"/>
    </xf>
    <xf numFmtId="0" fontId="32" fillId="5" borderId="42" xfId="1" applyFont="1" applyFill="1" applyBorder="1" applyAlignment="1">
      <alignment horizontal="left" vertical="center"/>
    </xf>
    <xf numFmtId="0" fontId="4" fillId="5" borderId="46" xfId="1" applyFont="1" applyFill="1" applyBorder="1" applyAlignment="1">
      <alignment horizontal="left" vertical="center" wrapText="1"/>
    </xf>
    <xf numFmtId="0" fontId="4" fillId="5" borderId="15" xfId="1" applyFont="1" applyFill="1" applyBorder="1" applyAlignment="1">
      <alignment horizontal="left" vertical="center" wrapText="1"/>
    </xf>
    <xf numFmtId="0" fontId="3" fillId="20" borderId="14" xfId="1" applyFont="1" applyFill="1" applyBorder="1" applyAlignment="1">
      <alignment horizontal="left" vertical="center" wrapText="1"/>
    </xf>
    <xf numFmtId="0" fontId="3" fillId="20" borderId="15" xfId="1" applyFont="1" applyFill="1" applyBorder="1" applyAlignment="1">
      <alignment horizontal="left" vertical="center" wrapText="1"/>
    </xf>
    <xf numFmtId="0" fontId="3" fillId="20" borderId="16" xfId="1" applyFont="1" applyFill="1" applyBorder="1" applyAlignment="1">
      <alignment horizontal="left" vertical="center" wrapText="1"/>
    </xf>
    <xf numFmtId="0" fontId="4" fillId="3" borderId="4" xfId="1" applyFont="1" applyFill="1" applyBorder="1" applyAlignment="1">
      <alignment horizontal="center" vertical="center" wrapText="1"/>
    </xf>
    <xf numFmtId="0" fontId="4" fillId="3" borderId="9" xfId="1" applyFont="1" applyFill="1" applyBorder="1" applyAlignment="1">
      <alignment horizontal="center" vertical="center" wrapText="1"/>
    </xf>
    <xf numFmtId="0" fontId="4" fillId="14" borderId="14" xfId="1" applyFont="1" applyFill="1" applyBorder="1" applyAlignment="1">
      <alignment horizontal="center" vertical="center" wrapText="1"/>
    </xf>
    <xf numFmtId="0" fontId="4" fillId="14" borderId="16" xfId="1" applyFont="1" applyFill="1" applyBorder="1" applyAlignment="1">
      <alignment horizontal="center" vertical="center" wrapText="1"/>
    </xf>
    <xf numFmtId="0" fontId="32" fillId="20" borderId="31" xfId="1" applyFont="1" applyFill="1" applyBorder="1" applyAlignment="1">
      <alignment horizontal="center" vertical="center" wrapText="1"/>
    </xf>
    <xf numFmtId="0" fontId="32" fillId="20" borderId="22" xfId="1" applyFont="1" applyFill="1" applyBorder="1" applyAlignment="1">
      <alignment horizontal="center" vertical="center" wrapText="1"/>
    </xf>
    <xf numFmtId="0" fontId="32" fillId="20" borderId="21" xfId="1" applyFont="1" applyFill="1" applyBorder="1" applyAlignment="1">
      <alignment horizontal="center" vertical="center" wrapText="1"/>
    </xf>
    <xf numFmtId="0" fontId="32" fillId="20" borderId="44" xfId="1" applyFont="1" applyFill="1" applyBorder="1" applyAlignment="1">
      <alignment horizontal="center" vertical="center" wrapText="1"/>
    </xf>
    <xf numFmtId="0" fontId="32" fillId="20" borderId="42" xfId="1" applyFont="1" applyFill="1" applyBorder="1" applyAlignment="1">
      <alignment horizontal="center" vertical="center" wrapText="1"/>
    </xf>
    <xf numFmtId="0" fontId="32" fillId="20" borderId="49" xfId="1" applyFont="1" applyFill="1" applyBorder="1" applyAlignment="1">
      <alignment horizontal="center" vertical="center" wrapText="1"/>
    </xf>
    <xf numFmtId="0" fontId="4" fillId="20" borderId="119" xfId="1" applyFont="1" applyFill="1" applyBorder="1" applyAlignment="1">
      <alignment horizontal="left" vertical="center" wrapText="1"/>
    </xf>
    <xf numFmtId="0" fontId="10" fillId="20" borderId="14" xfId="1" applyFont="1" applyFill="1" applyBorder="1" applyAlignment="1">
      <alignment horizontal="left" vertical="center" wrapText="1"/>
    </xf>
    <xf numFmtId="0" fontId="10" fillId="20" borderId="15" xfId="1" applyFont="1" applyFill="1" applyBorder="1" applyAlignment="1">
      <alignment horizontal="left" vertical="center" wrapText="1"/>
    </xf>
    <xf numFmtId="0" fontId="4" fillId="17" borderId="14" xfId="1" applyFont="1" applyFill="1" applyBorder="1" applyAlignment="1">
      <alignment horizontal="center" vertical="center" wrapText="1"/>
    </xf>
    <xf numFmtId="0" fontId="4" fillId="17" borderId="15" xfId="1" applyFont="1" applyFill="1" applyBorder="1" applyAlignment="1">
      <alignment horizontal="center" vertical="center" wrapText="1"/>
    </xf>
    <xf numFmtId="0" fontId="4" fillId="17" borderId="16" xfId="1" applyFont="1" applyFill="1" applyBorder="1" applyAlignment="1">
      <alignment horizontal="center" vertical="center" wrapText="1"/>
    </xf>
    <xf numFmtId="0" fontId="4" fillId="0" borderId="105" xfId="1" applyFont="1" applyBorder="1" applyAlignment="1">
      <alignment horizontal="left" vertical="center" wrapText="1"/>
    </xf>
    <xf numFmtId="0" fontId="4" fillId="0" borderId="111" xfId="1" applyFont="1" applyBorder="1" applyAlignment="1">
      <alignment horizontal="left" vertical="center" wrapText="1"/>
    </xf>
    <xf numFmtId="0" fontId="2" fillId="21" borderId="112" xfId="1" applyFont="1" applyFill="1" applyBorder="1" applyAlignment="1" applyProtection="1">
      <alignment horizontal="center" vertical="center"/>
      <protection locked="0"/>
    </xf>
    <xf numFmtId="0" fontId="2" fillId="21" borderId="114" xfId="1" applyFont="1" applyFill="1" applyBorder="1" applyAlignment="1" applyProtection="1">
      <alignment horizontal="center" vertical="center"/>
      <protection locked="0"/>
    </xf>
    <xf numFmtId="0" fontId="2" fillId="0" borderId="105" xfId="1" applyFont="1" applyBorder="1" applyAlignment="1">
      <alignment horizontal="left" vertical="center" wrapText="1"/>
    </xf>
    <xf numFmtId="0" fontId="2" fillId="0" borderId="111" xfId="1" applyFont="1" applyBorder="1" applyAlignment="1">
      <alignment horizontal="left" vertical="center" wrapText="1"/>
    </xf>
    <xf numFmtId="0" fontId="2" fillId="0" borderId="112" xfId="1" applyFont="1" applyBorder="1" applyAlignment="1" applyProtection="1">
      <alignment horizontal="left" vertical="center" wrapText="1"/>
      <protection locked="0"/>
    </xf>
    <xf numFmtId="0" fontId="2" fillId="0" borderId="114" xfId="1" applyFont="1" applyBorder="1" applyAlignment="1" applyProtection="1">
      <alignment horizontal="left" vertical="center" wrapText="1"/>
      <protection locked="0"/>
    </xf>
    <xf numFmtId="0" fontId="2" fillId="0" borderId="105" xfId="1" applyFont="1" applyBorder="1" applyAlignment="1">
      <alignment horizontal="left" vertical="center"/>
    </xf>
    <xf numFmtId="0" fontId="2" fillId="0" borderId="111" xfId="1" applyFont="1" applyBorder="1" applyAlignment="1">
      <alignment horizontal="left" vertical="center"/>
    </xf>
    <xf numFmtId="0" fontId="4" fillId="3" borderId="13" xfId="1" applyFont="1" applyFill="1" applyBorder="1" applyAlignment="1">
      <alignment horizontal="center" vertical="center" wrapText="1"/>
    </xf>
    <xf numFmtId="0" fontId="4" fillId="14" borderId="13" xfId="1" applyFont="1" applyFill="1" applyBorder="1" applyAlignment="1">
      <alignment horizontal="center" vertical="center" wrapText="1"/>
    </xf>
    <xf numFmtId="174" fontId="4" fillId="21" borderId="111" xfId="1" applyNumberFormat="1" applyFont="1" applyFill="1" applyBorder="1" applyAlignment="1" applyProtection="1">
      <alignment horizontal="center" vertical="center" wrapText="1"/>
      <protection locked="0"/>
    </xf>
    <xf numFmtId="0" fontId="2" fillId="0" borderId="111" xfId="1" applyFont="1" applyBorder="1" applyAlignment="1" applyProtection="1">
      <alignment horizontal="left" vertical="center" wrapText="1"/>
      <protection locked="0"/>
    </xf>
    <xf numFmtId="0" fontId="4" fillId="16" borderId="14" xfId="1" applyFont="1" applyFill="1" applyBorder="1" applyAlignment="1">
      <alignment horizontal="center" vertical="center" wrapText="1"/>
    </xf>
    <xf numFmtId="0" fontId="4" fillId="16" borderId="16" xfId="1" applyFont="1" applyFill="1" applyBorder="1" applyAlignment="1">
      <alignment horizontal="center" vertical="center" wrapText="1"/>
    </xf>
    <xf numFmtId="0" fontId="2" fillId="0" borderId="122" xfId="1" applyFont="1" applyBorder="1" applyAlignment="1">
      <alignment horizontal="left" vertical="center" wrapText="1"/>
    </xf>
    <xf numFmtId="0" fontId="2" fillId="0" borderId="119" xfId="1" applyFont="1" applyBorder="1" applyAlignment="1">
      <alignment horizontal="left" vertical="center" wrapText="1"/>
    </xf>
    <xf numFmtId="0" fontId="2" fillId="0" borderId="119" xfId="1" applyFont="1" applyBorder="1" applyAlignment="1" applyProtection="1">
      <alignment horizontal="left" vertical="center" wrapText="1"/>
      <protection locked="0"/>
    </xf>
    <xf numFmtId="0" fontId="10" fillId="20" borderId="22" xfId="1" applyFont="1" applyFill="1" applyBorder="1" applyAlignment="1">
      <alignment horizontal="left" vertical="center" wrapText="1"/>
    </xf>
    <xf numFmtId="0" fontId="4" fillId="16" borderId="15" xfId="1" applyFont="1" applyFill="1" applyBorder="1" applyAlignment="1">
      <alignment horizontal="center" vertical="center" wrapText="1"/>
    </xf>
    <xf numFmtId="0" fontId="4" fillId="0" borderId="105" xfId="1" applyFont="1" applyBorder="1" applyAlignment="1">
      <alignment horizontal="left" vertical="center"/>
    </xf>
    <xf numFmtId="0" fontId="4" fillId="0" borderId="111" xfId="1" applyFont="1" applyBorder="1" applyAlignment="1">
      <alignment horizontal="left" vertical="center"/>
    </xf>
    <xf numFmtId="0" fontId="2" fillId="21" borderId="9" xfId="1" applyFont="1" applyFill="1" applyBorder="1" applyAlignment="1" applyProtection="1">
      <alignment horizontal="center" vertical="center"/>
      <protection locked="0"/>
    </xf>
    <xf numFmtId="0" fontId="2" fillId="21" borderId="20" xfId="1" applyFont="1" applyFill="1" applyBorder="1" applyAlignment="1" applyProtection="1">
      <alignment horizontal="center" vertical="center"/>
      <protection locked="0"/>
    </xf>
    <xf numFmtId="0" fontId="2" fillId="0" borderId="108" xfId="1" applyFont="1" applyBorder="1" applyAlignment="1">
      <alignment horizontal="left" vertical="center" wrapText="1"/>
    </xf>
    <xf numFmtId="0" fontId="2" fillId="0" borderId="114" xfId="1" applyFont="1" applyBorder="1" applyAlignment="1">
      <alignment horizontal="left" vertical="center" wrapText="1"/>
    </xf>
    <xf numFmtId="0" fontId="4" fillId="8" borderId="14" xfId="1" applyFont="1" applyFill="1" applyBorder="1" applyAlignment="1">
      <alignment horizontal="left" vertical="center" wrapText="1"/>
    </xf>
    <xf numFmtId="0" fontId="4" fillId="8" borderId="15" xfId="1" applyFont="1" applyFill="1" applyBorder="1" applyAlignment="1">
      <alignment horizontal="left" vertical="center" wrapText="1"/>
    </xf>
    <xf numFmtId="0" fontId="32" fillId="20" borderId="0" xfId="1" applyFont="1" applyFill="1" applyAlignment="1">
      <alignment horizontal="left" vertical="center" wrapText="1"/>
    </xf>
    <xf numFmtId="0" fontId="10" fillId="5" borderId="0" xfId="1" applyFont="1" applyFill="1" applyAlignment="1">
      <alignment horizontal="left" vertical="center"/>
    </xf>
    <xf numFmtId="0" fontId="4" fillId="8" borderId="14" xfId="1" applyFont="1" applyFill="1" applyBorder="1" applyAlignment="1">
      <alignment horizontal="center" vertical="center" wrapText="1"/>
    </xf>
    <xf numFmtId="0" fontId="4" fillId="8" borderId="15" xfId="1" applyFont="1" applyFill="1" applyBorder="1" applyAlignment="1">
      <alignment horizontal="center" vertical="center" wrapText="1"/>
    </xf>
    <xf numFmtId="0" fontId="4" fillId="8" borderId="16" xfId="1" applyFont="1" applyFill="1" applyBorder="1" applyAlignment="1">
      <alignment horizontal="center" vertical="center" wrapText="1"/>
    </xf>
    <xf numFmtId="0" fontId="4" fillId="8" borderId="3" xfId="1" applyFont="1" applyFill="1" applyBorder="1" applyAlignment="1">
      <alignment horizontal="left" vertical="center" wrapText="1"/>
    </xf>
    <xf numFmtId="0" fontId="2" fillId="8" borderId="3" xfId="1" applyFont="1" applyFill="1" applyBorder="1" applyAlignment="1"/>
    <xf numFmtId="0" fontId="2" fillId="0" borderId="14" xfId="1" applyFont="1" applyBorder="1" applyAlignment="1" applyProtection="1">
      <alignment horizontal="left" vertical="top" wrapText="1"/>
      <protection locked="0"/>
    </xf>
    <xf numFmtId="0" fontId="2" fillId="0" borderId="15" xfId="1" applyFont="1" applyBorder="1" applyAlignment="1" applyProtection="1">
      <alignment horizontal="left" vertical="top" wrapText="1"/>
      <protection locked="0"/>
    </xf>
    <xf numFmtId="0" fontId="2" fillId="0" borderId="16" xfId="1" applyFont="1" applyBorder="1" applyAlignment="1" applyProtection="1">
      <alignment horizontal="left" vertical="top" wrapText="1"/>
      <protection locked="0"/>
    </xf>
    <xf numFmtId="0" fontId="2" fillId="8" borderId="10" xfId="1" applyFont="1" applyFill="1" applyBorder="1" applyAlignment="1">
      <alignment horizontal="left" vertical="center"/>
    </xf>
    <xf numFmtId="0" fontId="2" fillId="8" borderId="18" xfId="1" applyFont="1" applyFill="1" applyBorder="1" applyAlignment="1">
      <alignment horizontal="left" vertical="center"/>
    </xf>
    <xf numFmtId="0" fontId="2" fillId="2" borderId="30" xfId="1" applyFont="1" applyFill="1" applyBorder="1" applyAlignment="1" applyProtection="1">
      <alignment horizontal="left" vertical="center"/>
      <protection locked="0"/>
    </xf>
    <xf numFmtId="0" fontId="2" fillId="2" borderId="19" xfId="1" applyFont="1" applyFill="1" applyBorder="1" applyAlignment="1" applyProtection="1">
      <alignment horizontal="left" vertical="center"/>
      <protection locked="0"/>
    </xf>
    <xf numFmtId="0" fontId="2" fillId="2" borderId="29" xfId="1" applyFont="1" applyFill="1" applyBorder="1" applyAlignment="1" applyProtection="1">
      <alignment horizontal="left" vertical="center"/>
      <protection locked="0"/>
    </xf>
    <xf numFmtId="0" fontId="2" fillId="8" borderId="105" xfId="1" applyFont="1" applyFill="1" applyBorder="1" applyAlignment="1">
      <alignment horizontal="left" vertical="center"/>
    </xf>
    <xf numFmtId="0" fontId="2" fillId="8" borderId="111" xfId="1" applyFont="1" applyFill="1" applyBorder="1" applyAlignment="1">
      <alignment horizontal="left" vertical="center"/>
    </xf>
    <xf numFmtId="0" fontId="2" fillId="2" borderId="108" xfId="1" applyFont="1" applyFill="1" applyBorder="1" applyAlignment="1" applyProtection="1">
      <alignment horizontal="left" vertical="center"/>
      <protection locked="0"/>
    </xf>
    <xf numFmtId="0" fontId="2" fillId="2" borderId="113" xfId="1" applyFont="1" applyFill="1" applyBorder="1" applyAlignment="1" applyProtection="1">
      <alignment horizontal="left" vertical="center"/>
      <protection locked="0"/>
    </xf>
    <xf numFmtId="0" fontId="2" fillId="2" borderId="121" xfId="1" applyFont="1" applyFill="1" applyBorder="1" applyAlignment="1" applyProtection="1">
      <alignment horizontal="left" vertical="center"/>
      <protection locked="0"/>
    </xf>
    <xf numFmtId="0" fontId="2" fillId="2" borderId="40" xfId="1" applyFont="1" applyFill="1" applyBorder="1" applyAlignment="1" applyProtection="1">
      <alignment horizontal="left" vertical="center" wrapText="1"/>
      <protection locked="0"/>
    </xf>
    <xf numFmtId="0" fontId="2" fillId="2" borderId="0" xfId="1" applyFont="1" applyFill="1" applyAlignment="1" applyProtection="1">
      <alignment horizontal="left" vertical="center" wrapText="1"/>
      <protection locked="0"/>
    </xf>
    <xf numFmtId="0" fontId="2" fillId="2" borderId="125" xfId="1" applyFont="1" applyFill="1" applyBorder="1" applyAlignment="1" applyProtection="1">
      <alignment horizontal="left" vertical="center" wrapText="1"/>
      <protection locked="0"/>
    </xf>
    <xf numFmtId="0" fontId="2" fillId="2" borderId="115" xfId="1" applyFont="1" applyFill="1" applyBorder="1" applyAlignment="1" applyProtection="1">
      <alignment horizontal="left" vertical="center"/>
      <protection locked="0"/>
    </xf>
    <xf numFmtId="0" fontId="2" fillId="2" borderId="132" xfId="1" applyFont="1" applyFill="1" applyBorder="1" applyAlignment="1" applyProtection="1">
      <alignment horizontal="left" vertical="center"/>
      <protection locked="0"/>
    </xf>
    <xf numFmtId="0" fontId="4" fillId="16" borderId="54" xfId="1" applyFont="1" applyFill="1" applyBorder="1" applyAlignment="1">
      <alignment horizontal="left" vertical="center"/>
    </xf>
    <xf numFmtId="0" fontId="4" fillId="16" borderId="43" xfId="1" applyFont="1" applyFill="1" applyBorder="1" applyAlignment="1">
      <alignment horizontal="left" vertical="center"/>
    </xf>
    <xf numFmtId="0" fontId="4" fillId="16" borderId="53" xfId="1" applyFont="1" applyFill="1" applyBorder="1" applyAlignment="1">
      <alignment horizontal="center" vertical="center" wrapText="1"/>
    </xf>
    <xf numFmtId="0" fontId="2" fillId="16" borderId="47" xfId="1" applyFont="1" applyFill="1" applyBorder="1" applyAlignment="1">
      <alignment horizontal="center" vertical="center" wrapText="1"/>
    </xf>
    <xf numFmtId="0" fontId="2" fillId="16" borderId="47" xfId="1" applyFont="1" applyFill="1" applyBorder="1" applyAlignment="1">
      <alignment vertical="center" wrapText="1"/>
    </xf>
    <xf numFmtId="0" fontId="2" fillId="16" borderId="52" xfId="1" applyFont="1" applyFill="1" applyBorder="1" applyAlignment="1">
      <alignment vertical="center" wrapText="1"/>
    </xf>
    <xf numFmtId="0" fontId="2" fillId="8" borderId="108" xfId="1" applyFont="1" applyFill="1" applyBorder="1" applyAlignment="1">
      <alignment horizontal="left" vertical="center"/>
    </xf>
    <xf numFmtId="0" fontId="2" fillId="8" borderId="121" xfId="1" applyFont="1" applyFill="1" applyBorder="1" applyAlignment="1">
      <alignment horizontal="left" vertical="center"/>
    </xf>
    <xf numFmtId="0" fontId="2" fillId="2" borderId="108" xfId="1" applyFont="1" applyFill="1" applyBorder="1" applyAlignment="1" applyProtection="1">
      <alignment horizontal="left" vertical="center" wrapText="1"/>
      <protection locked="0"/>
    </xf>
    <xf numFmtId="0" fontId="2" fillId="8" borderId="127" xfId="1" applyFont="1" applyFill="1" applyBorder="1" applyAlignment="1">
      <alignment horizontal="left" vertical="center"/>
    </xf>
    <xf numFmtId="0" fontId="2" fillId="8" borderId="128" xfId="1" applyFont="1" applyFill="1" applyBorder="1" applyAlignment="1">
      <alignment horizontal="left" vertical="center"/>
    </xf>
    <xf numFmtId="0" fontId="2" fillId="2" borderId="130" xfId="1" applyFont="1" applyFill="1" applyBorder="1" applyAlignment="1" applyProtection="1">
      <alignment horizontal="left" vertical="center"/>
      <protection locked="0"/>
    </xf>
    <xf numFmtId="0" fontId="2" fillId="2" borderId="109" xfId="1" applyFont="1" applyFill="1" applyBorder="1" applyAlignment="1" applyProtection="1">
      <alignment horizontal="left" vertical="center"/>
      <protection locked="0"/>
    </xf>
    <xf numFmtId="0" fontId="2" fillId="2" borderId="110" xfId="1" applyFont="1" applyFill="1" applyBorder="1" applyAlignment="1" applyProtection="1">
      <alignment horizontal="left" vertical="center"/>
      <protection locked="0"/>
    </xf>
    <xf numFmtId="0" fontId="4" fillId="2" borderId="15" xfId="1" applyFont="1" applyFill="1" applyBorder="1" applyAlignment="1">
      <alignment horizontal="right" vertical="center"/>
    </xf>
    <xf numFmtId="0" fontId="4" fillId="2" borderId="0" xfId="1" applyFont="1" applyFill="1" applyAlignment="1">
      <alignment horizontal="right" vertical="center"/>
    </xf>
    <xf numFmtId="0" fontId="4" fillId="8" borderId="14" xfId="1" applyFont="1" applyFill="1" applyBorder="1" applyAlignment="1">
      <alignment horizontal="left" vertical="center"/>
    </xf>
    <xf numFmtId="0" fontId="4" fillId="8" borderId="15" xfId="1" applyFont="1" applyFill="1" applyBorder="1" applyAlignment="1">
      <alignment horizontal="left" vertical="center"/>
    </xf>
    <xf numFmtId="0" fontId="4" fillId="8" borderId="16" xfId="1" applyFont="1" applyFill="1" applyBorder="1" applyAlignment="1">
      <alignment horizontal="left" vertical="center"/>
    </xf>
    <xf numFmtId="0" fontId="2" fillId="2" borderId="14" xfId="1" applyFont="1" applyFill="1" applyBorder="1" applyAlignment="1" applyProtection="1">
      <alignment horizontal="left" vertical="center" wrapText="1"/>
      <protection locked="0"/>
    </xf>
    <xf numFmtId="0" fontId="2" fillId="2" borderId="15" xfId="1" applyFont="1" applyFill="1" applyBorder="1" applyAlignment="1" applyProtection="1">
      <alignment horizontal="left" vertical="center"/>
      <protection locked="0"/>
    </xf>
    <xf numFmtId="0" fontId="2" fillId="2" borderId="16" xfId="1" applyFont="1" applyFill="1" applyBorder="1" applyAlignment="1" applyProtection="1">
      <alignment horizontal="left" vertical="center"/>
      <protection locked="0"/>
    </xf>
    <xf numFmtId="0" fontId="10" fillId="5" borderId="58" xfId="1" applyFont="1" applyFill="1" applyBorder="1" applyAlignment="1">
      <alignment horizontal="left" vertical="center"/>
    </xf>
    <xf numFmtId="0" fontId="4" fillId="16" borderId="53" xfId="1" applyFont="1" applyFill="1" applyBorder="1" applyAlignment="1">
      <alignment horizontal="left" vertical="center" wrapText="1"/>
    </xf>
    <xf numFmtId="0" fontId="2" fillId="16" borderId="46" xfId="1" applyFont="1" applyFill="1" applyBorder="1" applyAlignment="1">
      <alignment wrapText="1"/>
    </xf>
    <xf numFmtId="0" fontId="2" fillId="4" borderId="15" xfId="1" applyFont="1" applyFill="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0" fontId="2" fillId="0" borderId="16" xfId="1" applyFont="1" applyBorder="1" applyAlignment="1" applyProtection="1">
      <alignment horizontal="left" vertical="center" wrapText="1"/>
      <protection locked="0"/>
    </xf>
    <xf numFmtId="0" fontId="36" fillId="16" borderId="42" xfId="1" applyFont="1" applyFill="1" applyBorder="1" applyAlignment="1">
      <alignment horizontal="left" vertical="center" wrapText="1"/>
    </xf>
    <xf numFmtId="0" fontId="36" fillId="16" borderId="41" xfId="1" applyFont="1" applyFill="1" applyBorder="1" applyAlignment="1">
      <alignment horizontal="left" vertical="center" wrapText="1"/>
    </xf>
    <xf numFmtId="174" fontId="2" fillId="0" borderId="47" xfId="1" applyNumberFormat="1" applyFont="1" applyBorder="1" applyAlignment="1">
      <alignment horizontal="left" vertical="center"/>
    </xf>
    <xf numFmtId="0" fontId="2" fillId="0" borderId="47" xfId="1" applyFont="1" applyBorder="1" applyAlignment="1">
      <alignment horizontal="left" vertical="center"/>
    </xf>
    <xf numFmtId="0" fontId="4" fillId="16" borderId="47" xfId="1" applyFont="1" applyFill="1" applyBorder="1" applyAlignment="1">
      <alignment horizontal="center" vertical="center" wrapText="1"/>
    </xf>
    <xf numFmtId="0" fontId="2" fillId="16" borderId="10" xfId="1" applyFont="1" applyFill="1" applyBorder="1" applyAlignment="1">
      <alignment horizontal="left" vertical="center"/>
    </xf>
    <xf numFmtId="0" fontId="2" fillId="16" borderId="18" xfId="1" applyFont="1" applyFill="1" applyBorder="1" applyAlignment="1">
      <alignment horizontal="left" vertical="center"/>
    </xf>
    <xf numFmtId="174" fontId="2" fillId="0" borderId="18" xfId="1" applyNumberFormat="1" applyFont="1" applyBorder="1" applyAlignment="1" applyProtection="1">
      <alignment horizontal="left" vertical="center"/>
      <protection locked="0"/>
    </xf>
    <xf numFmtId="0" fontId="2" fillId="0" borderId="18" xfId="1" applyFont="1" applyBorder="1" applyAlignment="1" applyProtection="1">
      <alignment horizontal="left" vertical="center"/>
      <protection locked="0"/>
    </xf>
    <xf numFmtId="0" fontId="2" fillId="16" borderId="105" xfId="1" applyFont="1" applyFill="1" applyBorder="1" applyAlignment="1">
      <alignment horizontal="left" vertical="center"/>
    </xf>
    <xf numFmtId="0" fontId="2" fillId="16" borderId="111" xfId="1" applyFont="1" applyFill="1" applyBorder="1" applyAlignment="1">
      <alignment horizontal="left" vertical="center"/>
    </xf>
    <xf numFmtId="174" fontId="2" fillId="0" borderId="111" xfId="1" applyNumberFormat="1" applyFont="1" applyBorder="1" applyAlignment="1" applyProtection="1">
      <alignment horizontal="left" vertical="center"/>
      <protection locked="0"/>
    </xf>
    <xf numFmtId="0" fontId="2" fillId="0" borderId="111" xfId="1" applyFont="1" applyBorder="1" applyAlignment="1" applyProtection="1">
      <alignment horizontal="left" vertical="center"/>
      <protection locked="0"/>
    </xf>
    <xf numFmtId="0" fontId="2" fillId="16" borderId="135" xfId="1" applyFont="1" applyFill="1" applyBorder="1" applyAlignment="1">
      <alignment horizontal="left" vertical="center"/>
    </xf>
    <xf numFmtId="0" fontId="2" fillId="16" borderId="120" xfId="1" applyFont="1" applyFill="1" applyBorder="1" applyAlignment="1">
      <alignment horizontal="left" vertical="center"/>
    </xf>
    <xf numFmtId="0" fontId="2" fillId="2" borderId="31" xfId="1" applyFont="1" applyFill="1" applyBorder="1" applyAlignment="1" applyProtection="1">
      <alignment horizontal="left" vertical="center"/>
      <protection locked="0"/>
    </xf>
    <xf numFmtId="0" fontId="2" fillId="2" borderId="22" xfId="1" applyFont="1" applyFill="1" applyBorder="1" applyAlignment="1" applyProtection="1">
      <alignment horizontal="left" vertical="center"/>
      <protection locked="0"/>
    </xf>
    <xf numFmtId="0" fontId="2" fillId="2" borderId="33" xfId="1" applyFont="1" applyFill="1" applyBorder="1" applyAlignment="1" applyProtection="1">
      <alignment horizontal="left" vertical="center"/>
      <protection locked="0"/>
    </xf>
    <xf numFmtId="0" fontId="4" fillId="16" borderId="44" xfId="1" applyFont="1" applyFill="1" applyBorder="1" applyAlignment="1">
      <alignment horizontal="center" vertical="center" wrapText="1"/>
    </xf>
    <xf numFmtId="0" fontId="4" fillId="16" borderId="41" xfId="1" applyFont="1" applyFill="1" applyBorder="1" applyAlignment="1">
      <alignment horizontal="center" vertical="center" wrapText="1"/>
    </xf>
    <xf numFmtId="0" fontId="4" fillId="16" borderId="42" xfId="1" applyFont="1" applyFill="1" applyBorder="1" applyAlignment="1">
      <alignment horizontal="center" vertical="center" wrapText="1"/>
    </xf>
    <xf numFmtId="0" fontId="2" fillId="16" borderId="127" xfId="1" applyFont="1" applyFill="1" applyBorder="1" applyAlignment="1">
      <alignment horizontal="left" vertical="center"/>
    </xf>
    <xf numFmtId="0" fontId="2" fillId="16" borderId="128" xfId="1" applyFont="1" applyFill="1" applyBorder="1" applyAlignment="1">
      <alignment horizontal="left" vertical="center"/>
    </xf>
    <xf numFmtId="174" fontId="2" fillId="0" borderId="112" xfId="1" applyNumberFormat="1" applyFont="1" applyBorder="1" applyAlignment="1" applyProtection="1">
      <alignment horizontal="left" vertical="center"/>
      <protection locked="0"/>
    </xf>
    <xf numFmtId="174" fontId="2" fillId="0" borderId="114" xfId="1" applyNumberFormat="1" applyFont="1" applyBorder="1" applyAlignment="1" applyProtection="1">
      <alignment horizontal="left" vertical="center"/>
      <protection locked="0"/>
    </xf>
    <xf numFmtId="174" fontId="2" fillId="0" borderId="128" xfId="1" applyNumberFormat="1" applyFont="1" applyBorder="1" applyAlignment="1" applyProtection="1">
      <alignment horizontal="left" vertical="center"/>
      <protection locked="0"/>
    </xf>
    <xf numFmtId="0" fontId="2" fillId="0" borderId="128" xfId="1" applyFont="1" applyBorder="1" applyAlignment="1" applyProtection="1">
      <alignment horizontal="left" vertical="center"/>
      <protection locked="0"/>
    </xf>
    <xf numFmtId="0" fontId="4" fillId="16" borderId="14" xfId="1" applyFont="1" applyFill="1" applyBorder="1" applyAlignment="1">
      <alignment horizontal="right" vertical="center"/>
    </xf>
    <xf numFmtId="0" fontId="4" fillId="16" borderId="48" xfId="1" applyFont="1" applyFill="1" applyBorder="1" applyAlignment="1">
      <alignment horizontal="right" vertical="center"/>
    </xf>
    <xf numFmtId="0" fontId="4" fillId="16" borderId="14" xfId="1" applyFont="1" applyFill="1" applyBorder="1" applyAlignment="1">
      <alignment horizontal="left" vertical="center" wrapText="1"/>
    </xf>
    <xf numFmtId="0" fontId="4" fillId="16" borderId="15" xfId="1" applyFont="1" applyFill="1" applyBorder="1" applyAlignment="1">
      <alignment horizontal="left" vertical="center" wrapText="1"/>
    </xf>
    <xf numFmtId="0" fontId="4" fillId="16" borderId="16" xfId="1" applyFont="1" applyFill="1" applyBorder="1" applyAlignment="1">
      <alignment horizontal="left" vertical="center" wrapText="1"/>
    </xf>
    <xf numFmtId="0" fontId="2" fillId="2" borderId="14" xfId="4" applyNumberFormat="1" applyFont="1" applyFill="1" applyBorder="1" applyAlignment="1" applyProtection="1">
      <alignment horizontal="left" vertical="center" wrapText="1"/>
      <protection locked="0"/>
    </xf>
    <xf numFmtId="0" fontId="2" fillId="2" borderId="15" xfId="4" applyNumberFormat="1" applyFont="1" applyFill="1" applyBorder="1" applyAlignment="1" applyProtection="1">
      <alignment horizontal="left" vertical="center" wrapText="1"/>
      <protection locked="0"/>
    </xf>
    <xf numFmtId="0" fontId="2" fillId="2" borderId="16" xfId="4" applyNumberFormat="1" applyFont="1" applyFill="1" applyBorder="1" applyAlignment="1" applyProtection="1">
      <alignment horizontal="left" vertical="center" wrapText="1"/>
      <protection locked="0"/>
    </xf>
    <xf numFmtId="0" fontId="2" fillId="2" borderId="125" xfId="1" applyFont="1" applyFill="1" applyBorder="1" applyAlignment="1" applyProtection="1">
      <alignment horizontal="left" vertical="center"/>
      <protection locked="0"/>
    </xf>
    <xf numFmtId="0" fontId="2" fillId="16" borderId="118" xfId="1" applyFont="1" applyFill="1" applyBorder="1" applyAlignment="1">
      <alignment horizontal="left" vertical="center"/>
    </xf>
    <xf numFmtId="0" fontId="2" fillId="16" borderId="39" xfId="1" applyFont="1" applyFill="1" applyBorder="1" applyAlignment="1">
      <alignment horizontal="left" vertical="center"/>
    </xf>
    <xf numFmtId="0" fontId="2" fillId="16" borderId="99" xfId="1" applyFont="1" applyFill="1" applyBorder="1" applyAlignment="1">
      <alignment horizontal="left" vertical="center"/>
    </xf>
    <xf numFmtId="0" fontId="7" fillId="0" borderId="112" xfId="0" applyFont="1" applyBorder="1" applyAlignment="1" applyProtection="1">
      <alignment horizontal="left" vertical="center" wrapText="1"/>
      <protection locked="0"/>
    </xf>
    <xf numFmtId="0" fontId="7" fillId="0" borderId="114" xfId="0" applyFont="1" applyBorder="1" applyAlignment="1" applyProtection="1">
      <alignment horizontal="left" vertical="center" wrapText="1"/>
      <protection locked="0"/>
    </xf>
    <xf numFmtId="0" fontId="3" fillId="31" borderId="31" xfId="0" applyFont="1" applyFill="1" applyBorder="1" applyAlignment="1">
      <alignment horizontal="center" vertical="center" wrapText="1"/>
    </xf>
    <xf numFmtId="0" fontId="3" fillId="31" borderId="33" xfId="0" applyFont="1" applyFill="1" applyBorder="1" applyAlignment="1">
      <alignment horizontal="center" vertical="center" wrapText="1"/>
    </xf>
    <xf numFmtId="0" fontId="38" fillId="0" borderId="0" xfId="0" applyFont="1" applyAlignment="1">
      <alignment horizontal="center"/>
    </xf>
    <xf numFmtId="0" fontId="4" fillId="0" borderId="0" xfId="0" applyFont="1" applyAlignment="1">
      <alignment horizontal="left" vertical="top" wrapText="1"/>
    </xf>
    <xf numFmtId="0" fontId="3" fillId="16" borderId="31" xfId="0" applyFont="1" applyFill="1" applyBorder="1" applyAlignment="1">
      <alignment horizontal="center" vertical="center" wrapText="1"/>
    </xf>
    <xf numFmtId="0" fontId="3" fillId="16" borderId="22"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20"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16" borderId="20" xfId="0" applyFont="1" applyFill="1" applyBorder="1" applyAlignment="1">
      <alignment horizontal="center" vertical="center" wrapText="1"/>
    </xf>
    <xf numFmtId="0" fontId="3" fillId="5" borderId="0" xfId="0" applyFont="1" applyFill="1" applyAlignment="1">
      <alignment horizontal="left" vertical="center"/>
    </xf>
    <xf numFmtId="0" fontId="3" fillId="16" borderId="14" xfId="0" applyFont="1" applyFill="1" applyBorder="1" applyAlignment="1">
      <alignment horizontal="center" vertical="center" wrapText="1"/>
    </xf>
    <xf numFmtId="0" fontId="3" fillId="16" borderId="15"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3" fillId="5" borderId="14" xfId="0" applyFont="1" applyFill="1" applyBorder="1" applyAlignment="1">
      <alignment horizontal="left" vertical="center"/>
    </xf>
    <xf numFmtId="0" fontId="3" fillId="5" borderId="15" xfId="0" applyFont="1" applyFill="1" applyBorder="1" applyAlignment="1">
      <alignment horizontal="left" vertical="center"/>
    </xf>
    <xf numFmtId="0" fontId="7" fillId="0" borderId="123" xfId="0" applyFont="1" applyBorder="1" applyAlignment="1" applyProtection="1">
      <alignment horizontal="left" vertical="center" wrapText="1"/>
      <protection locked="0"/>
    </xf>
    <xf numFmtId="0" fontId="7" fillId="0" borderId="107" xfId="0" applyFont="1" applyBorder="1" applyAlignment="1" applyProtection="1">
      <alignment horizontal="left" vertical="center" wrapText="1"/>
      <protection locked="0"/>
    </xf>
    <xf numFmtId="0" fontId="18" fillId="2" borderId="111" xfId="12" applyBorder="1" applyAlignment="1">
      <alignment horizontal="left" vertical="center" wrapText="1"/>
      <protection locked="0"/>
    </xf>
    <xf numFmtId="0" fontId="4" fillId="8" borderId="93" xfId="0" applyFont="1" applyFill="1" applyBorder="1" applyAlignment="1">
      <alignment horizontal="left" vertical="center" wrapText="1"/>
    </xf>
    <xf numFmtId="0" fontId="4" fillId="8" borderId="78" xfId="0" applyFont="1" applyFill="1" applyBorder="1" applyAlignment="1">
      <alignment horizontal="left" vertical="center" wrapText="1"/>
    </xf>
    <xf numFmtId="0" fontId="7" fillId="3" borderId="108" xfId="0" applyFont="1" applyFill="1" applyBorder="1" applyAlignment="1">
      <alignment horizontal="left" vertical="center" wrapText="1"/>
    </xf>
    <xf numFmtId="0" fontId="7" fillId="3" borderId="114" xfId="0" applyFont="1" applyFill="1" applyBorder="1" applyAlignment="1">
      <alignment horizontal="left" vertical="center" wrapText="1"/>
    </xf>
    <xf numFmtId="0" fontId="4" fillId="5" borderId="30"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19" fillId="28" borderId="31" xfId="0" applyFont="1" applyFill="1" applyBorder="1" applyAlignment="1">
      <alignment horizontal="left" vertical="center" wrapText="1"/>
    </xf>
    <xf numFmtId="0" fontId="19" fillId="28" borderId="21" xfId="0" applyFont="1" applyFill="1" applyBorder="1" applyAlignment="1">
      <alignment horizontal="left" vertical="center" wrapText="1"/>
    </xf>
    <xf numFmtId="0" fontId="80" fillId="3" borderId="111" xfId="11" applyFont="1" applyBorder="1" applyAlignment="1">
      <alignment horizontal="left" vertical="top" wrapText="1"/>
    </xf>
    <xf numFmtId="168" fontId="80" fillId="3" borderId="111" xfId="11" applyNumberFormat="1" applyFont="1" applyBorder="1" applyAlignment="1">
      <alignment horizontal="left" vertical="center" wrapText="1"/>
    </xf>
    <xf numFmtId="0" fontId="19" fillId="28" borderId="8" xfId="0" applyFont="1" applyFill="1" applyBorder="1" applyAlignment="1">
      <alignment horizontal="left" vertical="center"/>
    </xf>
    <xf numFmtId="0" fontId="19" fillId="28" borderId="78" xfId="0" applyFont="1" applyFill="1" applyBorder="1" applyAlignment="1">
      <alignment horizontal="left" vertical="center"/>
    </xf>
    <xf numFmtId="0" fontId="7" fillId="3" borderId="130" xfId="0" applyFont="1" applyFill="1" applyBorder="1" applyAlignment="1">
      <alignment horizontal="left" vertical="center" wrapText="1"/>
    </xf>
    <xf numFmtId="0" fontId="7" fillId="3" borderId="107" xfId="0" applyFont="1" applyFill="1" applyBorder="1" applyAlignment="1">
      <alignment horizontal="left" vertical="center" wrapText="1"/>
    </xf>
    <xf numFmtId="0" fontId="7" fillId="0" borderId="113" xfId="0" applyFont="1" applyBorder="1" applyAlignment="1" applyProtection="1">
      <alignment horizontal="left" vertical="center" wrapText="1"/>
      <protection locked="0"/>
    </xf>
    <xf numFmtId="0" fontId="7" fillId="0" borderId="121" xfId="0" applyFont="1" applyBorder="1" applyAlignment="1" applyProtection="1">
      <alignment horizontal="left" vertical="center" wrapText="1"/>
      <protection locked="0"/>
    </xf>
    <xf numFmtId="0" fontId="7" fillId="0" borderId="109" xfId="0" applyFont="1" applyBorder="1" applyAlignment="1" applyProtection="1">
      <alignment horizontal="left" vertical="center" wrapText="1"/>
      <protection locked="0"/>
    </xf>
    <xf numFmtId="0" fontId="7" fillId="0" borderId="110" xfId="0" applyFont="1" applyBorder="1" applyAlignment="1" applyProtection="1">
      <alignment horizontal="left" vertical="center" wrapText="1"/>
      <protection locked="0"/>
    </xf>
    <xf numFmtId="0" fontId="6" fillId="2" borderId="44" xfId="0" applyFont="1" applyFill="1" applyBorder="1" applyAlignment="1" applyProtection="1">
      <alignment horizontal="center" vertical="center" wrapText="1"/>
      <protection locked="0"/>
    </xf>
    <xf numFmtId="0" fontId="6" fillId="2" borderId="42" xfId="0" applyFont="1" applyFill="1" applyBorder="1" applyAlignment="1" applyProtection="1">
      <alignment horizontal="center" vertical="center" wrapText="1"/>
      <protection locked="0"/>
    </xf>
    <xf numFmtId="0" fontId="7" fillId="0" borderId="94" xfId="0" applyFont="1" applyBorder="1" applyAlignment="1" applyProtection="1">
      <alignment horizontal="left" vertical="center" wrapText="1"/>
      <protection locked="0"/>
    </xf>
    <xf numFmtId="0" fontId="7" fillId="0" borderId="101" xfId="0" applyFont="1" applyBorder="1" applyAlignment="1" applyProtection="1">
      <alignment horizontal="left" vertical="center" wrapText="1"/>
      <protection locked="0"/>
    </xf>
    <xf numFmtId="0" fontId="7" fillId="0" borderId="99" xfId="0" applyFont="1" applyBorder="1" applyAlignment="1" applyProtection="1">
      <alignment horizontal="left" vertical="center" wrapText="1"/>
      <protection locked="0"/>
    </xf>
    <xf numFmtId="0" fontId="7" fillId="4" borderId="138" xfId="1" applyFont="1" applyFill="1" applyBorder="1" applyAlignment="1" applyProtection="1">
      <alignment horizontal="left" vertical="center" wrapText="1"/>
      <protection locked="0"/>
    </xf>
    <xf numFmtId="0" fontId="5" fillId="0" borderId="138" xfId="1" applyFont="1" applyBorder="1" applyAlignment="1" applyProtection="1">
      <alignment wrapText="1"/>
      <protection locked="0"/>
    </xf>
    <xf numFmtId="0" fontId="5" fillId="0" borderId="138" xfId="1" applyFont="1" applyBorder="1" applyAlignment="1" applyProtection="1">
      <protection locked="0"/>
    </xf>
    <xf numFmtId="0" fontId="41" fillId="2" borderId="0" xfId="1" applyFont="1" applyFill="1" applyAlignment="1">
      <alignment horizontal="left" vertical="center"/>
    </xf>
    <xf numFmtId="0" fontId="3" fillId="8" borderId="101" xfId="1" applyFont="1" applyFill="1" applyBorder="1" applyAlignment="1">
      <alignment horizontal="left" vertical="center"/>
    </xf>
    <xf numFmtId="0" fontId="7" fillId="4" borderId="116" xfId="1" applyFont="1" applyFill="1" applyBorder="1" applyAlignment="1" applyProtection="1">
      <alignment horizontal="left" vertical="center" wrapText="1"/>
      <protection locked="0"/>
    </xf>
    <xf numFmtId="0" fontId="7" fillId="4" borderId="115" xfId="1" applyFont="1" applyFill="1" applyBorder="1" applyAlignment="1" applyProtection="1">
      <alignment horizontal="left" vertical="center" wrapText="1"/>
      <protection locked="0"/>
    </xf>
    <xf numFmtId="0" fontId="7" fillId="4" borderId="117" xfId="1" applyFont="1" applyFill="1" applyBorder="1" applyAlignment="1" applyProtection="1">
      <alignment horizontal="left" vertical="center" wrapText="1"/>
      <protection locked="0"/>
    </xf>
    <xf numFmtId="0" fontId="7" fillId="4" borderId="2" xfId="1" applyFont="1" applyFill="1" applyBorder="1" applyAlignment="1" applyProtection="1">
      <alignment horizontal="left" vertical="center" wrapText="1"/>
      <protection locked="0"/>
    </xf>
    <xf numFmtId="0" fontId="7" fillId="4" borderId="0" xfId="1" applyFont="1" applyFill="1" applyAlignment="1" applyProtection="1">
      <alignment horizontal="left" vertical="center" wrapText="1"/>
      <protection locked="0"/>
    </xf>
    <xf numFmtId="0" fontId="7" fillId="4" borderId="60" xfId="1" applyFont="1" applyFill="1" applyBorder="1" applyAlignment="1" applyProtection="1">
      <alignment horizontal="left" vertical="center" wrapText="1"/>
      <protection locked="0"/>
    </xf>
    <xf numFmtId="0" fontId="7" fillId="4" borderId="94" xfId="1" applyFont="1" applyFill="1" applyBorder="1" applyAlignment="1" applyProtection="1">
      <alignment horizontal="left" vertical="center" wrapText="1"/>
      <protection locked="0"/>
    </xf>
    <xf numFmtId="0" fontId="7" fillId="4" borderId="101" xfId="1" applyFont="1" applyFill="1" applyBorder="1" applyAlignment="1" applyProtection="1">
      <alignment horizontal="left" vertical="center" wrapText="1"/>
      <protection locked="0"/>
    </xf>
    <xf numFmtId="0" fontId="7" fillId="4" borderId="95" xfId="1" applyFont="1" applyFill="1" applyBorder="1" applyAlignment="1" applyProtection="1">
      <alignment horizontal="left" vertical="center" wrapText="1"/>
      <protection locked="0"/>
    </xf>
    <xf numFmtId="0" fontId="3" fillId="16" borderId="0" xfId="1" applyFont="1" applyFill="1" applyAlignment="1">
      <alignment horizontal="left" vertical="center" wrapText="1"/>
    </xf>
    <xf numFmtId="2" fontId="46" fillId="0" borderId="0" xfId="1" applyNumberFormat="1" applyFont="1" applyAlignment="1">
      <alignment horizontal="left" vertical="center" wrapText="1" indent="2"/>
    </xf>
    <xf numFmtId="2" fontId="45" fillId="0" borderId="0" xfId="1" applyNumberFormat="1" applyFont="1" applyAlignment="1">
      <alignment horizontal="left" vertical="center" wrapText="1" indent="2"/>
    </xf>
    <xf numFmtId="0" fontId="3" fillId="16" borderId="95" xfId="1" applyFont="1" applyFill="1" applyBorder="1" applyAlignment="1">
      <alignment vertical="center"/>
    </xf>
    <xf numFmtId="0" fontId="9" fillId="16" borderId="18" xfId="1" applyFont="1" applyFill="1" applyBorder="1" applyAlignment="1"/>
    <xf numFmtId="0" fontId="9" fillId="16" borderId="94" xfId="1" applyFont="1" applyFill="1" applyBorder="1" applyAlignment="1"/>
    <xf numFmtId="0" fontId="3" fillId="8" borderId="0" xfId="1" applyFont="1" applyFill="1" applyAlignment="1">
      <alignment horizontal="left" vertical="center" wrapText="1"/>
    </xf>
    <xf numFmtId="0" fontId="7" fillId="0" borderId="116" xfId="1" applyFont="1" applyBorder="1" applyAlignment="1" applyProtection="1">
      <alignment horizontal="left" vertical="center" wrapText="1"/>
      <protection locked="0"/>
    </xf>
    <xf numFmtId="0" fontId="7" fillId="0" borderId="115" xfId="1" applyFont="1" applyBorder="1" applyAlignment="1" applyProtection="1">
      <alignment horizontal="left" vertical="center" wrapText="1"/>
      <protection locked="0"/>
    </xf>
    <xf numFmtId="0" fontId="7" fillId="0" borderId="117" xfId="1" applyFont="1" applyBorder="1" applyAlignment="1" applyProtection="1">
      <alignment horizontal="left" vertical="center" wrapText="1"/>
      <protection locked="0"/>
    </xf>
    <xf numFmtId="0" fontId="28" fillId="0" borderId="2" xfId="1" applyBorder="1" applyAlignment="1" applyProtection="1">
      <alignment horizontal="left" vertical="center" wrapText="1"/>
      <protection locked="0"/>
    </xf>
    <xf numFmtId="0" fontId="28" fillId="0" borderId="0" xfId="1" applyAlignment="1" applyProtection="1">
      <alignment horizontal="left" vertical="center" wrapText="1"/>
      <protection locked="0"/>
    </xf>
    <xf numFmtId="0" fontId="28" fillId="0" borderId="60" xfId="1" applyBorder="1" applyAlignment="1" applyProtection="1">
      <alignment horizontal="left" vertical="center" wrapText="1"/>
      <protection locked="0"/>
    </xf>
    <xf numFmtId="0" fontId="28" fillId="0" borderId="94" xfId="1" applyBorder="1" applyAlignment="1" applyProtection="1">
      <alignment horizontal="left" vertical="center" wrapText="1"/>
      <protection locked="0"/>
    </xf>
    <xf numFmtId="0" fontId="28" fillId="0" borderId="101" xfId="1" applyBorder="1" applyAlignment="1" applyProtection="1">
      <alignment horizontal="left" vertical="center" wrapText="1"/>
      <protection locked="0"/>
    </xf>
    <xf numFmtId="0" fontId="28" fillId="0" borderId="95" xfId="1" applyBorder="1" applyAlignment="1" applyProtection="1">
      <alignment horizontal="left" vertical="center" wrapText="1"/>
      <protection locked="0"/>
    </xf>
    <xf numFmtId="0" fontId="32" fillId="5" borderId="0" xfId="0" applyFont="1" applyFill="1" applyAlignment="1">
      <alignment horizontal="left" vertical="center" wrapText="1"/>
    </xf>
    <xf numFmtId="0" fontId="32" fillId="4" borderId="58" xfId="0" applyFont="1" applyFill="1" applyBorder="1" applyAlignment="1">
      <alignment horizontal="left" vertical="center"/>
    </xf>
    <xf numFmtId="0" fontId="32" fillId="4" borderId="0" xfId="0" applyFont="1" applyFill="1" applyAlignment="1">
      <alignment horizontal="left" vertical="center"/>
    </xf>
    <xf numFmtId="0" fontId="10" fillId="3" borderId="58" xfId="0" applyFont="1" applyFill="1" applyBorder="1" applyAlignment="1">
      <alignment horizontal="left" vertical="center"/>
    </xf>
    <xf numFmtId="0" fontId="10" fillId="3" borderId="0" xfId="0" applyFont="1" applyFill="1" applyAlignment="1">
      <alignment horizontal="left" vertical="center"/>
    </xf>
    <xf numFmtId="0" fontId="3" fillId="0" borderId="58" xfId="0" applyFont="1" applyBorder="1" applyAlignment="1">
      <alignment vertical="center" wrapText="1"/>
    </xf>
    <xf numFmtId="0" fontId="3" fillId="0" borderId="0" xfId="0" applyFont="1" applyAlignment="1">
      <alignment vertical="center" wrapText="1"/>
    </xf>
    <xf numFmtId="0" fontId="4" fillId="5" borderId="4" xfId="1" applyFont="1" applyFill="1" applyBorder="1" applyAlignment="1">
      <alignment horizontal="center" vertical="center" wrapText="1"/>
    </xf>
    <xf numFmtId="0" fontId="4" fillId="5" borderId="13" xfId="1" applyFont="1" applyFill="1" applyBorder="1" applyAlignment="1">
      <alignment horizontal="center" vertical="center" wrapText="1"/>
    </xf>
    <xf numFmtId="0" fontId="4" fillId="5" borderId="122" xfId="1" applyFont="1" applyFill="1" applyBorder="1" applyAlignment="1">
      <alignment horizontal="center" vertical="center" wrapText="1"/>
    </xf>
    <xf numFmtId="0" fontId="4" fillId="5" borderId="119" xfId="1" applyFont="1" applyFill="1" applyBorder="1" applyAlignment="1">
      <alignment horizontal="center" vertical="center" wrapText="1"/>
    </xf>
    <xf numFmtId="0" fontId="19" fillId="5" borderId="122" xfId="1" applyFont="1" applyFill="1" applyBorder="1" applyAlignment="1">
      <alignment horizontal="left" vertical="center"/>
    </xf>
    <xf numFmtId="0" fontId="19" fillId="5" borderId="119" xfId="1" applyFont="1" applyFill="1" applyBorder="1" applyAlignment="1">
      <alignment horizontal="left" vertical="center"/>
    </xf>
    <xf numFmtId="0" fontId="32" fillId="20" borderId="42" xfId="1" applyFont="1" applyFill="1" applyBorder="1" applyAlignment="1">
      <alignment horizontal="left" vertical="center" wrapText="1"/>
    </xf>
    <xf numFmtId="0" fontId="4" fillId="5" borderId="4" xfId="1" applyFont="1" applyFill="1" applyBorder="1" applyAlignment="1">
      <alignment horizontal="left" vertical="center" wrapText="1"/>
    </xf>
    <xf numFmtId="0" fontId="32" fillId="5" borderId="0" xfId="1" applyFont="1" applyFill="1" applyAlignment="1">
      <alignment horizontal="left" vertical="center" wrapText="1"/>
    </xf>
    <xf numFmtId="15" fontId="2" fillId="5" borderId="8" xfId="1" applyNumberFormat="1" applyFont="1" applyFill="1" applyBorder="1" applyAlignment="1">
      <alignment horizontal="center" vertical="center" wrapText="1"/>
    </xf>
    <xf numFmtId="15" fontId="2" fillId="5" borderId="22" xfId="1" applyNumberFormat="1" applyFont="1" applyFill="1" applyBorder="1" applyAlignment="1">
      <alignment horizontal="center" vertical="center" wrapText="1"/>
    </xf>
    <xf numFmtId="15" fontId="2" fillId="5" borderId="33" xfId="1" applyNumberFormat="1" applyFont="1" applyFill="1" applyBorder="1" applyAlignment="1">
      <alignment horizontal="center" vertical="center" wrapText="1"/>
    </xf>
    <xf numFmtId="15" fontId="2" fillId="5" borderId="2" xfId="1" applyNumberFormat="1" applyFont="1" applyFill="1" applyBorder="1" applyAlignment="1">
      <alignment horizontal="center" vertical="center" wrapText="1"/>
    </xf>
    <xf numFmtId="15" fontId="2" fillId="5" borderId="0" xfId="1" applyNumberFormat="1" applyFont="1" applyFill="1" applyAlignment="1">
      <alignment horizontal="center" vertical="center" wrapText="1"/>
    </xf>
    <xf numFmtId="15" fontId="2" fillId="5" borderId="38" xfId="1" applyNumberFormat="1" applyFont="1" applyFill="1" applyBorder="1" applyAlignment="1">
      <alignment horizontal="center" vertical="center" wrapText="1"/>
    </xf>
    <xf numFmtId="171" fontId="40" fillId="16" borderId="127" xfId="7" applyNumberFormat="1" applyFont="1" applyFill="1" applyBorder="1" applyAlignment="1">
      <alignment horizontal="center" vertical="center" wrapText="1"/>
    </xf>
    <xf numFmtId="171" fontId="40" fillId="16" borderId="82" xfId="7" applyNumberFormat="1" applyFont="1" applyFill="1" applyBorder="1" applyAlignment="1">
      <alignment horizontal="center" vertical="center" wrapText="1"/>
    </xf>
    <xf numFmtId="171" fontId="40" fillId="16" borderId="54" xfId="7" applyNumberFormat="1" applyFont="1" applyFill="1" applyBorder="1" applyAlignment="1">
      <alignment horizontal="center" vertical="center" wrapText="1"/>
    </xf>
    <xf numFmtId="0" fontId="4" fillId="22" borderId="14" xfId="6" applyFont="1" applyFill="1" applyBorder="1" applyAlignment="1">
      <alignment horizontal="center" vertical="center" wrapText="1"/>
    </xf>
    <xf numFmtId="0" fontId="4" fillId="22" borderId="15" xfId="6" applyFont="1" applyFill="1" applyBorder="1" applyAlignment="1">
      <alignment horizontal="center" vertical="center" wrapText="1"/>
    </xf>
    <xf numFmtId="0" fontId="4" fillId="22" borderId="16" xfId="6" applyFont="1" applyFill="1" applyBorder="1" applyAlignment="1">
      <alignment horizontal="center" vertical="center" wrapText="1"/>
    </xf>
    <xf numFmtId="0" fontId="60" fillId="5" borderId="0" xfId="1" applyFont="1" applyFill="1" applyAlignment="1">
      <alignment horizontal="left" vertical="center" wrapText="1"/>
    </xf>
    <xf numFmtId="0" fontId="3" fillId="5" borderId="9" xfId="6" applyFont="1" applyFill="1" applyBorder="1" applyAlignment="1">
      <alignment horizontal="left" vertical="center" wrapText="1"/>
    </xf>
    <xf numFmtId="0" fontId="3" fillId="5" borderId="19" xfId="6" applyFont="1" applyFill="1" applyBorder="1" applyAlignment="1">
      <alignment horizontal="left" vertical="center" wrapText="1"/>
    </xf>
    <xf numFmtId="0" fontId="3" fillId="5" borderId="123" xfId="6" applyFont="1" applyFill="1" applyBorder="1" applyAlignment="1">
      <alignment horizontal="left" vertical="center" wrapText="1"/>
    </xf>
    <xf numFmtId="0" fontId="3" fillId="5" borderId="109" xfId="6" applyFont="1" applyFill="1" applyBorder="1" applyAlignment="1">
      <alignment horizontal="left" vertical="center" wrapText="1"/>
    </xf>
    <xf numFmtId="0" fontId="40" fillId="14" borderId="127" xfId="7" applyFont="1" applyFill="1" applyBorder="1" applyAlignment="1">
      <alignment horizontal="center" vertical="center"/>
    </xf>
    <xf numFmtId="0" fontId="40" fillId="14" borderId="82" xfId="7" applyFont="1" applyFill="1" applyBorder="1" applyAlignment="1">
      <alignment horizontal="center" vertical="center"/>
    </xf>
    <xf numFmtId="0" fontId="40" fillId="14" borderId="10" xfId="7" applyFont="1" applyFill="1" applyBorder="1" applyAlignment="1">
      <alignment horizontal="center" vertical="center"/>
    </xf>
    <xf numFmtId="171" fontId="7" fillId="16" borderId="45" xfId="7" applyNumberFormat="1" applyFont="1" applyFill="1" applyBorder="1" applyAlignment="1">
      <alignment horizontal="center" vertical="center" wrapText="1"/>
    </xf>
    <xf numFmtId="0" fontId="60" fillId="9" borderId="104" xfId="1" applyFont="1" applyFill="1" applyBorder="1" applyAlignment="1">
      <alignment horizontal="left" wrapText="1"/>
    </xf>
    <xf numFmtId="0" fontId="3" fillId="9" borderId="9" xfId="6" applyFont="1" applyFill="1" applyBorder="1" applyAlignment="1">
      <alignment horizontal="left" vertical="center" wrapText="1"/>
    </xf>
    <xf numFmtId="0" fontId="3" fillId="9" borderId="19" xfId="6" applyFont="1" applyFill="1" applyBorder="1" applyAlignment="1">
      <alignment horizontal="left" vertical="center" wrapText="1"/>
    </xf>
    <xf numFmtId="0" fontId="3" fillId="9" borderId="123" xfId="6" applyFont="1" applyFill="1" applyBorder="1" applyAlignment="1">
      <alignment horizontal="left" vertical="center" wrapText="1"/>
    </xf>
    <xf numFmtId="0" fontId="3" fillId="9" borderId="109" xfId="6" applyFont="1" applyFill="1" applyBorder="1" applyAlignment="1">
      <alignment horizontal="left" vertical="center" wrapText="1"/>
    </xf>
    <xf numFmtId="0" fontId="19" fillId="3" borderId="14" xfId="7" applyFont="1" applyFill="1" applyBorder="1" applyAlignment="1">
      <alignment horizontal="center" vertical="center" wrapText="1"/>
    </xf>
    <xf numFmtId="0" fontId="19" fillId="3" borderId="15" xfId="7" applyFont="1" applyFill="1" applyBorder="1" applyAlignment="1">
      <alignment horizontal="center" vertical="center" wrapText="1"/>
    </xf>
    <xf numFmtId="0" fontId="19" fillId="3" borderId="16" xfId="7" applyFont="1" applyFill="1" applyBorder="1" applyAlignment="1">
      <alignment horizontal="center" vertical="center" wrapText="1"/>
    </xf>
    <xf numFmtId="0" fontId="7" fillId="14" borderId="45" xfId="7" applyFont="1" applyFill="1" applyBorder="1" applyAlignment="1">
      <alignment horizontal="center" vertical="center"/>
    </xf>
    <xf numFmtId="0" fontId="32" fillId="4" borderId="0" xfId="1" applyFont="1" applyFill="1" applyAlignment="1">
      <alignment horizontal="left" wrapText="1"/>
    </xf>
    <xf numFmtId="0" fontId="4" fillId="5" borderId="9" xfId="6" applyFont="1" applyFill="1" applyBorder="1" applyAlignment="1">
      <alignment horizontal="left" vertical="center" wrapText="1"/>
    </xf>
    <xf numFmtId="0" fontId="4" fillId="5" borderId="19" xfId="6" applyFont="1" applyFill="1" applyBorder="1" applyAlignment="1">
      <alignment horizontal="left" vertical="center" wrapText="1"/>
    </xf>
    <xf numFmtId="0" fontId="4" fillId="5" borderId="123" xfId="6" applyFont="1" applyFill="1" applyBorder="1" applyAlignment="1">
      <alignment horizontal="left" vertical="center" wrapText="1"/>
    </xf>
    <xf numFmtId="0" fontId="4" fillId="5" borderId="109" xfId="6" applyFont="1" applyFill="1" applyBorder="1" applyAlignment="1">
      <alignment horizontal="left" vertical="center" wrapText="1"/>
    </xf>
    <xf numFmtId="0" fontId="1" fillId="14" borderId="0" xfId="1" applyFont="1" applyFill="1" applyAlignment="1">
      <alignment horizontal="center" vertical="center"/>
    </xf>
    <xf numFmtId="0" fontId="50" fillId="0" borderId="0" xfId="1" applyFont="1" applyAlignment="1">
      <alignment horizontal="left" wrapText="1"/>
    </xf>
    <xf numFmtId="0" fontId="10" fillId="5" borderId="31" xfId="6" applyFont="1" applyFill="1" applyBorder="1" applyAlignment="1">
      <alignment horizontal="left" vertical="center" wrapText="1"/>
    </xf>
    <xf numFmtId="0" fontId="10" fillId="5" borderId="22" xfId="6" applyFont="1" applyFill="1" applyBorder="1" applyAlignment="1">
      <alignment horizontal="left" vertical="center" wrapText="1"/>
    </xf>
    <xf numFmtId="0" fontId="10" fillId="5" borderId="21" xfId="6" applyFont="1" applyFill="1" applyBorder="1" applyAlignment="1">
      <alignment horizontal="left" vertical="center" wrapText="1"/>
    </xf>
    <xf numFmtId="0" fontId="10" fillId="5" borderId="44" xfId="6" applyFont="1" applyFill="1" applyBorder="1" applyAlignment="1">
      <alignment horizontal="left" vertical="center" wrapText="1"/>
    </xf>
    <xf numFmtId="0" fontId="10" fillId="5" borderId="42" xfId="6" applyFont="1" applyFill="1" applyBorder="1" applyAlignment="1">
      <alignment horizontal="left" vertical="center" wrapText="1"/>
    </xf>
    <xf numFmtId="0" fontId="10" fillId="5" borderId="49" xfId="6" applyFont="1" applyFill="1" applyBorder="1" applyAlignment="1">
      <alignment horizontal="left" vertical="center" wrapText="1"/>
    </xf>
    <xf numFmtId="0" fontId="1" fillId="16" borderId="0" xfId="1" applyFont="1" applyFill="1" applyAlignment="1">
      <alignment horizontal="center" vertical="center"/>
    </xf>
    <xf numFmtId="0" fontId="3" fillId="10" borderId="123" xfId="1" applyFont="1" applyFill="1" applyBorder="1" applyAlignment="1">
      <alignment horizontal="center"/>
    </xf>
    <xf numFmtId="0" fontId="3" fillId="10" borderId="109" xfId="1" applyFont="1" applyFill="1" applyBorder="1" applyAlignment="1">
      <alignment horizontal="center"/>
    </xf>
    <xf numFmtId="0" fontId="3" fillId="10" borderId="107" xfId="1" applyFont="1" applyFill="1" applyBorder="1" applyAlignment="1">
      <alignment horizontal="center"/>
    </xf>
    <xf numFmtId="0" fontId="3" fillId="10" borderId="128" xfId="1" applyFont="1" applyFill="1" applyBorder="1" applyAlignment="1">
      <alignment horizontal="center"/>
    </xf>
    <xf numFmtId="0" fontId="5" fillId="0" borderId="111" xfId="1" applyFont="1" applyBorder="1" applyAlignment="1" applyProtection="1">
      <alignment horizontal="left" vertical="center" wrapText="1"/>
      <protection locked="0"/>
    </xf>
    <xf numFmtId="0" fontId="29" fillId="13" borderId="0" xfId="1" applyFont="1" applyFill="1" applyAlignment="1">
      <alignment horizontal="center" vertical="center" wrapText="1"/>
    </xf>
    <xf numFmtId="0" fontId="3" fillId="14" borderId="128" xfId="1" applyFont="1" applyFill="1" applyBorder="1" applyAlignment="1">
      <alignment horizontal="center"/>
    </xf>
    <xf numFmtId="0" fontId="5" fillId="0" borderId="138" xfId="1" applyFont="1" applyBorder="1" applyAlignment="1" applyProtection="1">
      <alignment horizontal="left" vertical="center"/>
      <protection locked="0"/>
    </xf>
    <xf numFmtId="0" fontId="6" fillId="2" borderId="103" xfId="1" applyFont="1" applyFill="1" applyBorder="1" applyAlignment="1">
      <alignment horizontal="left" vertical="center"/>
    </xf>
    <xf numFmtId="0" fontId="6" fillId="2" borderId="145" xfId="1" applyFont="1" applyFill="1" applyBorder="1" applyAlignment="1">
      <alignment horizontal="left" vertical="center"/>
    </xf>
    <xf numFmtId="0" fontId="6" fillId="2" borderId="142" xfId="1" applyFont="1" applyFill="1" applyBorder="1" applyAlignment="1">
      <alignment horizontal="left" vertical="center"/>
    </xf>
    <xf numFmtId="0" fontId="6" fillId="3" borderId="108" xfId="1" applyFont="1" applyFill="1" applyBorder="1" applyAlignment="1">
      <alignment horizontal="left" vertical="center"/>
    </xf>
    <xf numFmtId="0" fontId="6" fillId="3" borderId="146" xfId="1" applyFont="1" applyFill="1" applyBorder="1" applyAlignment="1">
      <alignment horizontal="left" vertical="center"/>
    </xf>
    <xf numFmtId="0" fontId="6" fillId="3" borderId="140" xfId="1" applyFont="1" applyFill="1" applyBorder="1" applyAlignment="1">
      <alignment horizontal="left" vertical="center"/>
    </xf>
    <xf numFmtId="3" fontId="7" fillId="0" borderId="141" xfId="1" applyNumberFormat="1" applyFont="1" applyBorder="1" applyAlignment="1">
      <alignment horizontal="left" vertical="center"/>
    </xf>
    <xf numFmtId="3" fontId="7" fillId="0" borderId="146" xfId="1" applyNumberFormat="1" applyFont="1" applyBorder="1" applyAlignment="1">
      <alignment horizontal="left" vertical="center"/>
    </xf>
    <xf numFmtId="3" fontId="7" fillId="0" borderId="140" xfId="1" applyNumberFormat="1" applyFont="1" applyBorder="1" applyAlignment="1">
      <alignment horizontal="left" vertical="center"/>
    </xf>
    <xf numFmtId="0" fontId="1" fillId="5" borderId="42" xfId="1" applyFont="1" applyFill="1" applyBorder="1" applyAlignment="1">
      <alignment horizontal="left" vertical="center" wrapText="1"/>
    </xf>
    <xf numFmtId="0" fontId="6" fillId="3" borderId="138" xfId="1" applyFont="1" applyFill="1" applyBorder="1" applyAlignment="1">
      <alignment horizontal="left"/>
    </xf>
    <xf numFmtId="1" fontId="7" fillId="0" borderId="141" xfId="1" applyNumberFormat="1" applyFont="1" applyBorder="1" applyAlignment="1">
      <alignment horizontal="left"/>
    </xf>
    <xf numFmtId="1" fontId="7" fillId="0" borderId="146" xfId="1" applyNumberFormat="1" applyFont="1" applyBorder="1" applyAlignment="1">
      <alignment horizontal="left"/>
    </xf>
    <xf numFmtId="1" fontId="7" fillId="0" borderId="140" xfId="1" applyNumberFormat="1" applyFont="1" applyBorder="1" applyAlignment="1">
      <alignment horizontal="left"/>
    </xf>
    <xf numFmtId="0" fontId="6" fillId="3" borderId="141" xfId="1" applyFont="1" applyFill="1" applyBorder="1" applyAlignment="1">
      <alignment horizontal="left" vertical="center"/>
    </xf>
    <xf numFmtId="0" fontId="7" fillId="0" borderId="141" xfId="1" applyFont="1" applyBorder="1" applyAlignment="1">
      <alignment horizontal="left" vertical="center"/>
    </xf>
    <xf numFmtId="0" fontId="7" fillId="0" borderId="146" xfId="1" applyFont="1" applyBorder="1" applyAlignment="1">
      <alignment horizontal="left" vertical="center"/>
    </xf>
    <xf numFmtId="0" fontId="7" fillId="0" borderId="140" xfId="1" applyFont="1" applyBorder="1" applyAlignment="1">
      <alignment horizontal="left" vertical="center"/>
    </xf>
    <xf numFmtId="0" fontId="6" fillId="3" borderId="141" xfId="1" applyFont="1" applyFill="1" applyBorder="1" applyAlignment="1">
      <alignment horizontal="center" vertical="center"/>
    </xf>
    <xf numFmtId="0" fontId="6" fillId="3" borderId="140" xfId="1" applyFont="1" applyFill="1" applyBorder="1" applyAlignment="1">
      <alignment horizontal="center" vertical="center"/>
    </xf>
    <xf numFmtId="0" fontId="5" fillId="4" borderId="0" xfId="1" applyFont="1" applyFill="1" applyAlignment="1">
      <alignment horizontal="left" wrapText="1"/>
    </xf>
    <xf numFmtId="0" fontId="6" fillId="8" borderId="0" xfId="1" applyFont="1" applyFill="1" applyAlignment="1">
      <alignment horizontal="left" wrapText="1"/>
    </xf>
    <xf numFmtId="0" fontId="7" fillId="4" borderId="0" xfId="1" applyFont="1" applyFill="1" applyAlignment="1">
      <alignment horizontal="left" wrapText="1"/>
    </xf>
    <xf numFmtId="0" fontId="7" fillId="4" borderId="101" xfId="1" applyFont="1" applyFill="1" applyBorder="1" applyAlignment="1" applyProtection="1">
      <alignment horizontal="left" vertical="center"/>
      <protection locked="0"/>
    </xf>
    <xf numFmtId="0" fontId="7" fillId="4" borderId="146" xfId="1" applyFont="1" applyFill="1" applyBorder="1" applyAlignment="1" applyProtection="1">
      <alignment horizontal="left" vertical="center"/>
      <protection locked="0"/>
    </xf>
    <xf numFmtId="14" fontId="7" fillId="4" borderId="146" xfId="1" applyNumberFormat="1" applyFont="1" applyFill="1" applyBorder="1" applyAlignment="1" applyProtection="1">
      <alignment horizontal="center" vertical="center"/>
      <protection locked="0"/>
    </xf>
    <xf numFmtId="0" fontId="7" fillId="4" borderId="146" xfId="1" applyFont="1" applyFill="1" applyBorder="1" applyAlignment="1" applyProtection="1">
      <alignment horizontal="center" vertical="center"/>
      <protection locked="0"/>
    </xf>
    <xf numFmtId="0" fontId="6" fillId="3" borderId="112" xfId="1" applyFont="1" applyFill="1" applyBorder="1" applyAlignment="1">
      <alignment horizontal="left" vertical="center"/>
    </xf>
    <xf numFmtId="0" fontId="6" fillId="3" borderId="113" xfId="1" applyFont="1" applyFill="1" applyBorder="1" applyAlignment="1">
      <alignment horizontal="left" vertical="center"/>
    </xf>
    <xf numFmtId="0" fontId="6" fillId="3" borderId="114" xfId="1" applyFont="1" applyFill="1" applyBorder="1" applyAlignment="1">
      <alignment horizontal="left" vertical="center"/>
    </xf>
    <xf numFmtId="3" fontId="7" fillId="0" borderId="112" xfId="1" applyNumberFormat="1" applyFont="1" applyBorder="1" applyAlignment="1">
      <alignment horizontal="left" vertical="center"/>
    </xf>
    <xf numFmtId="3" fontId="7" fillId="0" borderId="113" xfId="1" applyNumberFormat="1" applyFont="1" applyBorder="1" applyAlignment="1">
      <alignment horizontal="left" vertical="center"/>
    </xf>
    <xf numFmtId="3" fontId="7" fillId="0" borderId="114" xfId="1" applyNumberFormat="1" applyFont="1" applyBorder="1" applyAlignment="1">
      <alignment horizontal="left" vertical="center"/>
    </xf>
    <xf numFmtId="0" fontId="1" fillId="5" borderId="0" xfId="1" applyFont="1" applyFill="1" applyAlignment="1">
      <alignment horizontal="left" vertical="center" wrapText="1"/>
    </xf>
    <xf numFmtId="0" fontId="6" fillId="3" borderId="111" xfId="1" applyFont="1" applyFill="1" applyBorder="1" applyAlignment="1">
      <alignment horizontal="left"/>
    </xf>
    <xf numFmtId="1" fontId="7" fillId="0" borderId="112" xfId="1" applyNumberFormat="1" applyFont="1" applyBorder="1" applyAlignment="1">
      <alignment horizontal="left"/>
    </xf>
    <xf numFmtId="1" fontId="7" fillId="0" borderId="113" xfId="1" applyNumberFormat="1" applyFont="1" applyBorder="1" applyAlignment="1">
      <alignment horizontal="left"/>
    </xf>
    <xf numFmtId="1" fontId="7" fillId="0" borderId="114" xfId="1" applyNumberFormat="1" applyFont="1" applyBorder="1" applyAlignment="1">
      <alignment horizontal="left"/>
    </xf>
    <xf numFmtId="0" fontId="7" fillId="0" borderId="112" xfId="1" applyFont="1" applyBorder="1" applyAlignment="1">
      <alignment horizontal="left" vertical="center"/>
    </xf>
    <xf numFmtId="0" fontId="7" fillId="0" borderId="113" xfId="1" applyFont="1" applyBorder="1" applyAlignment="1">
      <alignment horizontal="left" vertical="center"/>
    </xf>
    <xf numFmtId="0" fontId="7" fillId="0" borderId="114" xfId="1" applyFont="1" applyBorder="1" applyAlignment="1">
      <alignment horizontal="left" vertical="center"/>
    </xf>
    <xf numFmtId="0" fontId="6" fillId="3" borderId="112" xfId="1" applyFont="1" applyFill="1" applyBorder="1" applyAlignment="1">
      <alignment horizontal="center" vertical="center"/>
    </xf>
    <xf numFmtId="0" fontId="6" fillId="3" borderId="114" xfId="1" applyFont="1" applyFill="1" applyBorder="1" applyAlignment="1">
      <alignment horizontal="center" vertical="center"/>
    </xf>
    <xf numFmtId="0" fontId="7" fillId="4" borderId="101" xfId="1" applyFont="1" applyFill="1" applyBorder="1" applyAlignment="1" applyProtection="1">
      <alignment horizontal="center"/>
      <protection locked="0"/>
    </xf>
    <xf numFmtId="0" fontId="7" fillId="0" borderId="101" xfId="1" applyFont="1" applyBorder="1" applyAlignment="1">
      <alignment horizontal="left" vertical="top" wrapText="1"/>
    </xf>
    <xf numFmtId="0" fontId="7" fillId="0" borderId="112" xfId="1" applyFont="1" applyBorder="1" applyAlignment="1" applyProtection="1">
      <alignment horizontal="left" vertical="center" wrapText="1"/>
      <protection locked="0"/>
    </xf>
    <xf numFmtId="0" fontId="7" fillId="0" borderId="113" xfId="1" applyFont="1" applyBorder="1" applyAlignment="1" applyProtection="1">
      <alignment horizontal="left" vertical="center" wrapText="1"/>
      <protection locked="0"/>
    </xf>
    <xf numFmtId="0" fontId="7" fillId="0" borderId="114" xfId="1" applyFont="1" applyBorder="1" applyAlignment="1" applyProtection="1">
      <alignment horizontal="left" vertical="center" wrapText="1"/>
      <protection locked="0"/>
    </xf>
    <xf numFmtId="0" fontId="7" fillId="0" borderId="115" xfId="1" applyFont="1" applyBorder="1" applyAlignment="1">
      <alignment horizontal="left" vertical="top" wrapText="1"/>
    </xf>
    <xf numFmtId="0" fontId="6" fillId="16" borderId="0" xfId="1" applyFont="1" applyFill="1" applyAlignment="1">
      <alignment horizontal="left" vertical="center" wrapText="1"/>
    </xf>
    <xf numFmtId="14" fontId="7" fillId="4" borderId="113" xfId="1" applyNumberFormat="1" applyFont="1" applyFill="1" applyBorder="1" applyAlignment="1" applyProtection="1">
      <alignment horizontal="center" vertical="center"/>
      <protection locked="0"/>
    </xf>
    <xf numFmtId="0" fontId="10" fillId="3" borderId="0" xfId="6" applyFont="1" applyFill="1" applyAlignment="1">
      <alignment horizontal="left" vertical="center"/>
    </xf>
    <xf numFmtId="0" fontId="19" fillId="14" borderId="111" xfId="9" applyFont="1" applyFill="1" applyBorder="1" applyAlignment="1">
      <alignment horizontal="center" vertical="center"/>
    </xf>
    <xf numFmtId="0" fontId="19" fillId="16" borderId="112" xfId="9" applyFont="1" applyFill="1" applyBorder="1" applyAlignment="1">
      <alignment horizontal="center" vertical="center"/>
    </xf>
    <xf numFmtId="0" fontId="19" fillId="16" borderId="114" xfId="9" applyFont="1" applyFill="1" applyBorder="1" applyAlignment="1">
      <alignment horizontal="center" vertical="center"/>
    </xf>
  </cellXfs>
  <cellStyles count="16">
    <cellStyle name="Comma 2" xfId="4" xr:uid="{00000000-0005-0000-0000-000000000000}"/>
    <cellStyle name="Comma 2 2" xfId="10" xr:uid="{00000000-0005-0000-0000-000001000000}"/>
    <cellStyle name="Comma 2 2 2" xfId="15" xr:uid="{00000000-0005-0000-0000-000002000000}"/>
    <cellStyle name="Comma 2 3" xfId="14" xr:uid="{00000000-0005-0000-0000-000003000000}"/>
    <cellStyle name="Currency 3" xfId="3" xr:uid="{00000000-0005-0000-0000-000004000000}"/>
    <cellStyle name="Currency 3 2" xfId="13" xr:uid="{00000000-0005-0000-0000-000005000000}"/>
    <cellStyle name="gm-editable" xfId="12" xr:uid="{00000000-0005-0000-0000-000006000000}"/>
    <cellStyle name="gm-read-only" xfId="11" xr:uid="{00000000-0005-0000-0000-000007000000}"/>
    <cellStyle name="Normal" xfId="0" builtinId="0"/>
    <cellStyle name="Normal 2" xfId="1" xr:uid="{00000000-0005-0000-0000-000009000000}"/>
    <cellStyle name="Normal 3 7" xfId="7" xr:uid="{00000000-0005-0000-0000-00000A000000}"/>
    <cellStyle name="Normal 3 7 2" xfId="8" xr:uid="{00000000-0005-0000-0000-00000B000000}"/>
    <cellStyle name="Normal 4 6" xfId="9" xr:uid="{00000000-0005-0000-0000-00000C000000}"/>
    <cellStyle name="Normal 9" xfId="2" xr:uid="{00000000-0005-0000-0000-00000D000000}"/>
    <cellStyle name="Normal_Template for Summary budgets Generic - draft 1 - 4 mar 08" xfId="6" xr:uid="{00000000-0005-0000-0000-00000E000000}"/>
    <cellStyle name="Percent 2" xfId="5" xr:uid="{00000000-0005-0000-0000-00000F000000}"/>
  </cellStyles>
  <dxfs count="155">
    <dxf>
      <fill>
        <patternFill>
          <bgColor rgb="FFFF0000"/>
        </patternFill>
      </fill>
    </dxf>
    <dxf>
      <fill>
        <patternFill>
          <bgColor rgb="FFFF0000"/>
        </patternFill>
      </fill>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90"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0"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1" formatCode="_-[$EUR]\ * #,##0.00_-;\-[$EUR]\ * #,##0.00_-;_-[$EUR]\ * &quot;-&quot;??_-;_-@_-"/>
    </dxf>
    <dxf>
      <fill>
        <patternFill>
          <bgColor rgb="FFFF0000"/>
        </patternFill>
      </fill>
    </dxf>
    <dxf>
      <fill>
        <patternFill>
          <bgColor rgb="FFFF0000"/>
        </patternFill>
      </fill>
    </dxf>
    <dxf>
      <fill>
        <patternFill>
          <bgColor rgb="FFFF0000"/>
        </patternFill>
      </fill>
    </dxf>
    <dxf>
      <numFmt numFmtId="190" formatCode="[$EUR]\ #,##0.00;[Red]\-[$EUR]\ #,##0.00"/>
    </dxf>
    <dxf>
      <numFmt numFmtId="190" formatCode="[$EUR]\ #,##0.00;[Red]\-[$EUR]\ #,##0.0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numFmt numFmtId="19" formatCode="m/d/yyyy"/>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Georgia"/>
        <scheme val="none"/>
      </font>
      <numFmt numFmtId="173"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0" formatCode="[$EUR]\ #,##0.00;[Red]\-[$EUR]\ #,##0.00"/>
    </dxf>
    <dxf>
      <numFmt numFmtId="190"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0" formatCode="[$EUR]\ #,##0.00;[Red]\-[$EUR]\ #,##0.00"/>
    </dxf>
    <dxf>
      <numFmt numFmtId="190" formatCode="[$EUR]\ #,##0.00;[Red]\-[$EUR]\ #,##0.00"/>
    </dxf>
    <dxf>
      <numFmt numFmtId="190" formatCode="[$EUR]\ #,##0.00;[Red]\-[$EUR]\ #,##0.00"/>
    </dxf>
    <dxf>
      <numFmt numFmtId="190" formatCode="[$EUR]\ #,##0.00;[Red]\-[$EUR]\ #,##0.00"/>
    </dxf>
    <dxf>
      <numFmt numFmtId="190" formatCode="[$EUR]\ #,##0.00;[Red]\-[$EUR]\ #,##0.00"/>
    </dxf>
    <dxf>
      <numFmt numFmtId="190" formatCode="[$EUR]\ #,##0.00;[Red]\-[$EUR]\ #,##0.00"/>
    </dxf>
    <dxf>
      <numFmt numFmtId="190"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numFmt numFmtId="190" formatCode="[$EUR]\ #,##0.00;[Red]\-[$EUR]\ #,##0.00"/>
    </dxf>
  </dxfs>
  <tableStyles count="0" defaultTableStyle="TableStyleMedium2" defaultPivotStyle="PivotStyleLight16"/>
  <colors>
    <mruColors>
      <color rgb="FFE2EFDA"/>
      <color rgb="FFFDE9D9"/>
      <color rgb="FFEDEDED"/>
      <color rgb="FFDCE6F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200025</xdr:colOff>
          <xdr:row>9</xdr:row>
          <xdr:rowOff>161925</xdr:rowOff>
        </xdr:to>
        <xdr:sp macro="" textlink="">
          <xdr:nvSpPr>
            <xdr:cNvPr id="46081" name="Apttus_App" hidden="1">
              <a:extLst>
                <a:ext uri="{63B3BB69-23CF-44E3-9099-C40C66FF867C}">
                  <a14:compatExt spid="_x0000_s46081"/>
                </a:ext>
                <a:ext uri="{FF2B5EF4-FFF2-40B4-BE49-F238E27FC236}">
                  <a16:creationId xmlns:a16="http://schemas.microsoft.com/office/drawing/2014/main" id="{00000000-0008-0000-2C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571500</xdr:colOff>
          <xdr:row>9</xdr:row>
          <xdr:rowOff>161925</xdr:rowOff>
        </xdr:to>
        <xdr:sp macro="" textlink="">
          <xdr:nvSpPr>
            <xdr:cNvPr id="46085" name="Apttus_AppData" hidden="1">
              <a:extLst>
                <a:ext uri="{63B3BB69-23CF-44E3-9099-C40C66FF867C}">
                  <a14:compatExt spid="_x0000_s46085"/>
                </a:ext>
                <a:ext uri="{FF2B5EF4-FFF2-40B4-BE49-F238E27FC236}">
                  <a16:creationId xmlns:a16="http://schemas.microsoft.com/office/drawing/2014/main" id="{00000000-0008-0000-2C00-000005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390525</xdr:colOff>
          <xdr:row>9</xdr:row>
          <xdr:rowOff>161925</xdr:rowOff>
        </xdr:to>
        <xdr:sp macro="" textlink="">
          <xdr:nvSpPr>
            <xdr:cNvPr id="46086" name="Apttus_AppDataTracker" hidden="1">
              <a:extLst>
                <a:ext uri="{63B3BB69-23CF-44E3-9099-C40C66FF867C}">
                  <a14:compatExt spid="_x0000_s46086"/>
                </a:ext>
                <a:ext uri="{FF2B5EF4-FFF2-40B4-BE49-F238E27FC236}">
                  <a16:creationId xmlns:a16="http://schemas.microsoft.com/office/drawing/2014/main" id="{00000000-0008-0000-2C00-000006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333375</xdr:colOff>
          <xdr:row>9</xdr:row>
          <xdr:rowOff>161925</xdr:rowOff>
        </xdr:to>
        <xdr:sp macro="" textlink="">
          <xdr:nvSpPr>
            <xdr:cNvPr id="46087" name="Apttus_DataProtection" hidden="1">
              <a:extLst>
                <a:ext uri="{63B3BB69-23CF-44E3-9099-C40C66FF867C}">
                  <a14:compatExt spid="_x0000_s46087"/>
                </a:ext>
                <a:ext uri="{FF2B5EF4-FFF2-40B4-BE49-F238E27FC236}">
                  <a16:creationId xmlns:a16="http://schemas.microsoft.com/office/drawing/2014/main" id="{00000000-0008-0000-2C00-000007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ello\AppData\Local\Microsoft\Windows\INetCache\Content.Outlook\CXPRPAWL\BDI-C-UNDP_Progress%20Report%20Disbursement_31d&#233;c2019_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ello\Desktop\PUDR%20TBVIH%20Jan-Dec%2018\BDI-C-UNDP_Progress%20Report%20Disbursement_31Dec2018_v2_PSM26_02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 val="Data"/>
      <sheetName val="Project Activities"/>
      <sheetName val="TGF Regions"/>
      <sheetName val="Free Sheet 1"/>
      <sheetName val="Board_approved_(delta)"/>
      <sheetName val="Funding_Approved_GFS"/>
      <sheetName val="Check_BA_(2)"/>
      <sheetName val="Load_Transfer_(2)"/>
      <sheetName val="Review_BA_2014Q2"/>
      <sheetName val="Sheet11_(3)"/>
      <sheetName val="Sheet11_(2)"/>
      <sheetName val="Currency_Code"/>
      <sheetName val="Board_approved_(delta)1"/>
      <sheetName val="Funding_Approved_GFS1"/>
      <sheetName val="Check_BA_(2)1"/>
      <sheetName val="Load_Transfer_(2)1"/>
      <sheetName val="Review_BA_2014Q21"/>
      <sheetName val="Sheet11_(3)1"/>
      <sheetName val="Sheet11_(2)1"/>
      <sheetName val="Currency_Code1"/>
      <sheetName val="Free Sheet 3"/>
      <sheetName val="period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4" displayName="Table4" ref="A2:G4" totalsRowShown="0" headerRowDxfId="127" dataDxfId="126" tableBorderDxfId="125">
  <autoFilter ref="A2:G4" xr:uid="{00000000-0009-0000-0100-000003000000}"/>
  <tableColumns count="7">
    <tableColumn id="1" xr3:uid="{00000000-0010-0000-0000-000001000000}" name="Record ID" dataDxfId="124"/>
    <tableColumn id="2" xr3:uid="{00000000-0010-0000-0000-000002000000}" name="Record ID2" dataDxfId="123"/>
    <tableColumn id="3" xr3:uid="{00000000-0010-0000-0000-000003000000}" name="Risk Category Name" dataDxfId="122"/>
    <tableColumn id="4" xr3:uid="{00000000-0010-0000-0000-000004000000}" name="Risk Name" dataDxfId="121"/>
    <tableColumn id="5" xr3:uid="{00000000-0010-0000-0000-000005000000}" name="Root Cause" dataDxfId="120"/>
    <tableColumn id="6" xr3:uid="{00000000-0010-0000-0000-000006000000}" name="comment" dataDxfId="119"/>
    <tableColumn id="7" xr3:uid="{00000000-0010-0000-0000-000007000000}" name="Risk Detail" dataDxfId="118">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5" displayName="Table5" ref="C8:L108" totalsRowShown="0" headerRowDxfId="115" dataDxfId="113" headerRowBorderDxfId="114" tableBorderDxfId="112" totalsRowBorderDxfId="111">
  <autoFilter ref="C8:L108" xr:uid="{00000000-0009-0000-0100-000004000000}"/>
  <tableColumns count="10">
    <tableColumn id="1" xr3:uid="{00000000-0010-0000-0100-000001000000}" name="Risk Category" dataDxfId="110"/>
    <tableColumn id="2" xr3:uid="{00000000-0010-0000-0100-000002000000}" name="Risk" dataDxfId="109"/>
    <tableColumn id="3" xr3:uid="{00000000-0010-0000-0100-000003000000}" name="Root Cause" dataDxfId="108"/>
    <tableColumn id="4" xr3:uid="{00000000-0010-0000-0100-000004000000}" name="Root Cause Comment" dataDxfId="107"/>
    <tableColumn id="5" xr3:uid="{00000000-0010-0000-0100-000005000000}" name="Mitigating Action" dataDxfId="106"/>
    <tableColumn id="6" xr3:uid="{00000000-0010-0000-0100-000006000000}" name="Actor" dataDxfId="105"/>
    <tableColumn id="7" xr3:uid="{00000000-0010-0000-0100-000007000000}" name="Actor Type" dataDxfId="104"/>
    <tableColumn id="8" xr3:uid="{00000000-0010-0000-0100-000008000000}" name="Timeline DD/MM/YYYY]" dataDxfId="103"/>
    <tableColumn id="9" xr3:uid="{00000000-0010-0000-0100-000009000000}" name="Status" dataDxfId="102"/>
    <tableColumn id="10" xr3:uid="{00000000-0010-0000-0100-00000A000000}" name="LFA Comments" dataDxfId="10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Module" displayName="Module" ref="B12:K47" totalsRowShown="0" headerRowDxfId="15" tableBorderDxfId="14">
  <autoFilter ref="B12:K47" xr:uid="{00000000-0009-0000-0100-000001000000}"/>
  <tableColumns count="10">
    <tableColumn id="1" xr3:uid="{00000000-0010-0000-0200-000001000000}" name="Module" dataDxfId="13"/>
    <tableColumn id="2" xr3:uid="{00000000-0010-0000-0200-000002000000}" name="Column1"/>
    <tableColumn id="3" xr3:uid="{00000000-0010-0000-0200-000003000000}" name="Module-Coverage-Intervention Reference (Name)"/>
    <tableColumn id="4" xr3:uid="{00000000-0010-0000-0200-000004000000}" name="Column2"/>
    <tableColumn id="5" xr3:uid="{00000000-0010-0000-0200-000005000000}" name="Column3"/>
    <tableColumn id="6" xr3:uid="{00000000-0010-0000-0200-000006000000}" name="Column4"/>
    <tableColumn id="7" xr3:uid="{00000000-0010-0000-0200-000007000000}" name="Column5"/>
    <tableColumn id="8" xr3:uid="{00000000-0010-0000-0200-000008000000}" name="unique id">
      <calculatedColumnFormula array="1">IFERROR(INDEX($D$13:$D$48, MATCH(0, COUNTIF($I$12:I12, $D$13:$D$48&amp;"") + IF($D$13:$D$48="",1,0), 0)), "")</calculatedColumnFormula>
    </tableColumn>
    <tableColumn id="9" xr3:uid="{00000000-0010-0000-0200-000009000000}" name="unique name list">
      <calculatedColumnFormula array="1">IFERROR(IF(INDEX($B$13:$B$48,MATCH(LEFT(I13,255),LEFT($D$13:$D$48,255),0))=0,"",INDEX($B$13:$B$48,MATCH(LEFT(I13,255),LEFT($D$13:$D$48,255),0))),"")</calculatedColumnFormula>
    </tableColumn>
    <tableColumn id="10" xr3:uid="{00000000-0010-0000-0200-00000A000000}" name="Record I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InterventionList" displayName="InterventionList" ref="B53:L218" totalsRowShown="0">
  <autoFilter ref="B53:L218" xr:uid="{00000000-0009-0000-0100-000002000000}"/>
  <tableColumns count="11">
    <tableColumn id="1" xr3:uid="{00000000-0010-0000-0300-000001000000}" name="Module" dataDxfId="12"/>
    <tableColumn id="2" xr3:uid="{00000000-0010-0000-0300-000002000000}" name="Column1" dataDxfId="11"/>
    <tableColumn id="3" xr3:uid="{00000000-0010-0000-0300-000003000000}" name="Name ID" dataDxfId="10"/>
    <tableColumn id="4" xr3:uid="{00000000-0010-0000-0300-000004000000}" name="Name" dataDxfId="9"/>
    <tableColumn id="5" xr3:uid="{00000000-0010-0000-0300-000005000000}" name="Column2" dataDxfId="8"/>
    <tableColumn id="6" xr3:uid="{00000000-0010-0000-0300-000006000000}" name="Column5" dataDxfId="7"/>
    <tableColumn id="7" xr3:uid="{00000000-0010-0000-0300-000007000000}" name="Column6" dataDxfId="6"/>
    <tableColumn id="8" xr3:uid="{00000000-0010-0000-0300-000008000000}" name="Column4" dataDxfId="5"/>
    <tableColumn id="9" xr3:uid="{00000000-0010-0000-0300-000009000000}" name="Column3" dataDxfId="4"/>
    <tableColumn id="10" xr3:uid="{00000000-0010-0000-0300-00000A000000}" name="Record ID" dataDxfId="3"/>
    <tableColumn id="11" xr3:uid="{00000000-0010-0000-0300-00000B000000}" name="Column8" dataDxfId="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O52"/>
  <sheetViews>
    <sheetView topLeftCell="A4" zoomScale="70" zoomScaleNormal="70" zoomScaleSheetLayoutView="70" workbookViewId="0">
      <selection activeCell="C6" sqref="C6"/>
    </sheetView>
  </sheetViews>
  <sheetFormatPr baseColWidth="10" defaultColWidth="9.140625" defaultRowHeight="15" x14ac:dyDescent="0.25"/>
  <cols>
    <col min="1" max="1" width="6.140625" style="3" customWidth="1"/>
    <col min="2" max="2" width="1.140625" style="3" customWidth="1"/>
    <col min="3" max="3" width="43.85546875" style="3" customWidth="1"/>
    <col min="4" max="4" width="68.85546875" style="3" customWidth="1"/>
    <col min="5" max="7" width="9.140625" style="3"/>
    <col min="8" max="8" width="42.140625" style="3" customWidth="1"/>
    <col min="9" max="9" width="23.85546875" style="3" customWidth="1"/>
    <col min="10" max="10" width="31.85546875" style="3" bestFit="1" customWidth="1"/>
    <col min="11" max="11" width="14" style="3" customWidth="1"/>
    <col min="12" max="12" width="38.5703125" style="3" bestFit="1" customWidth="1"/>
    <col min="13" max="13" width="9.140625" style="3"/>
    <col min="14" max="15" width="9.140625" style="2"/>
    <col min="16" max="16384" width="9.140625" style="16"/>
  </cols>
  <sheetData>
    <row r="1" spans="1:15" s="3" customFormat="1" ht="48" customHeight="1" x14ac:dyDescent="0.2">
      <c r="A1" s="1408" t="str">
        <f>IF(J15&lt;&gt;"n/a",VLOOKUP(Translations!B3,Translations!B3:H508,4,0),VLOOKUP(Translations!B30,Translations!B3:H508,4,0))</f>
        <v>Rapport périodique sur les résultats actuels et demande de décaissement</v>
      </c>
      <c r="B1" s="1408"/>
      <c r="C1" s="1408"/>
      <c r="D1" s="1408"/>
      <c r="E1" s="1408"/>
      <c r="F1" s="1408"/>
      <c r="G1" s="1408"/>
      <c r="H1" s="1408"/>
      <c r="I1" s="1408"/>
      <c r="J1" s="1408"/>
      <c r="K1" s="1408"/>
      <c r="L1" s="1408"/>
      <c r="M1" s="1409" t="s">
        <v>0</v>
      </c>
      <c r="N1" s="1409"/>
      <c r="O1" s="1409"/>
    </row>
    <row r="2" spans="1:15" s="3" customFormat="1" ht="135" customHeight="1" x14ac:dyDescent="0.2">
      <c r="A2" s="1402" t="str">
        <f>VLOOKUP(Translations!B4,Translations!B3:H508,4,0)</f>
        <v>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v>
      </c>
      <c r="B2" s="1403"/>
      <c r="C2" s="1403"/>
      <c r="D2" s="1403"/>
      <c r="E2" s="1403"/>
      <c r="F2" s="1403"/>
      <c r="G2" s="1403"/>
      <c r="H2" s="1403"/>
      <c r="I2" s="1403"/>
      <c r="J2" s="1403"/>
      <c r="K2" s="1403"/>
      <c r="L2" s="1403"/>
      <c r="M2" s="1403"/>
      <c r="N2" s="1403"/>
      <c r="O2" s="1404"/>
    </row>
    <row r="3" spans="1:15" s="3" customFormat="1" ht="114" customHeight="1" x14ac:dyDescent="0.2">
      <c r="A3" s="1405"/>
      <c r="B3" s="1406"/>
      <c r="C3" s="1406"/>
      <c r="D3" s="1406"/>
      <c r="E3" s="1406"/>
      <c r="F3" s="1406"/>
      <c r="G3" s="1406"/>
      <c r="H3" s="1406"/>
      <c r="I3" s="1406"/>
      <c r="J3" s="1406"/>
      <c r="K3" s="1406"/>
      <c r="L3" s="1406"/>
      <c r="M3" s="1406"/>
      <c r="N3" s="1406"/>
      <c r="O3" s="1407"/>
    </row>
    <row r="4" spans="1:15" s="3" customFormat="1" ht="45" customHeight="1" thickBot="1" x14ac:dyDescent="0.25">
      <c r="A4" s="30"/>
      <c r="B4" s="31"/>
      <c r="C4" s="31"/>
      <c r="D4" s="31"/>
      <c r="E4" s="31"/>
      <c r="F4" s="31"/>
      <c r="G4" s="31"/>
      <c r="H4" s="31"/>
      <c r="I4" s="31"/>
      <c r="J4" s="31"/>
      <c r="K4" s="31"/>
      <c r="L4" s="31"/>
      <c r="M4" s="31"/>
      <c r="N4" s="31"/>
      <c r="O4" s="31"/>
    </row>
    <row r="5" spans="1:15" s="3" customFormat="1" ht="45" customHeight="1" thickBot="1" x14ac:dyDescent="0.25">
      <c r="A5" s="30"/>
      <c r="B5" s="31"/>
      <c r="C5" s="32" t="str">
        <f>VLOOKUP(Translations!B589,Translations!B3:H793,4,0)</f>
        <v>Langue</v>
      </c>
      <c r="D5" s="31"/>
      <c r="E5" s="31"/>
      <c r="F5" s="31"/>
      <c r="G5" s="31"/>
      <c r="H5" s="31"/>
      <c r="I5" s="31"/>
      <c r="J5" s="31"/>
      <c r="K5" s="31"/>
      <c r="L5" s="31"/>
      <c r="M5" s="31"/>
      <c r="N5" s="31"/>
      <c r="O5" s="31"/>
    </row>
    <row r="6" spans="1:15" s="3" customFormat="1" ht="48.75" customHeight="1" thickBot="1" x14ac:dyDescent="0.25">
      <c r="A6" s="30"/>
      <c r="B6" s="31"/>
      <c r="C6" s="738" t="s">
        <v>1</v>
      </c>
      <c r="D6" s="31"/>
      <c r="E6" s="31"/>
      <c r="F6" s="31"/>
      <c r="G6" s="31"/>
      <c r="H6" s="31"/>
      <c r="I6" s="31"/>
      <c r="J6" s="31"/>
      <c r="K6" s="31"/>
      <c r="L6" s="31"/>
      <c r="M6" s="31"/>
      <c r="N6" s="31"/>
      <c r="O6" s="31"/>
    </row>
    <row r="7" spans="1:15" s="3" customFormat="1" ht="32.25" customHeight="1" x14ac:dyDescent="0.2">
      <c r="A7" s="28"/>
      <c r="B7" s="29"/>
      <c r="C7" s="1"/>
      <c r="D7" s="1"/>
      <c r="E7" s="2"/>
      <c r="F7" s="2"/>
      <c r="G7" s="2"/>
      <c r="H7" s="2"/>
      <c r="I7" s="2"/>
      <c r="J7" s="2"/>
      <c r="K7" s="2"/>
      <c r="L7" s="2"/>
    </row>
    <row r="8" spans="1:15" s="3" customFormat="1" x14ac:dyDescent="0.2">
      <c r="A8" s="1410" t="str">
        <f>VLOOKUP(Translations!B6,Translations!B3:H508,4,0)</f>
        <v>Pays :</v>
      </c>
      <c r="B8" s="1411"/>
      <c r="C8" s="1412"/>
      <c r="D8" s="1001" t="str">
        <f>IFERROR(VLOOKUP(A8,'Coversheet Import-Export'!$A$5:$B$12,2,0),"")</f>
        <v>Burundi</v>
      </c>
      <c r="E8" s="4"/>
      <c r="F8" s="1416" t="str">
        <f>VLOOKUP(Translations!B14,Translations!B3:H508,4,0)</f>
        <v>PÉRIODE COUVERTE PAR LES RÉSULTATS ACTUELS PROGRAMMATIQUES</v>
      </c>
      <c r="G8" s="1417"/>
      <c r="H8" s="1417"/>
      <c r="I8" s="1417"/>
      <c r="J8" s="1002"/>
      <c r="K8" s="1002"/>
      <c r="L8" s="1003"/>
    </row>
    <row r="9" spans="1:15" s="3" customFormat="1" ht="14.25" x14ac:dyDescent="0.2">
      <c r="A9" s="1410" t="str">
        <f>VLOOKUP(Translations!B7,Translations!B3:H508,4,0)</f>
        <v>Composante (maladie)</v>
      </c>
      <c r="B9" s="1411"/>
      <c r="C9" s="1412"/>
      <c r="D9" s="1001" t="str">
        <f>IFERROR(VLOOKUP(A9,'Coversheet Import-Export'!$A$5:$B$12,2,0),"")</f>
        <v>Multi</v>
      </c>
      <c r="E9" s="4"/>
      <c r="F9" s="1413" t="str">
        <f>VLOOKUP(Translations!B15,Translations!B3:H508,4,0)</f>
        <v>Période couverte par le rapport sur les résultats actuels :</v>
      </c>
      <c r="G9" s="1414"/>
      <c r="H9" s="1415"/>
      <c r="I9" s="1004" t="str">
        <f>VLOOKUP(Translations!B16,Translations!B3:H508,4,0)</f>
        <v>Date de début:</v>
      </c>
      <c r="J9" s="1005">
        <f>IFERROR(_7b228704_0b7d_4fb6_ad6d_ec11fd6ca43e,"")</f>
        <v>43647</v>
      </c>
      <c r="K9" s="1006" t="str">
        <f>VLOOKUP(Translations!B17,Translations!B3:H508,4,0)</f>
        <v>Date de fin:</v>
      </c>
      <c r="L9" s="1005">
        <f>IFERROR(_bbfbd99a_1ffd_42e5_b449_9d7101abff3f,"")</f>
        <v>43830</v>
      </c>
    </row>
    <row r="10" spans="1:15" s="3" customFormat="1" ht="14.25" x14ac:dyDescent="0.2">
      <c r="A10" s="1410" t="str">
        <f>VLOOKUP(Translations!B8,Translations!B3:H508,4,0)</f>
        <v>Nom/numéro de la subvention :</v>
      </c>
      <c r="B10" s="1411"/>
      <c r="C10" s="1412"/>
      <c r="D10" s="1001" t="str">
        <f>IFERROR(VLOOKUP(A10,'Coversheet Import-Export'!$A$5:$B$12,2,0),"")</f>
        <v>BDI-C-UNDP</v>
      </c>
      <c r="E10" s="4"/>
      <c r="F10" s="665"/>
      <c r="G10" s="665"/>
      <c r="H10" s="665"/>
      <c r="I10" s="665"/>
      <c r="J10" s="666"/>
      <c r="K10" s="667"/>
      <c r="L10" s="666"/>
    </row>
    <row r="11" spans="1:15" s="3" customFormat="1" ht="33" customHeight="1" x14ac:dyDescent="0.2">
      <c r="A11" s="1410" t="str">
        <f>VLOOKUP(Translations!B9,Translations!B3:H508,4,0)</f>
        <v>Récipiendaire principal:</v>
      </c>
      <c r="B11" s="1411"/>
      <c r="C11" s="1412"/>
      <c r="D11" s="1001" t="str">
        <f>IFERROR(VLOOKUP(A11,'Coversheet Import-Export'!$A$5:$B$12,2,0),"")</f>
        <v>United Nations Development Programme</v>
      </c>
      <c r="E11" s="4"/>
      <c r="F11" s="1416" t="str">
        <f>VLOOKUP(Translations!B19,Translations!B3:H508,4,0)</f>
        <v>Période couverte par le rapport sur les information financière</v>
      </c>
      <c r="G11" s="1417"/>
      <c r="H11" s="1417"/>
      <c r="I11" s="1417"/>
      <c r="J11" s="1417"/>
      <c r="K11" s="1417"/>
      <c r="L11" s="1418"/>
    </row>
    <row r="12" spans="1:15" s="3" customFormat="1" ht="35.25" customHeight="1" x14ac:dyDescent="0.2">
      <c r="A12" s="1410" t="str">
        <f>VLOOKUP(Translations!B10,Translations!B3:H508,4,0)</f>
        <v>Nom de l'agent local du Fonds :</v>
      </c>
      <c r="B12" s="1411"/>
      <c r="C12" s="1412"/>
      <c r="D12" s="1007"/>
      <c r="E12" s="4"/>
      <c r="F12" s="1413" t="str">
        <f>VLOOKUP(Translations!B19,Translations!B3:H508,4,0)</f>
        <v>Période couverte par le rapport sur les information financière</v>
      </c>
      <c r="G12" s="1414"/>
      <c r="H12" s="1415"/>
      <c r="I12" s="1004" t="str">
        <f>VLOOKUP(Translations!B16,Translations!B3:H508,4,0)</f>
        <v>Date de début:</v>
      </c>
      <c r="J12" s="1005">
        <f>IF(_6ecf7e83_bf38_48ce_9f75_06e710f915b2="","n/a",_6ecf7e83_bf38_48ce_9f75_06e710f915b2)</f>
        <v>43466</v>
      </c>
      <c r="K12" s="1006" t="str">
        <f>VLOOKUP(Translations!B17,Translations!B3:H508,4,0)</f>
        <v>Date de fin:</v>
      </c>
      <c r="L12" s="1005">
        <f>IF(_bbfbd99a_1ffd_42e5_b449_9d7101abff3f="","n/a",_bbfbd99a_1ffd_42e5_b449_9d7101abff3f)</f>
        <v>43830</v>
      </c>
    </row>
    <row r="13" spans="1:15" s="3" customFormat="1" ht="14.25" x14ac:dyDescent="0.2">
      <c r="A13" s="1410" t="str">
        <f>VLOOKUP(Translations!B11,Translations!B3:H508,4,0)</f>
        <v>Date de début du programme :</v>
      </c>
      <c r="B13" s="1411"/>
      <c r="C13" s="1412"/>
      <c r="D13" s="1008">
        <f>IFERROR(VLOOKUP(A13,'Coversheet Import-Export'!$A$5:$B$12,2,0),"")</f>
        <v>43101</v>
      </c>
      <c r="E13" s="4"/>
      <c r="F13" s="668"/>
      <c r="G13" s="668"/>
      <c r="H13" s="668"/>
      <c r="I13" s="668"/>
      <c r="J13" s="668"/>
      <c r="K13" s="668"/>
      <c r="L13" s="668"/>
    </row>
    <row r="14" spans="1:15" s="3" customFormat="1" x14ac:dyDescent="0.2">
      <c r="A14" s="1410" t="str">
        <f>VLOOKUP(Translations!B12,Translations!B3:H508,4,0)</f>
        <v>Monnaie Subvention :</v>
      </c>
      <c r="B14" s="1411"/>
      <c r="C14" s="1412"/>
      <c r="D14" s="1001" t="str">
        <f>IFERROR(VLOOKUP(A14,'Coversheet Import-Export'!$A$5:$B$12,2,0),"")</f>
        <v>USD</v>
      </c>
      <c r="E14" s="4"/>
      <c r="F14" s="1416" t="str">
        <f>VLOOKUP(Translations!B22,Translations!B3:H508,4,0)</f>
        <v xml:space="preserve">DEMANDE DE DÉCAISSEMENT </v>
      </c>
      <c r="G14" s="1417"/>
      <c r="H14" s="1417"/>
      <c r="I14" s="1417"/>
      <c r="J14" s="1417"/>
      <c r="K14" s="1002"/>
      <c r="L14" s="1003"/>
    </row>
    <row r="15" spans="1:15" s="3" customFormat="1" ht="22.5" customHeight="1" x14ac:dyDescent="0.2">
      <c r="A15" s="1410" t="str">
        <f>VLOOKUP(Translations!B13,Translations!B3:H508,4,0)</f>
        <v>Monnaie Locale:</v>
      </c>
      <c r="B15" s="1411"/>
      <c r="C15" s="1412"/>
      <c r="D15" s="1001" t="str">
        <f>IFERROR(VLOOKUP(A15,'Coversheet Import-Export'!$A$5:$B$12,2,0),"")</f>
        <v>BIF</v>
      </c>
      <c r="E15" s="5"/>
      <c r="F15" s="1413" t="str">
        <f>VLOOKUP(Translations!B23,Translations!B3:H508,4,0)</f>
        <v>Demande de décaissement  - période de prévision:</v>
      </c>
      <c r="G15" s="1414"/>
      <c r="H15" s="1415"/>
      <c r="I15" s="1004" t="str">
        <f>VLOOKUP(Translations!B16,Translations!B3:H508,4,0)</f>
        <v>Date de début:</v>
      </c>
      <c r="J15" s="1005">
        <f>IF(_43bc67ab_a2dd_4a32_a150_b7acc6e5ffaf="","n/a",_43bc67ab_a2dd_4a32_a150_b7acc6e5ffaf)</f>
        <v>43831</v>
      </c>
      <c r="K15" s="1006" t="str">
        <f>VLOOKUP(Translations!B17,Translations!B3:H508,4,0)</f>
        <v>Date de fin:</v>
      </c>
      <c r="L15" s="1005">
        <f>IF(_44d37288_5e43_48e6_a9cc_80a3f02fc40f="","n/a",_44d37288_5e43_48e6_a9cc_80a3f02fc40f)</f>
        <v>44196</v>
      </c>
    </row>
    <row r="16" spans="1:15" s="3" customFormat="1" ht="30" customHeight="1" x14ac:dyDescent="0.2">
      <c r="A16" s="6"/>
      <c r="B16" s="6"/>
      <c r="C16" s="7"/>
      <c r="D16" s="1009"/>
      <c r="E16" s="8"/>
      <c r="F16" s="1413" t="str">
        <f>VLOOKUP(Translations!B26,Translations!B3:H508,4,0)</f>
        <v>Demande de décaissement  - Période additionnelle convenue:</v>
      </c>
      <c r="G16" s="1414"/>
      <c r="H16" s="1415"/>
      <c r="I16" s="1004" t="str">
        <f>VLOOKUP(Translations!B16,Translations!B3:H508,4,0)</f>
        <v>Date de début:</v>
      </c>
      <c r="J16" s="1005" t="str">
        <f>IF(_78bfad15_335d_4773_9ea3_22dbf845ec19="","n/a",_78bfad15_335d_4773_9ea3_22dbf845ec19)</f>
        <v>n/a</v>
      </c>
      <c r="K16" s="1006" t="str">
        <f>VLOOKUP(Translations!B17,Translations!B3:H508,4,0)</f>
        <v>Date de fin:</v>
      </c>
      <c r="L16" s="1005" t="str">
        <f>IF(_d0e80b24_abb1_49ca_98e8_e4a4f83d98c3="","n/a",_d0e80b24_abb1_49ca_98e8_e4a4f83d98c3)</f>
        <v>n/a</v>
      </c>
      <c r="M16" s="9"/>
      <c r="N16" s="9"/>
      <c r="O16" s="9"/>
    </row>
    <row r="17" spans="1:15" s="3" customFormat="1" ht="18" customHeight="1" x14ac:dyDescent="0.2">
      <c r="A17" s="6"/>
      <c r="B17" s="6"/>
      <c r="C17" s="10"/>
      <c r="D17" s="9"/>
      <c r="E17" s="4"/>
      <c r="F17" s="11"/>
      <c r="G17" s="11"/>
      <c r="H17" s="9"/>
      <c r="I17" s="9"/>
      <c r="J17" s="9"/>
      <c r="K17" s="9"/>
      <c r="L17" s="9"/>
    </row>
    <row r="18" spans="1:15" s="3" customFormat="1" ht="20.25" x14ac:dyDescent="0.25">
      <c r="A18" s="12"/>
      <c r="B18" s="13"/>
      <c r="C18" s="14"/>
      <c r="D18" s="15"/>
      <c r="E18" s="16"/>
      <c r="F18" s="2"/>
      <c r="G18" s="2"/>
      <c r="H18" s="6"/>
    </row>
    <row r="19" spans="1:15" s="3" customFormat="1" x14ac:dyDescent="0.2">
      <c r="A19" s="12"/>
      <c r="B19" s="17"/>
      <c r="G19" s="18"/>
      <c r="N19" s="14"/>
    </row>
    <row r="20" spans="1:15" s="3" customFormat="1" x14ac:dyDescent="0.2">
      <c r="A20" s="12"/>
      <c r="B20" s="17"/>
    </row>
    <row r="21" spans="1:15" s="2" customFormat="1" x14ac:dyDescent="0.2">
      <c r="A21" s="12"/>
      <c r="B21" s="17"/>
      <c r="C21" s="3"/>
      <c r="D21" s="3"/>
      <c r="E21" s="3"/>
      <c r="F21" s="3"/>
      <c r="G21" s="3"/>
      <c r="H21" s="3"/>
      <c r="I21" s="3"/>
      <c r="J21" s="3"/>
      <c r="K21" s="3"/>
      <c r="L21" s="3"/>
      <c r="M21" s="3"/>
    </row>
    <row r="22" spans="1:15" s="2" customFormat="1" ht="12.75" x14ac:dyDescent="0.2">
      <c r="A22" s="3"/>
      <c r="B22" s="3"/>
      <c r="C22" s="3"/>
      <c r="D22" s="3"/>
      <c r="E22" s="3"/>
      <c r="F22" s="3"/>
      <c r="G22" s="3"/>
      <c r="H22" s="3"/>
      <c r="I22" s="3"/>
      <c r="J22" s="3"/>
      <c r="K22" s="3"/>
      <c r="L22" s="3"/>
      <c r="M22" s="3"/>
    </row>
    <row r="23" spans="1:15" s="2" customFormat="1" ht="12.75" x14ac:dyDescent="0.2">
      <c r="A23" s="3"/>
      <c r="B23" s="3"/>
      <c r="C23" s="3"/>
      <c r="D23" s="3"/>
      <c r="E23" s="3"/>
      <c r="F23" s="3"/>
      <c r="G23" s="3"/>
      <c r="H23" s="3"/>
      <c r="I23" s="3"/>
      <c r="J23" s="3"/>
      <c r="K23" s="3"/>
      <c r="L23" s="3"/>
      <c r="M23" s="3"/>
    </row>
    <row r="24" spans="1:15" x14ac:dyDescent="0.25">
      <c r="A24" s="19"/>
      <c r="B24" s="19"/>
      <c r="C24" s="19"/>
      <c r="D24" s="19"/>
      <c r="E24" s="19"/>
      <c r="F24" s="19"/>
      <c r="G24" s="19"/>
      <c r="H24" s="19"/>
      <c r="I24" s="19"/>
      <c r="J24" s="19"/>
      <c r="K24" s="19"/>
      <c r="L24" s="19"/>
      <c r="M24" s="19"/>
      <c r="N24" s="414"/>
      <c r="O24" s="414"/>
    </row>
    <row r="25" spans="1:15" ht="15.75" x14ac:dyDescent="0.25">
      <c r="A25" s="21"/>
      <c r="B25" s="22"/>
      <c r="C25" s="19"/>
      <c r="D25" s="19"/>
      <c r="E25" s="19"/>
      <c r="F25" s="19"/>
      <c r="G25" s="19"/>
      <c r="H25" s="19"/>
      <c r="I25" s="19"/>
      <c r="J25" s="19"/>
      <c r="K25" s="19"/>
      <c r="L25" s="19"/>
      <c r="M25" s="19"/>
      <c r="N25" s="414"/>
      <c r="O25" s="414"/>
    </row>
    <row r="26" spans="1:15" ht="18" x14ac:dyDescent="0.25">
      <c r="A26" s="21"/>
      <c r="B26" s="23"/>
      <c r="C26" s="19"/>
      <c r="D26" s="19"/>
      <c r="E26" s="19"/>
      <c r="F26" s="19"/>
      <c r="G26" s="19"/>
      <c r="H26" s="24"/>
      <c r="I26" s="25"/>
      <c r="J26" s="19"/>
      <c r="K26" s="19"/>
      <c r="L26" s="19"/>
      <c r="M26" s="19"/>
      <c r="N26" s="414"/>
      <c r="O26" s="414"/>
    </row>
    <row r="27" spans="1:15" ht="15.75" x14ac:dyDescent="0.25">
      <c r="A27" s="21"/>
      <c r="B27" s="22"/>
      <c r="C27" s="19"/>
      <c r="D27" s="19"/>
      <c r="E27" s="19"/>
      <c r="F27" s="19"/>
      <c r="G27" s="19"/>
      <c r="H27" s="24"/>
      <c r="I27" s="25"/>
      <c r="J27" s="19"/>
      <c r="K27" s="19"/>
      <c r="L27" s="19"/>
      <c r="M27" s="19"/>
      <c r="N27" s="414"/>
      <c r="O27" s="414"/>
    </row>
    <row r="28" spans="1:15" ht="18" x14ac:dyDescent="0.25">
      <c r="A28" s="26"/>
      <c r="B28" s="26"/>
      <c r="C28" s="19"/>
      <c r="D28" s="19"/>
      <c r="E28" s="19"/>
      <c r="F28" s="19"/>
      <c r="G28" s="19"/>
      <c r="H28" s="24"/>
      <c r="I28" s="25"/>
      <c r="J28" s="19"/>
      <c r="K28" s="19"/>
      <c r="L28" s="19"/>
      <c r="M28" s="19"/>
      <c r="N28" s="414"/>
      <c r="O28" s="414"/>
    </row>
    <row r="29" spans="1:15" ht="18" x14ac:dyDescent="0.25">
      <c r="A29" s="19"/>
      <c r="B29" s="26"/>
      <c r="C29" s="19"/>
      <c r="D29" s="19"/>
      <c r="E29" s="19"/>
      <c r="F29" s="19"/>
      <c r="G29" s="19"/>
      <c r="H29" s="24"/>
      <c r="I29" s="25"/>
      <c r="J29" s="19"/>
      <c r="K29" s="19"/>
      <c r="L29" s="19"/>
      <c r="M29" s="19"/>
      <c r="N29" s="414"/>
      <c r="O29" s="414"/>
    </row>
    <row r="30" spans="1:15" x14ac:dyDescent="0.25">
      <c r="A30" s="19"/>
      <c r="B30" s="19"/>
      <c r="C30" s="19"/>
      <c r="D30" s="19"/>
      <c r="E30" s="19"/>
      <c r="F30" s="19"/>
      <c r="G30" s="19"/>
      <c r="H30" s="19"/>
      <c r="I30" s="27"/>
      <c r="J30" s="19"/>
      <c r="K30" s="19"/>
      <c r="L30" s="19"/>
      <c r="M30" s="19"/>
      <c r="N30" s="414"/>
      <c r="O30" s="414"/>
    </row>
    <row r="31" spans="1:15" x14ac:dyDescent="0.25">
      <c r="A31" s="19"/>
      <c r="B31" s="19"/>
      <c r="C31" s="19"/>
      <c r="D31" s="19"/>
      <c r="E31" s="19"/>
      <c r="F31" s="19"/>
      <c r="G31" s="19"/>
      <c r="H31" s="19"/>
      <c r="I31" s="19"/>
      <c r="J31" s="19"/>
      <c r="K31" s="19"/>
      <c r="L31" s="19"/>
      <c r="M31" s="19"/>
      <c r="N31" s="414"/>
      <c r="O31" s="414"/>
    </row>
    <row r="32" spans="1:15" x14ac:dyDescent="0.25">
      <c r="A32" s="19"/>
      <c r="B32" s="19"/>
      <c r="C32" s="19"/>
      <c r="D32" s="19"/>
      <c r="E32" s="19"/>
      <c r="F32" s="19"/>
      <c r="G32" s="19"/>
      <c r="H32" s="19"/>
      <c r="I32" s="19"/>
      <c r="J32" s="19"/>
      <c r="K32" s="19"/>
      <c r="L32" s="19"/>
      <c r="M32" s="19"/>
      <c r="N32" s="414"/>
      <c r="O32" s="414"/>
    </row>
    <row r="33" spans="1:15" x14ac:dyDescent="0.25">
      <c r="A33" s="19"/>
      <c r="B33" s="19"/>
      <c r="C33" s="19"/>
      <c r="D33" s="19"/>
      <c r="E33" s="19"/>
      <c r="F33" s="19"/>
      <c r="G33" s="19"/>
      <c r="H33" s="19"/>
      <c r="I33" s="19"/>
      <c r="J33" s="19"/>
      <c r="K33" s="19"/>
      <c r="L33" s="19"/>
      <c r="M33" s="19"/>
      <c r="N33" s="414"/>
      <c r="O33" s="414"/>
    </row>
    <row r="34" spans="1:15" x14ac:dyDescent="0.25">
      <c r="A34" s="19"/>
      <c r="B34" s="19"/>
      <c r="C34" s="19"/>
      <c r="D34" s="19"/>
      <c r="E34" s="19"/>
      <c r="F34" s="19"/>
      <c r="G34" s="19"/>
      <c r="H34" s="19"/>
      <c r="I34" s="19"/>
      <c r="J34" s="19"/>
      <c r="K34" s="19"/>
      <c r="L34" s="19"/>
      <c r="M34" s="19"/>
      <c r="N34" s="414"/>
      <c r="O34" s="414"/>
    </row>
    <row r="35" spans="1:15" x14ac:dyDescent="0.25">
      <c r="A35" s="19"/>
      <c r="B35" s="19"/>
      <c r="C35" s="19"/>
      <c r="D35" s="19"/>
      <c r="E35" s="19"/>
      <c r="F35" s="19"/>
      <c r="G35" s="19"/>
      <c r="H35" s="19"/>
      <c r="I35" s="19"/>
      <c r="J35" s="19"/>
      <c r="K35" s="19"/>
      <c r="L35" s="19"/>
      <c r="M35" s="19"/>
      <c r="N35" s="414"/>
      <c r="O35" s="414"/>
    </row>
    <row r="36" spans="1:15" x14ac:dyDescent="0.25">
      <c r="A36" s="19"/>
      <c r="B36" s="19"/>
      <c r="C36" s="19"/>
      <c r="D36" s="19"/>
      <c r="E36" s="19"/>
      <c r="F36" s="19"/>
      <c r="G36" s="19"/>
      <c r="H36" s="19"/>
      <c r="I36" s="19"/>
      <c r="J36" s="19"/>
      <c r="K36" s="19"/>
      <c r="L36" s="19"/>
      <c r="M36" s="19"/>
      <c r="N36" s="414"/>
      <c r="O36" s="414"/>
    </row>
    <row r="37" spans="1:15" x14ac:dyDescent="0.25">
      <c r="A37" s="19"/>
      <c r="B37" s="19"/>
      <c r="C37" s="19"/>
      <c r="D37" s="19"/>
      <c r="E37" s="19"/>
      <c r="F37" s="19"/>
      <c r="G37" s="19"/>
      <c r="H37" s="19"/>
      <c r="I37" s="19"/>
      <c r="J37" s="19"/>
      <c r="K37" s="19"/>
      <c r="L37" s="19"/>
      <c r="M37" s="19"/>
      <c r="N37" s="414"/>
      <c r="O37" s="414"/>
    </row>
    <row r="38" spans="1:15" x14ac:dyDescent="0.25">
      <c r="A38" s="19"/>
      <c r="B38" s="19"/>
      <c r="C38" s="19"/>
      <c r="D38" s="19"/>
      <c r="E38" s="19"/>
      <c r="F38" s="19"/>
      <c r="G38" s="19"/>
      <c r="H38" s="19"/>
      <c r="I38" s="19"/>
      <c r="J38" s="19"/>
      <c r="K38" s="19"/>
      <c r="L38" s="19"/>
      <c r="M38" s="19"/>
      <c r="N38" s="414"/>
      <c r="O38" s="414"/>
    </row>
    <row r="39" spans="1:15" x14ac:dyDescent="0.25">
      <c r="A39" s="19"/>
      <c r="B39" s="19"/>
      <c r="C39" s="19"/>
      <c r="D39" s="19"/>
      <c r="E39" s="19"/>
      <c r="F39" s="19"/>
      <c r="G39" s="19"/>
      <c r="H39" s="19"/>
      <c r="I39" s="19"/>
      <c r="J39" s="19"/>
      <c r="K39" s="19"/>
      <c r="L39" s="19"/>
      <c r="M39" s="19"/>
      <c r="N39" s="414"/>
      <c r="O39" s="414"/>
    </row>
    <row r="40" spans="1:15" x14ac:dyDescent="0.25">
      <c r="A40" s="19"/>
      <c r="B40" s="19"/>
      <c r="C40" s="19"/>
      <c r="D40" s="19"/>
      <c r="E40" s="19"/>
      <c r="F40" s="19"/>
      <c r="G40" s="19"/>
      <c r="H40" s="19"/>
      <c r="I40" s="19"/>
      <c r="J40" s="19"/>
      <c r="K40" s="19"/>
      <c r="L40" s="19"/>
      <c r="M40" s="19"/>
      <c r="N40" s="414"/>
      <c r="O40" s="414"/>
    </row>
    <row r="41" spans="1:15" x14ac:dyDescent="0.25">
      <c r="A41" s="19"/>
      <c r="B41" s="19"/>
      <c r="C41" s="19"/>
      <c r="D41" s="19"/>
      <c r="E41" s="19"/>
      <c r="F41" s="19"/>
      <c r="G41" s="19"/>
      <c r="H41" s="19"/>
      <c r="I41" s="19"/>
      <c r="J41" s="19"/>
      <c r="K41" s="19"/>
      <c r="L41" s="19"/>
      <c r="M41" s="19"/>
      <c r="N41" s="414"/>
      <c r="O41" s="414"/>
    </row>
    <row r="42" spans="1:15" x14ac:dyDescent="0.25">
      <c r="A42" s="19"/>
      <c r="B42" s="19"/>
      <c r="C42" s="19"/>
      <c r="D42" s="19"/>
      <c r="E42" s="19"/>
      <c r="F42" s="19"/>
      <c r="G42" s="19"/>
      <c r="H42" s="19"/>
      <c r="I42" s="19"/>
      <c r="J42" s="19"/>
      <c r="K42" s="19"/>
      <c r="L42" s="19"/>
      <c r="M42" s="19"/>
      <c r="N42" s="414"/>
      <c r="O42" s="414"/>
    </row>
    <row r="43" spans="1:15" x14ac:dyDescent="0.25">
      <c r="A43" s="19"/>
      <c r="B43" s="19"/>
      <c r="C43" s="19"/>
      <c r="D43" s="19"/>
      <c r="E43" s="19"/>
      <c r="F43" s="19"/>
      <c r="G43" s="19"/>
      <c r="H43" s="19"/>
      <c r="I43" s="19"/>
      <c r="J43" s="19"/>
      <c r="K43" s="19"/>
      <c r="L43" s="19"/>
      <c r="M43" s="19"/>
      <c r="N43" s="414"/>
      <c r="O43" s="414"/>
    </row>
    <row r="44" spans="1:15" x14ac:dyDescent="0.25">
      <c r="A44" s="19"/>
      <c r="B44" s="19"/>
      <c r="C44" s="19"/>
      <c r="D44" s="19"/>
      <c r="E44" s="19"/>
      <c r="F44" s="19"/>
      <c r="G44" s="19"/>
      <c r="H44" s="19"/>
      <c r="I44" s="19"/>
      <c r="J44" s="19"/>
      <c r="K44" s="19"/>
      <c r="L44" s="19"/>
      <c r="M44" s="19"/>
      <c r="N44" s="414"/>
      <c r="O44" s="414"/>
    </row>
    <row r="45" spans="1:15" x14ac:dyDescent="0.25">
      <c r="B45" s="19"/>
      <c r="C45" s="20"/>
      <c r="D45" s="20"/>
      <c r="E45" s="20"/>
      <c r="F45" s="20"/>
      <c r="G45" s="20"/>
      <c r="H45" s="20"/>
      <c r="I45" s="20"/>
      <c r="J45" s="20"/>
      <c r="K45" s="20"/>
      <c r="L45" s="20"/>
      <c r="M45" s="20"/>
      <c r="N45" s="414"/>
      <c r="O45" s="414"/>
    </row>
    <row r="46" spans="1:15" x14ac:dyDescent="0.25">
      <c r="B46" s="19"/>
      <c r="C46" s="20"/>
      <c r="D46" s="20"/>
      <c r="E46" s="20"/>
      <c r="F46" s="20"/>
      <c r="G46" s="20"/>
      <c r="H46" s="20"/>
      <c r="I46" s="20"/>
      <c r="J46" s="20"/>
      <c r="K46" s="20"/>
      <c r="L46" s="20"/>
      <c r="M46" s="20"/>
      <c r="N46" s="414"/>
      <c r="O46" s="414"/>
    </row>
    <row r="47" spans="1:15" x14ac:dyDescent="0.25">
      <c r="C47" s="20"/>
      <c r="D47" s="20"/>
      <c r="E47" s="20"/>
      <c r="F47" s="20"/>
      <c r="G47" s="20"/>
      <c r="H47" s="20"/>
      <c r="I47" s="20"/>
      <c r="J47" s="20"/>
      <c r="K47" s="20"/>
      <c r="L47" s="20"/>
      <c r="M47" s="20"/>
      <c r="N47" s="414"/>
      <c r="O47" s="414"/>
    </row>
    <row r="48" spans="1:15" x14ac:dyDescent="0.25">
      <c r="C48" s="20"/>
      <c r="D48" s="20"/>
      <c r="E48" s="20"/>
      <c r="F48" s="20"/>
      <c r="G48" s="20"/>
      <c r="H48" s="20"/>
      <c r="I48" s="20"/>
      <c r="J48" s="20"/>
      <c r="K48" s="20"/>
      <c r="L48" s="20"/>
      <c r="M48" s="20"/>
      <c r="N48" s="414"/>
      <c r="O48" s="414"/>
    </row>
    <row r="49" spans="3:15" x14ac:dyDescent="0.25">
      <c r="C49" s="20"/>
      <c r="D49" s="20"/>
      <c r="E49" s="20"/>
      <c r="F49" s="20"/>
      <c r="G49" s="20"/>
      <c r="H49" s="20"/>
      <c r="I49" s="20"/>
      <c r="J49" s="20"/>
      <c r="K49" s="20"/>
      <c r="L49" s="20"/>
      <c r="M49" s="20"/>
      <c r="N49" s="414"/>
      <c r="O49" s="414"/>
    </row>
    <row r="50" spans="3:15" x14ac:dyDescent="0.25">
      <c r="C50" s="20"/>
      <c r="D50" s="20"/>
      <c r="E50" s="20"/>
      <c r="F50" s="20"/>
      <c r="G50" s="20"/>
      <c r="H50" s="20"/>
      <c r="I50" s="20"/>
      <c r="J50" s="20"/>
      <c r="K50" s="20"/>
      <c r="L50" s="20"/>
      <c r="M50" s="20"/>
      <c r="N50" s="414"/>
      <c r="O50" s="414"/>
    </row>
    <row r="51" spans="3:15" x14ac:dyDescent="0.25">
      <c r="C51" s="20"/>
      <c r="D51" s="20"/>
      <c r="E51" s="20"/>
      <c r="F51" s="20"/>
      <c r="G51" s="20"/>
      <c r="H51" s="20"/>
      <c r="I51" s="20"/>
      <c r="J51" s="20"/>
      <c r="K51" s="20"/>
      <c r="L51" s="20"/>
      <c r="M51" s="20"/>
      <c r="N51" s="414"/>
      <c r="O51" s="414"/>
    </row>
    <row r="52" spans="3:15" x14ac:dyDescent="0.25">
      <c r="C52" s="20"/>
      <c r="D52" s="20"/>
      <c r="E52" s="20"/>
      <c r="F52" s="20"/>
      <c r="G52" s="20"/>
      <c r="H52" s="20"/>
      <c r="I52" s="20"/>
      <c r="J52" s="20"/>
      <c r="K52" s="20"/>
      <c r="L52" s="20"/>
      <c r="M52" s="20"/>
      <c r="N52" s="414"/>
      <c r="O52" s="414"/>
    </row>
  </sheetData>
  <sheetProtection password="BF22" sheet="1" objects="1" scenarios="1" formatColumns="0" formatRows="0" sort="0" autoFilter="0"/>
  <mergeCells count="18">
    <mergeCell ref="F16:H16"/>
    <mergeCell ref="F8:I8"/>
    <mergeCell ref="F14:J14"/>
    <mergeCell ref="A15:C15"/>
    <mergeCell ref="A12:C12"/>
    <mergeCell ref="A10:C10"/>
    <mergeCell ref="A11:C11"/>
    <mergeCell ref="F11:L11"/>
    <mergeCell ref="A13:C13"/>
    <mergeCell ref="A14:C14"/>
    <mergeCell ref="F12:H12"/>
    <mergeCell ref="F15:H15"/>
    <mergeCell ref="A2:O3"/>
    <mergeCell ref="A1:L1"/>
    <mergeCell ref="M1:O1"/>
    <mergeCell ref="A8:C8"/>
    <mergeCell ref="A9:C9"/>
    <mergeCell ref="F9:H9"/>
  </mergeCells>
  <dataValidations count="1">
    <dataValidation type="list" allowBlank="1" showInputMessage="1" showErrorMessage="1" sqref="C6" xr:uid="{00000000-0002-0000-0000-000000000000}">
      <formula1>"English,French,Spanish"</formula1>
    </dataValidation>
  </dataValidations>
  <pageMargins left="0.70866141732283472" right="0.70866141732283472" top="0.74803149606299213" bottom="0.74803149606299213" header="0.31496062992125984" footer="0.31496062992125984"/>
  <pageSetup paperSize="8"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sheetPr>
  <dimension ref="A1:BA31"/>
  <sheetViews>
    <sheetView topLeftCell="AI1" zoomScale="70" zoomScaleNormal="70" workbookViewId="0">
      <selection activeCell="AI7" sqref="AI7"/>
    </sheetView>
  </sheetViews>
  <sheetFormatPr baseColWidth="10" defaultColWidth="9.140625" defaultRowHeight="15" x14ac:dyDescent="0.2"/>
  <cols>
    <col min="1" max="2" width="9.140625" style="33"/>
    <col min="3" max="3" width="14" style="34" bestFit="1" customWidth="1"/>
    <col min="4" max="4" width="34.140625" style="33" customWidth="1"/>
    <col min="5" max="5" width="88.42578125" style="33" customWidth="1"/>
    <col min="6" max="6" width="34.140625" style="33" customWidth="1"/>
    <col min="7" max="10" width="43.85546875" style="33" customWidth="1"/>
    <col min="11" max="11" width="36.85546875" style="33" customWidth="1"/>
    <col min="12" max="12" width="31.85546875" style="33" bestFit="1" customWidth="1"/>
    <col min="13" max="13" width="18" style="33" customWidth="1"/>
    <col min="14" max="14" width="10.42578125" style="33" customWidth="1"/>
    <col min="15" max="15" width="10.140625" style="33" customWidth="1"/>
    <col min="16" max="18" width="10.42578125" style="33" customWidth="1"/>
    <col min="19" max="20" width="12.85546875" style="33" customWidth="1"/>
    <col min="21" max="21" width="15.85546875" style="33" customWidth="1"/>
    <col min="22" max="22" width="48.42578125" style="33" customWidth="1"/>
    <col min="23" max="24" width="9.140625" style="33"/>
    <col min="25" max="25" width="10.85546875" style="33" bestFit="1" customWidth="1"/>
    <col min="26" max="26" width="11.85546875" style="33" customWidth="1"/>
    <col min="27" max="27" width="18.85546875" style="33" customWidth="1"/>
    <col min="28" max="28" width="42.140625" style="33" customWidth="1"/>
    <col min="29" max="31" width="9.140625" style="33"/>
    <col min="32" max="32" width="13.5703125" style="33" customWidth="1"/>
    <col min="33" max="33" width="13.85546875" style="33" customWidth="1"/>
    <col min="34" max="34" width="13.42578125" style="33" customWidth="1"/>
    <col min="35" max="36" width="52.5703125" style="33" customWidth="1"/>
    <col min="37" max="37" width="11.85546875" style="33" customWidth="1"/>
    <col min="38" max="38" width="11.42578125" style="33" customWidth="1"/>
    <col min="39" max="39" width="11.85546875" style="33" customWidth="1"/>
    <col min="40" max="40" width="19.140625" style="33" customWidth="1"/>
    <col min="41" max="41" width="43.42578125" style="33" customWidth="1"/>
    <col min="42" max="42" width="45.5703125" style="33" customWidth="1"/>
    <col min="43" max="43" width="37.140625" style="33" customWidth="1"/>
    <col min="44" max="50" width="9.140625" style="33"/>
    <col min="51" max="51" width="23.42578125" style="33" bestFit="1" customWidth="1"/>
    <col min="52" max="52" width="23.5703125" style="33" bestFit="1" customWidth="1"/>
    <col min="53" max="53" width="30.5703125" style="33" bestFit="1" customWidth="1"/>
    <col min="54" max="16384" width="9.140625" style="33"/>
  </cols>
  <sheetData>
    <row r="1" spans="1:53" x14ac:dyDescent="0.2">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53" ht="126" customHeight="1" x14ac:dyDescent="0.2">
      <c r="D2" s="1460" t="s">
        <v>352</v>
      </c>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017"/>
      <c r="AK2" s="1018"/>
      <c r="AL2" s="1018"/>
      <c r="AM2" s="1018"/>
      <c r="AN2" s="1018"/>
      <c r="AO2" s="1018"/>
      <c r="AP2" s="1019"/>
    </row>
    <row r="3" spans="1:53" x14ac:dyDescent="0.2">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53" ht="18.75" customHeight="1" thickBot="1" x14ac:dyDescent="0.25">
      <c r="D4" s="36"/>
      <c r="E4" s="36"/>
      <c r="F4" s="36"/>
      <c r="G4" s="37"/>
      <c r="H4" s="37"/>
      <c r="I4" s="37"/>
      <c r="J4" s="37"/>
      <c r="K4" s="37"/>
      <c r="L4" s="37"/>
      <c r="M4" s="37"/>
      <c r="N4" s="37"/>
      <c r="O4" s="37"/>
      <c r="P4" s="37"/>
      <c r="Q4" s="37"/>
      <c r="R4" s="37"/>
      <c r="S4" s="37"/>
      <c r="T4" s="37"/>
      <c r="U4" s="37"/>
      <c r="V4" s="404"/>
      <c r="W4" s="37"/>
      <c r="X4" s="37"/>
      <c r="Y4" s="37"/>
      <c r="Z4" s="37"/>
      <c r="AA4" s="37"/>
      <c r="AB4" s="404"/>
      <c r="AC4" s="37"/>
      <c r="AD4" s="37"/>
      <c r="AE4" s="37"/>
      <c r="AF4" s="37"/>
      <c r="AG4" s="37"/>
      <c r="AH4" s="37"/>
      <c r="AI4" s="37"/>
      <c r="AJ4" s="404"/>
      <c r="AK4" s="37"/>
      <c r="AL4" s="37"/>
      <c r="AM4" s="37"/>
      <c r="AN4" s="37"/>
      <c r="AO4" s="37"/>
      <c r="AP4" s="404"/>
    </row>
    <row r="5" spans="1:53" ht="28.5" customHeight="1" x14ac:dyDescent="0.2">
      <c r="D5" s="1438" t="s">
        <v>353</v>
      </c>
      <c r="E5" s="1433" t="s">
        <v>150</v>
      </c>
      <c r="F5" s="1433" t="s">
        <v>354</v>
      </c>
      <c r="G5" s="1433" t="s">
        <v>355</v>
      </c>
      <c r="H5" s="1433" t="s">
        <v>356</v>
      </c>
      <c r="I5" s="1433" t="s">
        <v>357</v>
      </c>
      <c r="J5" s="1433" t="s">
        <v>358</v>
      </c>
      <c r="K5" s="41" t="s">
        <v>323</v>
      </c>
      <c r="L5" s="1462" t="s">
        <v>359</v>
      </c>
      <c r="M5" s="1466" t="s">
        <v>324</v>
      </c>
      <c r="N5" s="1430" t="s">
        <v>291</v>
      </c>
      <c r="O5" s="1432"/>
      <c r="P5" s="1432"/>
      <c r="Q5" s="1432"/>
      <c r="R5" s="1431"/>
      <c r="S5" s="1430" t="s">
        <v>156</v>
      </c>
      <c r="T5" s="1432"/>
      <c r="U5" s="1431"/>
      <c r="V5" s="1433" t="s">
        <v>160</v>
      </c>
      <c r="W5" s="1435" t="s">
        <v>161</v>
      </c>
      <c r="X5" s="1436"/>
      <c r="Y5" s="1437"/>
      <c r="Z5" s="1419" t="s">
        <v>22</v>
      </c>
      <c r="AA5" s="1419" t="s">
        <v>325</v>
      </c>
      <c r="AB5" s="1419" t="s">
        <v>360</v>
      </c>
      <c r="AC5" s="1442" t="s">
        <v>165</v>
      </c>
      <c r="AD5" s="1443"/>
      <c r="AE5" s="1444"/>
      <c r="AF5" s="1421" t="s">
        <v>22</v>
      </c>
      <c r="AG5" s="1421" t="s">
        <v>325</v>
      </c>
      <c r="AH5" s="1421" t="s">
        <v>164</v>
      </c>
      <c r="AI5" s="1421" t="s">
        <v>326</v>
      </c>
      <c r="AJ5" s="1433" t="s">
        <v>130</v>
      </c>
      <c r="AK5" s="1451" t="s">
        <v>131</v>
      </c>
      <c r="AL5" s="1451"/>
      <c r="AM5" s="1451"/>
      <c r="AN5" s="1477" t="s">
        <v>327</v>
      </c>
      <c r="AO5" s="1423" t="s">
        <v>328</v>
      </c>
      <c r="AP5" s="1440" t="s">
        <v>133</v>
      </c>
      <c r="AQ5" s="1440" t="s">
        <v>361</v>
      </c>
      <c r="AR5" s="1440" t="s">
        <v>362</v>
      </c>
      <c r="AS5" s="1440" t="s">
        <v>159</v>
      </c>
      <c r="AT5" s="1440"/>
      <c r="AU5" s="1440"/>
      <c r="AV5" s="1440"/>
      <c r="AW5" s="1440"/>
      <c r="AX5" s="1440"/>
      <c r="AY5" s="1440" t="s">
        <v>363</v>
      </c>
      <c r="AZ5" s="1440" t="s">
        <v>364</v>
      </c>
      <c r="BA5" s="1440" t="s">
        <v>365</v>
      </c>
    </row>
    <row r="6" spans="1:53" ht="78" customHeight="1" x14ac:dyDescent="0.2">
      <c r="A6" s="771" t="s">
        <v>122</v>
      </c>
      <c r="B6" s="772">
        <v>-1</v>
      </c>
      <c r="C6" s="771"/>
      <c r="D6" s="1474"/>
      <c r="E6" s="1474"/>
      <c r="F6" s="1474"/>
      <c r="G6" s="1474"/>
      <c r="H6" s="1474"/>
      <c r="I6" s="1474"/>
      <c r="J6" s="1474"/>
      <c r="K6" s="773" t="s">
        <v>366</v>
      </c>
      <c r="L6" s="1474"/>
      <c r="M6" s="1474"/>
      <c r="N6" s="774" t="s">
        <v>367</v>
      </c>
      <c r="O6" s="774" t="s">
        <v>368</v>
      </c>
      <c r="P6" s="774" t="s">
        <v>369</v>
      </c>
      <c r="Q6" s="774" t="s">
        <v>170</v>
      </c>
      <c r="R6" s="774" t="s">
        <v>300</v>
      </c>
      <c r="S6" s="775" t="s">
        <v>178</v>
      </c>
      <c r="T6" s="775" t="s">
        <v>179</v>
      </c>
      <c r="U6" s="775" t="s">
        <v>180</v>
      </c>
      <c r="V6" s="1474"/>
      <c r="W6" s="776" t="s">
        <v>184</v>
      </c>
      <c r="X6" s="776" t="s">
        <v>185</v>
      </c>
      <c r="Y6" s="776" t="s">
        <v>186</v>
      </c>
      <c r="Z6" s="1476"/>
      <c r="AA6" s="1476"/>
      <c r="AB6" s="1476"/>
      <c r="AC6" s="777" t="s">
        <v>370</v>
      </c>
      <c r="AD6" s="777" t="s">
        <v>192</v>
      </c>
      <c r="AE6" s="777" t="s">
        <v>193</v>
      </c>
      <c r="AF6" s="1475"/>
      <c r="AG6" s="1475"/>
      <c r="AH6" s="1475"/>
      <c r="AI6" s="1475"/>
      <c r="AJ6" s="1474"/>
      <c r="AK6" s="778"/>
      <c r="AL6" s="778"/>
      <c r="AM6" s="778"/>
      <c r="AN6" s="1478"/>
      <c r="AO6" s="1478"/>
      <c r="AP6" s="1474"/>
      <c r="AQ6" s="1474"/>
      <c r="AR6" s="1474"/>
      <c r="AS6" s="1474"/>
      <c r="AT6" s="1474"/>
      <c r="AU6" s="1474"/>
      <c r="AV6" s="1474"/>
      <c r="AW6" s="1474"/>
      <c r="AX6" s="1474"/>
      <c r="AY6" s="1474" t="s">
        <v>363</v>
      </c>
      <c r="AZ6" s="1474" t="s">
        <v>364</v>
      </c>
      <c r="BA6" s="1474" t="s">
        <v>365</v>
      </c>
    </row>
    <row r="7" spans="1:53" ht="15.6" hidden="1" customHeight="1" x14ac:dyDescent="0.2">
      <c r="A7" s="772" t="s">
        <v>371</v>
      </c>
      <c r="B7" s="772">
        <f>B6+1</f>
        <v>0</v>
      </c>
      <c r="C7" s="771" t="str">
        <f>"Coverage"&amp;B7</f>
        <v>Coverage0</v>
      </c>
      <c r="D7" s="779" t="s">
        <v>372</v>
      </c>
      <c r="E7" s="780" t="str">
        <f t="shared" ref="E7:E30" si="0">IF(LangOffset=0,CONCATENATE(F7&amp;G7),IF(LangOffset=1,CONCATENATE(H7&amp;J7),IF(LangOffset=2,I7&amp;J7)))</f>
        <v>[Coverage Indicator Name  - FR][Custom Coverage Indicator Name - Local]</v>
      </c>
      <c r="F7" s="779" t="s">
        <v>373</v>
      </c>
      <c r="G7" s="779" t="s">
        <v>374</v>
      </c>
      <c r="H7" s="779" t="s">
        <v>375</v>
      </c>
      <c r="I7" s="779" t="s">
        <v>376</v>
      </c>
      <c r="J7" s="779" t="s">
        <v>377</v>
      </c>
      <c r="K7" s="779" t="s">
        <v>378</v>
      </c>
      <c r="L7" s="779" t="s">
        <v>379</v>
      </c>
      <c r="M7" s="780" t="s">
        <v>380</v>
      </c>
      <c r="N7" s="781" t="s">
        <v>381</v>
      </c>
      <c r="O7" s="782" t="s">
        <v>382</v>
      </c>
      <c r="P7" s="783" t="s">
        <v>383</v>
      </c>
      <c r="Q7" s="779" t="s">
        <v>384</v>
      </c>
      <c r="R7" s="779" t="s">
        <v>306</v>
      </c>
      <c r="S7" s="781" t="s">
        <v>204</v>
      </c>
      <c r="T7" s="782" t="s">
        <v>205</v>
      </c>
      <c r="U7" s="783" t="s">
        <v>206</v>
      </c>
      <c r="V7" s="779" t="s">
        <v>210</v>
      </c>
      <c r="W7" s="781" t="str">
        <f>IFERROR(IF(INDEX('Coverage Indicators_1B'!Q$11:Q$100,MATCH($C7,'Coverage Indicators_1B'!$B$11:$B$100,0))="","",INDEX('Coverage Indicators_1B'!Q$11:Q$100,MATCH($C7,'Coverage Indicators_1B'!$B$11:$B$100,0))),"")</f>
        <v/>
      </c>
      <c r="X7" s="782" t="str">
        <f>IFERROR(IF(INDEX('Coverage Indicators_1B'!R$11:R$100,MATCH($C7,'Coverage Indicators_1B'!$B$11:$B$100,0))="","",INDEX('Coverage Indicators_1B'!R$11:R$100,MATCH($C7,'Coverage Indicators_1B'!$B$11:$B$100,0))),"")</f>
        <v/>
      </c>
      <c r="Y7" s="783" t="str">
        <f>IFERROR(IF(INDEX('Coverage Indicators_1B'!S$11:S$100,MATCH($C7,'Coverage Indicators_1B'!$B$11:$B$100,0))="","",INDEX('Coverage Indicators_1B'!S$11:S$100,MATCH($C7,'Coverage Indicators_1B'!$B$11:$B$100,0))),"")</f>
        <v/>
      </c>
      <c r="Z7" s="779" t="str">
        <f>IFERROR(IF(INDEX('Coverage Indicators_1B'!T$11:T$100,MATCH($C7,'Coverage Indicators_1B'!$B$11:$B$100,0))="","",INDEX('Coverage Indicators_1B'!T$11:T$100,MATCH($C7,'Coverage Indicators_1B'!$B$11:$B$100,0))),"")</f>
        <v/>
      </c>
      <c r="AA7" s="784" t="str">
        <f>IFERROR(INDEX('Coverage Indicators_1B'!U$11:U$100,MATCH($C7,'Coverage Indicators_1B'!$B$11:$B$100,0)),"")</f>
        <v/>
      </c>
      <c r="AB7" s="779" t="str">
        <f>IFERROR(IF(INDEX('Coverage Indicators_1B'!V$11:V$100,MATCH($C7,'Coverage Indicators_1B'!$B$11:$B$100,0))="","",INDEX('Coverage Indicators_1B'!V$11:V$100,MATCH($C7,'Coverage Indicators_1B'!$B$11:$B$100,0))),"")</f>
        <v/>
      </c>
      <c r="AC7" s="781" t="str">
        <f>IFERROR(IF(INDEX('Coverage Indicators_1B'!X$11:X$100,MATCH($C7,'Coverage Indicators_1B'!$B$11:$B$100,0))="","",INDEX('Coverage Indicators_1B'!X$11:X$100,MATCH($C7,'Coverage Indicators_1B'!$B$11:$B$100,0))),"")</f>
        <v/>
      </c>
      <c r="AD7" s="782" t="str">
        <f>IFERROR(IF(INDEX('Coverage Indicators_1B'!Y$11:Y$100,MATCH($C7,'Coverage Indicators_1B'!$B$11:$B$100,0))="","",INDEX('Coverage Indicators_1B'!Y$11:Y$100,MATCH($C7,'Coverage Indicators_1B'!$B$11:$B$100,0))),"")</f>
        <v/>
      </c>
      <c r="AE7" s="783" t="str">
        <f>IFERROR(IF(INDEX('Coverage Indicators_1B'!Z$11:Z$100,MATCH($C7,'Coverage Indicators_1B'!$B$11:$B$100,0))="","",INDEX('Coverage Indicators_1B'!Z$11:Z$100,MATCH($C7,'Coverage Indicators_1B'!$B$11:$B$100,0))),"")</f>
        <v/>
      </c>
      <c r="AF7" s="779" t="str">
        <f>IFERROR(IF(INDEX('Coverage Indicators_1B'!AA$11:AA$100,MATCH($C7,'Coverage Indicators_1B'!$B$11:$B$100,0))="","",INDEX('Coverage Indicators_1B'!AA$11:AA$100,MATCH($C7,'Coverage Indicators_1B'!$B$11:$B$100,0))),"")</f>
        <v/>
      </c>
      <c r="AG7" s="780" t="str">
        <f>IFERROR(INDEX('Coverage Indicators_1B'!AB$11:AB$100,MATCH($C7,'Coverage Indicators_1B'!$B$11:$B$100,0)),"")</f>
        <v/>
      </c>
      <c r="AH7" s="779" t="str">
        <f>IFERROR(IF(INDEX('Coverage Indicators_1B'!AC$11:AC$100,MATCH($C7,'Coverage Indicators_1B'!$B$11:$B$100,0))="","",INDEX('Coverage Indicators_1B'!AC$11:AC$100,MATCH($C7,'Coverage Indicators_1B'!$B$11:$B$100,0))),"")</f>
        <v/>
      </c>
      <c r="AI7" s="779" t="str">
        <f>IFERROR(IF(INDEX('Coverage Indicators_1B'!AD$11:AD$100,MATCH($C7,'Coverage Indicators_1B'!$B$11:$B$100,0))="","",INDEX('Coverage Indicators_1B'!AD$11:AD$100,MATCH($C7,'Coverage Indicators_1B'!$B$11:$B$100,0))),"")</f>
        <v/>
      </c>
      <c r="AJ7" s="780" t="str">
        <f>IFERROR(INDEX('Coverage Indicators_1B'!AE$11:AE$100,MATCH($C7,'Coverage Indicators_1B'!$B$11:$B$100,0)),"")</f>
        <v/>
      </c>
      <c r="AK7" s="780"/>
      <c r="AL7" s="780"/>
      <c r="AM7" s="780"/>
      <c r="AN7" s="780" t="str">
        <f>IFERROR(INDEX('Coverage Indicators_1B'!AI$11:AI$100,MATCH($C7,'Coverage Indicators_1B'!$B$11:$B$100,0)),"")</f>
        <v/>
      </c>
      <c r="AO7" s="780" t="str">
        <f>IFERROR(INDEX('Coverage Indicators_1B'!AJ$11:AJ$100,MATCH($C7,'Coverage Indicators_1B'!$B$11:$B$100,0)),"")</f>
        <v/>
      </c>
      <c r="AP7" s="780" t="str">
        <f>IFERROR(INDEX('Coverage Indicators_1B'!AK$11:AK$100,MATCH($C7,'Coverage Indicators_1B'!$B$11:$B$100,0)),"")</f>
        <v/>
      </c>
      <c r="AQ7" s="785" t="s">
        <v>385</v>
      </c>
      <c r="AR7" s="772" t="str">
        <f>IFERROR(IF(M7="TRUE","Yes","No"),"")</f>
        <v>No</v>
      </c>
      <c r="AS7" s="786" t="s">
        <v>209</v>
      </c>
      <c r="AT7" s="772"/>
      <c r="AU7" s="772"/>
      <c r="AV7" s="772"/>
      <c r="AW7" s="772"/>
      <c r="AX7" s="772"/>
      <c r="AY7" s="786" t="s">
        <v>386</v>
      </c>
      <c r="AZ7" s="786" t="s">
        <v>387</v>
      </c>
      <c r="BA7" s="786" t="s">
        <v>388</v>
      </c>
    </row>
    <row r="8" spans="1:53" ht="15.6" customHeight="1" x14ac:dyDescent="0.2">
      <c r="A8" s="772" t="s">
        <v>389</v>
      </c>
      <c r="B8" s="772">
        <f t="shared" ref="B8:B30" si="1">B7+1</f>
        <v>1</v>
      </c>
      <c r="C8" s="771" t="str">
        <f t="shared" ref="C8:C30" si="2">"Coverage"&amp;B8</f>
        <v>Coverage1</v>
      </c>
      <c r="D8" s="779" t="s">
        <v>390</v>
      </c>
      <c r="E8" s="780" t="str">
        <f t="shared" si="0"/>
        <v>TCP-1(M): Nombre de cas déclarés de tuberculose, toutes formes confondues, bactériologiquement confirmés et cliniquement diagnostiqués, nouveaux cas et récidives</v>
      </c>
      <c r="F8" s="779" t="s">
        <v>391</v>
      </c>
      <c r="G8" s="779"/>
      <c r="H8" s="779" t="s">
        <v>392</v>
      </c>
      <c r="I8" s="779" t="s">
        <v>393</v>
      </c>
      <c r="J8" s="779"/>
      <c r="K8" s="779" t="s">
        <v>394</v>
      </c>
      <c r="L8" s="779" t="s">
        <v>395</v>
      </c>
      <c r="M8" s="780" t="b">
        <v>0</v>
      </c>
      <c r="N8" s="781">
        <v>7662</v>
      </c>
      <c r="O8" s="782"/>
      <c r="P8" s="783"/>
      <c r="Q8" s="779" t="s">
        <v>225</v>
      </c>
      <c r="R8" s="779" t="s">
        <v>396</v>
      </c>
      <c r="S8" s="781">
        <v>4435</v>
      </c>
      <c r="T8" s="782"/>
      <c r="U8" s="783"/>
      <c r="V8" s="787" t="s">
        <v>397</v>
      </c>
      <c r="W8" s="781">
        <f>IFERROR(IF(INDEX('Coverage Indicators_1B'!Q$11:Q$100,MATCH($C8,'Coverage Indicators_1B'!$B$11:$B$100,0))="","",INDEX('Coverage Indicators_1B'!Q$11:Q$100,MATCH($C8,'Coverage Indicators_1B'!$B$11:$B$100,0))),"")</f>
        <v>3359</v>
      </c>
      <c r="X8" s="782" t="str">
        <f>IFERROR(IF(INDEX('Coverage Indicators_1B'!R$11:R$100,MATCH($C8,'Coverage Indicators_1B'!$B$11:$B$100,0))="","",INDEX('Coverage Indicators_1B'!R$11:R$100,MATCH($C8,'Coverage Indicators_1B'!$B$11:$B$100,0))),"")</f>
        <v/>
      </c>
      <c r="Y8" s="783" t="str">
        <f>IFERROR(IF(INDEX('Coverage Indicators_1B'!S$11:S$100,MATCH($C8,'Coverage Indicators_1B'!$B$11:$B$100,0))="","",INDEX('Coverage Indicators_1B'!S$11:S$100,MATCH($C8,'Coverage Indicators_1B'!$B$11:$B$100,0))),"")</f>
        <v/>
      </c>
      <c r="Z8" s="779" t="str">
        <f>IFERROR(IF(INDEX('Coverage Indicators_1B'!T$11:T$100,MATCH($C8,'Coverage Indicators_1B'!$B$11:$B$100,0))="","",INDEX('Coverage Indicators_1B'!T$11:T$100,MATCH($C8,'Coverage Indicators_1B'!$B$11:$B$100,0))),"")</f>
        <v>TB patient register</v>
      </c>
      <c r="AA8" s="784">
        <f>IFERROR(INDEX('Coverage Indicators_1B'!U$11:U$100,MATCH($C8,'Coverage Indicators_1B'!$B$11:$B$100,0)),"")</f>
        <v>0.75738444193912058</v>
      </c>
      <c r="AB8" s="779" t="str">
        <f>IFERROR(IF(INDEX('Coverage Indicators_1B'!V$11:V$100,MATCH($C8,'Coverage Indicators_1B'!$B$11:$B$100,0))="","",INDEX('Coverage Indicators_1B'!V$11:V$100,MATCH($C8,'Coverage Indicators_1B'!$B$11:$B$100,0))),"")</f>
        <v>Vue d’ensemble : 
Source des données: cet indicateur a été renseigné grâce au rapport du 2è semestre 2019 du PNILT après consultation des outils primaires de collecte des données (registres ) lors des ateliers de validation trimestrielle des données.
Le nombre de cas déclarés de tuberculose, toutes formes confondues, bactériologiquement confirmés et cliniquement diagnostiqués, nouveaux cas et récidives durant le 2è semestre 2019 est de 3359 soit une performance de 76%.   
Analyse des données :
Le numérateur est le nombre de cas notifiés, toutes formes de tuberculose : bactériologiquement confirmée et cliniquement diagnostiquée (nouveaux cas et récidives). Ainsi, le nombre total de cas de tuberculose toute forme confondue diagnostiquée et notifiée au cours de la période de rapportage est de 3359.
La performance (76%) du 2è semestre 2019 est légèrement inférieure à celle du 2ème semestre 2018 (80% : N=3375) du 1er semestre 2019 (78% : N=3468).
Observations / Commentaires :
Cette performance s’expliquerait par : 
-une absence de moyens radiologiques (Radiographie à rayons X, Échographe) de dépistage précoce des cas présumés de tuberculose chez les groupes à haut risque notamment les enfants, les PVVIH, les réfugiés/déplacés ;
-un transport des échantillons non standardisés ; 
-le screening TB qui n’est pas systématique pour tous les PVVIH et dans tous les sites de prise en charge;
-un relâchement des prestataires dans la présomption des cas de tuberculose et par conséquent dans le dépistage des cas ;
-une faible contribution des ASC dans la recherche active des cas présumés de Tuberculose et la référence communautaire 
Solutions/Recommendations:
En vue d’améliorer la performance de cet indicateur, les actions suivantes sont préconisées : 
-sensibiliser les prestataires à accroitre leur niveau d’alerte dans la détection précoce des signes de la tuberculose et le dépistage des cas ;
-renforcer les supervisions formatives des GASC tout en les incitant à une recherche active des cas TB et à la référence des cas présumés ; 
-justifier à temps les avances reçues pour éviter tout retard à la mise en œuvre des activités ; 
-rentabiliser les comités provinciaux de lutte contre la coïnfection TB/VIH ; 
- Renforcer la collaboration avec la CRB pour une implication effective des ASC dans la recherche des cas et la référence des cas présumés tuberculeux 
- Faciliter les missions de supervision des coordonnateurs provinciaux pour la TB
- Continuer les sensibilisations aux prestataires pour la collecte et le transport des échantillons vers les CDT pour analyse
- Susciter l’implication des comités provinciaux de lutte contre la coïnfection TB/VIH à une lutte effective de cette comorbidité  
-renforcer l’observance des directives de screening TB chez les PVVIH au niveau des sites de prise en charge VIH;</v>
      </c>
      <c r="AC8" s="781" t="str">
        <f>IFERROR(IF(INDEX('Coverage Indicators_1B'!X$11:X$100,MATCH($C8,'Coverage Indicators_1B'!$B$11:$B$100,0))="","",INDEX('Coverage Indicators_1B'!X$11:X$100,MATCH($C8,'Coverage Indicators_1B'!$B$11:$B$100,0))),"")</f>
        <v/>
      </c>
      <c r="AD8" s="782" t="str">
        <f>IFERROR(IF(INDEX('Coverage Indicators_1B'!Y$11:Y$100,MATCH($C8,'Coverage Indicators_1B'!$B$11:$B$100,0))="","",INDEX('Coverage Indicators_1B'!Y$11:Y$100,MATCH($C8,'Coverage Indicators_1B'!$B$11:$B$100,0))),"")</f>
        <v/>
      </c>
      <c r="AE8" s="783" t="str">
        <f>IFERROR(IF(INDEX('Coverage Indicators_1B'!Z$11:Z$100,MATCH($C8,'Coverage Indicators_1B'!$B$11:$B$100,0))="","",INDEX('Coverage Indicators_1B'!Z$11:Z$100,MATCH($C8,'Coverage Indicators_1B'!$B$11:$B$100,0))),"")</f>
        <v/>
      </c>
      <c r="AF8" s="779" t="str">
        <f>IFERROR(IF(INDEX('Coverage Indicators_1B'!AA$11:AA$100,MATCH($C8,'Coverage Indicators_1B'!$B$11:$B$100,0))="","",INDEX('Coverage Indicators_1B'!AA$11:AA$100,MATCH($C8,'Coverage Indicators_1B'!$B$11:$B$100,0))),"")</f>
        <v/>
      </c>
      <c r="AG8" s="780" t="str">
        <f>IFERROR(INDEX('Coverage Indicators_1B'!AB$11:AB$100,MATCH($C8,'Coverage Indicators_1B'!$B$11:$B$100,0)),"")</f>
        <v xml:space="preserve"> </v>
      </c>
      <c r="AH8" s="779" t="str">
        <f>IFERROR(IF(INDEX('Coverage Indicators_1B'!AC$11:AC$100,MATCH($C8,'Coverage Indicators_1B'!$B$11:$B$100,0))="","",INDEX('Coverage Indicators_1B'!AC$11:AC$100,MATCH($C8,'Coverage Indicators_1B'!$B$11:$B$100,0))),"")</f>
        <v/>
      </c>
      <c r="AI8" s="779" t="str">
        <f>IFERROR(IF(INDEX('Coverage Indicators_1B'!AD$11:AD$100,MATCH($C8,'Coverage Indicators_1B'!$B$11:$B$100,0))="","",INDEX('Coverage Indicators_1B'!AD$11:AD$100,MATCH($C8,'Coverage Indicators_1B'!$B$11:$B$100,0))),"")</f>
        <v/>
      </c>
      <c r="AJ8" s="780" t="str">
        <f>IFERROR(INDEX('Coverage Indicators_1B'!AE$11:AE$100,MATCH($C8,'Coverage Indicators_1B'!$B$11:$B$100,0)),"")</f>
        <v>No Results Reported</v>
      </c>
      <c r="AK8" s="780"/>
      <c r="AL8" s="780"/>
      <c r="AM8" s="780"/>
      <c r="AN8" s="780" t="str">
        <f>IFERROR(INDEX('Coverage Indicators_1B'!AI$11:AI$100,MATCH($C8,'Coverage Indicators_1B'!$B$11:$B$100,0)),"")</f>
        <v xml:space="preserve"> </v>
      </c>
      <c r="AO8" s="780">
        <f>IFERROR(INDEX('Coverage Indicators_1B'!AJ$11:AJ$100,MATCH($C8,'Coverage Indicators_1B'!$B$11:$B$100,0)),"")</f>
        <v>0</v>
      </c>
      <c r="AP8" s="780" t="str">
        <f>IFERROR(INDEX('Coverage Indicators_1B'!AK$11:AK$100,MATCH($C8,'Coverage Indicators_1B'!$B$11:$B$100,0)),"")</f>
        <v>No Results Reported</v>
      </c>
      <c r="AQ8" s="785">
        <v>1</v>
      </c>
      <c r="AR8" s="772" t="str">
        <f t="shared" ref="AR8:AR30" si="3">IFERROR(IF(M8="TRUE","Yes","No"),"")</f>
        <v>No</v>
      </c>
      <c r="AS8" s="786" t="s">
        <v>37</v>
      </c>
      <c r="AT8" s="772"/>
      <c r="AU8" s="772"/>
      <c r="AV8" s="772"/>
      <c r="AW8" s="772"/>
      <c r="AX8" s="772"/>
      <c r="AY8" s="786" t="s">
        <v>398</v>
      </c>
      <c r="AZ8" s="786" t="s">
        <v>399</v>
      </c>
      <c r="BA8" s="786" t="s">
        <v>400</v>
      </c>
    </row>
    <row r="9" spans="1:53" ht="15.6" customHeight="1" x14ac:dyDescent="0.2">
      <c r="A9" s="772" t="s">
        <v>401</v>
      </c>
      <c r="B9" s="772">
        <f t="shared" si="1"/>
        <v>2</v>
      </c>
      <c r="C9" s="771" t="str">
        <f t="shared" si="2"/>
        <v>Coverage2</v>
      </c>
      <c r="D9" s="779" t="s">
        <v>390</v>
      </c>
      <c r="E9" s="780"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F9" s="779" t="s">
        <v>402</v>
      </c>
      <c r="G9" s="779"/>
      <c r="H9" s="779" t="s">
        <v>403</v>
      </c>
      <c r="I9" s="779" t="s">
        <v>404</v>
      </c>
      <c r="J9" s="779"/>
      <c r="K9" s="779" t="s">
        <v>394</v>
      </c>
      <c r="L9" s="779" t="s">
        <v>395</v>
      </c>
      <c r="M9" s="780" t="b">
        <v>0</v>
      </c>
      <c r="N9" s="781">
        <v>6429</v>
      </c>
      <c r="O9" s="782">
        <v>6969</v>
      </c>
      <c r="P9" s="783">
        <v>92.3</v>
      </c>
      <c r="Q9" s="779" t="s">
        <v>225</v>
      </c>
      <c r="R9" s="779" t="s">
        <v>396</v>
      </c>
      <c r="S9" s="781">
        <v>3898.2905000000001</v>
      </c>
      <c r="T9" s="782">
        <v>4223.5</v>
      </c>
      <c r="U9" s="783">
        <v>92.3</v>
      </c>
      <c r="V9" s="787" t="s">
        <v>405</v>
      </c>
      <c r="W9" s="781">
        <f>IFERROR(IF(INDEX('Coverage Indicators_1B'!Q$11:Q$100,MATCH($C9,'Coverage Indicators_1B'!$B$11:$B$100,0))="","",INDEX('Coverage Indicators_1B'!Q$11:Q$100,MATCH($C9,'Coverage Indicators_1B'!$B$11:$B$100,0))),"")</f>
        <v>3152</v>
      </c>
      <c r="X9" s="782">
        <f>IFERROR(IF(INDEX('Coverage Indicators_1B'!R$11:R$100,MATCH($C9,'Coverage Indicators_1B'!$B$11:$B$100,0))="","",INDEX('Coverage Indicators_1B'!R$11:R$100,MATCH($C9,'Coverage Indicators_1B'!$B$11:$B$100,0))),"")</f>
        <v>3375</v>
      </c>
      <c r="Y9" s="783">
        <f>IFERROR(IF(INDEX('Coverage Indicators_1B'!S$11:S$100,MATCH($C9,'Coverage Indicators_1B'!$B$11:$B$100,0))="","",INDEX('Coverage Indicators_1B'!S$11:S$100,MATCH($C9,'Coverage Indicators_1B'!$B$11:$B$100,0))),"")</f>
        <v>93.392592592592592</v>
      </c>
      <c r="Z9" s="779" t="str">
        <f>IFERROR(IF(INDEX('Coverage Indicators_1B'!T$11:T$100,MATCH($C9,'Coverage Indicators_1B'!$B$11:$B$100,0))="","",INDEX('Coverage Indicators_1B'!T$11:T$100,MATCH($C9,'Coverage Indicators_1B'!$B$11:$B$100,0))),"")</f>
        <v>TB treatment card</v>
      </c>
      <c r="AA9" s="784">
        <f>IFERROR(INDEX('Coverage Indicators_1B'!U$11:U$100,MATCH($C9,'Coverage Indicators_1B'!$B$11:$B$100,0)),"")</f>
        <v>1.0118374062036035</v>
      </c>
      <c r="AB9" s="779" t="str">
        <f>IFERROR(IF(INDEX('Coverage Indicators_1B'!V$11:V$100,MATCH($C9,'Coverage Indicators_1B'!$B$11:$B$100,0))="","",INDEX('Coverage Indicators_1B'!V$11:V$100,MATCH($C9,'Coverage Indicators_1B'!$B$11:$B$100,0))),"")</f>
        <v>Vue d’ensemble :
Cet indicateur a été renseigné dans le rapport du 2è semestre 2019 du PNILT après consultation des registres patients lors des ateliers de vérification, validation et diffusion des données.
Le taux de succès thérapeutique toutes formes confondues est de 93,4% soit une performance de 101% .
Analyse des données : 
Le numérateur est le nombre de cas de tuberculose bactériologiquement confirmée pour une période donnée traités avec succès ("guéri" et "traitement complété").  Il est de 3152. Ce numérateur a été trouvé en considérant tous les cas guéris et déclarés traitement terminé pendant la période de rapportage parmi les cas bactériologiquement confirmés nouveaux cas et les rechutes, cohorte du 2ème semestre 2018 qui avaient été mis sous traitement antiTB.
Le dénominateur est le nombre total de cas de tuberculose bactériologiquement confirmée, enregistrés pour le traitement au cours de la même période. Il est de 3375. Ce dénominateur a été déterminé en prenant en compte tous les cas bactériologiquement confirmés nouveaux cas et les rechutes cohorte du 2è semestre 2018.
Observations / Commentaires :
La performance de cet indicateur est satisfaisante. Elle est superposable à celle du 2è semestre 2018 (102%). Elle s’expliquerait par :
-une disponibilité des médicaments à tous les niveaux de la pyramide sanitaire;
-le suivi rigoureux des patients mis sous traitement antituberculeux ;
-le respect du protocole du Traitement Directement Observé (TDO),
-la réactivation du réseau flotte de communication permettant d'évaluer les cas transférés et de réduire les perdus de vue ;
Solutions/Recommandations :
Pour maintenir la bonne performance de cet indicateur, les actions suivantes doivent être prises :
-renforcer toutes les actions ayant permis d’atteindre cette performance en vue de la maintenir ;
-mettre à contribution la communauté (ASC) dans le soutien et le suivi des patients sous traitement antituberculeux, ce qui permettrait de l’améliorer advantage.</v>
      </c>
      <c r="AC9" s="781" t="str">
        <f>IFERROR(IF(INDEX('Coverage Indicators_1B'!X$11:X$100,MATCH($C9,'Coverage Indicators_1B'!$B$11:$B$100,0))="","",INDEX('Coverage Indicators_1B'!X$11:X$100,MATCH($C9,'Coverage Indicators_1B'!$B$11:$B$100,0))),"")</f>
        <v/>
      </c>
      <c r="AD9" s="782" t="str">
        <f>IFERROR(IF(INDEX('Coverage Indicators_1B'!Y$11:Y$100,MATCH($C9,'Coverage Indicators_1B'!$B$11:$B$100,0))="","",INDEX('Coverage Indicators_1B'!Y$11:Y$100,MATCH($C9,'Coverage Indicators_1B'!$B$11:$B$100,0))),"")</f>
        <v/>
      </c>
      <c r="AE9" s="783" t="str">
        <f>IFERROR(IF(INDEX('Coverage Indicators_1B'!Z$11:Z$100,MATCH($C9,'Coverage Indicators_1B'!$B$11:$B$100,0))="","",INDEX('Coverage Indicators_1B'!Z$11:Z$100,MATCH($C9,'Coverage Indicators_1B'!$B$11:$B$100,0))),"")</f>
        <v/>
      </c>
      <c r="AF9" s="779" t="str">
        <f>IFERROR(IF(INDEX('Coverage Indicators_1B'!AA$11:AA$100,MATCH($C9,'Coverage Indicators_1B'!$B$11:$B$100,0))="","",INDEX('Coverage Indicators_1B'!AA$11:AA$100,MATCH($C9,'Coverage Indicators_1B'!$B$11:$B$100,0))),"")</f>
        <v/>
      </c>
      <c r="AG9" s="780" t="str">
        <f>IFERROR(INDEX('Coverage Indicators_1B'!AB$11:AB$100,MATCH($C9,'Coverage Indicators_1B'!$B$11:$B$100,0)),"")</f>
        <v xml:space="preserve"> </v>
      </c>
      <c r="AH9" s="779" t="str">
        <f>IFERROR(IF(INDEX('Coverage Indicators_1B'!AC$11:AC$100,MATCH($C9,'Coverage Indicators_1B'!$B$11:$B$100,0))="","",INDEX('Coverage Indicators_1B'!AC$11:AC$100,MATCH($C9,'Coverage Indicators_1B'!$B$11:$B$100,0))),"")</f>
        <v/>
      </c>
      <c r="AI9" s="779" t="str">
        <f>IFERROR(IF(INDEX('Coverage Indicators_1B'!AD$11:AD$100,MATCH($C9,'Coverage Indicators_1B'!$B$11:$B$100,0))="","",INDEX('Coverage Indicators_1B'!AD$11:AD$100,MATCH($C9,'Coverage Indicators_1B'!$B$11:$B$100,0))),"")</f>
        <v/>
      </c>
      <c r="AJ9" s="780" t="str">
        <f>IFERROR(INDEX('Coverage Indicators_1B'!AE$11:AE$100,MATCH($C9,'Coverage Indicators_1B'!$B$11:$B$100,0)),"")</f>
        <v>No Results Reported</v>
      </c>
      <c r="AK9" s="780"/>
      <c r="AL9" s="780"/>
      <c r="AM9" s="780"/>
      <c r="AN9" s="780" t="str">
        <f>IFERROR(INDEX('Coverage Indicators_1B'!AI$11:AI$100,MATCH($C9,'Coverage Indicators_1B'!$B$11:$B$100,0)),"")</f>
        <v xml:space="preserve"> </v>
      </c>
      <c r="AO9" s="780">
        <f>IFERROR(INDEX('Coverage Indicators_1B'!AJ$11:AJ$100,MATCH($C9,'Coverage Indicators_1B'!$B$11:$B$100,0)),"")</f>
        <v>0</v>
      </c>
      <c r="AP9" s="780" t="str">
        <f>IFERROR(INDEX('Coverage Indicators_1B'!AK$11:AK$100,MATCH($C9,'Coverage Indicators_1B'!$B$11:$B$100,0)),"")</f>
        <v>No Results Reported</v>
      </c>
      <c r="AQ9" s="785">
        <v>2</v>
      </c>
      <c r="AR9" s="772" t="str">
        <f t="shared" si="3"/>
        <v>No</v>
      </c>
      <c r="AS9" s="786" t="s">
        <v>37</v>
      </c>
      <c r="AT9" s="772"/>
      <c r="AU9" s="772"/>
      <c r="AV9" s="772"/>
      <c r="AW9" s="772"/>
      <c r="AX9" s="772"/>
      <c r="AY9" s="786" t="s">
        <v>398</v>
      </c>
      <c r="AZ9" s="786" t="s">
        <v>399</v>
      </c>
      <c r="BA9" s="786" t="s">
        <v>400</v>
      </c>
    </row>
    <row r="10" spans="1:53" ht="15.6" customHeight="1" x14ac:dyDescent="0.2">
      <c r="A10" s="772" t="s">
        <v>406</v>
      </c>
      <c r="B10" s="772">
        <f t="shared" si="1"/>
        <v>3</v>
      </c>
      <c r="C10" s="771" t="str">
        <f t="shared" si="2"/>
        <v>Coverage3</v>
      </c>
      <c r="D10" s="779" t="s">
        <v>390</v>
      </c>
      <c r="E10" s="780" t="str">
        <f t="shared" si="0"/>
        <v>TCP-3: Pourcentage de laboratoires présentant des performances satisfaisantes d’assurance qualité externe pour la microscopie de frottis, parmi le nombre total de laboratoires effectuant des analyses par microscopie de frottis pendant la période</v>
      </c>
      <c r="F10" s="779" t="s">
        <v>407</v>
      </c>
      <c r="G10" s="779"/>
      <c r="H10" s="779" t="s">
        <v>408</v>
      </c>
      <c r="I10" s="779" t="s">
        <v>409</v>
      </c>
      <c r="J10" s="779"/>
      <c r="K10" s="779" t="s">
        <v>394</v>
      </c>
      <c r="L10" s="779" t="s">
        <v>395</v>
      </c>
      <c r="M10" s="780" t="b">
        <v>0</v>
      </c>
      <c r="N10" s="781">
        <v>169</v>
      </c>
      <c r="O10" s="782">
        <v>171</v>
      </c>
      <c r="P10" s="783">
        <v>98.8</v>
      </c>
      <c r="Q10" s="779" t="s">
        <v>225</v>
      </c>
      <c r="R10" s="779" t="s">
        <v>396</v>
      </c>
      <c r="S10" s="781">
        <v>171</v>
      </c>
      <c r="T10" s="782">
        <v>171</v>
      </c>
      <c r="U10" s="783">
        <v>100</v>
      </c>
      <c r="V10" s="787" t="s">
        <v>410</v>
      </c>
      <c r="W10" s="781">
        <f>IFERROR(IF(INDEX('Coverage Indicators_1B'!Q$11:Q$100,MATCH($C10,'Coverage Indicators_1B'!$B$11:$B$100,0))="","",INDEX('Coverage Indicators_1B'!Q$11:Q$100,MATCH($C10,'Coverage Indicators_1B'!$B$11:$B$100,0))),"")</f>
        <v>165</v>
      </c>
      <c r="X10" s="782">
        <f>IFERROR(IF(INDEX('Coverage Indicators_1B'!R$11:R$100,MATCH($C10,'Coverage Indicators_1B'!$B$11:$B$100,0))="","",INDEX('Coverage Indicators_1B'!R$11:R$100,MATCH($C10,'Coverage Indicators_1B'!$B$11:$B$100,0))),"")</f>
        <v>170</v>
      </c>
      <c r="Y10" s="783">
        <f>IFERROR(IF(INDEX('Coverage Indicators_1B'!S$11:S$100,MATCH($C10,'Coverage Indicators_1B'!$B$11:$B$100,0))="","",INDEX('Coverage Indicators_1B'!S$11:S$100,MATCH($C10,'Coverage Indicators_1B'!$B$11:$B$100,0))),"")</f>
        <v>97.058823529411768</v>
      </c>
      <c r="Z10" s="779" t="str">
        <f>IFERROR(IF(INDEX('Coverage Indicators_1B'!T$11:T$100,MATCH($C10,'Coverage Indicators_1B'!$B$11:$B$100,0))="","",INDEX('Coverage Indicators_1B'!T$11:T$100,MATCH($C10,'Coverage Indicators_1B'!$B$11:$B$100,0))),"")</f>
        <v>TB laboratory register</v>
      </c>
      <c r="AA10" s="784">
        <f>IFERROR(INDEX('Coverage Indicators_1B'!U$11:U$100,MATCH($C10,'Coverage Indicators_1B'!$B$11:$B$100,0)),"")</f>
        <v>0.97058823529411764</v>
      </c>
      <c r="AB10" s="779" t="str">
        <f>IFERROR(IF(INDEX('Coverage Indicators_1B'!V$11:V$100,MATCH($C10,'Coverage Indicators_1B'!$B$11:$B$100,0))="","",INDEX('Coverage Indicators_1B'!V$11:V$100,MATCH($C10,'Coverage Indicators_1B'!$B$11:$B$100,0))),"")</f>
        <v>Vue d’ensemble :
La performance des laboratoires présentant des performances satisfaisantes d’assurance qualité externe pour la microscopie de frottis, parmi le nombre total de laboratoires effectuant des analyses par microscopie de frottis était de 97% au 3er trimestre2019.
Analyse des données :
-Le numérateur est le nombre de laboratoires présentant des performances satisfaisantes pour la microscopie de frottis. Il est de 165.
-Le dénominateur est le nombre total de laboratoires effectuant des analyses par microscopie de frottis. Il est de 170
Le retard de vérification des avances par le PNILT a influé sur la mise en œuvre des activités y compris la réalisation des ateliers de validation des données. Ainsi la performance renseignée ici se rapporte aux résultats d’analyse des lames du 3è trimestre 2019. 
Ainsi, la collecte des lames pour le contrôle qualité des lames du 4 ètrimestre2019 a eu lieu mais les résultats en février 2020 mais les résultats ne sont pas encore disponibles.
Ces résultats du contrôle de qualité par rapport aux lames du 4è trimestre 2019 seront renseignés lors du prochain PU, dans la partie commentaire.  
Solutions/Recommandations :
Les mesures suivantes doivent être prises pour pallier cette situation dans l’avenir :
-justifier à temps les avances reçues pour éviter tout retard dans le décaissement et par conséquent dans la mise en œuvre des activités ;
- confier l’activité de validation des données et de collecte des lames aux coordonnateurs provinciaux pendant que le PNILT jouerait le rôle de coordination ;
-faire un suivi des résultats des analyses des lames déposées au LNR et les communiquer dans les délais requis pour des fins de rapportage.
-prise des dispositions par le PR pour la vérification active des données sur site. Cette méthodologie sera mise en œuvre de concert avec la DSNIS et les M&amp;E des SRs et pourra ainsi faire place aux ateliers de Validation des données.</v>
      </c>
      <c r="AC10" s="781" t="str">
        <f>IFERROR(IF(INDEX('Coverage Indicators_1B'!X$11:X$100,MATCH($C10,'Coverage Indicators_1B'!$B$11:$B$100,0))="","",INDEX('Coverage Indicators_1B'!X$11:X$100,MATCH($C10,'Coverage Indicators_1B'!$B$11:$B$100,0))),"")</f>
        <v/>
      </c>
      <c r="AD10" s="782" t="str">
        <f>IFERROR(IF(INDEX('Coverage Indicators_1B'!Y$11:Y$100,MATCH($C10,'Coverage Indicators_1B'!$B$11:$B$100,0))="","",INDEX('Coverage Indicators_1B'!Y$11:Y$100,MATCH($C10,'Coverage Indicators_1B'!$B$11:$B$100,0))),"")</f>
        <v/>
      </c>
      <c r="AE10" s="783" t="str">
        <f>IFERROR(IF(INDEX('Coverage Indicators_1B'!Z$11:Z$100,MATCH($C10,'Coverage Indicators_1B'!$B$11:$B$100,0))="","",INDEX('Coverage Indicators_1B'!Z$11:Z$100,MATCH($C10,'Coverage Indicators_1B'!$B$11:$B$100,0))),"")</f>
        <v/>
      </c>
      <c r="AF10" s="779" t="str">
        <f>IFERROR(IF(INDEX('Coverage Indicators_1B'!AA$11:AA$100,MATCH($C10,'Coverage Indicators_1B'!$B$11:$B$100,0))="","",INDEX('Coverage Indicators_1B'!AA$11:AA$100,MATCH($C10,'Coverage Indicators_1B'!$B$11:$B$100,0))),"")</f>
        <v/>
      </c>
      <c r="AG10" s="780" t="str">
        <f>IFERROR(INDEX('Coverage Indicators_1B'!AB$11:AB$100,MATCH($C10,'Coverage Indicators_1B'!$B$11:$B$100,0)),"")</f>
        <v xml:space="preserve"> </v>
      </c>
      <c r="AH10" s="779" t="str">
        <f>IFERROR(IF(INDEX('Coverage Indicators_1B'!AC$11:AC$100,MATCH($C10,'Coverage Indicators_1B'!$B$11:$B$100,0))="","",INDEX('Coverage Indicators_1B'!AC$11:AC$100,MATCH($C10,'Coverage Indicators_1B'!$B$11:$B$100,0))),"")</f>
        <v/>
      </c>
      <c r="AI10" s="779" t="str">
        <f>IFERROR(IF(INDEX('Coverage Indicators_1B'!AD$11:AD$100,MATCH($C10,'Coverage Indicators_1B'!$B$11:$B$100,0))="","",INDEX('Coverage Indicators_1B'!AD$11:AD$100,MATCH($C10,'Coverage Indicators_1B'!$B$11:$B$100,0))),"")</f>
        <v/>
      </c>
      <c r="AJ10" s="780" t="str">
        <f>IFERROR(INDEX('Coverage Indicators_1B'!AE$11:AE$100,MATCH($C10,'Coverage Indicators_1B'!$B$11:$B$100,0)),"")</f>
        <v>No Results Reported</v>
      </c>
      <c r="AK10" s="780"/>
      <c r="AL10" s="780"/>
      <c r="AM10" s="780"/>
      <c r="AN10" s="780" t="str">
        <f>IFERROR(INDEX('Coverage Indicators_1B'!AI$11:AI$100,MATCH($C10,'Coverage Indicators_1B'!$B$11:$B$100,0)),"")</f>
        <v xml:space="preserve"> </v>
      </c>
      <c r="AO10" s="780">
        <f>IFERROR(INDEX('Coverage Indicators_1B'!AJ$11:AJ$100,MATCH($C10,'Coverage Indicators_1B'!$B$11:$B$100,0)),"")</f>
        <v>0</v>
      </c>
      <c r="AP10" s="780" t="str">
        <f>IFERROR(INDEX('Coverage Indicators_1B'!AK$11:AK$100,MATCH($C10,'Coverage Indicators_1B'!$B$11:$B$100,0)),"")</f>
        <v>No Results Reported</v>
      </c>
      <c r="AQ10" s="785">
        <v>3</v>
      </c>
      <c r="AR10" s="772" t="str">
        <f t="shared" si="3"/>
        <v>No</v>
      </c>
      <c r="AS10" s="786" t="s">
        <v>37</v>
      </c>
      <c r="AT10" s="772"/>
      <c r="AU10" s="772"/>
      <c r="AV10" s="772"/>
      <c r="AW10" s="772"/>
      <c r="AX10" s="772"/>
      <c r="AY10" s="786" t="s">
        <v>398</v>
      </c>
      <c r="AZ10" s="786" t="s">
        <v>399</v>
      </c>
      <c r="BA10" s="786" t="s">
        <v>400</v>
      </c>
    </row>
    <row r="11" spans="1:53" ht="15.6" customHeight="1" x14ac:dyDescent="0.2">
      <c r="A11" s="772" t="s">
        <v>411</v>
      </c>
      <c r="B11" s="772">
        <f t="shared" si="1"/>
        <v>4</v>
      </c>
      <c r="C11" s="771" t="str">
        <f t="shared" si="2"/>
        <v>Coverage4</v>
      </c>
      <c r="D11" s="779" t="s">
        <v>390</v>
      </c>
      <c r="E11" s="780" t="str">
        <f t="shared" si="0"/>
        <v>TCP-4: Pourcentage d'entités déclarantes (districts ou unités de gestion de base) n’ayant communiqué aucune rupture de stocks des médicaments antituberculeux de première intention au dernier jour du trimestre</v>
      </c>
      <c r="F11" s="779" t="s">
        <v>412</v>
      </c>
      <c r="G11" s="779"/>
      <c r="H11" s="779" t="s">
        <v>413</v>
      </c>
      <c r="I11" s="779" t="s">
        <v>414</v>
      </c>
      <c r="J11" s="779"/>
      <c r="K11" s="779" t="s">
        <v>394</v>
      </c>
      <c r="L11" s="779" t="s">
        <v>395</v>
      </c>
      <c r="M11" s="780" t="b">
        <v>0</v>
      </c>
      <c r="N11" s="781">
        <v>170</v>
      </c>
      <c r="O11" s="782">
        <v>170</v>
      </c>
      <c r="P11" s="783">
        <v>100</v>
      </c>
      <c r="Q11" s="779" t="s">
        <v>225</v>
      </c>
      <c r="R11" s="779" t="s">
        <v>396</v>
      </c>
      <c r="S11" s="781">
        <v>170</v>
      </c>
      <c r="T11" s="782">
        <v>170</v>
      </c>
      <c r="U11" s="783">
        <v>100</v>
      </c>
      <c r="V11" s="787" t="s">
        <v>415</v>
      </c>
      <c r="W11" s="781">
        <f>IFERROR(IF(INDEX('Coverage Indicators_1B'!Q$11:Q$100,MATCH($C11,'Coverage Indicators_1B'!$B$11:$B$100,0))="","",INDEX('Coverage Indicators_1B'!Q$11:Q$100,MATCH($C11,'Coverage Indicators_1B'!$B$11:$B$100,0))),"")</f>
        <v>170</v>
      </c>
      <c r="X11" s="782">
        <f>IFERROR(IF(INDEX('Coverage Indicators_1B'!R$11:R$100,MATCH($C11,'Coverage Indicators_1B'!$B$11:$B$100,0))="","",INDEX('Coverage Indicators_1B'!R$11:R$100,MATCH($C11,'Coverage Indicators_1B'!$B$11:$B$100,0))),"")</f>
        <v>170</v>
      </c>
      <c r="Y11" s="783">
        <f>IFERROR(IF(INDEX('Coverage Indicators_1B'!S$11:S$100,MATCH($C11,'Coverage Indicators_1B'!$B$11:$B$100,0))="","",INDEX('Coverage Indicators_1B'!S$11:S$100,MATCH($C11,'Coverage Indicators_1B'!$B$11:$B$100,0))),"")</f>
        <v>100</v>
      </c>
      <c r="Z11" s="779" t="str">
        <f>IFERROR(IF(INDEX('Coverage Indicators_1B'!T$11:T$100,MATCH($C11,'Coverage Indicators_1B'!$B$11:$B$100,0))="","",INDEX('Coverage Indicators_1B'!T$11:T$100,MATCH($C11,'Coverage Indicators_1B'!$B$11:$B$100,0))),"")</f>
        <v>TB patient register</v>
      </c>
      <c r="AA11" s="784">
        <f>IFERROR(INDEX('Coverage Indicators_1B'!U$11:U$100,MATCH($C11,'Coverage Indicators_1B'!$B$11:$B$100,0)),"")</f>
        <v>1</v>
      </c>
      <c r="AB11" s="779" t="str">
        <f>IFERROR(IF(INDEX('Coverage Indicators_1B'!V$11:V$100,MATCH($C11,'Coverage Indicators_1B'!$B$11:$B$100,0))="","",INDEX('Coverage Indicators_1B'!V$11:V$100,MATCH($C11,'Coverage Indicators_1B'!$B$11:$B$100,0))),"")</f>
        <v>Vue d’ensemble :
Source des données : cet indicateur a été renseigné grâce au rapport du 2è semestre 2019 du PNILT après consultation des outils primaires de collecte des données (registres) lors des ateliers de validation trimestrielle des données.
Le taux de réalisation et la performance de cet indicateur sont de 100%. 
Analyse des données :
Au cours de la période de rapportage aucun des 170 CDT n’a déclaré avoir connu une rupture de stock en médicaments antituberculeux. La même performance a été enregistrée au 1 er semestre 2019.
-Le numérateur est le nombre de centres de dépistage et traitement (CDT) n'ayant pas connu de ruptures de stock de plus d'une semaine en médicaments antituberculeux de première ligne durant le trimestre. Il est de 170. 
-Le dénominateur est le nombre total de CDT. Il est de 170.  Ce nombre correspond au nombre de CDT dont dispose le pays.
Observations / Commentaires :
Cette performance s’expliquerait par : 
-la présence des coordonnateurs TB qui font le suivi de la gestion des intrants TB et leur appuie dans la quantification et la commande ; 
-l’existence et l’utilisation des outils de gestion des intrants TB dans tous les CDT,
-l’existence d’un stock résiduel de médicaments achetés par le Fonds Mondial au cours de la subvention TB 2016-2017,
-les ateliers de validation des données qui permettent une connaissance exacte du nombre de tuberculeux et de quantifier les intrants nécessaires pour la période future. 
-le suivi de la dynamique des stocks disponibles à la CAMEBU par le PR et le SR et 
- la planification des approvisionnements
Solutions/Recommandations :
Toutes les parties prenantes doivent s’engager à maintenir cette performance par le renforcement de toutes les actions ayant permis de l’atteindre.</v>
      </c>
      <c r="AC11" s="781" t="str">
        <f>IFERROR(IF(INDEX('Coverage Indicators_1B'!X$11:X$100,MATCH($C11,'Coverage Indicators_1B'!$B$11:$B$100,0))="","",INDEX('Coverage Indicators_1B'!X$11:X$100,MATCH($C11,'Coverage Indicators_1B'!$B$11:$B$100,0))),"")</f>
        <v/>
      </c>
      <c r="AD11" s="782" t="str">
        <f>IFERROR(IF(INDEX('Coverage Indicators_1B'!Y$11:Y$100,MATCH($C11,'Coverage Indicators_1B'!$B$11:$B$100,0))="","",INDEX('Coverage Indicators_1B'!Y$11:Y$100,MATCH($C11,'Coverage Indicators_1B'!$B$11:$B$100,0))),"")</f>
        <v/>
      </c>
      <c r="AE11" s="783" t="str">
        <f>IFERROR(IF(INDEX('Coverage Indicators_1B'!Z$11:Z$100,MATCH($C11,'Coverage Indicators_1B'!$B$11:$B$100,0))="","",INDEX('Coverage Indicators_1B'!Z$11:Z$100,MATCH($C11,'Coverage Indicators_1B'!$B$11:$B$100,0))),"")</f>
        <v/>
      </c>
      <c r="AF11" s="779" t="str">
        <f>IFERROR(IF(INDEX('Coverage Indicators_1B'!AA$11:AA$100,MATCH($C11,'Coverage Indicators_1B'!$B$11:$B$100,0))="","",INDEX('Coverage Indicators_1B'!AA$11:AA$100,MATCH($C11,'Coverage Indicators_1B'!$B$11:$B$100,0))),"")</f>
        <v/>
      </c>
      <c r="AG11" s="780" t="str">
        <f>IFERROR(INDEX('Coverage Indicators_1B'!AB$11:AB$100,MATCH($C11,'Coverage Indicators_1B'!$B$11:$B$100,0)),"")</f>
        <v xml:space="preserve"> </v>
      </c>
      <c r="AH11" s="779" t="str">
        <f>IFERROR(IF(INDEX('Coverage Indicators_1B'!AC$11:AC$100,MATCH($C11,'Coverage Indicators_1B'!$B$11:$B$100,0))="","",INDEX('Coverage Indicators_1B'!AC$11:AC$100,MATCH($C11,'Coverage Indicators_1B'!$B$11:$B$100,0))),"")</f>
        <v/>
      </c>
      <c r="AI11" s="779" t="str">
        <f>IFERROR(IF(INDEX('Coverage Indicators_1B'!AD$11:AD$100,MATCH($C11,'Coverage Indicators_1B'!$B$11:$B$100,0))="","",INDEX('Coverage Indicators_1B'!AD$11:AD$100,MATCH($C11,'Coverage Indicators_1B'!$B$11:$B$100,0))),"")</f>
        <v/>
      </c>
      <c r="AJ11" s="780" t="str">
        <f>IFERROR(INDEX('Coverage Indicators_1B'!AE$11:AE$100,MATCH($C11,'Coverage Indicators_1B'!$B$11:$B$100,0)),"")</f>
        <v>No Results Reported</v>
      </c>
      <c r="AK11" s="780"/>
      <c r="AL11" s="780"/>
      <c r="AM11" s="780"/>
      <c r="AN11" s="780" t="str">
        <f>IFERROR(INDEX('Coverage Indicators_1B'!AI$11:AI$100,MATCH($C11,'Coverage Indicators_1B'!$B$11:$B$100,0)),"")</f>
        <v xml:space="preserve"> </v>
      </c>
      <c r="AO11" s="780">
        <f>IFERROR(INDEX('Coverage Indicators_1B'!AJ$11:AJ$100,MATCH($C11,'Coverage Indicators_1B'!$B$11:$B$100,0)),"")</f>
        <v>0</v>
      </c>
      <c r="AP11" s="780" t="str">
        <f>IFERROR(INDEX('Coverage Indicators_1B'!AK$11:AK$100,MATCH($C11,'Coverage Indicators_1B'!$B$11:$B$100,0)),"")</f>
        <v>No Results Reported</v>
      </c>
      <c r="AQ11" s="785">
        <v>4</v>
      </c>
      <c r="AR11" s="772" t="str">
        <f t="shared" si="3"/>
        <v>No</v>
      </c>
      <c r="AS11" s="786" t="s">
        <v>37</v>
      </c>
      <c r="AT11" s="772"/>
      <c r="AU11" s="772"/>
      <c r="AV11" s="772"/>
      <c r="AW11" s="772"/>
      <c r="AX11" s="772"/>
      <c r="AY11" s="786" t="s">
        <v>398</v>
      </c>
      <c r="AZ11" s="786" t="s">
        <v>399</v>
      </c>
      <c r="BA11" s="786" t="s">
        <v>400</v>
      </c>
    </row>
    <row r="12" spans="1:53" ht="15.6" customHeight="1" x14ac:dyDescent="0.2">
      <c r="A12" s="772" t="s">
        <v>416</v>
      </c>
      <c r="B12" s="772">
        <f t="shared" si="1"/>
        <v>5</v>
      </c>
      <c r="C12" s="771" t="str">
        <f t="shared" si="2"/>
        <v>Coverage5</v>
      </c>
      <c r="D12" s="779" t="s">
        <v>390</v>
      </c>
      <c r="E12" s="780" t="str">
        <f t="shared" si="0"/>
        <v>TCP-5: Nombre d'enfants âgés de moins de 5 en contact avec des patients tuberculeux qui ont commencé un traitement préventif à l'isoniazide</v>
      </c>
      <c r="F12" s="779" t="s">
        <v>417</v>
      </c>
      <c r="G12" s="779"/>
      <c r="H12" s="779" t="s">
        <v>418</v>
      </c>
      <c r="I12" s="779" t="s">
        <v>419</v>
      </c>
      <c r="J12" s="779"/>
      <c r="K12" s="779" t="s">
        <v>394</v>
      </c>
      <c r="L12" s="779" t="s">
        <v>395</v>
      </c>
      <c r="M12" s="780" t="b">
        <v>0</v>
      </c>
      <c r="N12" s="781">
        <v>1171</v>
      </c>
      <c r="O12" s="782"/>
      <c r="P12" s="783"/>
      <c r="Q12" s="779" t="s">
        <v>225</v>
      </c>
      <c r="R12" s="779" t="s">
        <v>396</v>
      </c>
      <c r="S12" s="781">
        <v>737.5</v>
      </c>
      <c r="T12" s="782"/>
      <c r="U12" s="783"/>
      <c r="V12" s="787" t="s">
        <v>420</v>
      </c>
      <c r="W12" s="781">
        <f>IFERROR(IF(INDEX('Coverage Indicators_1B'!Q$11:Q$100,MATCH($C12,'Coverage Indicators_1B'!$B$11:$B$100,0))="","",INDEX('Coverage Indicators_1B'!Q$11:Q$100,MATCH($C12,'Coverage Indicators_1B'!$B$11:$B$100,0))),"")</f>
        <v>599</v>
      </c>
      <c r="X12" s="782" t="str">
        <f>IFERROR(IF(INDEX('Coverage Indicators_1B'!R$11:R$100,MATCH($C12,'Coverage Indicators_1B'!$B$11:$B$100,0))="","",INDEX('Coverage Indicators_1B'!R$11:R$100,MATCH($C12,'Coverage Indicators_1B'!$B$11:$B$100,0))),"")</f>
        <v/>
      </c>
      <c r="Y12" s="783" t="str">
        <f>IFERROR(IF(INDEX('Coverage Indicators_1B'!S$11:S$100,MATCH($C12,'Coverage Indicators_1B'!$B$11:$B$100,0))="","",INDEX('Coverage Indicators_1B'!S$11:S$100,MATCH($C12,'Coverage Indicators_1B'!$B$11:$B$100,0))),"")</f>
        <v/>
      </c>
      <c r="Z12" s="779" t="str">
        <f>IFERROR(IF(INDEX('Coverage Indicators_1B'!T$11:T$100,MATCH($C12,'Coverage Indicators_1B'!$B$11:$B$100,0))="","",INDEX('Coverage Indicators_1B'!T$11:T$100,MATCH($C12,'Coverage Indicators_1B'!$B$11:$B$100,0))),"")</f>
        <v>TB patient register</v>
      </c>
      <c r="AA12" s="784">
        <f>IFERROR(INDEX('Coverage Indicators_1B'!U$11:U$100,MATCH($C12,'Coverage Indicators_1B'!$B$11:$B$100,0)),"")</f>
        <v>0.81220338983050844</v>
      </c>
      <c r="AB12" s="779" t="str">
        <f>IFERROR(IF(INDEX('Coverage Indicators_1B'!V$11:V$100,MATCH($C12,'Coverage Indicators_1B'!$B$11:$B$100,0))="","",INDEX('Coverage Indicators_1B'!V$11:V$100,MATCH($C12,'Coverage Indicators_1B'!$B$11:$B$100,0))),"")</f>
        <v xml:space="preserve">Vue d’ensemble : 
Source des données : cet indicateur a été renseigné grâce au rapport du 2è semestre 2019 du PNILT après consultation des outils primaires de collecte des données (registres) lors des ateliers de validation trimestrielle des données.
Le nombre d'enfants âgés de moins de 5 ans en contact avec des patients tuberculeux qui ont commencé un traitement préventif à l'isoniazide est de 599 soit une performance de 81%.
Analyse des données :
Cette performance (N=599) est supérieure à celle du 2ème semestre 2018 (N=455). Elle est cependant inférieure à celle du 1er semestre 2019(N=615).
Le numérateur est le nombre d'enfants âgés de moins de 5 ans en contact avec des patients atteints de tuberculose et qui ont commencé un traitement préventif par l’isoniazide (TPI). Il est de 599 au cours de la période de rapportage.
Observations / Commentaires :
En analysant ce rapport de S2 2019, on note une amélioration de la performance comparativement à celle du 2è semestre 2018. 
Même si elle est bonne, cette performance dénote l’existence des enfants dans la communauté, enfants qui ne sont pas mis sous prophylaxie par défaut de moyens de diagnostics appropriés pour éliminer une tuberculose évolutive.
Ainsi, l’amélioration du plateau technique de certaines structures en appareils d’échographies et de radiologies permettrait de relever davantage la performance de cet indicateur.
Solutions/Recommandations :
Il faut maintenir la performance de cet indicateur et prendre les actions suivantes pour l’améliorer :
-confier l’activité de recherche des cas contacts de la tuberculose aux coordonnateurs TB en collaboration avec les CDT, les CT et les GASC et les ASC ;
-rechercher systématiquement l’existence d’enfants de moins de 5 ans dans la famille d’un tuberculeux tousseurs et dépister la tuberculose chez ces enfants conformément aux directives TB ;
-faire un suivi rapprocher des malades tuberculeux en vue d’apprécier son entourage immédiat ;
-encourager les FOSA à utiliser les moyens de diagnostics disponibles chez les enfants. ;
-la mise à contribution des relais communautaires dans la recherche des cas contacts.
-la sensibilisation des ménages au cours des descentes sur la recherche des cas contacts TB et TB/MR. 
-l’approvisionnement régulier en INH pour enfants
-la supervision par les niveaux central, intermédiaire et opérationnel 
</v>
      </c>
      <c r="AC12" s="781" t="str">
        <f>IFERROR(IF(INDEX('Coverage Indicators_1B'!X$11:X$100,MATCH($C12,'Coverage Indicators_1B'!$B$11:$B$100,0))="","",INDEX('Coverage Indicators_1B'!X$11:X$100,MATCH($C12,'Coverage Indicators_1B'!$B$11:$B$100,0))),"")</f>
        <v/>
      </c>
      <c r="AD12" s="782" t="str">
        <f>IFERROR(IF(INDEX('Coverage Indicators_1B'!Y$11:Y$100,MATCH($C12,'Coverage Indicators_1B'!$B$11:$B$100,0))="","",INDEX('Coverage Indicators_1B'!Y$11:Y$100,MATCH($C12,'Coverage Indicators_1B'!$B$11:$B$100,0))),"")</f>
        <v/>
      </c>
      <c r="AE12" s="783" t="str">
        <f>IFERROR(IF(INDEX('Coverage Indicators_1B'!Z$11:Z$100,MATCH($C12,'Coverage Indicators_1B'!$B$11:$B$100,0))="","",INDEX('Coverage Indicators_1B'!Z$11:Z$100,MATCH($C12,'Coverage Indicators_1B'!$B$11:$B$100,0))),"")</f>
        <v/>
      </c>
      <c r="AF12" s="779" t="str">
        <f>IFERROR(IF(INDEX('Coverage Indicators_1B'!AA$11:AA$100,MATCH($C12,'Coverage Indicators_1B'!$B$11:$B$100,0))="","",INDEX('Coverage Indicators_1B'!AA$11:AA$100,MATCH($C12,'Coverage Indicators_1B'!$B$11:$B$100,0))),"")</f>
        <v/>
      </c>
      <c r="AG12" s="780" t="str">
        <f>IFERROR(INDEX('Coverage Indicators_1B'!AB$11:AB$100,MATCH($C12,'Coverage Indicators_1B'!$B$11:$B$100,0)),"")</f>
        <v xml:space="preserve"> </v>
      </c>
      <c r="AH12" s="779" t="str">
        <f>IFERROR(IF(INDEX('Coverage Indicators_1B'!AC$11:AC$100,MATCH($C12,'Coverage Indicators_1B'!$B$11:$B$100,0))="","",INDEX('Coverage Indicators_1B'!AC$11:AC$100,MATCH($C12,'Coverage Indicators_1B'!$B$11:$B$100,0))),"")</f>
        <v/>
      </c>
      <c r="AI12" s="779" t="str">
        <f>IFERROR(IF(INDEX('Coverage Indicators_1B'!AD$11:AD$100,MATCH($C12,'Coverage Indicators_1B'!$B$11:$B$100,0))="","",INDEX('Coverage Indicators_1B'!AD$11:AD$100,MATCH($C12,'Coverage Indicators_1B'!$B$11:$B$100,0))),"")</f>
        <v/>
      </c>
      <c r="AJ12" s="780" t="str">
        <f>IFERROR(INDEX('Coverage Indicators_1B'!AE$11:AE$100,MATCH($C12,'Coverage Indicators_1B'!$B$11:$B$100,0)),"")</f>
        <v>No Results Reported</v>
      </c>
      <c r="AK12" s="780"/>
      <c r="AL12" s="780"/>
      <c r="AM12" s="780"/>
      <c r="AN12" s="780" t="str">
        <f>IFERROR(INDEX('Coverage Indicators_1B'!AI$11:AI$100,MATCH($C12,'Coverage Indicators_1B'!$B$11:$B$100,0)),"")</f>
        <v xml:space="preserve"> </v>
      </c>
      <c r="AO12" s="780">
        <f>IFERROR(INDEX('Coverage Indicators_1B'!AJ$11:AJ$100,MATCH($C12,'Coverage Indicators_1B'!$B$11:$B$100,0)),"")</f>
        <v>0</v>
      </c>
      <c r="AP12" s="780" t="str">
        <f>IFERROR(INDEX('Coverage Indicators_1B'!AK$11:AK$100,MATCH($C12,'Coverage Indicators_1B'!$B$11:$B$100,0)),"")</f>
        <v>No Results Reported</v>
      </c>
      <c r="AQ12" s="785">
        <v>5</v>
      </c>
      <c r="AR12" s="772" t="str">
        <f t="shared" si="3"/>
        <v>No</v>
      </c>
      <c r="AS12" s="786" t="s">
        <v>37</v>
      </c>
      <c r="AT12" s="772"/>
      <c r="AU12" s="772"/>
      <c r="AV12" s="772"/>
      <c r="AW12" s="772"/>
      <c r="AX12" s="772"/>
      <c r="AY12" s="786" t="s">
        <v>398</v>
      </c>
      <c r="AZ12" s="786" t="s">
        <v>399</v>
      </c>
      <c r="BA12" s="786" t="s">
        <v>400</v>
      </c>
    </row>
    <row r="13" spans="1:53" ht="15.6" customHeight="1" x14ac:dyDescent="0.2">
      <c r="A13" s="772" t="s">
        <v>421</v>
      </c>
      <c r="B13" s="772">
        <f t="shared" si="1"/>
        <v>6</v>
      </c>
      <c r="C13" s="771" t="str">
        <f t="shared" si="2"/>
        <v>Coverage6</v>
      </c>
      <c r="D13" s="779" t="s">
        <v>390</v>
      </c>
      <c r="E13" s="780" t="str">
        <f t="shared" si="0"/>
        <v>TCP-7c: Nombre de cas déclarés de tuberculose (toutes formes confondues) par les prestataires extérieurs au programme national de lutte contre la tuberculose — services communautaires</v>
      </c>
      <c r="F13" s="779" t="s">
        <v>422</v>
      </c>
      <c r="G13" s="779"/>
      <c r="H13" s="779" t="s">
        <v>423</v>
      </c>
      <c r="I13" s="779" t="s">
        <v>424</v>
      </c>
      <c r="J13" s="779"/>
      <c r="K13" s="779" t="s">
        <v>394</v>
      </c>
      <c r="L13" s="779" t="s">
        <v>395</v>
      </c>
      <c r="M13" s="780" t="b">
        <v>0</v>
      </c>
      <c r="N13" s="781">
        <v>382</v>
      </c>
      <c r="O13" s="782"/>
      <c r="P13" s="783"/>
      <c r="Q13" s="779" t="s">
        <v>225</v>
      </c>
      <c r="R13" s="779" t="s">
        <v>396</v>
      </c>
      <c r="S13" s="781">
        <v>1330.5</v>
      </c>
      <c r="T13" s="782"/>
      <c r="U13" s="783"/>
      <c r="V13" s="787" t="s">
        <v>425</v>
      </c>
      <c r="W13" s="781">
        <f>IFERROR(IF(INDEX('Coverage Indicators_1B'!Q$11:Q$100,MATCH($C13,'Coverage Indicators_1B'!$B$11:$B$100,0))="","",INDEX('Coverage Indicators_1B'!Q$11:Q$100,MATCH($C13,'Coverage Indicators_1B'!$B$11:$B$100,0))),"")</f>
        <v>174</v>
      </c>
      <c r="X13" s="782" t="str">
        <f>IFERROR(IF(INDEX('Coverage Indicators_1B'!R$11:R$100,MATCH($C13,'Coverage Indicators_1B'!$B$11:$B$100,0))="","",INDEX('Coverage Indicators_1B'!R$11:R$100,MATCH($C13,'Coverage Indicators_1B'!$B$11:$B$100,0))),"")</f>
        <v/>
      </c>
      <c r="Y13" s="783" t="str">
        <f>IFERROR(IF(INDEX('Coverage Indicators_1B'!S$11:S$100,MATCH($C13,'Coverage Indicators_1B'!$B$11:$B$100,0))="","",INDEX('Coverage Indicators_1B'!S$11:S$100,MATCH($C13,'Coverage Indicators_1B'!$B$11:$B$100,0))),"")</f>
        <v/>
      </c>
      <c r="Z13" s="779" t="str">
        <f>IFERROR(IF(INDEX('Coverage Indicators_1B'!T$11:T$100,MATCH($C13,'Coverage Indicators_1B'!$B$11:$B$100,0))="","",INDEX('Coverage Indicators_1B'!T$11:T$100,MATCH($C13,'Coverage Indicators_1B'!$B$11:$B$100,0))),"")</f>
        <v>TB patient register</v>
      </c>
      <c r="AA13" s="784">
        <f>IFERROR(INDEX('Coverage Indicators_1B'!U$11:U$100,MATCH($C13,'Coverage Indicators_1B'!$B$11:$B$100,0)),"")</f>
        <v>0.13077790304396844</v>
      </c>
      <c r="AB13" s="779" t="str">
        <f>IFERROR(IF(INDEX('Coverage Indicators_1B'!V$11:V$100,MATCH($C13,'Coverage Indicators_1B'!$B$11:$B$100,0))="","",INDEX('Coverage Indicators_1B'!V$11:V$100,MATCH($C13,'Coverage Indicators_1B'!$B$11:$B$100,0))),"")</f>
        <v>Vue d’ensemble :  
Source des données : cet indicateur a été renseigné grâce au rapport du 2è semestrie2019 du PNILT après consultation des outils primaires de collecte des données (registres) lors des ateliers de validation trimestrielle des données.
Durant le 2è semestre 2019, le nombre de cas de tuberculose (toutes formes confondues) déclarés par les agents de santé communautaire est de 174 correspondants à une performance de 13%.
Analyse des données :
Cet indicateur a été renseigné par le rapport du 2è semestriel 2019 du PNILT après consultation des registres de laboratoire des CDT où sont consignés les noms des ASC qui ont référés ou accompagnés les personnes présumées TB, cela lors des ateliers de validation.
Cette performance réalisée (13 % : N=174) est comparable à celle du 2è semestre 2018 (14% : N=182) mais inférieure à celle du 1er semestre 2019(18% : N=245)
Le numérateur est le nombre de cas déclarés de tuberculose (toutes formes confondues) par les prestataires au niveau communautaire. 
Observations / Commentaires :
Le résultat de cet indicateur reste en deçà des cibles contractuelles. Les raisons liées à cette faiblesse s’expliqueraient par : 
-la surestimation de la cible au vu des résultats des années antérieures pour cet indicateur (514 en 2015, 382 en 2016 soit une contribution de 4% et une contribution de 8% en 2017) ;
-une probable démotivation des ASC 
-le fait que plusieurs ASC ne soient pas encore formées sur la tuberculose et les autres thématiques liés à leur cahier de charge conformément au manuel des agents de santé communautaire ;
-les sites qui n’enregistrent pas systématiquement les noms des ASC qui ont référés ou accompagnés le cas présumé TB ;
-faible encadrement des ASC par les centres de santé.
Solutions/Recommandations :
En vue d’améliorer la performance de cet indicateur, les actions suivantes doivent être prise :
-instruire les CDT et CT à un enregistrement systématique de tous les ASC qui réfèrent les cas présumés TB dans le registre de dépistage laboratoire ou sur le bon de transfert de l’échantillon de crachat ;
-renforcer les sensibilisations des ASC à la recherche des cas présumés de tuberculose et à leur référence vers les CDT ;
-renforcer l’encadrement des ASC au travers des supervisions dans la communauté et l’organisation des réunions de coordination des interventions communautaires dans les FOSA ;
-faire participer les techniciens de promotion de la santé dans les ateliers de validation des données tuberculose ; 
-faire un plaidoyer auprès du DPSHA pour la formation des ASC non encore formés.
-Mobiliser les ressources pour un recyclage des ASC déjà formés
-Organiser une table ronde pour engager une discussion sur le système de motivation des ASC
-revoir à la baisse les cibles de cet indicateur tenant compte des réalités du terrain</v>
      </c>
      <c r="AC13" s="781" t="str">
        <f>IFERROR(IF(INDEX('Coverage Indicators_1B'!X$11:X$100,MATCH($C13,'Coverage Indicators_1B'!$B$11:$B$100,0))="","",INDEX('Coverage Indicators_1B'!X$11:X$100,MATCH($C13,'Coverage Indicators_1B'!$B$11:$B$100,0))),"")</f>
        <v/>
      </c>
      <c r="AD13" s="782" t="str">
        <f>IFERROR(IF(INDEX('Coverage Indicators_1B'!Y$11:Y$100,MATCH($C13,'Coverage Indicators_1B'!$B$11:$B$100,0))="","",INDEX('Coverage Indicators_1B'!Y$11:Y$100,MATCH($C13,'Coverage Indicators_1B'!$B$11:$B$100,0))),"")</f>
        <v/>
      </c>
      <c r="AE13" s="783" t="str">
        <f>IFERROR(IF(INDEX('Coverage Indicators_1B'!Z$11:Z$100,MATCH($C13,'Coverage Indicators_1B'!$B$11:$B$100,0))="","",INDEX('Coverage Indicators_1B'!Z$11:Z$100,MATCH($C13,'Coverage Indicators_1B'!$B$11:$B$100,0))),"")</f>
        <v/>
      </c>
      <c r="AF13" s="779" t="str">
        <f>IFERROR(IF(INDEX('Coverage Indicators_1B'!AA$11:AA$100,MATCH($C13,'Coverage Indicators_1B'!$B$11:$B$100,0))="","",INDEX('Coverage Indicators_1B'!AA$11:AA$100,MATCH($C13,'Coverage Indicators_1B'!$B$11:$B$100,0))),"")</f>
        <v/>
      </c>
      <c r="AG13" s="780" t="str">
        <f>IFERROR(INDEX('Coverage Indicators_1B'!AB$11:AB$100,MATCH($C13,'Coverage Indicators_1B'!$B$11:$B$100,0)),"")</f>
        <v xml:space="preserve"> </v>
      </c>
      <c r="AH13" s="779" t="str">
        <f>IFERROR(IF(INDEX('Coverage Indicators_1B'!AC$11:AC$100,MATCH($C13,'Coverage Indicators_1B'!$B$11:$B$100,0))="","",INDEX('Coverage Indicators_1B'!AC$11:AC$100,MATCH($C13,'Coverage Indicators_1B'!$B$11:$B$100,0))),"")</f>
        <v/>
      </c>
      <c r="AI13" s="779" t="str">
        <f>IFERROR(IF(INDEX('Coverage Indicators_1B'!AD$11:AD$100,MATCH($C13,'Coverage Indicators_1B'!$B$11:$B$100,0))="","",INDEX('Coverage Indicators_1B'!AD$11:AD$100,MATCH($C13,'Coverage Indicators_1B'!$B$11:$B$100,0))),"")</f>
        <v/>
      </c>
      <c r="AJ13" s="780" t="str">
        <f>IFERROR(INDEX('Coverage Indicators_1B'!AE$11:AE$100,MATCH($C13,'Coverage Indicators_1B'!$B$11:$B$100,0)),"")</f>
        <v>No Results Reported</v>
      </c>
      <c r="AK13" s="780"/>
      <c r="AL13" s="780"/>
      <c r="AM13" s="780"/>
      <c r="AN13" s="780" t="str">
        <f>IFERROR(INDEX('Coverage Indicators_1B'!AI$11:AI$100,MATCH($C13,'Coverage Indicators_1B'!$B$11:$B$100,0)),"")</f>
        <v xml:space="preserve"> </v>
      </c>
      <c r="AO13" s="780">
        <f>IFERROR(INDEX('Coverage Indicators_1B'!AJ$11:AJ$100,MATCH($C13,'Coverage Indicators_1B'!$B$11:$B$100,0)),"")</f>
        <v>0</v>
      </c>
      <c r="AP13" s="780" t="str">
        <f>IFERROR(INDEX('Coverage Indicators_1B'!AK$11:AK$100,MATCH($C13,'Coverage Indicators_1B'!$B$11:$B$100,0)),"")</f>
        <v>No Results Reported</v>
      </c>
      <c r="AQ13" s="785">
        <v>6</v>
      </c>
      <c r="AR13" s="772" t="str">
        <f t="shared" si="3"/>
        <v>No</v>
      </c>
      <c r="AS13" s="786" t="s">
        <v>37</v>
      </c>
      <c r="AT13" s="772"/>
      <c r="AU13" s="772"/>
      <c r="AV13" s="772"/>
      <c r="AW13" s="772"/>
      <c r="AX13" s="772"/>
      <c r="AY13" s="786" t="s">
        <v>398</v>
      </c>
      <c r="AZ13" s="786" t="s">
        <v>399</v>
      </c>
      <c r="BA13" s="786" t="s">
        <v>400</v>
      </c>
    </row>
    <row r="14" spans="1:53" ht="15.6" customHeight="1" x14ac:dyDescent="0.2">
      <c r="A14" s="772" t="s">
        <v>426</v>
      </c>
      <c r="B14" s="772">
        <f t="shared" si="1"/>
        <v>7</v>
      </c>
      <c r="C14" s="771" t="str">
        <f t="shared" si="2"/>
        <v>Coverage7</v>
      </c>
      <c r="D14" s="779" t="s">
        <v>427</v>
      </c>
      <c r="E14" s="780" t="str">
        <f t="shared" si="0"/>
        <v>TB/HIV-5: Pourcentage de nouveaux patients TB et de rechute enregistrés dont le statut VIH est documenté</v>
      </c>
      <c r="F14" s="779" t="s">
        <v>428</v>
      </c>
      <c r="G14" s="779"/>
      <c r="H14" s="779" t="s">
        <v>429</v>
      </c>
      <c r="I14" s="779" t="s">
        <v>430</v>
      </c>
      <c r="J14" s="779"/>
      <c r="K14" s="779" t="s">
        <v>394</v>
      </c>
      <c r="L14" s="779" t="s">
        <v>395</v>
      </c>
      <c r="M14" s="780" t="b">
        <v>0</v>
      </c>
      <c r="N14" s="781">
        <v>7345</v>
      </c>
      <c r="O14" s="782">
        <v>7662</v>
      </c>
      <c r="P14" s="783">
        <v>95.9</v>
      </c>
      <c r="Q14" s="779" t="s">
        <v>225</v>
      </c>
      <c r="R14" s="779" t="s">
        <v>396</v>
      </c>
      <c r="S14" s="781">
        <v>4257.6000000000004</v>
      </c>
      <c r="T14" s="782">
        <v>4435</v>
      </c>
      <c r="U14" s="783">
        <v>96</v>
      </c>
      <c r="V14" s="787" t="s">
        <v>431</v>
      </c>
      <c r="W14" s="781">
        <f>IFERROR(IF(INDEX('Coverage Indicators_1B'!Q$11:Q$100,MATCH($C14,'Coverage Indicators_1B'!$B$11:$B$100,0))="","",INDEX('Coverage Indicators_1B'!Q$11:Q$100,MATCH($C14,'Coverage Indicators_1B'!$B$11:$B$100,0))),"")</f>
        <v>3325</v>
      </c>
      <c r="X14" s="782">
        <f>IFERROR(IF(INDEX('Coverage Indicators_1B'!R$11:R$100,MATCH($C14,'Coverage Indicators_1B'!$B$11:$B$100,0))="","",INDEX('Coverage Indicators_1B'!R$11:R$100,MATCH($C14,'Coverage Indicators_1B'!$B$11:$B$100,0))),"")</f>
        <v>3359</v>
      </c>
      <c r="Y14" s="783">
        <f>IFERROR(IF(INDEX('Coverage Indicators_1B'!S$11:S$100,MATCH($C14,'Coverage Indicators_1B'!$B$11:$B$100,0))="","",INDEX('Coverage Indicators_1B'!S$11:S$100,MATCH($C14,'Coverage Indicators_1B'!$B$11:$B$100,0))),"")</f>
        <v>98.987793986305448</v>
      </c>
      <c r="Z14" s="779" t="str">
        <f>IFERROR(IF(INDEX('Coverage Indicators_1B'!T$11:T$100,MATCH($C14,'Coverage Indicators_1B'!$B$11:$B$100,0))="","",INDEX('Coverage Indicators_1B'!T$11:T$100,MATCH($C14,'Coverage Indicators_1B'!$B$11:$B$100,0))),"")</f>
        <v>TB patient register</v>
      </c>
      <c r="AA14" s="784">
        <f>IFERROR(INDEX('Coverage Indicators_1B'!U$11:U$100,MATCH($C14,'Coverage Indicators_1B'!$B$11:$B$100,0)),"")</f>
        <v>1.0311228540240152</v>
      </c>
      <c r="AB14" s="779" t="str">
        <f>IFERROR(IF(INDEX('Coverage Indicators_1B'!V$11:V$100,MATCH($C14,'Coverage Indicators_1B'!$B$11:$B$100,0))="","",INDEX('Coverage Indicators_1B'!V$11:V$100,MATCH($C14,'Coverage Indicators_1B'!$B$11:$B$100,0))),"")</f>
        <v xml:space="preserve">Vue d’ensemble :
Source des données : cet indicateur a été renseigné grâce au rapport du 2è semestre2019 du PNILT après consultation des outils primaires de collecte des données (registres) lors des ateliers de validation trimestrielle des données.
Durant le 2è semestre 2019, le taux de réalisation de cet indicateur est de 99% correspondant à un taux d’accomplissement de 103%.
Analyse des données :
Cette performance, est superposable à celle du 2è semestre 2018 (103%) mais supérieure à celle du 1er semestre 2019 (99%). 
-Le numérateur est le nombre de patients atteints de tuberculose enregistrés pendant la période de rapportage dont le résultat du test VIH est enregistré dans le registre de la tuberculose au moment du diagnostic de la tuberculose. Il est de 3325
-Le dénominateur est le nombre total de patients atteints de tuberculose enregistrés au cours de la période de rapportage. Il est de 3 359.
Observations / Commentaires :
Cette bonne performance s’expliquerait par :  
-une bonne intégration des services TB et VIH dans les structures de soins ;
-les activités de renforcement des capacités des prestataires de soins en matière de Counseling et dépistage du VIH initié par le prestataire chez les tuberculeux ; 
-la disponibilité des tests VIH au niveau des sites de prise en charge ; 
-les supervisions régulières des CDT et CT effectuées par les coordonnateurs provinciaux et le niveau central (PNILT et du PNLS) contribuant à l’amélioration des prestations de services au niveau des CDT et CT.
Solutions/Recommandations :
En vue de maintenir la performance de cet indicateur voire, l’améliorer davantage pour arriver à réaliser un test VIH à 100% des tuberculeux, les actions suivantes doivent être prises :
-poursuivre l’amélioration de la qualité du counseling pré test VIH et post test VIH ;
-renforcer la collaboration avec le PNLS dans la lutte contre la coïnfection TB et VIH ;
-susciter l’implication des prestataires à la lutte contre la coïnfection TB/VIH à travers le dépistage systématique du VIH chez tout tuberculeux et la recherche active de la tuberculose chez tout PVVIH (screening) ;
-Approvisionnement régulièrement la CAMEBU et les CDV, CT et CDT, en intrants de dépistage </v>
      </c>
      <c r="AC14" s="781" t="str">
        <f>IFERROR(IF(INDEX('Coverage Indicators_1B'!X$11:X$100,MATCH($C14,'Coverage Indicators_1B'!$B$11:$B$100,0))="","",INDEX('Coverage Indicators_1B'!X$11:X$100,MATCH($C14,'Coverage Indicators_1B'!$B$11:$B$100,0))),"")</f>
        <v/>
      </c>
      <c r="AD14" s="782" t="str">
        <f>IFERROR(IF(INDEX('Coverage Indicators_1B'!Y$11:Y$100,MATCH($C14,'Coverage Indicators_1B'!$B$11:$B$100,0))="","",INDEX('Coverage Indicators_1B'!Y$11:Y$100,MATCH($C14,'Coverage Indicators_1B'!$B$11:$B$100,0))),"")</f>
        <v/>
      </c>
      <c r="AE14" s="783" t="str">
        <f>IFERROR(IF(INDEX('Coverage Indicators_1B'!Z$11:Z$100,MATCH($C14,'Coverage Indicators_1B'!$B$11:$B$100,0))="","",INDEX('Coverage Indicators_1B'!Z$11:Z$100,MATCH($C14,'Coverage Indicators_1B'!$B$11:$B$100,0))),"")</f>
        <v/>
      </c>
      <c r="AF14" s="779" t="str">
        <f>IFERROR(IF(INDEX('Coverage Indicators_1B'!AA$11:AA$100,MATCH($C14,'Coverage Indicators_1B'!$B$11:$B$100,0))="","",INDEX('Coverage Indicators_1B'!AA$11:AA$100,MATCH($C14,'Coverage Indicators_1B'!$B$11:$B$100,0))),"")</f>
        <v/>
      </c>
      <c r="AG14" s="780" t="str">
        <f>IFERROR(INDEX('Coverage Indicators_1B'!AB$11:AB$100,MATCH($C14,'Coverage Indicators_1B'!$B$11:$B$100,0)),"")</f>
        <v xml:space="preserve"> </v>
      </c>
      <c r="AH14" s="779" t="str">
        <f>IFERROR(IF(INDEX('Coverage Indicators_1B'!AC$11:AC$100,MATCH($C14,'Coverage Indicators_1B'!$B$11:$B$100,0))="","",INDEX('Coverage Indicators_1B'!AC$11:AC$100,MATCH($C14,'Coverage Indicators_1B'!$B$11:$B$100,0))),"")</f>
        <v/>
      </c>
      <c r="AI14" s="779" t="str">
        <f>IFERROR(IF(INDEX('Coverage Indicators_1B'!AD$11:AD$100,MATCH($C14,'Coverage Indicators_1B'!$B$11:$B$100,0))="","",INDEX('Coverage Indicators_1B'!AD$11:AD$100,MATCH($C14,'Coverage Indicators_1B'!$B$11:$B$100,0))),"")</f>
        <v/>
      </c>
      <c r="AJ14" s="780" t="str">
        <f>IFERROR(INDEX('Coverage Indicators_1B'!AE$11:AE$100,MATCH($C14,'Coverage Indicators_1B'!$B$11:$B$100,0)),"")</f>
        <v>No Results Reported</v>
      </c>
      <c r="AK14" s="780"/>
      <c r="AL14" s="780"/>
      <c r="AM14" s="780"/>
      <c r="AN14" s="780" t="str">
        <f>IFERROR(INDEX('Coverage Indicators_1B'!AI$11:AI$100,MATCH($C14,'Coverage Indicators_1B'!$B$11:$B$100,0)),"")</f>
        <v xml:space="preserve"> </v>
      </c>
      <c r="AO14" s="780">
        <f>IFERROR(INDEX('Coverage Indicators_1B'!AJ$11:AJ$100,MATCH($C14,'Coverage Indicators_1B'!$B$11:$B$100,0)),"")</f>
        <v>0</v>
      </c>
      <c r="AP14" s="780" t="str">
        <f>IFERROR(INDEX('Coverage Indicators_1B'!AK$11:AK$100,MATCH($C14,'Coverage Indicators_1B'!$B$11:$B$100,0)),"")</f>
        <v>No Results Reported</v>
      </c>
      <c r="AQ14" s="785">
        <v>7</v>
      </c>
      <c r="AR14" s="772" t="str">
        <f t="shared" si="3"/>
        <v>No</v>
      </c>
      <c r="AS14" s="786" t="s">
        <v>37</v>
      </c>
      <c r="AT14" s="772"/>
      <c r="AU14" s="772"/>
      <c r="AV14" s="772"/>
      <c r="AW14" s="772"/>
      <c r="AX14" s="772"/>
      <c r="AY14" s="786" t="s">
        <v>432</v>
      </c>
      <c r="AZ14" s="786" t="s">
        <v>433</v>
      </c>
      <c r="BA14" s="786" t="s">
        <v>400</v>
      </c>
    </row>
    <row r="15" spans="1:53" ht="15.6" customHeight="1" x14ac:dyDescent="0.2">
      <c r="A15" s="772" t="s">
        <v>434</v>
      </c>
      <c r="B15" s="772">
        <f t="shared" si="1"/>
        <v>8</v>
      </c>
      <c r="C15" s="771" t="str">
        <f t="shared" si="2"/>
        <v>Coverage8</v>
      </c>
      <c r="D15" s="779" t="s">
        <v>427</v>
      </c>
      <c r="E15" s="780" t="str">
        <f t="shared" si="0"/>
        <v>TB/HIV-6(M): Pourcentage de nouveaux patients  tuberculeux et de rechutes, séropositifs au VIH, sous traitement antirétroviral au cours du traitement de la tuberculose</v>
      </c>
      <c r="F15" s="779" t="s">
        <v>435</v>
      </c>
      <c r="G15" s="779"/>
      <c r="H15" s="779" t="s">
        <v>436</v>
      </c>
      <c r="I15" s="779" t="s">
        <v>437</v>
      </c>
      <c r="J15" s="779"/>
      <c r="K15" s="779" t="s">
        <v>394</v>
      </c>
      <c r="L15" s="779" t="s">
        <v>395</v>
      </c>
      <c r="M15" s="780" t="b">
        <v>0</v>
      </c>
      <c r="N15" s="781">
        <v>795</v>
      </c>
      <c r="O15" s="782">
        <v>877</v>
      </c>
      <c r="P15" s="783">
        <v>90.6</v>
      </c>
      <c r="Q15" s="779" t="s">
        <v>225</v>
      </c>
      <c r="R15" s="779" t="s">
        <v>396</v>
      </c>
      <c r="S15" s="781">
        <v>695.04</v>
      </c>
      <c r="T15" s="782">
        <v>724</v>
      </c>
      <c r="U15" s="783">
        <v>96</v>
      </c>
      <c r="V15" s="787" t="s">
        <v>438</v>
      </c>
      <c r="W15" s="781">
        <f>IFERROR(IF(INDEX('Coverage Indicators_1B'!Q$11:Q$100,MATCH($C15,'Coverage Indicators_1B'!$B$11:$B$100,0))="","",INDEX('Coverage Indicators_1B'!Q$11:Q$100,MATCH($C15,'Coverage Indicators_1B'!$B$11:$B$100,0))),"")</f>
        <v>262</v>
      </c>
      <c r="X15" s="782">
        <f>IFERROR(IF(INDEX('Coverage Indicators_1B'!R$11:R$100,MATCH($C15,'Coverage Indicators_1B'!$B$11:$B$100,0))="","",INDEX('Coverage Indicators_1B'!R$11:R$100,MATCH($C15,'Coverage Indicators_1B'!$B$11:$B$100,0))),"")</f>
        <v>262</v>
      </c>
      <c r="Y15" s="783">
        <f>IFERROR(IF(INDEX('Coverage Indicators_1B'!S$11:S$100,MATCH($C15,'Coverage Indicators_1B'!$B$11:$B$100,0))="","",INDEX('Coverage Indicators_1B'!S$11:S$100,MATCH($C15,'Coverage Indicators_1B'!$B$11:$B$100,0))),"")</f>
        <v>100</v>
      </c>
      <c r="Z15" s="779" t="str">
        <f>IFERROR(IF(INDEX('Coverage Indicators_1B'!T$11:T$100,MATCH($C15,'Coverage Indicators_1B'!$B$11:$B$100,0))="","",INDEX('Coverage Indicators_1B'!T$11:T$100,MATCH($C15,'Coverage Indicators_1B'!$B$11:$B$100,0))),"")</f>
        <v>TB patient register</v>
      </c>
      <c r="AA15" s="784">
        <f>IFERROR(INDEX('Coverage Indicators_1B'!U$11:U$100,MATCH($C15,'Coverage Indicators_1B'!$B$11:$B$100,0)),"")</f>
        <v>1.0416666666666667</v>
      </c>
      <c r="AB15" s="779" t="str">
        <f>IFERROR(IF(INDEX('Coverage Indicators_1B'!V$11:V$100,MATCH($C15,'Coverage Indicators_1B'!$B$11:$B$100,0))="","",INDEX('Coverage Indicators_1B'!V$11:V$100,MATCH($C15,'Coverage Indicators_1B'!$B$11:$B$100,0))),"")</f>
        <v>Vue d’ensemble :
Source des données : cet indicateur a été renseigné grâce au rapport du 2è semestre2019 du PNILT après consultation des outils primaires de collecte des données (registres) lors des ateliers de validation trimestrielle des données.
Le taux de réalisation au 2è semestre 2019 pour cet indicateur est de 100% soit un taux d’accomplissement de 104%.
Analyse des données :
Le numérateur est le nombre de patients atteints de tuberculose et séropositifs au VIH, enregistrés au cours de la période de communication de l'information, qui reçoivent une thérapie antirétrovirale (qui ont commencé ou qui poursuivent une thérapie antirétrovirale initiée précédemment). Il est de 262.
Le dénominateur est le nombre total de patients atteints de tuberculose et séropositifs au VIH enregistrés au cours de la période de rapportage. Il est de 262.
Observations / Commentaires :
La performance réalisée est légèrement supérieure à celle du 2è semestre 2018 (102%) mais superposable à celle du 1er semestre 2019 (103%). En effet, tous les patients tuberculeux coinfectés au VIH étaient sous ARV. 
Solutions/Recommandations :
En vue de maintenir la performance de cet indicateur, le PR recommande au PNILT de :
-continuer à améliorer la qualité du counseling pré test VIH et post test VIH ;
-renforcer la collaboration avec le PNLS dans la lutte contre la coïnfection TB et VIH ;
-assurer la disponibilité des directives de prise en charge de la tuberculose, du VIH et de la coïnfection TB/VIH au niveau des FOSA, s’assurer de la maîtrise de leur contenu et de leur mise en application ;
-assurer la disponibilité des ARV au CDT et sites de prise en charge ;
-accorder un soutien de qualité aux malades coinfectés TB/ PVVH</v>
      </c>
      <c r="AC15" s="781" t="str">
        <f>IFERROR(IF(INDEX('Coverage Indicators_1B'!X$11:X$100,MATCH($C15,'Coverage Indicators_1B'!$B$11:$B$100,0))="","",INDEX('Coverage Indicators_1B'!X$11:X$100,MATCH($C15,'Coverage Indicators_1B'!$B$11:$B$100,0))),"")</f>
        <v/>
      </c>
      <c r="AD15" s="782" t="str">
        <f>IFERROR(IF(INDEX('Coverage Indicators_1B'!Y$11:Y$100,MATCH($C15,'Coverage Indicators_1B'!$B$11:$B$100,0))="","",INDEX('Coverage Indicators_1B'!Y$11:Y$100,MATCH($C15,'Coverage Indicators_1B'!$B$11:$B$100,0))),"")</f>
        <v/>
      </c>
      <c r="AE15" s="783" t="str">
        <f>IFERROR(IF(INDEX('Coverage Indicators_1B'!Z$11:Z$100,MATCH($C15,'Coverage Indicators_1B'!$B$11:$B$100,0))="","",INDEX('Coverage Indicators_1B'!Z$11:Z$100,MATCH($C15,'Coverage Indicators_1B'!$B$11:$B$100,0))),"")</f>
        <v/>
      </c>
      <c r="AF15" s="779" t="str">
        <f>IFERROR(IF(INDEX('Coverage Indicators_1B'!AA$11:AA$100,MATCH($C15,'Coverage Indicators_1B'!$B$11:$B$100,0))="","",INDEX('Coverage Indicators_1B'!AA$11:AA$100,MATCH($C15,'Coverage Indicators_1B'!$B$11:$B$100,0))),"")</f>
        <v/>
      </c>
      <c r="AG15" s="780" t="str">
        <f>IFERROR(INDEX('Coverage Indicators_1B'!AB$11:AB$100,MATCH($C15,'Coverage Indicators_1B'!$B$11:$B$100,0)),"")</f>
        <v xml:space="preserve"> </v>
      </c>
      <c r="AH15" s="779" t="str">
        <f>IFERROR(IF(INDEX('Coverage Indicators_1B'!AC$11:AC$100,MATCH($C15,'Coverage Indicators_1B'!$B$11:$B$100,0))="","",INDEX('Coverage Indicators_1B'!AC$11:AC$100,MATCH($C15,'Coverage Indicators_1B'!$B$11:$B$100,0))),"")</f>
        <v/>
      </c>
      <c r="AI15" s="779" t="str">
        <f>IFERROR(IF(INDEX('Coverage Indicators_1B'!AD$11:AD$100,MATCH($C15,'Coverage Indicators_1B'!$B$11:$B$100,0))="","",INDEX('Coverage Indicators_1B'!AD$11:AD$100,MATCH($C15,'Coverage Indicators_1B'!$B$11:$B$100,0))),"")</f>
        <v/>
      </c>
      <c r="AJ15" s="780" t="str">
        <f>IFERROR(INDEX('Coverage Indicators_1B'!AE$11:AE$100,MATCH($C15,'Coverage Indicators_1B'!$B$11:$B$100,0)),"")</f>
        <v>No Results Reported</v>
      </c>
      <c r="AK15" s="780"/>
      <c r="AL15" s="780"/>
      <c r="AM15" s="780"/>
      <c r="AN15" s="780" t="str">
        <f>IFERROR(INDEX('Coverage Indicators_1B'!AI$11:AI$100,MATCH($C15,'Coverage Indicators_1B'!$B$11:$B$100,0)),"")</f>
        <v xml:space="preserve"> </v>
      </c>
      <c r="AO15" s="780">
        <f>IFERROR(INDEX('Coverage Indicators_1B'!AJ$11:AJ$100,MATCH($C15,'Coverage Indicators_1B'!$B$11:$B$100,0)),"")</f>
        <v>0</v>
      </c>
      <c r="AP15" s="780" t="str">
        <f>IFERROR(INDEX('Coverage Indicators_1B'!AK$11:AK$100,MATCH($C15,'Coverage Indicators_1B'!$B$11:$B$100,0)),"")</f>
        <v>No Results Reported</v>
      </c>
      <c r="AQ15" s="785">
        <v>8</v>
      </c>
      <c r="AR15" s="772" t="str">
        <f t="shared" si="3"/>
        <v>No</v>
      </c>
      <c r="AS15" s="786" t="s">
        <v>37</v>
      </c>
      <c r="AT15" s="772"/>
      <c r="AU15" s="772"/>
      <c r="AV15" s="772"/>
      <c r="AW15" s="772"/>
      <c r="AX15" s="772"/>
      <c r="AY15" s="786" t="s">
        <v>432</v>
      </c>
      <c r="AZ15" s="786" t="s">
        <v>433</v>
      </c>
      <c r="BA15" s="786" t="s">
        <v>400</v>
      </c>
    </row>
    <row r="16" spans="1:53" ht="15.6" customHeight="1" x14ac:dyDescent="0.2">
      <c r="A16" s="772" t="s">
        <v>439</v>
      </c>
      <c r="B16" s="772">
        <f t="shared" si="1"/>
        <v>9</v>
      </c>
      <c r="C16" s="771" t="str">
        <f t="shared" si="2"/>
        <v>Coverage9</v>
      </c>
      <c r="D16" s="779" t="s">
        <v>440</v>
      </c>
      <c r="E16" s="780" t="str">
        <f t="shared" si="0"/>
        <v>MDR TB-2(M): Nombre de cas de tuberculose, résistante à la rifampicine et/ou tuberculose multirésistante confirmés</v>
      </c>
      <c r="F16" s="779" t="s">
        <v>441</v>
      </c>
      <c r="G16" s="779"/>
      <c r="H16" s="779" t="s">
        <v>442</v>
      </c>
      <c r="I16" s="779" t="s">
        <v>443</v>
      </c>
      <c r="J16" s="779"/>
      <c r="K16" s="779" t="s">
        <v>394</v>
      </c>
      <c r="L16" s="779" t="s">
        <v>395</v>
      </c>
      <c r="M16" s="780" t="b">
        <v>0</v>
      </c>
      <c r="N16" s="781">
        <v>80</v>
      </c>
      <c r="O16" s="782"/>
      <c r="P16" s="783"/>
      <c r="Q16" s="779" t="s">
        <v>225</v>
      </c>
      <c r="R16" s="779" t="s">
        <v>396</v>
      </c>
      <c r="S16" s="781">
        <v>78.5</v>
      </c>
      <c r="T16" s="782"/>
      <c r="U16" s="783"/>
      <c r="V16" s="787" t="s">
        <v>444</v>
      </c>
      <c r="W16" s="781">
        <f>IFERROR(IF(INDEX('Coverage Indicators_1B'!Q$11:Q$100,MATCH($C16,'Coverage Indicators_1B'!$B$11:$B$100,0))="","",INDEX('Coverage Indicators_1B'!Q$11:Q$100,MATCH($C16,'Coverage Indicators_1B'!$B$11:$B$100,0))),"")</f>
        <v>35</v>
      </c>
      <c r="X16" s="782" t="str">
        <f>IFERROR(IF(INDEX('Coverage Indicators_1B'!R$11:R$100,MATCH($C16,'Coverage Indicators_1B'!$B$11:$B$100,0))="","",INDEX('Coverage Indicators_1B'!R$11:R$100,MATCH($C16,'Coverage Indicators_1B'!$B$11:$B$100,0))),"")</f>
        <v/>
      </c>
      <c r="Y16" s="783" t="str">
        <f>IFERROR(IF(INDEX('Coverage Indicators_1B'!S$11:S$100,MATCH($C16,'Coverage Indicators_1B'!$B$11:$B$100,0))="","",INDEX('Coverage Indicators_1B'!S$11:S$100,MATCH($C16,'Coverage Indicators_1B'!$B$11:$B$100,0))),"")</f>
        <v/>
      </c>
      <c r="Z16" s="779" t="str">
        <f>IFERROR(IF(INDEX('Coverage Indicators_1B'!T$11:T$100,MATCH($C16,'Coverage Indicators_1B'!$B$11:$B$100,0))="","",INDEX('Coverage Indicators_1B'!T$11:T$100,MATCH($C16,'Coverage Indicators_1B'!$B$11:$B$100,0))),"")</f>
        <v>R&amp;R TB system, quarterly reports</v>
      </c>
      <c r="AA16" s="784">
        <f>IFERROR(INDEX('Coverage Indicators_1B'!U$11:U$100,MATCH($C16,'Coverage Indicators_1B'!$B$11:$B$100,0)),"")</f>
        <v>0.44585987261146498</v>
      </c>
      <c r="AB16" s="779" t="str">
        <f>IFERROR(IF(INDEX('Coverage Indicators_1B'!V$11:V$100,MATCH($C16,'Coverage Indicators_1B'!$B$11:$B$100,0))="","",INDEX('Coverage Indicators_1B'!V$11:V$100,MATCH($C16,'Coverage Indicators_1B'!$B$11:$B$100,0))),"")</f>
        <v>Vue d’ensemble :
Source des données : cet indicateur a été renseigné grâce au rapport du 2è semestre 2019 du PNILT après consultation des outils primaires de collecte des données (registres) du centre national de la prise en charge de la TBMR lors des ateliers de validation des données.
Au 2è semestre 2019, le nombre de cas de tuberculose, résistante à la rifampicine et/ou tuberculose multirésistante diagnostiqué et confirmé est de 35 correspondants à un taux d’accomplissement de 45% 
Analyse des données :
Le numérateur est le nombre de cas notifiés de tuberculose pharmacorésistante bactériologiquement confirmée (tuberculose résistante à la rifampicine et/ou tuberculose multirésistante). Il est de 35.  
Observations / Commentaires :
La performance réalisée (45% : n=35) est faible mais elle est supérieure à celle du 2è semestre 2018 (41% : n=30) et celle du 1er semestre 2019 (37% : n=29). 
Selon les données des années antérieures, la moyenne annuelle des cas de TBMR diagnostiqués de 2014 à 2018 était de 54 cas.
Cette performance serait tributaire essentiellement de :
-la surestimation des cibles de cet indicateur (ce qui aurait été confirmé par la réunion de haut niveau de New York tenue en septembre 2018, qui fixait les cibles à 61 pour 2019). 
-la sous-utilisation des appareils GèneXpert suite au problème de transport des échantillons requis à partir des CT et CDT ;
Solutions/Recommandations :
En vue d’améliorer la performance de cet indicateur, le PR et le PNILT devraient utiliser la cible ajustée conformément à la réunion de Haut niveau tenue en Septembre 2018 à New York. 
Ailleurs, le PR recommande au PNILT, d’accélérer l’organisation de la mise en œuvre du plan de transport des échantillons des crachats des CT, CDT vers les appareils GèneXpert et de ceux derniers vers le LNR ;</v>
      </c>
      <c r="AC16" s="781" t="str">
        <f>IFERROR(IF(INDEX('Coverage Indicators_1B'!X$11:X$100,MATCH($C16,'Coverage Indicators_1B'!$B$11:$B$100,0))="","",INDEX('Coverage Indicators_1B'!X$11:X$100,MATCH($C16,'Coverage Indicators_1B'!$B$11:$B$100,0))),"")</f>
        <v/>
      </c>
      <c r="AD16" s="782" t="str">
        <f>IFERROR(IF(INDEX('Coverage Indicators_1B'!Y$11:Y$100,MATCH($C16,'Coverage Indicators_1B'!$B$11:$B$100,0))="","",INDEX('Coverage Indicators_1B'!Y$11:Y$100,MATCH($C16,'Coverage Indicators_1B'!$B$11:$B$100,0))),"")</f>
        <v/>
      </c>
      <c r="AE16" s="783" t="str">
        <f>IFERROR(IF(INDEX('Coverage Indicators_1B'!Z$11:Z$100,MATCH($C16,'Coverage Indicators_1B'!$B$11:$B$100,0))="","",INDEX('Coverage Indicators_1B'!Z$11:Z$100,MATCH($C16,'Coverage Indicators_1B'!$B$11:$B$100,0))),"")</f>
        <v/>
      </c>
      <c r="AF16" s="779" t="str">
        <f>IFERROR(IF(INDEX('Coverage Indicators_1B'!AA$11:AA$100,MATCH($C16,'Coverage Indicators_1B'!$B$11:$B$100,0))="","",INDEX('Coverage Indicators_1B'!AA$11:AA$100,MATCH($C16,'Coverage Indicators_1B'!$B$11:$B$100,0))),"")</f>
        <v/>
      </c>
      <c r="AG16" s="780" t="str">
        <f>IFERROR(INDEX('Coverage Indicators_1B'!AB$11:AB$100,MATCH($C16,'Coverage Indicators_1B'!$B$11:$B$100,0)),"")</f>
        <v xml:space="preserve"> </v>
      </c>
      <c r="AH16" s="779" t="str">
        <f>IFERROR(IF(INDEX('Coverage Indicators_1B'!AC$11:AC$100,MATCH($C16,'Coverage Indicators_1B'!$B$11:$B$100,0))="","",INDEX('Coverage Indicators_1B'!AC$11:AC$100,MATCH($C16,'Coverage Indicators_1B'!$B$11:$B$100,0))),"")</f>
        <v/>
      </c>
      <c r="AI16" s="779" t="str">
        <f>IFERROR(IF(INDEX('Coverage Indicators_1B'!AD$11:AD$100,MATCH($C16,'Coverage Indicators_1B'!$B$11:$B$100,0))="","",INDEX('Coverage Indicators_1B'!AD$11:AD$100,MATCH($C16,'Coverage Indicators_1B'!$B$11:$B$100,0))),"")</f>
        <v/>
      </c>
      <c r="AJ16" s="780" t="str">
        <f>IFERROR(INDEX('Coverage Indicators_1B'!AE$11:AE$100,MATCH($C16,'Coverage Indicators_1B'!$B$11:$B$100,0)),"")</f>
        <v>No Results Reported</v>
      </c>
      <c r="AK16" s="780"/>
      <c r="AL16" s="780"/>
      <c r="AM16" s="780"/>
      <c r="AN16" s="780" t="str">
        <f>IFERROR(INDEX('Coverage Indicators_1B'!AI$11:AI$100,MATCH($C16,'Coverage Indicators_1B'!$B$11:$B$100,0)),"")</f>
        <v xml:space="preserve"> </v>
      </c>
      <c r="AO16" s="780">
        <f>IFERROR(INDEX('Coverage Indicators_1B'!AJ$11:AJ$100,MATCH($C16,'Coverage Indicators_1B'!$B$11:$B$100,0)),"")</f>
        <v>0</v>
      </c>
      <c r="AP16" s="780" t="str">
        <f>IFERROR(INDEX('Coverage Indicators_1B'!AK$11:AK$100,MATCH($C16,'Coverage Indicators_1B'!$B$11:$B$100,0)),"")</f>
        <v>No Results Reported</v>
      </c>
      <c r="AQ16" s="785">
        <v>9</v>
      </c>
      <c r="AR16" s="772" t="str">
        <f t="shared" si="3"/>
        <v>No</v>
      </c>
      <c r="AS16" s="786" t="s">
        <v>37</v>
      </c>
      <c r="AT16" s="772"/>
      <c r="AU16" s="772"/>
      <c r="AV16" s="772"/>
      <c r="AW16" s="772"/>
      <c r="AX16" s="772"/>
      <c r="AY16" s="786" t="s">
        <v>445</v>
      </c>
      <c r="AZ16" s="786" t="s">
        <v>446</v>
      </c>
      <c r="BA16" s="786" t="s">
        <v>400</v>
      </c>
    </row>
    <row r="17" spans="1:53" ht="15.6" customHeight="1" x14ac:dyDescent="0.2">
      <c r="A17" s="772" t="s">
        <v>447</v>
      </c>
      <c r="B17" s="772">
        <f t="shared" si="1"/>
        <v>10</v>
      </c>
      <c r="C17" s="771" t="str">
        <f t="shared" si="2"/>
        <v>Coverage10</v>
      </c>
      <c r="D17" s="779" t="s">
        <v>440</v>
      </c>
      <c r="E17" s="780" t="str">
        <f t="shared" si="0"/>
        <v>MDR TB-3(M): Nombre de cas de tuberculose résistante à la rifampicine et/ou tuberculose multirésistante qui ont commencé un traitement de deuxième intention</v>
      </c>
      <c r="F17" s="779" t="s">
        <v>448</v>
      </c>
      <c r="G17" s="779"/>
      <c r="H17" s="779" t="s">
        <v>449</v>
      </c>
      <c r="I17" s="779" t="s">
        <v>450</v>
      </c>
      <c r="J17" s="779"/>
      <c r="K17" s="779" t="s">
        <v>394</v>
      </c>
      <c r="L17" s="779" t="s">
        <v>395</v>
      </c>
      <c r="M17" s="780" t="b">
        <v>0</v>
      </c>
      <c r="N17" s="781">
        <v>80</v>
      </c>
      <c r="O17" s="782"/>
      <c r="P17" s="783"/>
      <c r="Q17" s="779" t="s">
        <v>225</v>
      </c>
      <c r="R17" s="779" t="s">
        <v>396</v>
      </c>
      <c r="S17" s="781">
        <v>78.5</v>
      </c>
      <c r="T17" s="782"/>
      <c r="U17" s="783"/>
      <c r="V17" s="787" t="s">
        <v>451</v>
      </c>
      <c r="W17" s="781">
        <f>IFERROR(IF(INDEX('Coverage Indicators_1B'!Q$11:Q$100,MATCH($C17,'Coverage Indicators_1B'!$B$11:$B$100,0))="","",INDEX('Coverage Indicators_1B'!Q$11:Q$100,MATCH($C17,'Coverage Indicators_1B'!$B$11:$B$100,0))),"")</f>
        <v>35</v>
      </c>
      <c r="X17" s="782">
        <f>IFERROR(IF(INDEX('Coverage Indicators_1B'!R$11:R$100,MATCH($C17,'Coverage Indicators_1B'!$B$11:$B$100,0))="","",INDEX('Coverage Indicators_1B'!R$11:R$100,MATCH($C17,'Coverage Indicators_1B'!$B$11:$B$100,0))),"")</f>
        <v>35</v>
      </c>
      <c r="Y17" s="783">
        <f>IFERROR(IF(INDEX('Coverage Indicators_1B'!S$11:S$100,MATCH($C17,'Coverage Indicators_1B'!$B$11:$B$100,0))="","",INDEX('Coverage Indicators_1B'!S$11:S$100,MATCH($C17,'Coverage Indicators_1B'!$B$11:$B$100,0))),"")</f>
        <v>100</v>
      </c>
      <c r="Z17" s="779" t="str">
        <f>IFERROR(IF(INDEX('Coverage Indicators_1B'!T$11:T$100,MATCH($C17,'Coverage Indicators_1B'!$B$11:$B$100,0))="","",INDEX('Coverage Indicators_1B'!T$11:T$100,MATCH($C17,'Coverage Indicators_1B'!$B$11:$B$100,0))),"")</f>
        <v>R&amp;R TB system, quarterly reports</v>
      </c>
      <c r="AA17" s="784" t="str">
        <f>IFERROR(INDEX('Coverage Indicators_1B'!U$11:U$100,MATCH($C17,'Coverage Indicators_1B'!$B$11:$B$100,0)),"")</f>
        <v xml:space="preserve"> </v>
      </c>
      <c r="AB17" s="779" t="str">
        <f>IFERROR(IF(INDEX('Coverage Indicators_1B'!V$11:V$100,MATCH($C17,'Coverage Indicators_1B'!$B$11:$B$100,0))="","",INDEX('Coverage Indicators_1B'!V$11:V$100,MATCH($C17,'Coverage Indicators_1B'!$B$11:$B$100,0))),"")</f>
        <v>Vue d’ensemble :
Source des données : cet indicateur a été renseigné grâce au rapport du 2è semestre 2019 du PNILT après consultation des outils primaires de collecte des données (registres) du centre national de la prise en charge de la TBMR lors des ateliers de validation des données.
Au 2è semestre 2019, le nombre de cas de tuberculose, résistante à la rifampicine et/ou tuberculose multirésistante soumis au traitement est de 35 soit un taux d’accomplissement de 100%. Donc, la  performance de 45% qui se dégage automatiquement résulte d’une erreur de formule.
Analyse des données 
Le numérateur est le nombre de cas de tuberculose pharmacorésistante (tuberculose résistante à la rifampicine et/ou tuberculose multirésistante) enregistrés et ayant commencé un régime thérapeutique prescrit contre la tuberculose multirésistante au cours de la période de rapportage. Il est de 35.
Le dénominateur devrait être le nombre de cas de tuberculose pharmacorésistante (tuberculose résistante à la rifampicine et/ou tuberculose multirésistante) enregistrés au cours de la période de rapportage. Il est alors de 35 car tous les cas diagnostiqués ont été traités. Le cadre de performance présente un dénominateur de (79), cible qui était attendue, ce qui fausse la performance d’autant plus que le traitement ne peut se faire qu’aux seuls cas réellement diagnostiqués.
Observations / Commentaires :
La performance réalisée (100%) est satisfaisante. 
Cette même performance a été réalisée au 2è semestre 2018 et au 1er semestre 2019 
Ceci a été possible grâce à :
-la disponibilité des médicaments de 2ème ligne acquis sur financement du Fonds Mondial ;
-approvisionnement régulier du Centre National de prise en charge de TBMR de Kibumbu ;
-existence d’un dispositif pour le transport vers le centre de Kibumbu de tout malade diagnostiqué TBMR ;
-engagement des prestataires à mettre systématiquement sous traitement tout cas de TBMR.
Solutions/Recommandations :
Toutes les actions déjà entreprises ainsi que celles devant concourir au maintien de cette performance doivent être prises</v>
      </c>
      <c r="AC17" s="781" t="str">
        <f>IFERROR(IF(INDEX('Coverage Indicators_1B'!X$11:X$100,MATCH($C17,'Coverage Indicators_1B'!$B$11:$B$100,0))="","",INDEX('Coverage Indicators_1B'!X$11:X$100,MATCH($C17,'Coverage Indicators_1B'!$B$11:$B$100,0))),"")</f>
        <v/>
      </c>
      <c r="AD17" s="782" t="str">
        <f>IFERROR(IF(INDEX('Coverage Indicators_1B'!Y$11:Y$100,MATCH($C17,'Coverage Indicators_1B'!$B$11:$B$100,0))="","",INDEX('Coverage Indicators_1B'!Y$11:Y$100,MATCH($C17,'Coverage Indicators_1B'!$B$11:$B$100,0))),"")</f>
        <v/>
      </c>
      <c r="AE17" s="783" t="str">
        <f>IFERROR(IF(INDEX('Coverage Indicators_1B'!Z$11:Z$100,MATCH($C17,'Coverage Indicators_1B'!$B$11:$B$100,0))="","",INDEX('Coverage Indicators_1B'!Z$11:Z$100,MATCH($C17,'Coverage Indicators_1B'!$B$11:$B$100,0))),"")</f>
        <v/>
      </c>
      <c r="AF17" s="779" t="str">
        <f>IFERROR(IF(INDEX('Coverage Indicators_1B'!AA$11:AA$100,MATCH($C17,'Coverage Indicators_1B'!$B$11:$B$100,0))="","",INDEX('Coverage Indicators_1B'!AA$11:AA$100,MATCH($C17,'Coverage Indicators_1B'!$B$11:$B$100,0))),"")</f>
        <v/>
      </c>
      <c r="AG17" s="780" t="str">
        <f>IFERROR(INDEX('Coverage Indicators_1B'!AB$11:AB$100,MATCH($C17,'Coverage Indicators_1B'!$B$11:$B$100,0)),"")</f>
        <v xml:space="preserve"> </v>
      </c>
      <c r="AH17" s="779" t="str">
        <f>IFERROR(IF(INDEX('Coverage Indicators_1B'!AC$11:AC$100,MATCH($C17,'Coverage Indicators_1B'!$B$11:$B$100,0))="","",INDEX('Coverage Indicators_1B'!AC$11:AC$100,MATCH($C17,'Coverage Indicators_1B'!$B$11:$B$100,0))),"")</f>
        <v/>
      </c>
      <c r="AI17" s="779" t="str">
        <f>IFERROR(IF(INDEX('Coverage Indicators_1B'!AD$11:AD$100,MATCH($C17,'Coverage Indicators_1B'!$B$11:$B$100,0))="","",INDEX('Coverage Indicators_1B'!AD$11:AD$100,MATCH($C17,'Coverage Indicators_1B'!$B$11:$B$100,0))),"")</f>
        <v/>
      </c>
      <c r="AJ17" s="780" t="str">
        <f>IFERROR(INDEX('Coverage Indicators_1B'!AE$11:AE$100,MATCH($C17,'Coverage Indicators_1B'!$B$11:$B$100,0)),"")</f>
        <v>No Results Reported</v>
      </c>
      <c r="AK17" s="780"/>
      <c r="AL17" s="780"/>
      <c r="AM17" s="780"/>
      <c r="AN17" s="780" t="str">
        <f>IFERROR(INDEX('Coverage Indicators_1B'!AI$11:AI$100,MATCH($C17,'Coverage Indicators_1B'!$B$11:$B$100,0)),"")</f>
        <v xml:space="preserve"> </v>
      </c>
      <c r="AO17" s="780">
        <f>IFERROR(INDEX('Coverage Indicators_1B'!AJ$11:AJ$100,MATCH($C17,'Coverage Indicators_1B'!$B$11:$B$100,0)),"")</f>
        <v>0</v>
      </c>
      <c r="AP17" s="780" t="str">
        <f>IFERROR(INDEX('Coverage Indicators_1B'!AK$11:AK$100,MATCH($C17,'Coverage Indicators_1B'!$B$11:$B$100,0)),"")</f>
        <v>No Results Reported</v>
      </c>
      <c r="AQ17" s="785">
        <v>10</v>
      </c>
      <c r="AR17" s="772" t="str">
        <f t="shared" si="3"/>
        <v>No</v>
      </c>
      <c r="AS17" s="786" t="s">
        <v>37</v>
      </c>
      <c r="AT17" s="772"/>
      <c r="AU17" s="772"/>
      <c r="AV17" s="772"/>
      <c r="AW17" s="772"/>
      <c r="AX17" s="772"/>
      <c r="AY17" s="786" t="s">
        <v>445</v>
      </c>
      <c r="AZ17" s="786" t="s">
        <v>446</v>
      </c>
      <c r="BA17" s="786" t="s">
        <v>400</v>
      </c>
    </row>
    <row r="18" spans="1:53" ht="15.6" customHeight="1" x14ac:dyDescent="0.2">
      <c r="A18" s="772" t="s">
        <v>452</v>
      </c>
      <c r="B18" s="772">
        <f t="shared" si="1"/>
        <v>11</v>
      </c>
      <c r="C18" s="771" t="str">
        <f t="shared" si="2"/>
        <v>Coverage11</v>
      </c>
      <c r="D18" s="779" t="s">
        <v>453</v>
      </c>
      <c r="E18" s="780" t="str">
        <f t="shared" si="0"/>
        <v>M&amp;E-1: Pourcentage d’entités déclarantes présentant leurs rapports dans les délais selon les directives nationales</v>
      </c>
      <c r="F18" s="779" t="s">
        <v>454</v>
      </c>
      <c r="G18" s="779"/>
      <c r="H18" s="779" t="s">
        <v>455</v>
      </c>
      <c r="I18" s="779" t="s">
        <v>456</v>
      </c>
      <c r="J18" s="779"/>
      <c r="K18" s="779" t="s">
        <v>394</v>
      </c>
      <c r="L18" s="779" t="s">
        <v>395</v>
      </c>
      <c r="M18" s="780" t="b">
        <v>0</v>
      </c>
      <c r="N18" s="781">
        <v>170</v>
      </c>
      <c r="O18" s="782">
        <v>170</v>
      </c>
      <c r="P18" s="783">
        <v>100</v>
      </c>
      <c r="Q18" s="779" t="s">
        <v>225</v>
      </c>
      <c r="R18" s="779" t="s">
        <v>396</v>
      </c>
      <c r="S18" s="781">
        <v>170</v>
      </c>
      <c r="T18" s="782">
        <v>170</v>
      </c>
      <c r="U18" s="783">
        <v>100</v>
      </c>
      <c r="V18" s="787" t="s">
        <v>457</v>
      </c>
      <c r="W18" s="781">
        <f>IFERROR(IF(INDEX('Coverage Indicators_1B'!Q$11:Q$100,MATCH($C18,'Coverage Indicators_1B'!$B$11:$B$100,0))="","",INDEX('Coverage Indicators_1B'!Q$11:Q$100,MATCH($C18,'Coverage Indicators_1B'!$B$11:$B$100,0))),"")</f>
        <v>170</v>
      </c>
      <c r="X18" s="782">
        <f>IFERROR(IF(INDEX('Coverage Indicators_1B'!R$11:R$100,MATCH($C18,'Coverage Indicators_1B'!$B$11:$B$100,0))="","",INDEX('Coverage Indicators_1B'!R$11:R$100,MATCH($C18,'Coverage Indicators_1B'!$B$11:$B$100,0))),"")</f>
        <v>170</v>
      </c>
      <c r="Y18" s="783">
        <f>IFERROR(IF(INDEX('Coverage Indicators_1B'!S$11:S$100,MATCH($C18,'Coverage Indicators_1B'!$B$11:$B$100,0))="","",INDEX('Coverage Indicators_1B'!S$11:S$100,MATCH($C18,'Coverage Indicators_1B'!$B$11:$B$100,0))),"")</f>
        <v>100</v>
      </c>
      <c r="Z18" s="779" t="str">
        <f>IFERROR(IF(INDEX('Coverage Indicators_1B'!T$11:T$100,MATCH($C18,'Coverage Indicators_1B'!$B$11:$B$100,0))="","",INDEX('Coverage Indicators_1B'!T$11:T$100,MATCH($C18,'Coverage Indicators_1B'!$B$11:$B$100,0))),"")</f>
        <v>TB patient register</v>
      </c>
      <c r="AA18" s="784">
        <f>IFERROR(INDEX('Coverage Indicators_1B'!U$11:U$100,MATCH($C18,'Coverage Indicators_1B'!$B$11:$B$100,0)),"")</f>
        <v>1</v>
      </c>
      <c r="AB18" s="779" t="str">
        <f>IFERROR(IF(INDEX('Coverage Indicators_1B'!V$11:V$100,MATCH($C18,'Coverage Indicators_1B'!$B$11:$B$100,0))="","",INDEX('Coverage Indicators_1B'!V$11:V$100,MATCH($C18,'Coverage Indicators_1B'!$B$11:$B$100,0))),"")</f>
        <v>Vue d’ensemble :
Source des données : cet indicateur a été renseigné grâce au rapport du 2è semestre 2019 du PNILT après consultation des outils primaires de collecte des données (registres) lors des ateliers de validation trimestrielle des données.
Le nombre de CDT est de 170.  Les CT rapportent leurs données aux CDT comme le stipule les directives nationales. Toutes les formations sanitaires (FOSA) sont des CT potentiels.
Au cours du2è semestre 2019, 100% des CDT ont présentés leurs rapports dans les délais. 
Analyse des données : 
Selon les Directives Nationales, les CT (CDS) rapportent auprès des CDT de leur aire sanitaire. Ces derniers (CDT) sont les seuls à compiler les données et à les transmettre à l'échelon supérieur selon la pyramide sanitaire.
Selon les données transmises par le PNILT, les CDT ont transmis leurs rapports à temps tant que leurs rapports sont disponibles lors de l’atelier de validation des données. 
Le numérateur est le nombre de CDT présentant leurs rapports dans les délais selon les directives nationales. Il est de 170
Le dénominateur est le nombre total de CDT(N=170).
Observations / Commentaires :
La performance réalisée (100%) est satisfaisante.  Cette même performance a été réalisé au 2è semestre 2018 et au 1er trimestre 2019.
Solutions/Recommandations :
Quoi cette performance soit bonne, le PR recommande au PNILT :
-	d’exiger la transmission, par les coordonnateurs provinciaux, des rapports compilés des CDT avant le 10 du mois suivant le trimestre concerné, conformément au plan de suivi-évaluation de la subvention TB/VIH et Paludisme. 
-	de rendre disponible ces rapports dans l’archivage du PNILT
-	d’ajuster ces rapports conformément aux résultats des ateliers provinciaux de validation des données.</v>
      </c>
      <c r="AC18" s="781" t="str">
        <f>IFERROR(IF(INDEX('Coverage Indicators_1B'!X$11:X$100,MATCH($C18,'Coverage Indicators_1B'!$B$11:$B$100,0))="","",INDEX('Coverage Indicators_1B'!X$11:X$100,MATCH($C18,'Coverage Indicators_1B'!$B$11:$B$100,0))),"")</f>
        <v/>
      </c>
      <c r="AD18" s="782" t="str">
        <f>IFERROR(IF(INDEX('Coverage Indicators_1B'!Y$11:Y$100,MATCH($C18,'Coverage Indicators_1B'!$B$11:$B$100,0))="","",INDEX('Coverage Indicators_1B'!Y$11:Y$100,MATCH($C18,'Coverage Indicators_1B'!$B$11:$B$100,0))),"")</f>
        <v/>
      </c>
      <c r="AE18" s="783" t="str">
        <f>IFERROR(IF(INDEX('Coverage Indicators_1B'!Z$11:Z$100,MATCH($C18,'Coverage Indicators_1B'!$B$11:$B$100,0))="","",INDEX('Coverage Indicators_1B'!Z$11:Z$100,MATCH($C18,'Coverage Indicators_1B'!$B$11:$B$100,0))),"")</f>
        <v/>
      </c>
      <c r="AF18" s="779" t="str">
        <f>IFERROR(IF(INDEX('Coverage Indicators_1B'!AA$11:AA$100,MATCH($C18,'Coverage Indicators_1B'!$B$11:$B$100,0))="","",INDEX('Coverage Indicators_1B'!AA$11:AA$100,MATCH($C18,'Coverage Indicators_1B'!$B$11:$B$100,0))),"")</f>
        <v/>
      </c>
      <c r="AG18" s="780" t="str">
        <f>IFERROR(INDEX('Coverage Indicators_1B'!AB$11:AB$100,MATCH($C18,'Coverage Indicators_1B'!$B$11:$B$100,0)),"")</f>
        <v xml:space="preserve"> </v>
      </c>
      <c r="AH18" s="779" t="str">
        <f>IFERROR(IF(INDEX('Coverage Indicators_1B'!AC$11:AC$100,MATCH($C18,'Coverage Indicators_1B'!$B$11:$B$100,0))="","",INDEX('Coverage Indicators_1B'!AC$11:AC$100,MATCH($C18,'Coverage Indicators_1B'!$B$11:$B$100,0))),"")</f>
        <v/>
      </c>
      <c r="AI18" s="779" t="str">
        <f>IFERROR(IF(INDEX('Coverage Indicators_1B'!AD$11:AD$100,MATCH($C18,'Coverage Indicators_1B'!$B$11:$B$100,0))="","",INDEX('Coverage Indicators_1B'!AD$11:AD$100,MATCH($C18,'Coverage Indicators_1B'!$B$11:$B$100,0))),"")</f>
        <v/>
      </c>
      <c r="AJ18" s="780" t="str">
        <f>IFERROR(INDEX('Coverage Indicators_1B'!AE$11:AE$100,MATCH($C18,'Coverage Indicators_1B'!$B$11:$B$100,0)),"")</f>
        <v>No Results Reported</v>
      </c>
      <c r="AK18" s="780"/>
      <c r="AL18" s="780"/>
      <c r="AM18" s="780"/>
      <c r="AN18" s="780" t="str">
        <f>IFERROR(INDEX('Coverage Indicators_1B'!AI$11:AI$100,MATCH($C18,'Coverage Indicators_1B'!$B$11:$B$100,0)),"")</f>
        <v xml:space="preserve"> </v>
      </c>
      <c r="AO18" s="780">
        <f>IFERROR(INDEX('Coverage Indicators_1B'!AJ$11:AJ$100,MATCH($C18,'Coverage Indicators_1B'!$B$11:$B$100,0)),"")</f>
        <v>0</v>
      </c>
      <c r="AP18" s="780" t="str">
        <f>IFERROR(INDEX('Coverage Indicators_1B'!AK$11:AK$100,MATCH($C18,'Coverage Indicators_1B'!$B$11:$B$100,0)),"")</f>
        <v>No Results Reported</v>
      </c>
      <c r="AQ18" s="785">
        <v>11</v>
      </c>
      <c r="AR18" s="772" t="str">
        <f t="shared" si="3"/>
        <v>No</v>
      </c>
      <c r="AS18" s="786" t="s">
        <v>37</v>
      </c>
      <c r="AT18" s="772"/>
      <c r="AU18" s="772"/>
      <c r="AV18" s="772"/>
      <c r="AW18" s="772"/>
      <c r="AX18" s="772"/>
      <c r="AY18" s="786" t="s">
        <v>458</v>
      </c>
      <c r="AZ18" s="786" t="s">
        <v>459</v>
      </c>
      <c r="BA18" s="786" t="s">
        <v>400</v>
      </c>
    </row>
    <row r="19" spans="1:53" ht="15.6" customHeight="1" x14ac:dyDescent="0.2">
      <c r="A19" s="772" t="s">
        <v>460</v>
      </c>
      <c r="B19" s="772">
        <f t="shared" si="1"/>
        <v>12</v>
      </c>
      <c r="C19" s="771" t="str">
        <f t="shared" si="2"/>
        <v>Coverage12</v>
      </c>
      <c r="D19" s="779" t="s">
        <v>461</v>
      </c>
      <c r="E19" s="780" t="str">
        <f t="shared" si="0"/>
        <v>TCS-1(M): Pourcentage de personnes vivant avec le VIH bénéficiant actuellement d'un traitement antirétroviral</v>
      </c>
      <c r="F19" s="779" t="s">
        <v>462</v>
      </c>
      <c r="G19" s="779"/>
      <c r="H19" s="779" t="s">
        <v>463</v>
      </c>
      <c r="I19" s="779" t="s">
        <v>464</v>
      </c>
      <c r="J19" s="779"/>
      <c r="K19" s="779" t="s">
        <v>394</v>
      </c>
      <c r="L19" s="779" t="s">
        <v>465</v>
      </c>
      <c r="M19" s="780" t="b">
        <v>0</v>
      </c>
      <c r="N19" s="781">
        <v>57121</v>
      </c>
      <c r="O19" s="782">
        <v>82664</v>
      </c>
      <c r="P19" s="783">
        <v>69.099999999999994</v>
      </c>
      <c r="Q19" s="779" t="s">
        <v>466</v>
      </c>
      <c r="R19" s="779" t="s">
        <v>467</v>
      </c>
      <c r="S19" s="781">
        <v>60685</v>
      </c>
      <c r="T19" s="782">
        <v>81533</v>
      </c>
      <c r="U19" s="783">
        <v>74.400000000000006</v>
      </c>
      <c r="V19" s="787" t="s">
        <v>468</v>
      </c>
      <c r="W19" s="781">
        <f>IFERROR(IF(INDEX('Coverage Indicators_1B'!Q$11:Q$100,MATCH($C19,'Coverage Indicators_1B'!$B$11:$B$100,0))="","",INDEX('Coverage Indicators_1B'!Q$11:Q$100,MATCH($C19,'Coverage Indicators_1B'!$B$11:$B$100,0))),"")</f>
        <v>63702</v>
      </c>
      <c r="X19" s="782">
        <f>IFERROR(IF(INDEX('Coverage Indicators_1B'!R$11:R$100,MATCH($C19,'Coverage Indicators_1B'!$B$11:$B$100,0))="","",INDEX('Coverage Indicators_1B'!R$11:R$100,MATCH($C19,'Coverage Indicators_1B'!$B$11:$B$100,0))),"")</f>
        <v>81533</v>
      </c>
      <c r="Y19" s="783">
        <f>IFERROR(IF(INDEX('Coverage Indicators_1B'!S$11:S$100,MATCH($C19,'Coverage Indicators_1B'!$B$11:$B$100,0))="","",INDEX('Coverage Indicators_1B'!S$11:S$100,MATCH($C19,'Coverage Indicators_1B'!$B$11:$B$100,0))),"")</f>
        <v>78.130327597414535</v>
      </c>
      <c r="Z19" s="779" t="str">
        <f>IFERROR(IF(INDEX('Coverage Indicators_1B'!T$11:T$100,MATCH($C19,'Coverage Indicators_1B'!$B$11:$B$100,0))="","",INDEX('Coverage Indicators_1B'!T$11:T$100,MATCH($C19,'Coverage Indicators_1B'!$B$11:$B$100,0))),"")</f>
        <v>HMIS</v>
      </c>
      <c r="AA19" s="784">
        <f>IFERROR(INDEX('Coverage Indicators_1B'!U$11:U$100,MATCH($C19,'Coverage Indicators_1B'!$B$11:$B$100,0)),"")</f>
        <v>1.050138811793206</v>
      </c>
      <c r="AB19" s="779" t="str">
        <f>IFERROR(IF(INDEX('Coverage Indicators_1B'!V$11:V$100,MATCH($C19,'Coverage Indicators_1B'!$B$11:$B$100,0))="","",INDEX('Coverage Indicators_1B'!V$11:V$100,MATCH($C19,'Coverage Indicators_1B'!$B$11:$B$100,0))),"")</f>
        <v xml:space="preserve">
Vue d’ensemble :
Source des données : données de DHIS2, extraites en date du 12 mars 2020
Le taux de réalisation de cet indicateur est de 78,13% , correspondant à un taux d’accomplissement de 105%.
Analyse des données :
La performance réalisée est supérieure à celle de décembre 2018 (102% : N=62093) et celle du 1er semestre 2019 ( (102% : N=61849). Cela est dû au fait que les files actives de DHIS2 avaient été multiplié chaque fois par un facteur de correction de 0,9515 conformément aux résultats de la vérification de la file active des personnes vivant avec le VIH sous ARV au Burundi (juin 2018) vérification qui a été réalisée par Measure-Evaluation avec l’outil DQA. En plus, on signale que le 1er semestre 2019, environ 80 sites n’avaient pas rapporté leurs données dans DHIS au mois de juin.
Le numérateur est le nombre d'adultes (femmes enceintes comprises) et d’enfants qui reçoivent actuellement un traitement antirétroviral conformément au protocole de traitement approuvé au niveau national. Il est de 63702.
Le dénominateur est le nombre estimé de tous les adultes et enfants vivant avec le VIH, les femmes enceintes séropositives, les enfants séropositifs, les coinfectés VIH/TB, HSH séropositifs et PS séropositives attendu en fin juin 2019. Il est de 81 533.
Observations / Commentaires :
Cette performance quoi que supérieure à celle rapportée antérieurement, elle ne reflète pas la situation réelle car il y a des données de certains sites qui n’ont pas été prises en compte. En effet, en date du 12mars2020, certains districts sanitaires et Médecins provinciaux n’avaient pas encore validé leurs données. Donc, ces données n’ont pas été rapportées car non visibles dans DHIS2.  
En supposant que le mois d’Août avait des données complètes (FA=68417), selon la modélisation nous aurions en fin décembre 2019, près de 69 000 PVVIH sous ARV. Ainsi, cette file active sera mise à jour après la validation des données de toutes les provinces par les chefs des districts et Médecins provinciaux.
Solutions/Recommandations :
En vue d’améliorer la performance de cet indicateur les actions suivantes sont proposées et doivent être rapidement mûries : 
-à la DSNIS, faire respecter les échéances de rapportage et de validation des données par les différents niveaux de la pyramide sanitaire conformément au nouveau manuel du SNIS
-améliorer le rapportage des sites par un bon suivi des données rapporter dans DHIS2 et une relance systématique des sites ; 
- Organiser conjointement et régulièrement avec le PNLS et autres partenaires VIH des missions de vérification et nettoyage des données au niveau des sites ayant des problèmes de rapportage des données
-Effectuer une triangulation des données par : (i) niveau du site par une revue hebdomadaires des données (ii) niveau district par l’équipe du site avec le concours du conseiller technique, de l’équipe cadre de district et le point focal VIH provincial ; (iii) niveau national organiser des missions de validation des trois programmes avec la DSNIS au niveau provincial et District ;
-Assurer la rétention des patients PVVIH aux traitements grâce aux activités de sensibilisation ;
-Assurer une disponibilité continue des intrants ARV</v>
      </c>
      <c r="AC19" s="781" t="str">
        <f>IFERROR(IF(INDEX('Coverage Indicators_1B'!X$11:X$100,MATCH($C19,'Coverage Indicators_1B'!$B$11:$B$100,0))="","",INDEX('Coverage Indicators_1B'!X$11:X$100,MATCH($C19,'Coverage Indicators_1B'!$B$11:$B$100,0))),"")</f>
        <v/>
      </c>
      <c r="AD19" s="782" t="str">
        <f>IFERROR(IF(INDEX('Coverage Indicators_1B'!Y$11:Y$100,MATCH($C19,'Coverage Indicators_1B'!$B$11:$B$100,0))="","",INDEX('Coverage Indicators_1B'!Y$11:Y$100,MATCH($C19,'Coverage Indicators_1B'!$B$11:$B$100,0))),"")</f>
        <v/>
      </c>
      <c r="AE19" s="783" t="str">
        <f>IFERROR(IF(INDEX('Coverage Indicators_1B'!Z$11:Z$100,MATCH($C19,'Coverage Indicators_1B'!$B$11:$B$100,0))="","",INDEX('Coverage Indicators_1B'!Z$11:Z$100,MATCH($C19,'Coverage Indicators_1B'!$B$11:$B$100,0))),"")</f>
        <v/>
      </c>
      <c r="AF19" s="779" t="str">
        <f>IFERROR(IF(INDEX('Coverage Indicators_1B'!AA$11:AA$100,MATCH($C19,'Coverage Indicators_1B'!$B$11:$B$100,0))="","",INDEX('Coverage Indicators_1B'!AA$11:AA$100,MATCH($C19,'Coverage Indicators_1B'!$B$11:$B$100,0))),"")</f>
        <v/>
      </c>
      <c r="AG19" s="780" t="str">
        <f>IFERROR(INDEX('Coverage Indicators_1B'!AB$11:AB$100,MATCH($C19,'Coverage Indicators_1B'!$B$11:$B$100,0)),"")</f>
        <v xml:space="preserve"> </v>
      </c>
      <c r="AH19" s="779" t="str">
        <f>IFERROR(IF(INDEX('Coverage Indicators_1B'!AC$11:AC$100,MATCH($C19,'Coverage Indicators_1B'!$B$11:$B$100,0))="","",INDEX('Coverage Indicators_1B'!AC$11:AC$100,MATCH($C19,'Coverage Indicators_1B'!$B$11:$B$100,0))),"")</f>
        <v/>
      </c>
      <c r="AI19" s="779" t="str">
        <f>IFERROR(IF(INDEX('Coverage Indicators_1B'!AD$11:AD$100,MATCH($C19,'Coverage Indicators_1B'!$B$11:$B$100,0))="","",INDEX('Coverage Indicators_1B'!AD$11:AD$100,MATCH($C19,'Coverage Indicators_1B'!$B$11:$B$100,0))),"")</f>
        <v/>
      </c>
      <c r="AJ19" s="780" t="str">
        <f>IFERROR(INDEX('Coverage Indicators_1B'!AE$11:AE$100,MATCH($C19,'Coverage Indicators_1B'!$B$11:$B$100,0)),"")</f>
        <v>No Results Reported</v>
      </c>
      <c r="AK19" s="780"/>
      <c r="AL19" s="780"/>
      <c r="AM19" s="780"/>
      <c r="AN19" s="780" t="str">
        <f>IFERROR(INDEX('Coverage Indicators_1B'!AI$11:AI$100,MATCH($C19,'Coverage Indicators_1B'!$B$11:$B$100,0)),"")</f>
        <v xml:space="preserve"> </v>
      </c>
      <c r="AO19" s="780">
        <f>IFERROR(INDEX('Coverage Indicators_1B'!AJ$11:AJ$100,MATCH($C19,'Coverage Indicators_1B'!$B$11:$B$100,0)),"")</f>
        <v>0</v>
      </c>
      <c r="AP19" s="780" t="str">
        <f>IFERROR(INDEX('Coverage Indicators_1B'!AK$11:AK$100,MATCH($C19,'Coverage Indicators_1B'!$B$11:$B$100,0)),"")</f>
        <v>No Results Reported</v>
      </c>
      <c r="AQ19" s="785">
        <v>12</v>
      </c>
      <c r="AR19" s="772" t="str">
        <f t="shared" si="3"/>
        <v>No</v>
      </c>
      <c r="AS19" s="786" t="s">
        <v>37</v>
      </c>
      <c r="AT19" s="772"/>
      <c r="AU19" s="772"/>
      <c r="AV19" s="772"/>
      <c r="AW19" s="772"/>
      <c r="AX19" s="772"/>
      <c r="AY19" s="786" t="s">
        <v>469</v>
      </c>
      <c r="AZ19" s="786" t="s">
        <v>470</v>
      </c>
      <c r="BA19" s="786" t="s">
        <v>471</v>
      </c>
    </row>
    <row r="20" spans="1:53" ht="15.6" customHeight="1" x14ac:dyDescent="0.2">
      <c r="A20" s="772" t="s">
        <v>472</v>
      </c>
      <c r="B20" s="772">
        <f t="shared" si="1"/>
        <v>13</v>
      </c>
      <c r="C20" s="771" t="str">
        <f t="shared" si="2"/>
        <v>Coverage13</v>
      </c>
      <c r="D20" s="779" t="s">
        <v>461</v>
      </c>
      <c r="E20" s="780" t="str">
        <f t="shared" si="0"/>
        <v>TCS-6: Pourcentage de sites ARV qui ont connu une rupture de stock de médicaments antirétroviraux durant la période de rapportage</v>
      </c>
      <c r="F20" s="779" t="s">
        <v>473</v>
      </c>
      <c r="G20" s="779"/>
      <c r="H20" s="779" t="s">
        <v>474</v>
      </c>
      <c r="I20" s="779" t="s">
        <v>475</v>
      </c>
      <c r="J20" s="779"/>
      <c r="K20" s="779" t="s">
        <v>394</v>
      </c>
      <c r="L20" s="779" t="s">
        <v>395</v>
      </c>
      <c r="M20" s="780" t="b">
        <v>1</v>
      </c>
      <c r="N20" s="781">
        <v>211</v>
      </c>
      <c r="O20" s="782">
        <v>678</v>
      </c>
      <c r="P20" s="783">
        <v>31.1</v>
      </c>
      <c r="Q20" s="779" t="s">
        <v>466</v>
      </c>
      <c r="R20" s="779" t="s">
        <v>467</v>
      </c>
      <c r="S20" s="781">
        <v>33.9</v>
      </c>
      <c r="T20" s="782">
        <v>678</v>
      </c>
      <c r="U20" s="783">
        <v>5</v>
      </c>
      <c r="V20" s="787" t="s">
        <v>476</v>
      </c>
      <c r="W20" s="781">
        <f>IFERROR(IF(INDEX('Coverage Indicators_1B'!Q$11:Q$100,MATCH($C20,'Coverage Indicators_1B'!$B$11:$B$100,0))="","",INDEX('Coverage Indicators_1B'!Q$11:Q$100,MATCH($C20,'Coverage Indicators_1B'!$B$11:$B$100,0))),"")</f>
        <v>96</v>
      </c>
      <c r="X20" s="782">
        <f>IFERROR(IF(INDEX('Coverage Indicators_1B'!R$11:R$100,MATCH($C20,'Coverage Indicators_1B'!$B$11:$B$100,0))="","",INDEX('Coverage Indicators_1B'!R$11:R$100,MATCH($C20,'Coverage Indicators_1B'!$B$11:$B$100,0))),"")</f>
        <v>844</v>
      </c>
      <c r="Y20" s="783">
        <f>IFERROR(IF(INDEX('Coverage Indicators_1B'!S$11:S$100,MATCH($C20,'Coverage Indicators_1B'!$B$11:$B$100,0))="","",INDEX('Coverage Indicators_1B'!S$11:S$100,MATCH($C20,'Coverage Indicators_1B'!$B$11:$B$100,0))),"")</f>
        <v>11.374407582938389</v>
      </c>
      <c r="Z20" s="779" t="str">
        <f>IFERROR(IF(INDEX('Coverage Indicators_1B'!T$11:T$100,MATCH($C20,'Coverage Indicators_1B'!$B$11:$B$100,0))="","",INDEX('Coverage Indicators_1B'!T$11:T$100,MATCH($C20,'Coverage Indicators_1B'!$B$11:$B$100,0))),"")</f>
        <v>HMIS</v>
      </c>
      <c r="AA20" s="784">
        <f>IFERROR(INDEX('Coverage Indicators_1B'!U$11:U$100,MATCH($C20,'Coverage Indicators_1B'!$B$11:$B$100,0)),"")</f>
        <v>1.2</v>
      </c>
      <c r="AB20" s="779" t="str">
        <f>IFERROR(IF(INDEX('Coverage Indicators_1B'!V$11:V$100,MATCH($C20,'Coverage Indicators_1B'!$B$11:$B$100,0))="","",INDEX('Coverage Indicators_1B'!V$11:V$100,MATCH($C20,'Coverage Indicators_1B'!$B$11:$B$100,0))),"")</f>
        <v>Vue d’ensemble : 
Source des données : DHIS2 : données extraites en date du 13 mars 2020
Durant la période de rapportage, le nombre de sites ARV était de 844. Parmi eux, 96 sites ont notifié avoir connu une rupture de stock d’au moins 14 jours pour l’une au moins des huit molécules antirétrovirales requises, sélectionnées par PNLS. Cela représente 11,3%.  
Analyse des données 
Les molécules considérées sont les suivantes : TDF/3TC/EFV (300/300/600mg), AZT/3TC(300/150mg), EFV(300mg), TDF/3TC(300/300mg), NVP (200mg) et AZT/3TC/NVP(60/30/50mg), l’AZT/3TC(60/30mg), ABC/3TC(60/30mg).
-Le numérateur est le nombre d'établissements de santé dispensant des thérapies antirétrovirales avec une rupture de stock pour au moins l'un des médicaments antirétroviraux requis durant deux semaines au cours de la période de rapportage. Il est de 96.  
-Le dénominateur est le nombre de sites ARV durant la période de rapportage. Il est de 844.
Observations / Commentaires 
La performance de 120% qui se dégage automatiquement dans le template du PUDR a peu de sens selon notre entendement. Dans le cadre de performance et dans le template du PUDR, la performance de cet indicateur devrait concerner les formations sanitaires qui n’ont pas connu une rupture de stock en lieu et place du calcul de la performance des formations sanitaires qui ont connu une rupture de stock. La cible serait alors de 95% au lieu de 5%. 
La proportion de sites ARV qui ont connu une rupture de stock d’au moins 14 jours étant de 11,3%, celle n’ayant pas connu de rupture de stock d’au moins 14jours est de 88,7%. Ainsi la performance deviendrait 88,7%/95%=93,3%. 
Cet indicateur souffre toujours d’une mauvaise compréhension de la part des prestataires d’où un rapportage erroné. Cela a été constaté au cours des missions de supervision et à l’occasion des ateliers de validation des données. En effet, il existe des sites qui mentionnent des jours de rupture de stock qui dépassent même les jours du mois, d’autres ne sont pas des sites ARV mais mentionnent avoir connu des ruptures de stock tandis que de vrais sites ARV notifient une rupture de stock pour des molécules dont la structure n’a pas besoin pendant ce moment. Cela est confirmé par le fichier qui a été extrait de DHIS2. Certains sites (centre de santé), indiquent qu’ils ont connu une rupture de stock pour toutes les molécules et durant toute la période de rapportage. Il s’agit alors d’une fausse rupture de stock pour la plupart. Les provinces les plus concernées sont Muyinga, Karuzi et Mwaro. 
Solutions/Recommandations 
Pour maintenir et améliorer la performance de cet indicateur, les mesures suivantes vont doivent être prises et renforcées :
-	Réaliser une supervision conjointe PNLS/PNUD dans les provinces qui font beaucoup de saisies de rupture de stock en ARV 
-	Renforcer les compétences des prestataires sur la compréhension et le rapportage de cet indicateur lors des supervisions et à toute occasion de rencontre avec  les prestataires tel lors des ateliers de  validation des données.
-	faire assurer un suivi régulier de la qualité des données saisies et la correction des erreurs par les conseillers techniques provinciaux ; 
-	Collaborer avec la DSNIS pour faciliter la correction des erreurs de saisie de cet indicateur et d’autres dans DHIS2 chaque fois que de besoin</v>
      </c>
      <c r="AC20" s="781" t="str">
        <f>IFERROR(IF(INDEX('Coverage Indicators_1B'!X$11:X$100,MATCH($C20,'Coverage Indicators_1B'!$B$11:$B$100,0))="","",INDEX('Coverage Indicators_1B'!X$11:X$100,MATCH($C20,'Coverage Indicators_1B'!$B$11:$B$100,0))),"")</f>
        <v/>
      </c>
      <c r="AD20" s="782" t="str">
        <f>IFERROR(IF(INDEX('Coverage Indicators_1B'!Y$11:Y$100,MATCH($C20,'Coverage Indicators_1B'!$B$11:$B$100,0))="","",INDEX('Coverage Indicators_1B'!Y$11:Y$100,MATCH($C20,'Coverage Indicators_1B'!$B$11:$B$100,0))),"")</f>
        <v/>
      </c>
      <c r="AE20" s="783" t="str">
        <f>IFERROR(IF(INDEX('Coverage Indicators_1B'!Z$11:Z$100,MATCH($C20,'Coverage Indicators_1B'!$B$11:$B$100,0))="","",INDEX('Coverage Indicators_1B'!Z$11:Z$100,MATCH($C20,'Coverage Indicators_1B'!$B$11:$B$100,0))),"")</f>
        <v/>
      </c>
      <c r="AF20" s="779" t="str">
        <f>IFERROR(IF(INDEX('Coverage Indicators_1B'!AA$11:AA$100,MATCH($C20,'Coverage Indicators_1B'!$B$11:$B$100,0))="","",INDEX('Coverage Indicators_1B'!AA$11:AA$100,MATCH($C20,'Coverage Indicators_1B'!$B$11:$B$100,0))),"")</f>
        <v/>
      </c>
      <c r="AG20" s="780" t="str">
        <f>IFERROR(INDEX('Coverage Indicators_1B'!AB$11:AB$100,MATCH($C20,'Coverage Indicators_1B'!$B$11:$B$100,0)),"")</f>
        <v xml:space="preserve"> </v>
      </c>
      <c r="AH20" s="779" t="str">
        <f>IFERROR(IF(INDEX('Coverage Indicators_1B'!AC$11:AC$100,MATCH($C20,'Coverage Indicators_1B'!$B$11:$B$100,0))="","",INDEX('Coverage Indicators_1B'!AC$11:AC$100,MATCH($C20,'Coverage Indicators_1B'!$B$11:$B$100,0))),"")</f>
        <v/>
      </c>
      <c r="AI20" s="779" t="str">
        <f>IFERROR(IF(INDEX('Coverage Indicators_1B'!AD$11:AD$100,MATCH($C20,'Coverage Indicators_1B'!$B$11:$B$100,0))="","",INDEX('Coverage Indicators_1B'!AD$11:AD$100,MATCH($C20,'Coverage Indicators_1B'!$B$11:$B$100,0))),"")</f>
        <v/>
      </c>
      <c r="AJ20" s="780" t="str">
        <f>IFERROR(INDEX('Coverage Indicators_1B'!AE$11:AE$100,MATCH($C20,'Coverage Indicators_1B'!$B$11:$B$100,0)),"")</f>
        <v>No Results Reported</v>
      </c>
      <c r="AK20" s="780"/>
      <c r="AL20" s="780"/>
      <c r="AM20" s="780"/>
      <c r="AN20" s="780" t="str">
        <f>IFERROR(INDEX('Coverage Indicators_1B'!AI$11:AI$100,MATCH($C20,'Coverage Indicators_1B'!$B$11:$B$100,0)),"")</f>
        <v xml:space="preserve"> </v>
      </c>
      <c r="AO20" s="780">
        <f>IFERROR(INDEX('Coverage Indicators_1B'!AJ$11:AJ$100,MATCH($C20,'Coverage Indicators_1B'!$B$11:$B$100,0)),"")</f>
        <v>0</v>
      </c>
      <c r="AP20" s="780" t="str">
        <f>IFERROR(INDEX('Coverage Indicators_1B'!AK$11:AK$100,MATCH($C20,'Coverage Indicators_1B'!$B$11:$B$100,0)),"")</f>
        <v>No Results Reported</v>
      </c>
      <c r="AQ20" s="785">
        <v>14</v>
      </c>
      <c r="AR20" s="772" t="str">
        <f t="shared" si="3"/>
        <v>No</v>
      </c>
      <c r="AS20" s="786" t="s">
        <v>37</v>
      </c>
      <c r="AT20" s="772"/>
      <c r="AU20" s="772"/>
      <c r="AV20" s="772"/>
      <c r="AW20" s="772"/>
      <c r="AX20" s="772"/>
      <c r="AY20" s="786" t="s">
        <v>469</v>
      </c>
      <c r="AZ20" s="786" t="s">
        <v>470</v>
      </c>
      <c r="BA20" s="786" t="s">
        <v>471</v>
      </c>
    </row>
    <row r="21" spans="1:53" ht="15.6" customHeight="1" x14ac:dyDescent="0.2">
      <c r="A21" s="772" t="s">
        <v>477</v>
      </c>
      <c r="B21" s="772">
        <f t="shared" si="1"/>
        <v>14</v>
      </c>
      <c r="C21" s="771" t="str">
        <f t="shared" si="2"/>
        <v>Coverage14</v>
      </c>
      <c r="D21" s="779" t="s">
        <v>478</v>
      </c>
      <c r="E21" s="780" t="str">
        <f t="shared" si="0"/>
        <v>PMTCT-1: Pourcentage de femmes enceintes qui connaissent leur statut sérologique à l'égard du VIH</v>
      </c>
      <c r="F21" s="779" t="s">
        <v>479</v>
      </c>
      <c r="G21" s="779"/>
      <c r="H21" s="779" t="s">
        <v>480</v>
      </c>
      <c r="I21" s="779" t="s">
        <v>481</v>
      </c>
      <c r="J21" s="779"/>
      <c r="K21" s="779" t="s">
        <v>394</v>
      </c>
      <c r="L21" s="779" t="s">
        <v>482</v>
      </c>
      <c r="M21" s="780" t="b">
        <v>0</v>
      </c>
      <c r="N21" s="781">
        <v>171057</v>
      </c>
      <c r="O21" s="782">
        <v>260024</v>
      </c>
      <c r="P21" s="783">
        <v>65.8</v>
      </c>
      <c r="Q21" s="779" t="s">
        <v>466</v>
      </c>
      <c r="R21" s="779" t="s">
        <v>467</v>
      </c>
      <c r="S21" s="781">
        <v>494619.3</v>
      </c>
      <c r="T21" s="782">
        <v>549577</v>
      </c>
      <c r="U21" s="783">
        <v>90</v>
      </c>
      <c r="V21" s="787" t="s">
        <v>483</v>
      </c>
      <c r="W21" s="781">
        <f>IFERROR(IF(INDEX('Coverage Indicators_1B'!Q$11:Q$100,MATCH($C21,'Coverage Indicators_1B'!$B$11:$B$100,0))="","",INDEX('Coverage Indicators_1B'!Q$11:Q$100,MATCH($C21,'Coverage Indicators_1B'!$B$11:$B$100,0))),"")</f>
        <v>417986</v>
      </c>
      <c r="X21" s="782">
        <f>IFERROR(IF(INDEX('Coverage Indicators_1B'!R$11:R$100,MATCH($C21,'Coverage Indicators_1B'!$B$11:$B$100,0))="","",INDEX('Coverage Indicators_1B'!R$11:R$100,MATCH($C21,'Coverage Indicators_1B'!$B$11:$B$100,0))),"")</f>
        <v>549577</v>
      </c>
      <c r="Y21" s="783">
        <f>IFERROR(IF(INDEX('Coverage Indicators_1B'!S$11:S$100,MATCH($C21,'Coverage Indicators_1B'!$B$11:$B$100,0))="","",INDEX('Coverage Indicators_1B'!S$11:S$100,MATCH($C21,'Coverage Indicators_1B'!$B$11:$B$100,0))),"")</f>
        <v>76.055948484015886</v>
      </c>
      <c r="Z21" s="779" t="str">
        <f>IFERROR(IF(INDEX('Coverage Indicators_1B'!T$11:T$100,MATCH($C21,'Coverage Indicators_1B'!$B$11:$B$100,0))="","",INDEX('Coverage Indicators_1B'!T$11:T$100,MATCH($C21,'Coverage Indicators_1B'!$B$11:$B$100,0))),"")</f>
        <v>HMIS</v>
      </c>
      <c r="AA21" s="784">
        <f>IFERROR(INDEX('Coverage Indicators_1B'!U$11:U$100,MATCH($C21,'Coverage Indicators_1B'!$B$11:$B$100,0)),"")</f>
        <v>0.8450660942668432</v>
      </c>
      <c r="AB21" s="779" t="str">
        <f>IFERROR(IF(INDEX('Coverage Indicators_1B'!V$11:V$100,MATCH($C21,'Coverage Indicators_1B'!$B$11:$B$100,0))="","",INDEX('Coverage Indicators_1B'!V$11:V$100,MATCH($C21,'Coverage Indicators_1B'!$B$11:$B$100,0))),"")</f>
        <v>Vue d'ensemble :
Source des données : données de DHIS2, extraites en date du 12mars 2020
Le taux d’accomplissement pour cet indicateur est de 85%. 
Analyse des données :
Le numérateur est le nombre de femmes enceintes venues en CPN1, dépistées et qui ont récupéré les résultats dans la période de janvier au 31 décembre 2019. Il est de 417986.
Le dénominateur est le nombre estimé de femmes enceintes dans les 12 derniers mois (Nombre de Grossesses attendues par année = PT x 0,05). Il est de 549577.
Au cours de l’année 2019, le nombre de femmes enceintes venues en CPN et dépistées pour le VIH était de 426544. Parmi elles, 417986 ont récupéré les résultats en CPN1, soit 98%.  Ce taux pourra être ajusté après la disponibilité des données de tous les sites dans DHIS2.
Observations / Commentaires :
Cette performance quoi que bonne, elle est inférieure à celle enregistrée au cours de l’année 2018 (99% : N=421858/534608). Comparée à celle du 1er semestre 2019 (215434/274789), la performance annuelle réalisée montre une chute de la performance au 2è semestre 2019.
Solutions / Recommandations :
Pour maintenir et améliorer cette performance, le PR recommande au PNLS de : 
-renforcer les activités d’information, communication et éducation pour une bonne utilisation des services CPN par les femmes enceintes ;
-Poursuivre la mise en œuvre des activités de mobilisation des leaders administratifs et religieux autour de la PTME et la CPN  
-mobiliser les prestataires pour la réalisation des CPN et le counseling pour le test VIH
-faire un counseling et dépistage systématique de toutes les femmes venues en CPN ;
-encourager les femmes dépistées à la récupération des résultats ;  
-sensibiliser les maris à accompagner leurs épouses pour les CPN</v>
      </c>
      <c r="AC21" s="781" t="str">
        <f>IFERROR(IF(INDEX('Coverage Indicators_1B'!X$11:X$100,MATCH($C21,'Coverage Indicators_1B'!$B$11:$B$100,0))="","",INDEX('Coverage Indicators_1B'!X$11:X$100,MATCH($C21,'Coverage Indicators_1B'!$B$11:$B$100,0))),"")</f>
        <v/>
      </c>
      <c r="AD21" s="782" t="str">
        <f>IFERROR(IF(INDEX('Coverage Indicators_1B'!Y$11:Y$100,MATCH($C21,'Coverage Indicators_1B'!$B$11:$B$100,0))="","",INDEX('Coverage Indicators_1B'!Y$11:Y$100,MATCH($C21,'Coverage Indicators_1B'!$B$11:$B$100,0))),"")</f>
        <v/>
      </c>
      <c r="AE21" s="783" t="str">
        <f>IFERROR(IF(INDEX('Coverage Indicators_1B'!Z$11:Z$100,MATCH($C21,'Coverage Indicators_1B'!$B$11:$B$100,0))="","",INDEX('Coverage Indicators_1B'!Z$11:Z$100,MATCH($C21,'Coverage Indicators_1B'!$B$11:$B$100,0))),"")</f>
        <v/>
      </c>
      <c r="AF21" s="779" t="str">
        <f>IFERROR(IF(INDEX('Coverage Indicators_1B'!AA$11:AA$100,MATCH($C21,'Coverage Indicators_1B'!$B$11:$B$100,0))="","",INDEX('Coverage Indicators_1B'!AA$11:AA$100,MATCH($C21,'Coverage Indicators_1B'!$B$11:$B$100,0))),"")</f>
        <v/>
      </c>
      <c r="AG21" s="780" t="str">
        <f>IFERROR(INDEX('Coverage Indicators_1B'!AB$11:AB$100,MATCH($C21,'Coverage Indicators_1B'!$B$11:$B$100,0)),"")</f>
        <v xml:space="preserve"> </v>
      </c>
      <c r="AH21" s="779" t="str">
        <f>IFERROR(IF(INDEX('Coverage Indicators_1B'!AC$11:AC$100,MATCH($C21,'Coverage Indicators_1B'!$B$11:$B$100,0))="","",INDEX('Coverage Indicators_1B'!AC$11:AC$100,MATCH($C21,'Coverage Indicators_1B'!$B$11:$B$100,0))),"")</f>
        <v/>
      </c>
      <c r="AI21" s="779" t="str">
        <f>IFERROR(IF(INDEX('Coverage Indicators_1B'!AD$11:AD$100,MATCH($C21,'Coverage Indicators_1B'!$B$11:$B$100,0))="","",INDEX('Coverage Indicators_1B'!AD$11:AD$100,MATCH($C21,'Coverage Indicators_1B'!$B$11:$B$100,0))),"")</f>
        <v/>
      </c>
      <c r="AJ21" s="780" t="str">
        <f>IFERROR(INDEX('Coverage Indicators_1B'!AE$11:AE$100,MATCH($C21,'Coverage Indicators_1B'!$B$11:$B$100,0)),"")</f>
        <v>No Results Reported</v>
      </c>
      <c r="AK21" s="780"/>
      <c r="AL21" s="780"/>
      <c r="AM21" s="780"/>
      <c r="AN21" s="780" t="str">
        <f>IFERROR(INDEX('Coverage Indicators_1B'!AI$11:AI$100,MATCH($C21,'Coverage Indicators_1B'!$B$11:$B$100,0)),"")</f>
        <v xml:space="preserve"> </v>
      </c>
      <c r="AO21" s="780">
        <f>IFERROR(INDEX('Coverage Indicators_1B'!AJ$11:AJ$100,MATCH($C21,'Coverage Indicators_1B'!$B$11:$B$100,0)),"")</f>
        <v>0</v>
      </c>
      <c r="AP21" s="780" t="str">
        <f>IFERROR(INDEX('Coverage Indicators_1B'!AK$11:AK$100,MATCH($C21,'Coverage Indicators_1B'!$B$11:$B$100,0)),"")</f>
        <v>No Results Reported</v>
      </c>
      <c r="AQ21" s="785">
        <v>15</v>
      </c>
      <c r="AR21" s="772" t="str">
        <f t="shared" si="3"/>
        <v>No</v>
      </c>
      <c r="AS21" s="786" t="s">
        <v>37</v>
      </c>
      <c r="AT21" s="772"/>
      <c r="AU21" s="772"/>
      <c r="AV21" s="772"/>
      <c r="AW21" s="772"/>
      <c r="AX21" s="772"/>
      <c r="AY21" s="786" t="s">
        <v>484</v>
      </c>
      <c r="AZ21" s="786" t="s">
        <v>485</v>
      </c>
      <c r="BA21" s="786" t="s">
        <v>471</v>
      </c>
    </row>
    <row r="22" spans="1:53" ht="15.6" customHeight="1" x14ac:dyDescent="0.2">
      <c r="A22" s="772" t="s">
        <v>486</v>
      </c>
      <c r="B22" s="772">
        <f t="shared" si="1"/>
        <v>15</v>
      </c>
      <c r="C22" s="771" t="str">
        <f t="shared" si="2"/>
        <v>Coverage15</v>
      </c>
      <c r="D22" s="779" t="s">
        <v>478</v>
      </c>
      <c r="E22" s="780" t="str">
        <f t="shared" si="0"/>
        <v>PMTCT-2.1: Pourcentage de femmes enceintes séropositives au VIH ayant reçu des antirétroviraux durant leur grossesse</v>
      </c>
      <c r="F22" s="779" t="s">
        <v>487</v>
      </c>
      <c r="G22" s="779"/>
      <c r="H22" s="779" t="s">
        <v>488</v>
      </c>
      <c r="I22" s="779" t="s">
        <v>489</v>
      </c>
      <c r="J22" s="779"/>
      <c r="K22" s="779" t="s">
        <v>394</v>
      </c>
      <c r="L22" s="779" t="s">
        <v>482</v>
      </c>
      <c r="M22" s="780" t="b">
        <v>0</v>
      </c>
      <c r="N22" s="781">
        <v>2215</v>
      </c>
      <c r="O22" s="782">
        <v>2600</v>
      </c>
      <c r="P22" s="783">
        <v>85.2</v>
      </c>
      <c r="Q22" s="779" t="s">
        <v>466</v>
      </c>
      <c r="R22" s="779" t="s">
        <v>467</v>
      </c>
      <c r="S22" s="781">
        <v>5540.16</v>
      </c>
      <c r="T22" s="782">
        <v>5771</v>
      </c>
      <c r="U22" s="783">
        <v>96</v>
      </c>
      <c r="V22" s="787" t="s">
        <v>490</v>
      </c>
      <c r="W22" s="781">
        <f>IFERROR(IF(INDEX('Coverage Indicators_1B'!Q$11:Q$100,MATCH($C22,'Coverage Indicators_1B'!$B$11:$B$100,0))="","",INDEX('Coverage Indicators_1B'!Q$11:Q$100,MATCH($C22,'Coverage Indicators_1B'!$B$11:$B$100,0))),"")</f>
        <v>3914</v>
      </c>
      <c r="X22" s="782">
        <f>IFERROR(IF(INDEX('Coverage Indicators_1B'!R$11:R$100,MATCH($C22,'Coverage Indicators_1B'!$B$11:$B$100,0))="","",INDEX('Coverage Indicators_1B'!R$11:R$100,MATCH($C22,'Coverage Indicators_1B'!$B$11:$B$100,0))),"")</f>
        <v>5771</v>
      </c>
      <c r="Y22" s="783">
        <f>IFERROR(IF(INDEX('Coverage Indicators_1B'!S$11:S$100,MATCH($C22,'Coverage Indicators_1B'!$B$11:$B$100,0))="","",INDEX('Coverage Indicators_1B'!S$11:S$100,MATCH($C22,'Coverage Indicators_1B'!$B$11:$B$100,0))),"")</f>
        <v>67.821867960492114</v>
      </c>
      <c r="Z22" s="779" t="str">
        <f>IFERROR(IF(INDEX('Coverage Indicators_1B'!T$11:T$100,MATCH($C22,'Coverage Indicators_1B'!$B$11:$B$100,0))="","",INDEX('Coverage Indicators_1B'!T$11:T$100,MATCH($C22,'Coverage Indicators_1B'!$B$11:$B$100,0))),"")</f>
        <v>HMIS</v>
      </c>
      <c r="AA22" s="784">
        <f>IFERROR(INDEX('Coverage Indicators_1B'!U$11:U$100,MATCH($C22,'Coverage Indicators_1B'!$B$11:$B$100,0)),"")</f>
        <v>0.70647779125512622</v>
      </c>
      <c r="AB22" s="779" t="str">
        <f>IFERROR(IF(INDEX('Coverage Indicators_1B'!V$11:V$100,MATCH($C22,'Coverage Indicators_1B'!$B$11:$B$100,0))="","",INDEX('Coverage Indicators_1B'!V$11:V$100,MATCH($C22,'Coverage Indicators_1B'!$B$11:$B$100,0))),"")</f>
        <v>Vue d’ensemble 
Source des données :données de DHIS2 extraites en date du 12 mars 2020
Au cours du 2emestre 2019, le taux d’accomplissement des femmes enceintes séropositives au VIH qui ont reçu des antirétroviraux durant leur grossesse était de 71%. 
Analyse des données 
Le numérateur est le nombre de femmes enceintes séropositives au VIH ayant reçu un traitement antirétroviral au cours des 12 derniers mois afin de réduire le risque de transmission de la mère à l'enfant pendant la grossesse et l'accouchement. Il est de 3914.
Le dénominateur est le nombre attendu de femmes enceintes séropositives attendues durant l’année. Il est de 5771.
Observations / Commentaires 
La performance réalisée au 2è semestre 2019 est inférieure à celle de 2018 (104% : N=5552/5613) et du 1er semestre 2019 (119% : N=3297/2886). Le fait que cet indicateur avait connu une performance élevée en 2018 et au 1er semestre 2019, était lié aux erreurs des données de DHIS2.
Toutefois, la performance de cet indicateur pourra s’améliorer lors de la prise en compte des données de tous les sites dans DHIS2 après la validation de ces données par les Médecins chefs des districts et les Médecins provinciaux. 
Solutions/Recommandations :
En vue d’améliorer progressivement la performance de cet indicateur, le SR_PNLS doit mettre en œuvre les actions suivantes :
-renforcer les compétences des prestataires sur la compréhension des indicateurs VIH en général et la PTME en particulier ;
-Renforcer les supervisions des sites de prise en charge y compris les sites PTME pour assister les points focaux SIS dans l’exercice de saisie et de vérification des données ;
-assurer un suivi régulier de la qualité des données saisies et la correction des erreurs (par les conseillers techniques provinciaux) ; 
-collaborer avec la DSNIS pour améliorer progressivement le paramétrage de certains indicateurs ; 
-proposer une validation des données en deux temps : (i) niveau du district avec le concours du conseiller technique, de l’équipe cadre de district et le point focal VIH provincial ; (ii) organiser des missions de validation des trois programmes avec la DSNIS au niveau provincial ;
- Organiser des missions de supervision pour formation sur site des prestataires des sites à très faible qualité des données</v>
      </c>
      <c r="AC22" s="781" t="str">
        <f>IFERROR(IF(INDEX('Coverage Indicators_1B'!X$11:X$100,MATCH($C22,'Coverage Indicators_1B'!$B$11:$B$100,0))="","",INDEX('Coverage Indicators_1B'!X$11:X$100,MATCH($C22,'Coverage Indicators_1B'!$B$11:$B$100,0))),"")</f>
        <v/>
      </c>
      <c r="AD22" s="782" t="str">
        <f>IFERROR(IF(INDEX('Coverage Indicators_1B'!Y$11:Y$100,MATCH($C22,'Coverage Indicators_1B'!$B$11:$B$100,0))="","",INDEX('Coverage Indicators_1B'!Y$11:Y$100,MATCH($C22,'Coverage Indicators_1B'!$B$11:$B$100,0))),"")</f>
        <v/>
      </c>
      <c r="AE22" s="783" t="str">
        <f>IFERROR(IF(INDEX('Coverage Indicators_1B'!Z$11:Z$100,MATCH($C22,'Coverage Indicators_1B'!$B$11:$B$100,0))="","",INDEX('Coverage Indicators_1B'!Z$11:Z$100,MATCH($C22,'Coverage Indicators_1B'!$B$11:$B$100,0))),"")</f>
        <v/>
      </c>
      <c r="AF22" s="779" t="str">
        <f>IFERROR(IF(INDEX('Coverage Indicators_1B'!AA$11:AA$100,MATCH($C22,'Coverage Indicators_1B'!$B$11:$B$100,0))="","",INDEX('Coverage Indicators_1B'!AA$11:AA$100,MATCH($C22,'Coverage Indicators_1B'!$B$11:$B$100,0))),"")</f>
        <v/>
      </c>
      <c r="AG22" s="780" t="str">
        <f>IFERROR(INDEX('Coverage Indicators_1B'!AB$11:AB$100,MATCH($C22,'Coverage Indicators_1B'!$B$11:$B$100,0)),"")</f>
        <v xml:space="preserve"> </v>
      </c>
      <c r="AH22" s="779" t="str">
        <f>IFERROR(IF(INDEX('Coverage Indicators_1B'!AC$11:AC$100,MATCH($C22,'Coverage Indicators_1B'!$B$11:$B$100,0))="","",INDEX('Coverage Indicators_1B'!AC$11:AC$100,MATCH($C22,'Coverage Indicators_1B'!$B$11:$B$100,0))),"")</f>
        <v/>
      </c>
      <c r="AI22" s="779" t="str">
        <f>IFERROR(IF(INDEX('Coverage Indicators_1B'!AD$11:AD$100,MATCH($C22,'Coverage Indicators_1B'!$B$11:$B$100,0))="","",INDEX('Coverage Indicators_1B'!AD$11:AD$100,MATCH($C22,'Coverage Indicators_1B'!$B$11:$B$100,0))),"")</f>
        <v/>
      </c>
      <c r="AJ22" s="780" t="str">
        <f>IFERROR(INDEX('Coverage Indicators_1B'!AE$11:AE$100,MATCH($C22,'Coverage Indicators_1B'!$B$11:$B$100,0)),"")</f>
        <v>No Results Reported</v>
      </c>
      <c r="AK22" s="780"/>
      <c r="AL22" s="780"/>
      <c r="AM22" s="780"/>
      <c r="AN22" s="780" t="str">
        <f>IFERROR(INDEX('Coverage Indicators_1B'!AI$11:AI$100,MATCH($C22,'Coverage Indicators_1B'!$B$11:$B$100,0)),"")</f>
        <v xml:space="preserve"> </v>
      </c>
      <c r="AO22" s="780">
        <f>IFERROR(INDEX('Coverage Indicators_1B'!AJ$11:AJ$100,MATCH($C22,'Coverage Indicators_1B'!$B$11:$B$100,0)),"")</f>
        <v>0</v>
      </c>
      <c r="AP22" s="780" t="str">
        <f>IFERROR(INDEX('Coverage Indicators_1B'!AK$11:AK$100,MATCH($C22,'Coverage Indicators_1B'!$B$11:$B$100,0)),"")</f>
        <v>No Results Reported</v>
      </c>
      <c r="AQ22" s="785">
        <v>16</v>
      </c>
      <c r="AR22" s="772" t="str">
        <f t="shared" si="3"/>
        <v>No</v>
      </c>
      <c r="AS22" s="786" t="s">
        <v>37</v>
      </c>
      <c r="AT22" s="772"/>
      <c r="AU22" s="772"/>
      <c r="AV22" s="772"/>
      <c r="AW22" s="772"/>
      <c r="AX22" s="772"/>
      <c r="AY22" s="786" t="s">
        <v>484</v>
      </c>
      <c r="AZ22" s="786" t="s">
        <v>485</v>
      </c>
      <c r="BA22" s="786" t="s">
        <v>471</v>
      </c>
    </row>
    <row r="23" spans="1:53" ht="15.6" customHeight="1" x14ac:dyDescent="0.2">
      <c r="A23" s="772" t="s">
        <v>491</v>
      </c>
      <c r="B23" s="772">
        <f t="shared" si="1"/>
        <v>16</v>
      </c>
      <c r="C23" s="771" t="str">
        <f t="shared" si="2"/>
        <v>Coverage16</v>
      </c>
      <c r="D23" s="779" t="s">
        <v>478</v>
      </c>
      <c r="E23" s="780" t="str">
        <f t="shared" si="0"/>
        <v>PMTCT-3.1: Pourcentage de nourrissons exposés au VIH ayant bénéficié d'un dépistage du VIH dans les 2 mois qui ont suivi leur naissance</v>
      </c>
      <c r="F23" s="779" t="s">
        <v>492</v>
      </c>
      <c r="G23" s="779"/>
      <c r="H23" s="779" t="s">
        <v>493</v>
      </c>
      <c r="I23" s="779" t="s">
        <v>494</v>
      </c>
      <c r="J23" s="779"/>
      <c r="K23" s="779" t="s">
        <v>394</v>
      </c>
      <c r="L23" s="779" t="s">
        <v>482</v>
      </c>
      <c r="M23" s="780" t="b">
        <v>0</v>
      </c>
      <c r="N23" s="781">
        <v>704</v>
      </c>
      <c r="O23" s="782">
        <v>2600</v>
      </c>
      <c r="P23" s="783">
        <v>27.1</v>
      </c>
      <c r="Q23" s="779" t="s">
        <v>466</v>
      </c>
      <c r="R23" s="779" t="s">
        <v>467</v>
      </c>
      <c r="S23" s="781">
        <v>4328</v>
      </c>
      <c r="T23" s="782">
        <v>5771</v>
      </c>
      <c r="U23" s="783">
        <v>75</v>
      </c>
      <c r="V23" s="787" t="s">
        <v>495</v>
      </c>
      <c r="W23" s="781">
        <f>IFERROR(IF(INDEX('Coverage Indicators_1B'!Q$11:Q$100,MATCH($C23,'Coverage Indicators_1B'!$B$11:$B$100,0))="","",INDEX('Coverage Indicators_1B'!Q$11:Q$100,MATCH($C23,'Coverage Indicators_1B'!$B$11:$B$100,0))),"")</f>
        <v>3467</v>
      </c>
      <c r="X23" s="782">
        <f>IFERROR(IF(INDEX('Coverage Indicators_1B'!R$11:R$100,MATCH($C23,'Coverage Indicators_1B'!$B$11:$B$100,0))="","",INDEX('Coverage Indicators_1B'!R$11:R$100,MATCH($C23,'Coverage Indicators_1B'!$B$11:$B$100,0))),"")</f>
        <v>5771</v>
      </c>
      <c r="Y23" s="783">
        <f>IFERROR(IF(INDEX('Coverage Indicators_1B'!S$11:S$100,MATCH($C23,'Coverage Indicators_1B'!$B$11:$B$100,0))="","",INDEX('Coverage Indicators_1B'!S$11:S$100,MATCH($C23,'Coverage Indicators_1B'!$B$11:$B$100,0))),"")</f>
        <v>60.076243285392486</v>
      </c>
      <c r="Z23" s="779" t="str">
        <f>IFERROR(IF(INDEX('Coverage Indicators_1B'!T$11:T$100,MATCH($C23,'Coverage Indicators_1B'!$B$11:$B$100,0))="","",INDEX('Coverage Indicators_1B'!T$11:T$100,MATCH($C23,'Coverage Indicators_1B'!$B$11:$B$100,0))),"")</f>
        <v>HMIS</v>
      </c>
      <c r="AA23" s="784">
        <f>IFERROR(INDEX('Coverage Indicators_1B'!U$11:U$100,MATCH($C23,'Coverage Indicators_1B'!$B$11:$B$100,0)),"")</f>
        <v>0.80101657713856644</v>
      </c>
      <c r="AB23" s="779" t="str">
        <f>IFERROR(IF(INDEX('Coverage Indicators_1B'!V$11:V$100,MATCH($C23,'Coverage Indicators_1B'!$B$11:$B$100,0))="","",INDEX('Coverage Indicators_1B'!V$11:V$100,MATCH($C23,'Coverage Indicators_1B'!$B$11:$B$100,0))),"")</f>
        <v xml:space="preserve">Vue d'ensemble 
Source des données : données DHIS2 extraites en date du 12mars2020
En fin de l’année 2019, la proportion de nourrissons qui ont bénéficié d’un dépistage au VIH dans les deux mois après leur naissance, est de 60% soit une performance de 80%. 
Analyse des données
Le numérateur est le nombre de nourrissons qui ont bénéficié un dépistage du VIH dans les deux mois après leur naissance, au cours de la période de rapportage. Il est de 3467.
-Le dénominateur est le nombre de femmes enceintes séropositives au VIH ayant accouché au cours des 6 derniers mois. Il est de 5771.
Le nombre de femmes enceintes séropositives au VIH ayant accouché devrait être inférieur au dénominateur estimé ce qui contribue à la baisse de la performance de l'indicateur. Cette approximation a été convenue dans les rapports précédents avec le GFATM.
Observations / Commentaires 
La performance réalisée pour les nourrissons qui ont bénéficié du dépistage au VIH dans les deux mois après leur naissance est passée de 55% (2207/5613) en fin décembre 2018 à 80% (3467/57771) au 2è semestre 2019. Cependant, cette performance (80%) reste inférieure à celle réalisée au 1er semestre 2019 (84% : N=1813/2886).
La performance de cet indicateur pourra s’améliorer lors de la prise en compte des données de tous les sites dans DHIS2 après la validation de ces données par les Médecins chefs des districts et les Médecins provinciaux. 
Cette bonne performance serait due :
-aux sensibilisations des prestataires à la collecte et au transport des échantillons PCR ;
-au système de maintenance des appareils qui a permis de prévenir les pannes et la promptitude dans la réparation de ceux qui étaient momentanément en dysfonctionnement ;
-à la disponibilité des intrants PCR et l’organisation de la collecte et le transport des échantillons par les Conseillers techniques ;
-au remboursement des frais inhérents au transport des échantillons vers les laboratoires Abott ;
-à une prise de conscience progressive par les prestataires pour le suivi des nouveaux nés et des enfants infectés et affectés par le VIH ;
- à l’approche systématique de réalisation des PCR selon le protocole national et une amélioration de la notification des cas.
Solutions/Recommandations 
En vue d’avoir une amélioration continue de la performance de cet indicateur, les actions suivantes doivent être suivies :
-maintenir toutes les actions qui ont permis d’atteindre la performance actuelle ;
-mettre en œuvre les recommandations du plan opérationnel de la charge virale en rapport avec la collecte, le transport des échantillons PCR ainsi que le rendu des résultats ;
-mettre en œuvre les recommandations d’amélioration du dépistage précoce chez les enfants y compris l’utilisation des appareils GeneXpert;
-Fournir régulièrement aux conseillers techniques la logistique nécessaire pour le transport des échantillons ;
-renforcer les sensibilisations des prestataires sur l’importance du suivi clinique et biologique du nouveau-né et de l’enfant à risque du VIH
-assurer l’approvisionnement continue des sites en intrants PCR ;
-Faire un plaidoyer pour la formation des utilisateurs des appareils PCR sur la maintenance préventive ;
-susciter l’implication des prestataires à la réalisation systématique des PCR chez tous les enfants nés des mères VIH+ 
</v>
      </c>
      <c r="AC23" s="781" t="str">
        <f>IFERROR(IF(INDEX('Coverage Indicators_1B'!X$11:X$100,MATCH($C23,'Coverage Indicators_1B'!$B$11:$B$100,0))="","",INDEX('Coverage Indicators_1B'!X$11:X$100,MATCH($C23,'Coverage Indicators_1B'!$B$11:$B$100,0))),"")</f>
        <v/>
      </c>
      <c r="AD23" s="782" t="str">
        <f>IFERROR(IF(INDEX('Coverage Indicators_1B'!Y$11:Y$100,MATCH($C23,'Coverage Indicators_1B'!$B$11:$B$100,0))="","",INDEX('Coverage Indicators_1B'!Y$11:Y$100,MATCH($C23,'Coverage Indicators_1B'!$B$11:$B$100,0))),"")</f>
        <v/>
      </c>
      <c r="AE23" s="783" t="str">
        <f>IFERROR(IF(INDEX('Coverage Indicators_1B'!Z$11:Z$100,MATCH($C23,'Coverage Indicators_1B'!$B$11:$B$100,0))="","",INDEX('Coverage Indicators_1B'!Z$11:Z$100,MATCH($C23,'Coverage Indicators_1B'!$B$11:$B$100,0))),"")</f>
        <v/>
      </c>
      <c r="AF23" s="779" t="str">
        <f>IFERROR(IF(INDEX('Coverage Indicators_1B'!AA$11:AA$100,MATCH($C23,'Coverage Indicators_1B'!$B$11:$B$100,0))="","",INDEX('Coverage Indicators_1B'!AA$11:AA$100,MATCH($C23,'Coverage Indicators_1B'!$B$11:$B$100,0))),"")</f>
        <v/>
      </c>
      <c r="AG23" s="780" t="str">
        <f>IFERROR(INDEX('Coverage Indicators_1B'!AB$11:AB$100,MATCH($C23,'Coverage Indicators_1B'!$B$11:$B$100,0)),"")</f>
        <v xml:space="preserve"> </v>
      </c>
      <c r="AH23" s="779" t="str">
        <f>IFERROR(IF(INDEX('Coverage Indicators_1B'!AC$11:AC$100,MATCH($C23,'Coverage Indicators_1B'!$B$11:$B$100,0))="","",INDEX('Coverage Indicators_1B'!AC$11:AC$100,MATCH($C23,'Coverage Indicators_1B'!$B$11:$B$100,0))),"")</f>
        <v/>
      </c>
      <c r="AI23" s="779" t="str">
        <f>IFERROR(IF(INDEX('Coverage Indicators_1B'!AD$11:AD$100,MATCH($C23,'Coverage Indicators_1B'!$B$11:$B$100,0))="","",INDEX('Coverage Indicators_1B'!AD$11:AD$100,MATCH($C23,'Coverage Indicators_1B'!$B$11:$B$100,0))),"")</f>
        <v/>
      </c>
      <c r="AJ23" s="780" t="str">
        <f>IFERROR(INDEX('Coverage Indicators_1B'!AE$11:AE$100,MATCH($C23,'Coverage Indicators_1B'!$B$11:$B$100,0)),"")</f>
        <v>No Results Reported</v>
      </c>
      <c r="AK23" s="780"/>
      <c r="AL23" s="780"/>
      <c r="AM23" s="780"/>
      <c r="AN23" s="780" t="str">
        <f>IFERROR(INDEX('Coverage Indicators_1B'!AI$11:AI$100,MATCH($C23,'Coverage Indicators_1B'!$B$11:$B$100,0)),"")</f>
        <v xml:space="preserve"> </v>
      </c>
      <c r="AO23" s="780">
        <f>IFERROR(INDEX('Coverage Indicators_1B'!AJ$11:AJ$100,MATCH($C23,'Coverage Indicators_1B'!$B$11:$B$100,0)),"")</f>
        <v>0</v>
      </c>
      <c r="AP23" s="780" t="str">
        <f>IFERROR(INDEX('Coverage Indicators_1B'!AK$11:AK$100,MATCH($C23,'Coverage Indicators_1B'!$B$11:$B$100,0)),"")</f>
        <v>No Results Reported</v>
      </c>
      <c r="AQ23" s="785">
        <v>17</v>
      </c>
      <c r="AR23" s="772" t="str">
        <f t="shared" si="3"/>
        <v>No</v>
      </c>
      <c r="AS23" s="786" t="s">
        <v>37</v>
      </c>
      <c r="AT23" s="772"/>
      <c r="AU23" s="772"/>
      <c r="AV23" s="772"/>
      <c r="AW23" s="772"/>
      <c r="AX23" s="772"/>
      <c r="AY23" s="786" t="s">
        <v>484</v>
      </c>
      <c r="AZ23" s="786" t="s">
        <v>485</v>
      </c>
      <c r="BA23" s="786" t="s">
        <v>471</v>
      </c>
    </row>
    <row r="24" spans="1:53" ht="15.6" customHeight="1" x14ac:dyDescent="0.2">
      <c r="A24" s="772" t="s">
        <v>496</v>
      </c>
      <c r="B24" s="772">
        <f t="shared" si="1"/>
        <v>17</v>
      </c>
      <c r="C24" s="771" t="str">
        <f t="shared" si="2"/>
        <v>Coverage17</v>
      </c>
      <c r="D24" s="779" t="s">
        <v>427</v>
      </c>
      <c r="E24" s="780" t="str">
        <f t="shared" si="0"/>
        <v>TB/HIV-3.1: Pourcentage de personnes vivant avec le VIH pris en charge  (y compris soins PTME) chez qui les signes de la tuberculose ont été recherchés au sein des structures de soins ou traitement du VIH</v>
      </c>
      <c r="F24" s="779" t="s">
        <v>497</v>
      </c>
      <c r="G24" s="779"/>
      <c r="H24" s="779" t="s">
        <v>498</v>
      </c>
      <c r="I24" s="779" t="s">
        <v>499</v>
      </c>
      <c r="J24" s="779"/>
      <c r="K24" s="779" t="s">
        <v>394</v>
      </c>
      <c r="L24" s="779" t="s">
        <v>395</v>
      </c>
      <c r="M24" s="780" t="b">
        <v>0</v>
      </c>
      <c r="N24" s="781">
        <v>27472</v>
      </c>
      <c r="O24" s="782">
        <v>61538</v>
      </c>
      <c r="P24" s="783">
        <v>44.6</v>
      </c>
      <c r="Q24" s="779" t="s">
        <v>225</v>
      </c>
      <c r="R24" s="779" t="s">
        <v>500</v>
      </c>
      <c r="S24" s="781">
        <v>44579.5</v>
      </c>
      <c r="T24" s="782">
        <v>63685</v>
      </c>
      <c r="U24" s="783">
        <v>70</v>
      </c>
      <c r="V24" s="787" t="s">
        <v>501</v>
      </c>
      <c r="W24" s="781">
        <f>IFERROR(IF(INDEX('Coverage Indicators_1B'!Q$11:Q$100,MATCH($C24,'Coverage Indicators_1B'!$B$11:$B$100,0))="","",INDEX('Coverage Indicators_1B'!Q$11:Q$100,MATCH($C24,'Coverage Indicators_1B'!$B$11:$B$100,0))),"")</f>
        <v>31353</v>
      </c>
      <c r="X24" s="782">
        <f>IFERROR(IF(INDEX('Coverage Indicators_1B'!R$11:R$100,MATCH($C24,'Coverage Indicators_1B'!$B$11:$B$100,0))="","",INDEX('Coverage Indicators_1B'!R$11:R$100,MATCH($C24,'Coverage Indicators_1B'!$B$11:$B$100,0))),"")</f>
        <v>63702</v>
      </c>
      <c r="Y24" s="783">
        <f>IFERROR(IF(INDEX('Coverage Indicators_1B'!S$11:S$100,MATCH($C24,'Coverage Indicators_1B'!$B$11:$B$100,0))="","",INDEX('Coverage Indicators_1B'!S$11:S$100,MATCH($C24,'Coverage Indicators_1B'!$B$11:$B$100,0))),"")</f>
        <v>49.218234906282376</v>
      </c>
      <c r="Z24" s="779" t="str">
        <f>IFERROR(IF(INDEX('Coverage Indicators_1B'!T$11:T$100,MATCH($C24,'Coverage Indicators_1B'!$B$11:$B$100,0))="","",INDEX('Coverage Indicators_1B'!T$11:T$100,MATCH($C24,'Coverage Indicators_1B'!$B$11:$B$100,0))),"")</f>
        <v>HMIS</v>
      </c>
      <c r="AA24" s="784">
        <f>IFERROR(INDEX('Coverage Indicators_1B'!U$11:U$100,MATCH($C24,'Coverage Indicators_1B'!$B$11:$B$100,0)),"")</f>
        <v>0.70311764151831968</v>
      </c>
      <c r="AB24" s="779" t="str">
        <f>IFERROR(IF(INDEX('Coverage Indicators_1B'!V$11:V$100,MATCH($C24,'Coverage Indicators_1B'!$B$11:$B$100,0))="","",INDEX('Coverage Indicators_1B'!V$11:V$100,MATCH($C24,'Coverage Indicators_1B'!$B$11:$B$100,0))),"")</f>
        <v>Vue d’ensemble : 
Source des données=DHIS2 : données extraites en date du 12mars2020
Les résultats montrent qu'au cours de la période de juillet à décembre 2019, 49,2% des PVVIH ont bénéficié un screening pour la tuberculose ce qui correspond à un taux d’accomplissement de 70%.
Analyse des données 
La performance de 70%, comparée à celle de S1 2019 (72%=31353/61849), pourrait être jugée à tort d’inférieure. En effet, la performance aurait été de 74% si la file active avait été multipliée par le facteur de correction (0,9515) comme on en avait fait lors du 1er semestre2019. 
-Le numérateur devrait être le nombre d'adultes et d'enfants pris en charge pour le VIH qui ont été testés pour la tuberculose et dont le résultat a été enregistré au cours de leur dernière visite. Cependant, le système d’information sanitaire ne pouvant pas capter la seule dernière visite, le numérateur devient la moyenne des screening réalisés durant la période de rapportage. Il est obtenu en additionnant les screening réalisés dans les 6mois en divisant le résultat obtenu par 6.  Il est de 31353.
-Le dénominateur est le nombre total d'adultes et d’enfants pris en charge pour le VIH au cours de la période de rapportage. Il procède de la file active rapportée pour la période. Il est de 63702. 
Observations / Commentaires 
La performance réalisée est bonne.
La performance de cet indicateur pourra s’améliorer lors de la prise en compte des données de tous les sites dans DHIS2 après leur validation par les Médecins chefs des districts et les Médecins provinciaux.
La performance de cet indicateur pourra s’améliorer lors de la prise en compte des données de tous les sites dans DHIS2 après la validation de ces données par les Médecins chefs des districts et les Médecins provinciaux.  
Solutions/Recommandations 
En vue de maintenir voire améliorer la performance de cet indicateur, le SR PNLS doit prendre les actions suivantes :
-améliorer la complétude et la promptitude des données VIH dans DHIS2 ;
-rendre disponible l’INH au niveau des FOSA en vue d’inciter les prestataires à la pratique du screening
-renforcer les séances d’information aux prestataires sur l’importance du screening de la tuberculose chez les PVVIH et à sa réalisation systématique du screening chez tout PVVIH à chaque visite. 
-Mobiliser les ressources pour le recyclage nouveaux prestataires non encore formés sur la prise en charge du VIH, de la tuberculose et la coïnfection TB/VIH</v>
      </c>
      <c r="AC24" s="781" t="str">
        <f>IFERROR(IF(INDEX('Coverage Indicators_1B'!X$11:X$100,MATCH($C24,'Coverage Indicators_1B'!$B$11:$B$100,0))="","",INDEX('Coverage Indicators_1B'!X$11:X$100,MATCH($C24,'Coverage Indicators_1B'!$B$11:$B$100,0))),"")</f>
        <v/>
      </c>
      <c r="AD24" s="782" t="str">
        <f>IFERROR(IF(INDEX('Coverage Indicators_1B'!Y$11:Y$100,MATCH($C24,'Coverage Indicators_1B'!$B$11:$B$100,0))="","",INDEX('Coverage Indicators_1B'!Y$11:Y$100,MATCH($C24,'Coverage Indicators_1B'!$B$11:$B$100,0))),"")</f>
        <v/>
      </c>
      <c r="AE24" s="783" t="str">
        <f>IFERROR(IF(INDEX('Coverage Indicators_1B'!Z$11:Z$100,MATCH($C24,'Coverage Indicators_1B'!$B$11:$B$100,0))="","",INDEX('Coverage Indicators_1B'!Z$11:Z$100,MATCH($C24,'Coverage Indicators_1B'!$B$11:$B$100,0))),"")</f>
        <v/>
      </c>
      <c r="AF24" s="779" t="str">
        <f>IFERROR(IF(INDEX('Coverage Indicators_1B'!AA$11:AA$100,MATCH($C24,'Coverage Indicators_1B'!$B$11:$B$100,0))="","",INDEX('Coverage Indicators_1B'!AA$11:AA$100,MATCH($C24,'Coverage Indicators_1B'!$B$11:$B$100,0))),"")</f>
        <v/>
      </c>
      <c r="AG24" s="780" t="str">
        <f>IFERROR(INDEX('Coverage Indicators_1B'!AB$11:AB$100,MATCH($C24,'Coverage Indicators_1B'!$B$11:$B$100,0)),"")</f>
        <v xml:space="preserve"> </v>
      </c>
      <c r="AH24" s="779" t="str">
        <f>IFERROR(IF(INDEX('Coverage Indicators_1B'!AC$11:AC$100,MATCH($C24,'Coverage Indicators_1B'!$B$11:$B$100,0))="","",INDEX('Coverage Indicators_1B'!AC$11:AC$100,MATCH($C24,'Coverage Indicators_1B'!$B$11:$B$100,0))),"")</f>
        <v/>
      </c>
      <c r="AI24" s="779" t="str">
        <f>IFERROR(IF(INDEX('Coverage Indicators_1B'!AD$11:AD$100,MATCH($C24,'Coverage Indicators_1B'!$B$11:$B$100,0))="","",INDEX('Coverage Indicators_1B'!AD$11:AD$100,MATCH($C24,'Coverage Indicators_1B'!$B$11:$B$100,0))),"")</f>
        <v/>
      </c>
      <c r="AJ24" s="780" t="str">
        <f>IFERROR(INDEX('Coverage Indicators_1B'!AE$11:AE$100,MATCH($C24,'Coverage Indicators_1B'!$B$11:$B$100,0)),"")</f>
        <v>No Results Reported</v>
      </c>
      <c r="AK24" s="780"/>
      <c r="AL24" s="780"/>
      <c r="AM24" s="780"/>
      <c r="AN24" s="780" t="str">
        <f>IFERROR(INDEX('Coverage Indicators_1B'!AI$11:AI$100,MATCH($C24,'Coverage Indicators_1B'!$B$11:$B$100,0)),"")</f>
        <v xml:space="preserve"> </v>
      </c>
      <c r="AO24" s="780">
        <f>IFERROR(INDEX('Coverage Indicators_1B'!AJ$11:AJ$100,MATCH($C24,'Coverage Indicators_1B'!$B$11:$B$100,0)),"")</f>
        <v>0</v>
      </c>
      <c r="AP24" s="780" t="str">
        <f>IFERROR(INDEX('Coverage Indicators_1B'!AK$11:AK$100,MATCH($C24,'Coverage Indicators_1B'!$B$11:$B$100,0)),"")</f>
        <v>No Results Reported</v>
      </c>
      <c r="AQ24" s="785">
        <v>18</v>
      </c>
      <c r="AR24" s="772" t="str">
        <f t="shared" si="3"/>
        <v>No</v>
      </c>
      <c r="AS24" s="786" t="s">
        <v>37</v>
      </c>
      <c r="AT24" s="772"/>
      <c r="AU24" s="772"/>
      <c r="AV24" s="772"/>
      <c r="AW24" s="772"/>
      <c r="AX24" s="772"/>
      <c r="AY24" s="786" t="s">
        <v>432</v>
      </c>
      <c r="AZ24" s="786" t="s">
        <v>433</v>
      </c>
      <c r="BA24" s="786" t="s">
        <v>502</v>
      </c>
    </row>
    <row r="25" spans="1:53" ht="15.6" customHeight="1" x14ac:dyDescent="0.2">
      <c r="A25" s="772" t="s">
        <v>503</v>
      </c>
      <c r="B25" s="772">
        <f t="shared" si="1"/>
        <v>18</v>
      </c>
      <c r="C25" s="771" t="str">
        <f t="shared" si="2"/>
        <v>Coverage18</v>
      </c>
      <c r="D25" s="779" t="s">
        <v>427</v>
      </c>
      <c r="E25" s="780" t="str">
        <f t="shared" si="0"/>
        <v>TB/HIV-4.1: Pourcentage de personnes vivant avec le VIH nouvellement enrollées dans les soins du VIH qui ont commencé le traitement préventif de la TB</v>
      </c>
      <c r="F25" s="779" t="s">
        <v>504</v>
      </c>
      <c r="G25" s="779"/>
      <c r="H25" s="779" t="s">
        <v>505</v>
      </c>
      <c r="I25" s="779" t="s">
        <v>506</v>
      </c>
      <c r="J25" s="779"/>
      <c r="K25" s="779" t="s">
        <v>394</v>
      </c>
      <c r="L25" s="779" t="s">
        <v>395</v>
      </c>
      <c r="M25" s="780" t="b">
        <v>0</v>
      </c>
      <c r="N25" s="781">
        <v>198</v>
      </c>
      <c r="O25" s="782">
        <v>6166</v>
      </c>
      <c r="P25" s="783">
        <v>3.2</v>
      </c>
      <c r="Q25" s="779" t="s">
        <v>466</v>
      </c>
      <c r="R25" s="779" t="s">
        <v>467</v>
      </c>
      <c r="S25" s="781">
        <v>692.25</v>
      </c>
      <c r="T25" s="782">
        <v>1846</v>
      </c>
      <c r="U25" s="783">
        <v>37.5</v>
      </c>
      <c r="V25" s="787" t="s">
        <v>507</v>
      </c>
      <c r="W25" s="781">
        <f>IFERROR(IF(INDEX('Coverage Indicators_1B'!Q$11:Q$100,MATCH($C25,'Coverage Indicators_1B'!$B$11:$B$100,0))="","",INDEX('Coverage Indicators_1B'!Q$11:Q$100,MATCH($C25,'Coverage Indicators_1B'!$B$11:$B$100,0))),"")</f>
        <v>3987</v>
      </c>
      <c r="X25" s="782">
        <f>IFERROR(IF(INDEX('Coverage Indicators_1B'!R$11:R$100,MATCH($C25,'Coverage Indicators_1B'!$B$11:$B$100,0))="","",INDEX('Coverage Indicators_1B'!R$11:R$100,MATCH($C25,'Coverage Indicators_1B'!$B$11:$B$100,0))),"")</f>
        <v>9262</v>
      </c>
      <c r="Y25" s="783">
        <f>IFERROR(IF(INDEX('Coverage Indicators_1B'!S$11:S$100,MATCH($C25,'Coverage Indicators_1B'!$B$11:$B$100,0))="","",INDEX('Coverage Indicators_1B'!S$11:S$100,MATCH($C25,'Coverage Indicators_1B'!$B$11:$B$100,0))),"")</f>
        <v>43.046858129993524</v>
      </c>
      <c r="Z25" s="779" t="str">
        <f>IFERROR(IF(INDEX('Coverage Indicators_1B'!T$11:T$100,MATCH($C25,'Coverage Indicators_1B'!$B$11:$B$100,0))="","",INDEX('Coverage Indicators_1B'!T$11:T$100,MATCH($C25,'Coverage Indicators_1B'!$B$11:$B$100,0))),"")</f>
        <v>HMIS</v>
      </c>
      <c r="AA25" s="784">
        <f>IFERROR(INDEX('Coverage Indicators_1B'!U$11:U$100,MATCH($C25,'Coverage Indicators_1B'!$B$11:$B$100,0)),"")</f>
        <v>1.1479162167998274</v>
      </c>
      <c r="AB25" s="779" t="str">
        <f>IFERROR(IF(INDEX('Coverage Indicators_1B'!V$11:V$100,MATCH($C25,'Coverage Indicators_1B'!$B$11:$B$100,0))="","",INDEX('Coverage Indicators_1B'!V$11:V$100,MATCH($C25,'Coverage Indicators_1B'!$B$11:$B$100,0))),"")</f>
        <v>Vue d’ensemble  
Source des données=DHIS2 : données extraites en date du 12mars2020
Au cours du 2è semestre 2019, la proportion de personnes vivant avec le VIH nouvellement enrôlées dans les soins du VIH qui ont commencé le traitement préventif de la TB est de 43%, correspondant à un taux de réalisation de 115%. 
Analyse des données 
La performance de 115% réalisée pour cet indicateur au cours du 2è semestre 2020 est supérieure à celle du 1er semestre 2019 (110% =4147/10071). Cependant, en comparant les chiffres bruts, nous réalisons que le nombre d'adultes et d'enfants nouvellement pris en charge pour le VIH, c.-à-d. enrôlés aux soins (pré-TAR et TAR) et qui ont également reçu au moins une dose d’INH au cours de la période de rapportage est inférieur (3987) à celui rapporté en S1_2019 (4147). La même tendance s’observe pour les dénominateurs : Nombre total d'adultes et d'enfants nouvellement pris en charge pour le VIH au cours de la période de rapportage : 3987 en S2 2019 et 10071 en S1 2019.
Cela serait dû essentiellement par le fait que :
-	Les données sont incomplètes : en effet, les données de certains sites ne sont pas visibles dans DHIS2 pour quelques mois y compris le mois de décembre (car non encore validé par les niveaux opérationnels et intermédiaires) ou/et
-	Les aberrations ont été corrigées car les Médecins chefs et les Médecins provinciaux ont l’obligation de vérifier systématiquement toutes les données avant de les valider 
Le numérateur est le nombre d'adultes et d'enfants nouvellement pris en charge pour le VIH, c.-à-d. enrôlés aux soins (pré-TAR et TAR) et qui ont également démarré (ayant reçu au moins une dose) de la prophylaxie à l'isoniazide au cours de la période de rapportage. Il est de 3987.
Le dénominateur est le nombre total d'adultes et d'enfants nouvellement pris en charge pour le VIH au cours de la période de rapportage. Ce dénominateur a été mis à jour conformément au nombre de PVVIH nouvellement enrôlé dans les soins durant cette période. Ainsi, les personnes diagnostiquées PVVIH en pré traitement sous Cotrimoxazole, en traitement ARV sans Cotrimoxazole et en traitement ARV avec Cotrimoxazole ou diagnostiquées VIH en attente du traitement ARV et du Cotrimoxazole ont été pris en compte dans le dénominateur. Il devient alors 9262.
La performance de cet indicateur pourra s’améliorer lors de la prise en compte des données de tous les sites dans DHIS2 après la validation de ces données par les Médecins chefs des districts et les Médecins provinciaux. 
Solutions/Recommandations 
En vue de maintenir la performance de cet indicateur, il est recommandé de prendre/renforcer les actions suivantes :
-accélérer le passage à échelle de la prophylaxie à l’INH et prendre des dispositions nécessaires pour qu’il soit disponible au niveau des sites ARV ;
-Renforcer le suivi de la gestion de l’INH au niveau des sites ainsi que le système de son rapportage
-Confronter les kits distribués au nombre de PVVH déjà soumis sous prophylaxie et dresser le rapport
-faire un suivi de l’enrôlement des PVVIH sous INH au niveau des sites afin d’anticiper les éventuelles péremptions vu qu’un PVVIH n’est enrôlé qu’une fois dans les 5ans pour une prophylaxie de 6 mois ;
-renforcer les sensibilisations des prestataires au screening systématique des PVVIH à chaque contact avec la structure et l’enrôlement à l’INH conformément aux directives de coïnfection TB/VIH ;
-S’assurer de la disponibilité de l’outil récemment révisé pour la collecte des données sur les prestations de la coïnfection TB/VIH ;
-continuer le plaidoyer au Ministère de la santé Publique en faveur d’une amélioration continue de la qualité des données de DHIS2</v>
      </c>
      <c r="AC25" s="781" t="str">
        <f>IFERROR(IF(INDEX('Coverage Indicators_1B'!X$11:X$100,MATCH($C25,'Coverage Indicators_1B'!$B$11:$B$100,0))="","",INDEX('Coverage Indicators_1B'!X$11:X$100,MATCH($C25,'Coverage Indicators_1B'!$B$11:$B$100,0))),"")</f>
        <v/>
      </c>
      <c r="AD25" s="782" t="str">
        <f>IFERROR(IF(INDEX('Coverage Indicators_1B'!Y$11:Y$100,MATCH($C25,'Coverage Indicators_1B'!$B$11:$B$100,0))="","",INDEX('Coverage Indicators_1B'!Y$11:Y$100,MATCH($C25,'Coverage Indicators_1B'!$B$11:$B$100,0))),"")</f>
        <v/>
      </c>
      <c r="AE25" s="783" t="str">
        <f>IFERROR(IF(INDEX('Coverage Indicators_1B'!Z$11:Z$100,MATCH($C25,'Coverage Indicators_1B'!$B$11:$B$100,0))="","",INDEX('Coverage Indicators_1B'!Z$11:Z$100,MATCH($C25,'Coverage Indicators_1B'!$B$11:$B$100,0))),"")</f>
        <v/>
      </c>
      <c r="AF25" s="779" t="str">
        <f>IFERROR(IF(INDEX('Coverage Indicators_1B'!AA$11:AA$100,MATCH($C25,'Coverage Indicators_1B'!$B$11:$B$100,0))="","",INDEX('Coverage Indicators_1B'!AA$11:AA$100,MATCH($C25,'Coverage Indicators_1B'!$B$11:$B$100,0))),"")</f>
        <v/>
      </c>
      <c r="AG25" s="780" t="str">
        <f>IFERROR(INDEX('Coverage Indicators_1B'!AB$11:AB$100,MATCH($C25,'Coverage Indicators_1B'!$B$11:$B$100,0)),"")</f>
        <v xml:space="preserve"> </v>
      </c>
      <c r="AH25" s="779" t="str">
        <f>IFERROR(IF(INDEX('Coverage Indicators_1B'!AC$11:AC$100,MATCH($C25,'Coverage Indicators_1B'!$B$11:$B$100,0))="","",INDEX('Coverage Indicators_1B'!AC$11:AC$100,MATCH($C25,'Coverage Indicators_1B'!$B$11:$B$100,0))),"")</f>
        <v/>
      </c>
      <c r="AI25" s="779" t="str">
        <f>IFERROR(IF(INDEX('Coverage Indicators_1B'!AD$11:AD$100,MATCH($C25,'Coverage Indicators_1B'!$B$11:$B$100,0))="","",INDEX('Coverage Indicators_1B'!AD$11:AD$100,MATCH($C25,'Coverage Indicators_1B'!$B$11:$B$100,0))),"")</f>
        <v/>
      </c>
      <c r="AJ25" s="780" t="str">
        <f>IFERROR(INDEX('Coverage Indicators_1B'!AE$11:AE$100,MATCH($C25,'Coverage Indicators_1B'!$B$11:$B$100,0)),"")</f>
        <v>No Results Reported</v>
      </c>
      <c r="AK25" s="780"/>
      <c r="AL25" s="780"/>
      <c r="AM25" s="780"/>
      <c r="AN25" s="780" t="str">
        <f>IFERROR(INDEX('Coverage Indicators_1B'!AI$11:AI$100,MATCH($C25,'Coverage Indicators_1B'!$B$11:$B$100,0)),"")</f>
        <v xml:space="preserve"> </v>
      </c>
      <c r="AO25" s="780">
        <f>IFERROR(INDEX('Coverage Indicators_1B'!AJ$11:AJ$100,MATCH($C25,'Coverage Indicators_1B'!$B$11:$B$100,0)),"")</f>
        <v>0</v>
      </c>
      <c r="AP25" s="780" t="str">
        <f>IFERROR(INDEX('Coverage Indicators_1B'!AK$11:AK$100,MATCH($C25,'Coverage Indicators_1B'!$B$11:$B$100,0)),"")</f>
        <v>No Results Reported</v>
      </c>
      <c r="AQ25" s="785">
        <v>19</v>
      </c>
      <c r="AR25" s="772" t="str">
        <f t="shared" si="3"/>
        <v>No</v>
      </c>
      <c r="AS25" s="786" t="s">
        <v>37</v>
      </c>
      <c r="AT25" s="772"/>
      <c r="AU25" s="772"/>
      <c r="AV25" s="772"/>
      <c r="AW25" s="772"/>
      <c r="AX25" s="772"/>
      <c r="AY25" s="786" t="s">
        <v>432</v>
      </c>
      <c r="AZ25" s="786" t="s">
        <v>433</v>
      </c>
      <c r="BA25" s="786" t="s">
        <v>508</v>
      </c>
    </row>
    <row r="26" spans="1:53" ht="15.6" customHeight="1" x14ac:dyDescent="0.2">
      <c r="A26" s="772" t="s">
        <v>509</v>
      </c>
      <c r="B26" s="772">
        <f t="shared" si="1"/>
        <v>19</v>
      </c>
      <c r="C26" s="771" t="str">
        <f t="shared" si="2"/>
        <v>Coverage19</v>
      </c>
      <c r="D26" s="779" t="s">
        <v>510</v>
      </c>
      <c r="E26" s="780" t="str">
        <f t="shared" si="0"/>
        <v>HTS-1: Nombre de personnes dépistées pour le VIH et ayant reçu leurs résultats durant la période de rapportage</v>
      </c>
      <c r="F26" s="779" t="s">
        <v>511</v>
      </c>
      <c r="G26" s="779"/>
      <c r="H26" s="779" t="s">
        <v>512</v>
      </c>
      <c r="I26" s="779" t="s">
        <v>513</v>
      </c>
      <c r="J26" s="779"/>
      <c r="K26" s="779" t="s">
        <v>394</v>
      </c>
      <c r="L26" s="779" t="s">
        <v>482</v>
      </c>
      <c r="M26" s="780" t="b">
        <v>0</v>
      </c>
      <c r="N26" s="781">
        <v>704199</v>
      </c>
      <c r="O26" s="782"/>
      <c r="P26" s="783"/>
      <c r="Q26" s="779" t="s">
        <v>466</v>
      </c>
      <c r="R26" s="779" t="s">
        <v>467</v>
      </c>
      <c r="S26" s="781">
        <v>1097727</v>
      </c>
      <c r="T26" s="782"/>
      <c r="U26" s="783"/>
      <c r="V26" s="787" t="s">
        <v>514</v>
      </c>
      <c r="W26" s="781">
        <f>IFERROR(IF(INDEX('Coverage Indicators_1B'!Q$11:Q$100,MATCH($C26,'Coverage Indicators_1B'!$B$11:$B$100,0))="","",INDEX('Coverage Indicators_1B'!Q$11:Q$100,MATCH($C26,'Coverage Indicators_1B'!$B$11:$B$100,0))),"")</f>
        <v>978399</v>
      </c>
      <c r="X26" s="782" t="str">
        <f>IFERROR(IF(INDEX('Coverage Indicators_1B'!R$11:R$100,MATCH($C26,'Coverage Indicators_1B'!$B$11:$B$100,0))="","",INDEX('Coverage Indicators_1B'!R$11:R$100,MATCH($C26,'Coverage Indicators_1B'!$B$11:$B$100,0))),"")</f>
        <v/>
      </c>
      <c r="Y26" s="783" t="str">
        <f>IFERROR(IF(INDEX('Coverage Indicators_1B'!S$11:S$100,MATCH($C26,'Coverage Indicators_1B'!$B$11:$B$100,0))="","",INDEX('Coverage Indicators_1B'!S$11:S$100,MATCH($C26,'Coverage Indicators_1B'!$B$11:$B$100,0))),"")</f>
        <v/>
      </c>
      <c r="Z26" s="779" t="str">
        <f>IFERROR(IF(INDEX('Coverage Indicators_1B'!T$11:T$100,MATCH($C26,'Coverage Indicators_1B'!$B$11:$B$100,0))="","",INDEX('Coverage Indicators_1B'!T$11:T$100,MATCH($C26,'Coverage Indicators_1B'!$B$11:$B$100,0))),"")</f>
        <v>HMIS</v>
      </c>
      <c r="AA26" s="784">
        <f>IFERROR(INDEX('Coverage Indicators_1B'!U$11:U$100,MATCH($C26,'Coverage Indicators_1B'!$B$11:$B$100,0)),"")</f>
        <v>0.89129537671934822</v>
      </c>
      <c r="AB26" s="779" t="str">
        <f>IFERROR(IF(INDEX('Coverage Indicators_1B'!V$11:V$100,MATCH($C26,'Coverage Indicators_1B'!$B$11:$B$100,0))="","",INDEX('Coverage Indicators_1B'!V$11:V$100,MATCH($C26,'Coverage Indicators_1B'!$B$11:$B$100,0))),"")</f>
        <v>Vue d’ensemble :
 Source des données=DHIS2 : données extraites en date du 12mars2020
 En fin décembre 2019, le nombre de personnes dépistées pour le VIH et ayant reçu leurs résultats (tout âge et sexe confondus) durant la période de rapportage était de 978399 soit une performance de 89%. Ce nombre inclus également les femmes enceintes (417986), les HSH et les PS. 
Analyse des données 
Cette performance (N=978399) comparée à celle du 2è semestre 2018 (N= 2008439) est nettement inférieure ce qui est par ailleurs un effet souhaité. En effet, sur 1 029 372 personnes conseillées et dépistées au VIH, 978399 ont récupéré leurs résultats durant l’année 2019 soit un taux de retrait de 95%. 
Le nombre de tests attendus était de 1 097 727.
Cette performance serait liée à l’appropriation par les prestataires de la nouvelle approche de dépistage du VIH. En effet, en vue d’être efficient dans le dépistage, il est recommandé aujourd’hui de privilégier le dépistage indexé, le dépistage ciblé ainsi que le self testing.  C’est l’adoption de cette approche qui justifierait la baisse des tests réalisés ce qui est un effet souhaité.
La performance de cet indicateur sera ajustée lors de la prise en compte des données de tous les sites dans DHIS2 après la validation de ces données par les Médecins chefs des districts et les Médecins provinciaux. 
Solutions/Recommandations 
Pour maintenir cette performance, il est recommandé la mise en œuvre des actions suivantes :
-veiller à la disponibilité permanente des réactifs de dépistage ;
-renforcer les compétences des prestataires sur la nouvelle approche de dépistage : l’index testing, le dépistage ciblé et le self testing;
-mettre à profit les résultats du self testing et envisager le passage à échelle dans d’autres provinces</v>
      </c>
      <c r="AC26" s="781" t="str">
        <f>IFERROR(IF(INDEX('Coverage Indicators_1B'!X$11:X$100,MATCH($C26,'Coverage Indicators_1B'!$B$11:$B$100,0))="","",INDEX('Coverage Indicators_1B'!X$11:X$100,MATCH($C26,'Coverage Indicators_1B'!$B$11:$B$100,0))),"")</f>
        <v/>
      </c>
      <c r="AD26" s="782" t="str">
        <f>IFERROR(IF(INDEX('Coverage Indicators_1B'!Y$11:Y$100,MATCH($C26,'Coverage Indicators_1B'!$B$11:$B$100,0))="","",INDEX('Coverage Indicators_1B'!Y$11:Y$100,MATCH($C26,'Coverage Indicators_1B'!$B$11:$B$100,0))),"")</f>
        <v/>
      </c>
      <c r="AE26" s="783" t="str">
        <f>IFERROR(IF(INDEX('Coverage Indicators_1B'!Z$11:Z$100,MATCH($C26,'Coverage Indicators_1B'!$B$11:$B$100,0))="","",INDEX('Coverage Indicators_1B'!Z$11:Z$100,MATCH($C26,'Coverage Indicators_1B'!$B$11:$B$100,0))),"")</f>
        <v/>
      </c>
      <c r="AF26" s="779" t="str">
        <f>IFERROR(IF(INDEX('Coverage Indicators_1B'!AA$11:AA$100,MATCH($C26,'Coverage Indicators_1B'!$B$11:$B$100,0))="","",INDEX('Coverage Indicators_1B'!AA$11:AA$100,MATCH($C26,'Coverage Indicators_1B'!$B$11:$B$100,0))),"")</f>
        <v/>
      </c>
      <c r="AG26" s="780" t="str">
        <f>IFERROR(INDEX('Coverage Indicators_1B'!AB$11:AB$100,MATCH($C26,'Coverage Indicators_1B'!$B$11:$B$100,0)),"")</f>
        <v xml:space="preserve"> </v>
      </c>
      <c r="AH26" s="779" t="str">
        <f>IFERROR(IF(INDEX('Coverage Indicators_1B'!AC$11:AC$100,MATCH($C26,'Coverage Indicators_1B'!$B$11:$B$100,0))="","",INDEX('Coverage Indicators_1B'!AC$11:AC$100,MATCH($C26,'Coverage Indicators_1B'!$B$11:$B$100,0))),"")</f>
        <v/>
      </c>
      <c r="AI26" s="779" t="str">
        <f>IFERROR(IF(INDEX('Coverage Indicators_1B'!AD$11:AD$100,MATCH($C26,'Coverage Indicators_1B'!$B$11:$B$100,0))="","",INDEX('Coverage Indicators_1B'!AD$11:AD$100,MATCH($C26,'Coverage Indicators_1B'!$B$11:$B$100,0))),"")</f>
        <v/>
      </c>
      <c r="AJ26" s="780" t="str">
        <f>IFERROR(INDEX('Coverage Indicators_1B'!AE$11:AE$100,MATCH($C26,'Coverage Indicators_1B'!$B$11:$B$100,0)),"")</f>
        <v>No Results Reported</v>
      </c>
      <c r="AK26" s="780"/>
      <c r="AL26" s="780"/>
      <c r="AM26" s="780"/>
      <c r="AN26" s="780" t="str">
        <f>IFERROR(INDEX('Coverage Indicators_1B'!AI$11:AI$100,MATCH($C26,'Coverage Indicators_1B'!$B$11:$B$100,0)),"")</f>
        <v xml:space="preserve"> </v>
      </c>
      <c r="AO26" s="780">
        <f>IFERROR(INDEX('Coverage Indicators_1B'!AJ$11:AJ$100,MATCH($C26,'Coverage Indicators_1B'!$B$11:$B$100,0)),"")</f>
        <v>0</v>
      </c>
      <c r="AP26" s="780" t="str">
        <f>IFERROR(INDEX('Coverage Indicators_1B'!AK$11:AK$100,MATCH($C26,'Coverage Indicators_1B'!$B$11:$B$100,0)),"")</f>
        <v>No Results Reported</v>
      </c>
      <c r="AQ26" s="785">
        <v>20</v>
      </c>
      <c r="AR26" s="772" t="str">
        <f t="shared" si="3"/>
        <v>No</v>
      </c>
      <c r="AS26" s="786" t="s">
        <v>37</v>
      </c>
      <c r="AT26" s="772"/>
      <c r="AU26" s="772"/>
      <c r="AV26" s="772"/>
      <c r="AW26" s="772"/>
      <c r="AX26" s="772"/>
      <c r="AY26" s="786" t="s">
        <v>515</v>
      </c>
      <c r="AZ26" s="786" t="s">
        <v>516</v>
      </c>
      <c r="BA26" s="788" t="s">
        <v>517</v>
      </c>
    </row>
    <row r="27" spans="1:53" ht="15.6" customHeight="1" x14ac:dyDescent="0.2">
      <c r="A27" s="772" t="s">
        <v>518</v>
      </c>
      <c r="B27" s="772">
        <f t="shared" si="1"/>
        <v>20</v>
      </c>
      <c r="C27" s="771" t="str">
        <f t="shared" si="2"/>
        <v>Coverage20</v>
      </c>
      <c r="D27" s="779" t="s">
        <v>519</v>
      </c>
      <c r="E27" s="780" t="str">
        <f t="shared" si="0"/>
        <v>KP-1a(M): Pourcentage d'hommes ayant des rapports sexuels avec des hommes qui ont bénéficié de programmes de prévention du VIH (paquet de services définis)</v>
      </c>
      <c r="F27" s="779" t="s">
        <v>520</v>
      </c>
      <c r="G27" s="779"/>
      <c r="H27" s="779" t="s">
        <v>521</v>
      </c>
      <c r="I27" s="779" t="s">
        <v>522</v>
      </c>
      <c r="J27" s="779"/>
      <c r="K27" s="779" t="s">
        <v>394</v>
      </c>
      <c r="L27" s="779" t="s">
        <v>482</v>
      </c>
      <c r="M27" s="780" t="b">
        <v>0</v>
      </c>
      <c r="N27" s="781">
        <v>1833</v>
      </c>
      <c r="O27" s="782">
        <v>10035</v>
      </c>
      <c r="P27" s="783">
        <v>18.3</v>
      </c>
      <c r="Q27" s="779" t="s">
        <v>225</v>
      </c>
      <c r="R27" s="779" t="s">
        <v>523</v>
      </c>
      <c r="S27" s="781">
        <v>8728</v>
      </c>
      <c r="T27" s="782">
        <v>10755</v>
      </c>
      <c r="U27" s="783">
        <v>81.2</v>
      </c>
      <c r="V27" s="787" t="s">
        <v>524</v>
      </c>
      <c r="W27" s="781">
        <f>IFERROR(IF(INDEX('Coverage Indicators_1B'!Q$11:Q$100,MATCH($C27,'Coverage Indicators_1B'!$B$11:$B$100,0))="","",INDEX('Coverage Indicators_1B'!Q$11:Q$100,MATCH($C27,'Coverage Indicators_1B'!$B$11:$B$100,0))),"")</f>
        <v>14801</v>
      </c>
      <c r="X27" s="782">
        <f>IFERROR(IF(INDEX('Coverage Indicators_1B'!R$11:R$100,MATCH($C27,'Coverage Indicators_1B'!$B$11:$B$100,0))="","",INDEX('Coverage Indicators_1B'!R$11:R$100,MATCH($C27,'Coverage Indicators_1B'!$B$11:$B$100,0))),"")</f>
        <v>10755</v>
      </c>
      <c r="Y27" s="783">
        <f>IFERROR(IF(INDEX('Coverage Indicators_1B'!S$11:S$100,MATCH($C27,'Coverage Indicators_1B'!$B$11:$B$100,0))="","",INDEX('Coverage Indicators_1B'!S$11:S$100,MATCH($C27,'Coverage Indicators_1B'!$B$11:$B$100,0))),"")</f>
        <v>137.61971176197119</v>
      </c>
      <c r="Z27" s="779" t="str">
        <f>IFERROR(IF(INDEX('Coverage Indicators_1B'!T$11:T$100,MATCH($C27,'Coverage Indicators_1B'!$B$11:$B$100,0))="","",INDEX('Coverage Indicators_1B'!T$11:T$100,MATCH($C27,'Coverage Indicators_1B'!$B$11:$B$100,0))),"")</f>
        <v>Reports (specify)</v>
      </c>
      <c r="AA27" s="784">
        <f>IFERROR(INDEX('Coverage Indicators_1B'!U$11:U$100,MATCH($C27,'Coverage Indicators_1B'!$B$11:$B$100,0)),"")</f>
        <v>1.2</v>
      </c>
      <c r="AB27" s="779" t="str">
        <f>IFERROR(IF(INDEX('Coverage Indicators_1B'!V$11:V$100,MATCH($C27,'Coverage Indicators_1B'!$B$11:$B$100,0))="","",INDEX('Coverage Indicators_1B'!V$11:V$100,MATCH($C27,'Coverage Indicators_1B'!$B$11:$B$100,0))),"")</f>
        <v>Vue d’ensemble :
Source des données : cet indicateur a été renseigné grâce au rapport annuel de la CRB (compilation des rapports de l’ANSS) et celui du Projet Linkages 
Au cours de l’année 2019, la proportion de HSH qui a bénéficié un programmes de prévention du VIH est de 137,6%, ce qui donne un taux d’accomplissement de 120%. 
Analyse des données :
On constate qu’il y a eu un dépassement de la performance. Si on compare le taux de réalisation de 2019 (137,6% N=14801/10755) à celui de 2018 (97,7%  :N=10280/10522), on constate que celui de 2019 est de loin supérieur.  
Parmi les 14801 HSH touchés par les messages de prévention du VIH :
-7494 ont été rapportés au 1er semestre par la CRB via l’ANSS qui encadre les pairs éducateurs dans les provinces de Cibitoke, Gitega, Rumonge et Makamba; le Projet Linkages sur financement de PEPFAR/USAID, SIDACTION et les médiateurs de santé dans les structures où ils sont affectés.
-7307 ont été rapportés de juillet à décembre 2019 par  la CRB et le Projet Linkages .
-Le numérateur est le nombre d'hommes ayant des rapports sexuels avec des hommes qui ont bénéficié de programmes de prévention du VIH (IEC/CCC, préservatifs, gel, références et soutien - dépistage, IST ; soins pré-TAR et TAR). Il est de 14801.
-Le dénominateur est le nombre estimé d'hommes ayant des rapports sexuels avec des hommes au niveau national. Il est de 10755.
Observations / Commentaires :
Le dépassement de la performance s’expliquerait par trois faits essentiels :
-les PE ont multiplié les séances de sensibilisation grâce à l’encadrement des responsables (conseiller psychosocial et médecin) des centres de convivialité.
- L’existence des MSM qui seraient intéressaient par les informations de prévention du VIH et qui seraient par conséquent touchés par ces messages plus d’1 fois dans l’année
- La contribution de SIDACTION et les Médiateurs dans l’offre des services de prévention aux HSH au 1er semestre 2019, 
Solutions / Recommandations :
En vue de maintenir une bonne performance de cet indicateur, le PR recommande à la CRB :
- de maintenir les efforts actuels dans l’offre du paquet des services de prévention du VIH aux HSH ;
- de mettre en place un dispositif de vérification, contrôle et correction des doublons dans le rapportage
-de mettre à la disposition des PE les manuels ou aide-mémoires contenant des thèmes de prévention du VIH à développer au cours des entretiens avec les HSH ;
-de faire des supervisions formatives aux PE en vue de renforcer leurs capacités sur le lieu de travail ; 
-de s’assurer que chaque HSH rapporté a reçu au moins 4 thèmes au minimum parmi les thèmes suivants : distribution et utilisation des préservatifs, gel, références et soutien - dépistage, IST, soins pré-TAR et TAR en quatre séances par mois pour qu’il soit rapportée.</v>
      </c>
      <c r="AC27" s="781" t="str">
        <f>IFERROR(IF(INDEX('Coverage Indicators_1B'!X$11:X$100,MATCH($C27,'Coverage Indicators_1B'!$B$11:$B$100,0))="","",INDEX('Coverage Indicators_1B'!X$11:X$100,MATCH($C27,'Coverage Indicators_1B'!$B$11:$B$100,0))),"")</f>
        <v/>
      </c>
      <c r="AD27" s="782" t="str">
        <f>IFERROR(IF(INDEX('Coverage Indicators_1B'!Y$11:Y$100,MATCH($C27,'Coverage Indicators_1B'!$B$11:$B$100,0))="","",INDEX('Coverage Indicators_1B'!Y$11:Y$100,MATCH($C27,'Coverage Indicators_1B'!$B$11:$B$100,0))),"")</f>
        <v/>
      </c>
      <c r="AE27" s="783" t="str">
        <f>IFERROR(IF(INDEX('Coverage Indicators_1B'!Z$11:Z$100,MATCH($C27,'Coverage Indicators_1B'!$B$11:$B$100,0))="","",INDEX('Coverage Indicators_1B'!Z$11:Z$100,MATCH($C27,'Coverage Indicators_1B'!$B$11:$B$100,0))),"")</f>
        <v/>
      </c>
      <c r="AF27" s="779" t="str">
        <f>IFERROR(IF(INDEX('Coverage Indicators_1B'!AA$11:AA$100,MATCH($C27,'Coverage Indicators_1B'!$B$11:$B$100,0))="","",INDEX('Coverage Indicators_1B'!AA$11:AA$100,MATCH($C27,'Coverage Indicators_1B'!$B$11:$B$100,0))),"")</f>
        <v/>
      </c>
      <c r="AG27" s="780" t="str">
        <f>IFERROR(INDEX('Coverage Indicators_1B'!AB$11:AB$100,MATCH($C27,'Coverage Indicators_1B'!$B$11:$B$100,0)),"")</f>
        <v xml:space="preserve"> </v>
      </c>
      <c r="AH27" s="779" t="str">
        <f>IFERROR(IF(INDEX('Coverage Indicators_1B'!AC$11:AC$100,MATCH($C27,'Coverage Indicators_1B'!$B$11:$B$100,0))="","",INDEX('Coverage Indicators_1B'!AC$11:AC$100,MATCH($C27,'Coverage Indicators_1B'!$B$11:$B$100,0))),"")</f>
        <v/>
      </c>
      <c r="AI27" s="779" t="str">
        <f>IFERROR(IF(INDEX('Coverage Indicators_1B'!AD$11:AD$100,MATCH($C27,'Coverage Indicators_1B'!$B$11:$B$100,0))="","",INDEX('Coverage Indicators_1B'!AD$11:AD$100,MATCH($C27,'Coverage Indicators_1B'!$B$11:$B$100,0))),"")</f>
        <v/>
      </c>
      <c r="AJ27" s="780" t="str">
        <f>IFERROR(INDEX('Coverage Indicators_1B'!AE$11:AE$100,MATCH($C27,'Coverage Indicators_1B'!$B$11:$B$100,0)),"")</f>
        <v>No Results Reported</v>
      </c>
      <c r="AK27" s="780"/>
      <c r="AL27" s="780"/>
      <c r="AM27" s="780"/>
      <c r="AN27" s="780" t="str">
        <f>IFERROR(INDEX('Coverage Indicators_1B'!AI$11:AI$100,MATCH($C27,'Coverage Indicators_1B'!$B$11:$B$100,0)),"")</f>
        <v xml:space="preserve"> </v>
      </c>
      <c r="AO27" s="780">
        <f>IFERROR(INDEX('Coverage Indicators_1B'!AJ$11:AJ$100,MATCH($C27,'Coverage Indicators_1B'!$B$11:$B$100,0)),"")</f>
        <v>0</v>
      </c>
      <c r="AP27" s="780" t="str">
        <f>IFERROR(INDEX('Coverage Indicators_1B'!AK$11:AK$100,MATCH($C27,'Coverage Indicators_1B'!$B$11:$B$100,0)),"")</f>
        <v>No Results Reported</v>
      </c>
      <c r="AQ27" s="785">
        <v>21</v>
      </c>
      <c r="AR27" s="772" t="str">
        <f t="shared" si="3"/>
        <v>No</v>
      </c>
      <c r="AS27" s="786" t="s">
        <v>37</v>
      </c>
      <c r="AT27" s="772"/>
      <c r="AU27" s="772"/>
      <c r="AV27" s="772"/>
      <c r="AW27" s="772"/>
      <c r="AX27" s="772"/>
      <c r="AY27" s="786" t="s">
        <v>525</v>
      </c>
      <c r="AZ27" s="786" t="s">
        <v>526</v>
      </c>
      <c r="BA27" s="786" t="s">
        <v>527</v>
      </c>
    </row>
    <row r="28" spans="1:53" ht="15.6" customHeight="1" x14ac:dyDescent="0.2">
      <c r="A28" s="772" t="s">
        <v>528</v>
      </c>
      <c r="B28" s="772">
        <f t="shared" si="1"/>
        <v>21</v>
      </c>
      <c r="C28" s="771" t="str">
        <f t="shared" si="2"/>
        <v>Coverage21</v>
      </c>
      <c r="D28" s="779" t="s">
        <v>519</v>
      </c>
      <c r="E28" s="780" t="str">
        <f t="shared" si="0"/>
        <v>KP-3a(M): Nombre et pourcentage d'hommes ayant des rapports sexuels avec des hommes qui ont fait un test VIH et connaissent les résultats</v>
      </c>
      <c r="F28" s="779" t="s">
        <v>529</v>
      </c>
      <c r="G28" s="779"/>
      <c r="H28" s="779" t="s">
        <v>530</v>
      </c>
      <c r="I28" s="779" t="s">
        <v>531</v>
      </c>
      <c r="J28" s="779"/>
      <c r="K28" s="779" t="s">
        <v>394</v>
      </c>
      <c r="L28" s="779" t="s">
        <v>482</v>
      </c>
      <c r="M28" s="780" t="b">
        <v>0</v>
      </c>
      <c r="N28" s="781">
        <v>975</v>
      </c>
      <c r="O28" s="782">
        <v>10035</v>
      </c>
      <c r="P28" s="783">
        <v>9.6999999999999993</v>
      </c>
      <c r="Q28" s="779" t="s">
        <v>225</v>
      </c>
      <c r="R28" s="779" t="s">
        <v>523</v>
      </c>
      <c r="S28" s="781">
        <v>7313.4</v>
      </c>
      <c r="T28" s="782">
        <v>10755</v>
      </c>
      <c r="U28" s="783">
        <v>68</v>
      </c>
      <c r="V28" s="787" t="s">
        <v>532</v>
      </c>
      <c r="W28" s="781">
        <f>IFERROR(IF(INDEX('Coverage Indicators_1B'!Q$11:Q$100,MATCH($C28,'Coverage Indicators_1B'!$B$11:$B$100,0))="","",INDEX('Coverage Indicators_1B'!Q$11:Q$100,MATCH($C28,'Coverage Indicators_1B'!$B$11:$B$100,0))),"")</f>
        <v>6544</v>
      </c>
      <c r="X28" s="782">
        <f>IFERROR(IF(INDEX('Coverage Indicators_1B'!R$11:R$100,MATCH($C28,'Coverage Indicators_1B'!$B$11:$B$100,0))="","",INDEX('Coverage Indicators_1B'!R$11:R$100,MATCH($C28,'Coverage Indicators_1B'!$B$11:$B$100,0))),"")</f>
        <v>10755</v>
      </c>
      <c r="Y28" s="783">
        <f>IFERROR(IF(INDEX('Coverage Indicators_1B'!S$11:S$100,MATCH($C28,'Coverage Indicators_1B'!$B$11:$B$100,0))="","",INDEX('Coverage Indicators_1B'!S$11:S$100,MATCH($C28,'Coverage Indicators_1B'!$B$11:$B$100,0))),"")</f>
        <v>60.84611808461181</v>
      </c>
      <c r="Z28" s="779" t="str">
        <f>IFERROR(IF(INDEX('Coverage Indicators_1B'!T$11:T$100,MATCH($C28,'Coverage Indicators_1B'!$B$11:$B$100,0))="","",INDEX('Coverage Indicators_1B'!T$11:T$100,MATCH($C28,'Coverage Indicators_1B'!$B$11:$B$100,0))),"")</f>
        <v>Reports (specify)</v>
      </c>
      <c r="AA28" s="784">
        <f>IFERROR(INDEX('Coverage Indicators_1B'!U$11:U$100,MATCH($C28,'Coverage Indicators_1B'!$B$11:$B$100,0)),"")</f>
        <v>0.89479585418546781</v>
      </c>
      <c r="AB28" s="779" t="str">
        <f>IFERROR(IF(INDEX('Coverage Indicators_1B'!V$11:V$100,MATCH($C28,'Coverage Indicators_1B'!$B$11:$B$100,0))="","",INDEX('Coverage Indicators_1B'!V$11:V$100,MATCH($C28,'Coverage Indicators_1B'!$B$11:$B$100,0))),"")</f>
        <v>Vue d’ensemble :
Source des données : cet indicateur a été renseigné grâce au rapport annuel de la CRB (compilation des rapports de l’ANSS) et celui du Projet Linkages.
Au cours de l’année 2019, la proportion d'hommes ayant des rapports sexuels avec des hommes qui ont fait un test VIH et qui connaissent les résultats est de 60,8%, soit un taux d’accomplissement de 89%.
Analyse des données :
Cette performance est superposable à celle de 2018 (90%). Cependant, le nombre de ceux qui se sont faits dépistés et qui connaissent les résultats (6544), comparé à celui de ceux qui ont bénéficié le programme de prévention (14801), nous réalisons que plus de la moitié des HSH se sont pas faits dépister ( soit 58% N=8257).
Parmi les 6544 HSH qui ont fait le test VIH et qui connaissent les résultats :
-3296 ont été rapportés au 1er semestre par la CRB via l’ANSS qui encadrent les pairs éducateurs (Cibitoke, Gitega, Rumonge et Makamba), le Projet Linkages, sIDACTION et les Médiateurs de santé.
-3248 ont été rapportés de juillet à décembre 2019 par la CRB et le Projet Linkages sur financement de PEPFAR/USAID.
Le numérateur : est nombre d'hommes ayant des rapports sexuels avec des hommes qui ont fait un test VIH au cours de la période de rapportage et connaissent les résultats. Il est de 6544
Le dénominateur : Nombre estimé d'hommes ayant des rapports sexuels avec des hommes au niveau national. Il est de 10755.
Observations / Commentaires :
Cette performance s’expliquerait par :
-Parmi les HSH qui suivent le programme de prévention, certains connaissent déjà leur statut sérologique pendant que d’autres refuseraient de se faire dépister.
- Le fait que les services de dépistage ne se faisaient pas dans les centres de convivialité, cela constituant une restriction pour les HSH à se faire dépister dans les structures de soins par crainte de la stigmatisation et discrimination
Solutions / Recommandations :
Dans le but de maintenir une bonne performance pour cet indicateur, il est recommandé de :
-faire la promotion de l’autotest dans le dépistage du VIH ;
-intégrer les centres de convivialité à l’intérieur des structures associatives, ce qui faciliterait l’adhésion des HSH au dépistage
-multiplier et les séances de sensibilisation des HSH à l’utilisation des formations sanitaires pour le dépistage du VIH ;
-sensibiliser les prestataires à l’offre des services de dépistage du VIH aux HSM et au respect de la confidentialité.
- Mettre à jour les données et la cartographie des HSH à travers l’étude IBBS
- Envisager un système de codification ou d’attribution d’un identifiant unique pour une bonne traçabilité des déplacements des HSH et en vue d’éviter les doublons dans le rapportage</v>
      </c>
      <c r="AC28" s="781" t="str">
        <f>IFERROR(IF(INDEX('Coverage Indicators_1B'!X$11:X$100,MATCH($C28,'Coverage Indicators_1B'!$B$11:$B$100,0))="","",INDEX('Coverage Indicators_1B'!X$11:X$100,MATCH($C28,'Coverage Indicators_1B'!$B$11:$B$100,0))),"")</f>
        <v/>
      </c>
      <c r="AD28" s="782" t="str">
        <f>IFERROR(IF(INDEX('Coverage Indicators_1B'!Y$11:Y$100,MATCH($C28,'Coverage Indicators_1B'!$B$11:$B$100,0))="","",INDEX('Coverage Indicators_1B'!Y$11:Y$100,MATCH($C28,'Coverage Indicators_1B'!$B$11:$B$100,0))),"")</f>
        <v/>
      </c>
      <c r="AE28" s="783" t="str">
        <f>IFERROR(IF(INDEX('Coverage Indicators_1B'!Z$11:Z$100,MATCH($C28,'Coverage Indicators_1B'!$B$11:$B$100,0))="","",INDEX('Coverage Indicators_1B'!Z$11:Z$100,MATCH($C28,'Coverage Indicators_1B'!$B$11:$B$100,0))),"")</f>
        <v/>
      </c>
      <c r="AF28" s="779" t="str">
        <f>IFERROR(IF(INDEX('Coverage Indicators_1B'!AA$11:AA$100,MATCH($C28,'Coverage Indicators_1B'!$B$11:$B$100,0))="","",INDEX('Coverage Indicators_1B'!AA$11:AA$100,MATCH($C28,'Coverage Indicators_1B'!$B$11:$B$100,0))),"")</f>
        <v/>
      </c>
      <c r="AG28" s="780" t="str">
        <f>IFERROR(INDEX('Coverage Indicators_1B'!AB$11:AB$100,MATCH($C28,'Coverage Indicators_1B'!$B$11:$B$100,0)),"")</f>
        <v xml:space="preserve"> </v>
      </c>
      <c r="AH28" s="779" t="str">
        <f>IFERROR(IF(INDEX('Coverage Indicators_1B'!AC$11:AC$100,MATCH($C28,'Coverage Indicators_1B'!$B$11:$B$100,0))="","",INDEX('Coverage Indicators_1B'!AC$11:AC$100,MATCH($C28,'Coverage Indicators_1B'!$B$11:$B$100,0))),"")</f>
        <v/>
      </c>
      <c r="AI28" s="779" t="str">
        <f>IFERROR(IF(INDEX('Coverage Indicators_1B'!AD$11:AD$100,MATCH($C28,'Coverage Indicators_1B'!$B$11:$B$100,0))="","",INDEX('Coverage Indicators_1B'!AD$11:AD$100,MATCH($C28,'Coverage Indicators_1B'!$B$11:$B$100,0))),"")</f>
        <v/>
      </c>
      <c r="AJ28" s="780" t="str">
        <f>IFERROR(INDEX('Coverage Indicators_1B'!AE$11:AE$100,MATCH($C28,'Coverage Indicators_1B'!$B$11:$B$100,0)),"")</f>
        <v>No Results Reported</v>
      </c>
      <c r="AK28" s="780"/>
      <c r="AL28" s="780"/>
      <c r="AM28" s="780"/>
      <c r="AN28" s="780" t="str">
        <f>IFERROR(INDEX('Coverage Indicators_1B'!AI$11:AI$100,MATCH($C28,'Coverage Indicators_1B'!$B$11:$B$100,0)),"")</f>
        <v xml:space="preserve"> </v>
      </c>
      <c r="AO28" s="780">
        <f>IFERROR(INDEX('Coverage Indicators_1B'!AJ$11:AJ$100,MATCH($C28,'Coverage Indicators_1B'!$B$11:$B$100,0)),"")</f>
        <v>0</v>
      </c>
      <c r="AP28" s="780" t="str">
        <f>IFERROR(INDEX('Coverage Indicators_1B'!AK$11:AK$100,MATCH($C28,'Coverage Indicators_1B'!$B$11:$B$100,0)),"")</f>
        <v>No Results Reported</v>
      </c>
      <c r="AQ28" s="785">
        <v>22</v>
      </c>
      <c r="AR28" s="772" t="str">
        <f t="shared" si="3"/>
        <v>No</v>
      </c>
      <c r="AS28" s="786" t="s">
        <v>37</v>
      </c>
      <c r="AT28" s="772"/>
      <c r="AU28" s="772"/>
      <c r="AV28" s="772"/>
      <c r="AW28" s="772"/>
      <c r="AX28" s="772"/>
      <c r="AY28" s="786" t="s">
        <v>525</v>
      </c>
      <c r="AZ28" s="786" t="s">
        <v>526</v>
      </c>
      <c r="BA28" s="786" t="s">
        <v>527</v>
      </c>
    </row>
    <row r="29" spans="1:53" ht="15.6" customHeight="1" x14ac:dyDescent="0.2">
      <c r="A29" s="772" t="s">
        <v>533</v>
      </c>
      <c r="B29" s="772">
        <f t="shared" si="1"/>
        <v>22</v>
      </c>
      <c r="C29" s="771" t="str">
        <f t="shared" si="2"/>
        <v>Coverage22</v>
      </c>
      <c r="D29" s="779" t="s">
        <v>534</v>
      </c>
      <c r="E29" s="780" t="str">
        <f t="shared" si="0"/>
        <v>KP-1c(M): Pourcentage de professionnels du sexe ayant bénéficié de programmes de prévention du VIH- paquet de services définis</v>
      </c>
      <c r="F29" s="779" t="s">
        <v>535</v>
      </c>
      <c r="G29" s="779"/>
      <c r="H29" s="779" t="s">
        <v>536</v>
      </c>
      <c r="I29" s="779" t="s">
        <v>537</v>
      </c>
      <c r="J29" s="779"/>
      <c r="K29" s="779" t="s">
        <v>394</v>
      </c>
      <c r="L29" s="779" t="s">
        <v>482</v>
      </c>
      <c r="M29" s="780" t="b">
        <v>0</v>
      </c>
      <c r="N29" s="781">
        <v>14364</v>
      </c>
      <c r="O29" s="782">
        <v>55278</v>
      </c>
      <c r="P29" s="783">
        <v>26</v>
      </c>
      <c r="Q29" s="779" t="s">
        <v>225</v>
      </c>
      <c r="R29" s="779" t="s">
        <v>523</v>
      </c>
      <c r="S29" s="781">
        <v>50451</v>
      </c>
      <c r="T29" s="782">
        <v>59354</v>
      </c>
      <c r="U29" s="783">
        <v>85</v>
      </c>
      <c r="V29" s="787" t="s">
        <v>538</v>
      </c>
      <c r="W29" s="781">
        <f>IFERROR(IF(INDEX('Coverage Indicators_1B'!Q$11:Q$100,MATCH($C29,'Coverage Indicators_1B'!$B$11:$B$100,0))="","",INDEX('Coverage Indicators_1B'!Q$11:Q$100,MATCH($C29,'Coverage Indicators_1B'!$B$11:$B$100,0))),"")</f>
        <v>49989</v>
      </c>
      <c r="X29" s="782">
        <f>IFERROR(IF(INDEX('Coverage Indicators_1B'!R$11:R$100,MATCH($C29,'Coverage Indicators_1B'!$B$11:$B$100,0))="","",INDEX('Coverage Indicators_1B'!R$11:R$100,MATCH($C29,'Coverage Indicators_1B'!$B$11:$B$100,0))),"")</f>
        <v>59354</v>
      </c>
      <c r="Y29" s="783">
        <f>IFERROR(IF(INDEX('Coverage Indicators_1B'!S$11:S$100,MATCH($C29,'Coverage Indicators_1B'!$B$11:$B$100,0))="","",INDEX('Coverage Indicators_1B'!S$11:S$100,MATCH($C29,'Coverage Indicators_1B'!$B$11:$B$100,0))),"")</f>
        <v>84.221787916568388</v>
      </c>
      <c r="Z29" s="779" t="str">
        <f>IFERROR(IF(INDEX('Coverage Indicators_1B'!T$11:T$100,MATCH($C29,'Coverage Indicators_1B'!$B$11:$B$100,0))="","",INDEX('Coverage Indicators_1B'!T$11:T$100,MATCH($C29,'Coverage Indicators_1B'!$B$11:$B$100,0))),"")</f>
        <v>Reports (specify)</v>
      </c>
      <c r="AA29" s="784">
        <f>IFERROR(INDEX('Coverage Indicators_1B'!U$11:U$100,MATCH($C29,'Coverage Indicators_1B'!$B$11:$B$100,0)),"")</f>
        <v>0.99084456372433394</v>
      </c>
      <c r="AB29" s="779" t="str">
        <f>IFERROR(IF(INDEX('Coverage Indicators_1B'!V$11:V$100,MATCH($C29,'Coverage Indicators_1B'!$B$11:$B$100,0))="","",INDEX('Coverage Indicators_1B'!V$11:V$100,MATCH($C29,'Coverage Indicators_1B'!$B$11:$B$100,0))),"")</f>
        <v>Vue d’ensemble :
Source des données : cet indicateur a été renseigné grâce au rapport annuel de la CRB (compilation de ceux de YEZU MWIZA) et celui du Projet Linkages. 
Au cours de l’année 2019, la proportion de professionnels du sexe qui ont bénéficié un paquet défini de services de prévention du VIH est de 84,2%, soit un taux d’accomplissement de 99%.
Analyse des données 
La performance de 99% réalisée au cours de l’année 2019 est supérieure à celle de 2018 (85,2%). 
Sur les 49 989 PS qui ont bénéficié un paquet défini de services de prévention du VIH :
-23733 ont été rapportés au 1er semestre par la CRB via l’ANSS qui encadrent les pairs éducateurs (Cibitoke, Gitega, Rumonge et Makamba) et le Projet Linkages sur financement de PEPFAR/USAID.
-26 256 ont été rapportés de juillet à décembre 2019 par la CRB et le Projet Linkages. 
-Le numérateur c’est le nombre de professionnels du sexe ayant bénéficié du paquet défini de services de prévention du VIH. Il est de 49989. 
-Le dénominateur est le nombre estimé d'hommes ayant des rapports sexuels avec des hommes au niveau national. Il est de 59 354. 
Observations / Commentaires :
La bonne performance réalisée au cours de l’année 2019, serait tributaire : 
- d’une amélioration des séances de sensibilisation, faites par les PE grâce à l’encadrement des responsables  (conseiller psychosocial et médecin des centres de convivialité)en quantité et qualité.
- des PS qui seraient intéressaient par les informations de prévention du VIH et qui seraient par conséquent touchées par ces messages plus d’1 fois dans l’année.
Solutions / Recommandations :
Pour le maintien de la performance, la CRB et ses partenaires doivent :
-renforcer les prestations des PE à offrir les services de prévention aux PS et à une utilisation des centres de convivialité ;
-mettre à la disposition des PE les manuels ou aide-mémoires contenant des thèmes de prévention du VIH à développer au cours des entretiens avec les PS ;
-faire des supervisions formatives aux PE en vue de renforcer leurs capacités sur le lieu de travail.</v>
      </c>
      <c r="AC29" s="781" t="str">
        <f>IFERROR(IF(INDEX('Coverage Indicators_1B'!X$11:X$100,MATCH($C29,'Coverage Indicators_1B'!$B$11:$B$100,0))="","",INDEX('Coverage Indicators_1B'!X$11:X$100,MATCH($C29,'Coverage Indicators_1B'!$B$11:$B$100,0))),"")</f>
        <v/>
      </c>
      <c r="AD29" s="782" t="str">
        <f>IFERROR(IF(INDEX('Coverage Indicators_1B'!Y$11:Y$100,MATCH($C29,'Coverage Indicators_1B'!$B$11:$B$100,0))="","",INDEX('Coverage Indicators_1B'!Y$11:Y$100,MATCH($C29,'Coverage Indicators_1B'!$B$11:$B$100,0))),"")</f>
        <v/>
      </c>
      <c r="AE29" s="783" t="str">
        <f>IFERROR(IF(INDEX('Coverage Indicators_1B'!Z$11:Z$100,MATCH($C29,'Coverage Indicators_1B'!$B$11:$B$100,0))="","",INDEX('Coverage Indicators_1B'!Z$11:Z$100,MATCH($C29,'Coverage Indicators_1B'!$B$11:$B$100,0))),"")</f>
        <v/>
      </c>
      <c r="AF29" s="779" t="str">
        <f>IFERROR(IF(INDEX('Coverage Indicators_1B'!AA$11:AA$100,MATCH($C29,'Coverage Indicators_1B'!$B$11:$B$100,0))="","",INDEX('Coverage Indicators_1B'!AA$11:AA$100,MATCH($C29,'Coverage Indicators_1B'!$B$11:$B$100,0))),"")</f>
        <v/>
      </c>
      <c r="AG29" s="780" t="str">
        <f>IFERROR(INDEX('Coverage Indicators_1B'!AB$11:AB$100,MATCH($C29,'Coverage Indicators_1B'!$B$11:$B$100,0)),"")</f>
        <v xml:space="preserve"> </v>
      </c>
      <c r="AH29" s="779" t="str">
        <f>IFERROR(IF(INDEX('Coverage Indicators_1B'!AC$11:AC$100,MATCH($C29,'Coverage Indicators_1B'!$B$11:$B$100,0))="","",INDEX('Coverage Indicators_1B'!AC$11:AC$100,MATCH($C29,'Coverage Indicators_1B'!$B$11:$B$100,0))),"")</f>
        <v/>
      </c>
      <c r="AI29" s="779" t="str">
        <f>IFERROR(IF(INDEX('Coverage Indicators_1B'!AD$11:AD$100,MATCH($C29,'Coverage Indicators_1B'!$B$11:$B$100,0))="","",INDEX('Coverage Indicators_1B'!AD$11:AD$100,MATCH($C29,'Coverage Indicators_1B'!$B$11:$B$100,0))),"")</f>
        <v/>
      </c>
      <c r="AJ29" s="780" t="str">
        <f>IFERROR(INDEX('Coverage Indicators_1B'!AE$11:AE$100,MATCH($C29,'Coverage Indicators_1B'!$B$11:$B$100,0)),"")</f>
        <v>No Results Reported</v>
      </c>
      <c r="AK29" s="780"/>
      <c r="AL29" s="780"/>
      <c r="AM29" s="780"/>
      <c r="AN29" s="780" t="str">
        <f>IFERROR(INDEX('Coverage Indicators_1B'!AI$11:AI$100,MATCH($C29,'Coverage Indicators_1B'!$B$11:$B$100,0)),"")</f>
        <v xml:space="preserve"> </v>
      </c>
      <c r="AO29" s="780">
        <f>IFERROR(INDEX('Coverage Indicators_1B'!AJ$11:AJ$100,MATCH($C29,'Coverage Indicators_1B'!$B$11:$B$100,0)),"")</f>
        <v>0</v>
      </c>
      <c r="AP29" s="780" t="str">
        <f>IFERROR(INDEX('Coverage Indicators_1B'!AK$11:AK$100,MATCH($C29,'Coverage Indicators_1B'!$B$11:$B$100,0)),"")</f>
        <v>No Results Reported</v>
      </c>
      <c r="AQ29" s="785">
        <v>23</v>
      </c>
      <c r="AR29" s="772" t="str">
        <f t="shared" si="3"/>
        <v>No</v>
      </c>
      <c r="AS29" s="786" t="s">
        <v>37</v>
      </c>
      <c r="AT29" s="772"/>
      <c r="AU29" s="772"/>
      <c r="AV29" s="772"/>
      <c r="AW29" s="772"/>
      <c r="AX29" s="772"/>
      <c r="AY29" s="786" t="s">
        <v>539</v>
      </c>
      <c r="AZ29" s="786" t="s">
        <v>540</v>
      </c>
      <c r="BA29" s="786" t="s">
        <v>527</v>
      </c>
    </row>
    <row r="30" spans="1:53" ht="15.6" customHeight="1" x14ac:dyDescent="0.2">
      <c r="A30" s="772" t="s">
        <v>541</v>
      </c>
      <c r="B30" s="772">
        <f t="shared" si="1"/>
        <v>23</v>
      </c>
      <c r="C30" s="771" t="str">
        <f t="shared" si="2"/>
        <v>Coverage23</v>
      </c>
      <c r="D30" s="779" t="s">
        <v>534</v>
      </c>
      <c r="E30" s="780" t="str">
        <f t="shared" si="0"/>
        <v>KP-3c(M): Pourcentage de professionnels de sexe qui ont fait un test VIH au cours de la période de rapportage et qui connaissent les résultats</v>
      </c>
      <c r="F30" s="779" t="s">
        <v>542</v>
      </c>
      <c r="G30" s="779"/>
      <c r="H30" s="779" t="s">
        <v>543</v>
      </c>
      <c r="I30" s="779" t="s">
        <v>544</v>
      </c>
      <c r="J30" s="779"/>
      <c r="K30" s="779" t="s">
        <v>394</v>
      </c>
      <c r="L30" s="779" t="s">
        <v>482</v>
      </c>
      <c r="M30" s="780" t="b">
        <v>0</v>
      </c>
      <c r="N30" s="781">
        <v>6393</v>
      </c>
      <c r="O30" s="782">
        <v>55278</v>
      </c>
      <c r="P30" s="783">
        <v>11.6</v>
      </c>
      <c r="Q30" s="779" t="s">
        <v>225</v>
      </c>
      <c r="R30" s="779" t="s">
        <v>523</v>
      </c>
      <c r="S30" s="781">
        <v>42141.34</v>
      </c>
      <c r="T30" s="782">
        <v>59354</v>
      </c>
      <c r="U30" s="783">
        <v>71</v>
      </c>
      <c r="V30" s="787" t="s">
        <v>545</v>
      </c>
      <c r="W30" s="781">
        <f>IFERROR(IF(INDEX('Coverage Indicators_1B'!Q$11:Q$100,MATCH($C30,'Coverage Indicators_1B'!$B$11:$B$100,0))="","",INDEX('Coverage Indicators_1B'!Q$11:Q$100,MATCH($C30,'Coverage Indicators_1B'!$B$11:$B$100,0))),"")</f>
        <v>37590</v>
      </c>
      <c r="X30" s="782">
        <f>IFERROR(IF(INDEX('Coverage Indicators_1B'!R$11:R$100,MATCH($C30,'Coverage Indicators_1B'!$B$11:$B$100,0))="","",INDEX('Coverage Indicators_1B'!R$11:R$100,MATCH($C30,'Coverage Indicators_1B'!$B$11:$B$100,0))),"")</f>
        <v>59354</v>
      </c>
      <c r="Y30" s="783">
        <f>IFERROR(IF(INDEX('Coverage Indicators_1B'!S$11:S$100,MATCH($C30,'Coverage Indicators_1B'!$B$11:$B$100,0))="","",INDEX('Coverage Indicators_1B'!S$11:S$100,MATCH($C30,'Coverage Indicators_1B'!$B$11:$B$100,0))),"")</f>
        <v>63.331873167773026</v>
      </c>
      <c r="Z30" s="779" t="str">
        <f>IFERROR(IF(INDEX('Coverage Indicators_1B'!T$11:T$100,MATCH($C30,'Coverage Indicators_1B'!$B$11:$B$100,0))="","",INDEX('Coverage Indicators_1B'!T$11:T$100,MATCH($C30,'Coverage Indicators_1B'!$B$11:$B$100,0))),"")</f>
        <v>Reports (specify)</v>
      </c>
      <c r="AA30" s="784">
        <f>IFERROR(INDEX('Coverage Indicators_1B'!U$11:U$100,MATCH($C30,'Coverage Indicators_1B'!$B$11:$B$100,0)),"")</f>
        <v>0.89199821363060594</v>
      </c>
      <c r="AB30" s="779" t="str">
        <f>IFERROR(IF(INDEX('Coverage Indicators_1B'!V$11:V$100,MATCH($C30,'Coverage Indicators_1B'!$B$11:$B$100,0))="","",INDEX('Coverage Indicators_1B'!V$11:V$100,MATCH($C30,'Coverage Indicators_1B'!$B$11:$B$100,0))),"")</f>
        <v>Vue d’ensemble :
Source des données : cet indicateur a été renseigné grâce au rapport annuel de la CRB (compilation des rapports de YEZUMWIZA) et celui du Projet Linkages 
Au cours de l’année 2019, la proportion de professionnels du sexe qui ont fait un test VIH et qui connaissent les résultats est de 63,3%, soit un taux d’accomplissement de 89%.
Analyse des données :
Cette performance est de loin supérieure à celle de 2018 (74%). Cependant, le nombre de ceux qui se sont faits dépistés et qui connaissent les résultats (37 590), comparé à celui de ceux qui ont bénéficié le programme de prévention (49 989), nous réalisons que près d'1/4 de PS ne se sont pas fait dépister ( soit 24% N=12399).
Parmi les 37590 PS qui ont fait le test VIH et qui connaissent les résultats :
-16835 ont été rapportés au 1er semestre par la CRB à travers les rapports de YEZUMWIZA qui encadrent les pairs éducateurs dans les provinces de Cibitoke, Gitega, Rumonge et Makamba et ceux du Projet Linkages sur financement de PEPFAR/USAID
- 20755 ont été rapportés de juillet à décembre 2019 par la CRB et le Projet Linkages.
Le numérateur est le nombre de professionnels du sexe ayant bénéficié du paquet défini de services de prévention du VIH. Il est de 37 590 
Le dénominateur est une estimation du nombre de professionnels du sexe au niveau national. Il est de 59354.
Observations / Commentaires :
Cela s’expliquerait par le fait que :
- Parmi les PS qui suivent le programme de prévention, certaines connaissent déjà leur statut sérologique pendant que d’autres refuseraient de se faire dépister.
- Le fait que les services de dépistage ne se faisaient pas dans les centres de convivialité a constitué un frein aux PS à se faire dépister dans les structures de soins par crainte de la stigmatisation et discrimination
Solutions / Recommandations :
Dans le but de maintenir une bonne performance pour cet indicateur, il est recommandé de :
-faire la promotion de l’autotest dans le dépistage du VIH chez les PS ;
-intégrer les centres de convivialité à l’intérieur des structures associatives, ce qui faciliterait l’adhésion des PS au dépistage
-multiplier et les séances de sensibilisation des PS à l’utilisation des formations sanitaires pour le dépistage du VIH ;
-sensibiliser les prestataires à l’offre des services de dépistage du VIH aux populations clés et au respect de la confidentialité.
-Mettre à jour les données et la cartographie des PS à travers l’étude IBBS
-Envisager un système de codification ou d’attribution d’un identifiant unique pour une bonne traçabilité des déplacements des PS mais aussi dans le but d’éviter les doublons dans le rapportage.</v>
      </c>
      <c r="AC30" s="781" t="str">
        <f>IFERROR(IF(INDEX('Coverage Indicators_1B'!X$11:X$100,MATCH($C30,'Coverage Indicators_1B'!$B$11:$B$100,0))="","",INDEX('Coverage Indicators_1B'!X$11:X$100,MATCH($C30,'Coverage Indicators_1B'!$B$11:$B$100,0))),"")</f>
        <v/>
      </c>
      <c r="AD30" s="782" t="str">
        <f>IFERROR(IF(INDEX('Coverage Indicators_1B'!Y$11:Y$100,MATCH($C30,'Coverage Indicators_1B'!$B$11:$B$100,0))="","",INDEX('Coverage Indicators_1B'!Y$11:Y$100,MATCH($C30,'Coverage Indicators_1B'!$B$11:$B$100,0))),"")</f>
        <v/>
      </c>
      <c r="AE30" s="783" t="str">
        <f>IFERROR(IF(INDEX('Coverage Indicators_1B'!Z$11:Z$100,MATCH($C30,'Coverage Indicators_1B'!$B$11:$B$100,0))="","",INDEX('Coverage Indicators_1B'!Z$11:Z$100,MATCH($C30,'Coverage Indicators_1B'!$B$11:$B$100,0))),"")</f>
        <v/>
      </c>
      <c r="AF30" s="779" t="str">
        <f>IFERROR(IF(INDEX('Coverage Indicators_1B'!AA$11:AA$100,MATCH($C30,'Coverage Indicators_1B'!$B$11:$B$100,0))="","",INDEX('Coverage Indicators_1B'!AA$11:AA$100,MATCH($C30,'Coverage Indicators_1B'!$B$11:$B$100,0))),"")</f>
        <v/>
      </c>
      <c r="AG30" s="780" t="str">
        <f>IFERROR(INDEX('Coverage Indicators_1B'!AB$11:AB$100,MATCH($C30,'Coverage Indicators_1B'!$B$11:$B$100,0)),"")</f>
        <v xml:space="preserve"> </v>
      </c>
      <c r="AH30" s="779" t="str">
        <f>IFERROR(IF(INDEX('Coverage Indicators_1B'!AC$11:AC$100,MATCH($C30,'Coverage Indicators_1B'!$B$11:$B$100,0))="","",INDEX('Coverage Indicators_1B'!AC$11:AC$100,MATCH($C30,'Coverage Indicators_1B'!$B$11:$B$100,0))),"")</f>
        <v/>
      </c>
      <c r="AI30" s="779" t="str">
        <f>IFERROR(IF(INDEX('Coverage Indicators_1B'!AD$11:AD$100,MATCH($C30,'Coverage Indicators_1B'!$B$11:$B$100,0))="","",INDEX('Coverage Indicators_1B'!AD$11:AD$100,MATCH($C30,'Coverage Indicators_1B'!$B$11:$B$100,0))),"")</f>
        <v/>
      </c>
      <c r="AJ30" s="780" t="str">
        <f>IFERROR(INDEX('Coverage Indicators_1B'!AE$11:AE$100,MATCH($C30,'Coverage Indicators_1B'!$B$11:$B$100,0)),"")</f>
        <v>No Results Reported</v>
      </c>
      <c r="AK30" s="780"/>
      <c r="AL30" s="780"/>
      <c r="AM30" s="780"/>
      <c r="AN30" s="780" t="str">
        <f>IFERROR(INDEX('Coverage Indicators_1B'!AI$11:AI$100,MATCH($C30,'Coverage Indicators_1B'!$B$11:$B$100,0)),"")</f>
        <v xml:space="preserve"> </v>
      </c>
      <c r="AO30" s="780">
        <f>IFERROR(INDEX('Coverage Indicators_1B'!AJ$11:AJ$100,MATCH($C30,'Coverage Indicators_1B'!$B$11:$B$100,0)),"")</f>
        <v>0</v>
      </c>
      <c r="AP30" s="780" t="str">
        <f>IFERROR(INDEX('Coverage Indicators_1B'!AK$11:AK$100,MATCH($C30,'Coverage Indicators_1B'!$B$11:$B$100,0)),"")</f>
        <v>No Results Reported</v>
      </c>
      <c r="AQ30" s="785">
        <v>24</v>
      </c>
      <c r="AR30" s="772" t="str">
        <f t="shared" si="3"/>
        <v>No</v>
      </c>
      <c r="AS30" s="786" t="s">
        <v>37</v>
      </c>
      <c r="AT30" s="772"/>
      <c r="AU30" s="772"/>
      <c r="AV30" s="772"/>
      <c r="AW30" s="772"/>
      <c r="AX30" s="772"/>
      <c r="AY30" s="786" t="s">
        <v>539</v>
      </c>
      <c r="AZ30" s="786" t="s">
        <v>540</v>
      </c>
      <c r="BA30" s="786" t="s">
        <v>527</v>
      </c>
    </row>
    <row r="31" spans="1:53" ht="15.75" thickBot="1" x14ac:dyDescent="0.25">
      <c r="D31" s="1101"/>
      <c r="E31" s="1102"/>
      <c r="F31" s="1102"/>
      <c r="G31" s="1103"/>
      <c r="H31" s="1103"/>
      <c r="I31" s="1103"/>
      <c r="J31" s="1103"/>
      <c r="K31" s="1103"/>
      <c r="L31" s="1103"/>
      <c r="M31" s="1103"/>
      <c r="N31" s="1103"/>
      <c r="O31" s="1103"/>
      <c r="P31" s="1103"/>
      <c r="Q31" s="1103"/>
      <c r="R31" s="1103"/>
      <c r="S31" s="1103"/>
      <c r="T31" s="1103"/>
      <c r="U31" s="1103"/>
      <c r="V31" s="1103"/>
      <c r="W31" s="1104"/>
      <c r="X31" s="1104"/>
      <c r="Y31" s="1104"/>
      <c r="Z31" s="1104"/>
      <c r="AA31" s="1104"/>
      <c r="AB31" s="1104"/>
      <c r="AC31" s="1104"/>
      <c r="AD31" s="1104"/>
      <c r="AE31" s="1104"/>
      <c r="AF31" s="1104"/>
      <c r="AG31" s="1104"/>
      <c r="AH31" s="1104"/>
      <c r="AI31" s="1104"/>
      <c r="AJ31" s="1104"/>
      <c r="AK31" s="1104"/>
      <c r="AL31" s="1104"/>
      <c r="AM31" s="1104"/>
      <c r="AN31" s="1105"/>
      <c r="AO31" s="1105"/>
      <c r="AP31" s="1106"/>
      <c r="AR31" s="33" t="str">
        <f>IFERROR(IF(M31="TRUE","Yes","No"),"")</f>
        <v>No</v>
      </c>
    </row>
  </sheetData>
  <mergeCells count="38">
    <mergeCell ref="AQ5:AQ6"/>
    <mergeCell ref="AP5:AP6"/>
    <mergeCell ref="E5:E6"/>
    <mergeCell ref="F5:F6"/>
    <mergeCell ref="H5:H6"/>
    <mergeCell ref="J5:J6"/>
    <mergeCell ref="I5:I6"/>
    <mergeCell ref="N5:R5"/>
    <mergeCell ref="AH5:AH6"/>
    <mergeCell ref="AI5:AI6"/>
    <mergeCell ref="AJ5:AJ6"/>
    <mergeCell ref="AK5:AM5"/>
    <mergeCell ref="AN5:AN6"/>
    <mergeCell ref="AO5:AO6"/>
    <mergeCell ref="AA5:AA6"/>
    <mergeCell ref="AB5:AB6"/>
    <mergeCell ref="AC5:AE5"/>
    <mergeCell ref="AF5:AF6"/>
    <mergeCell ref="AG5:AG6"/>
    <mergeCell ref="D2:AI2"/>
    <mergeCell ref="D5:D6"/>
    <mergeCell ref="G5:G6"/>
    <mergeCell ref="L5:L6"/>
    <mergeCell ref="M5:M6"/>
    <mergeCell ref="S5:U5"/>
    <mergeCell ref="V5:V6"/>
    <mergeCell ref="W5:Y5"/>
    <mergeCell ref="Z5:Z6"/>
    <mergeCell ref="AR5:AR6"/>
    <mergeCell ref="AS5:AS6"/>
    <mergeCell ref="AT5:AT6"/>
    <mergeCell ref="AU5:AU6"/>
    <mergeCell ref="AV5:AV6"/>
    <mergeCell ref="AW5:AW6"/>
    <mergeCell ref="AX5:AX6"/>
    <mergeCell ref="AY5:AY6"/>
    <mergeCell ref="AZ5:AZ6"/>
    <mergeCell ref="BA5:BA6"/>
  </mergeCells>
  <dataValidations count="22">
    <dataValidation type="custom" allowBlank="1" showInputMessage="1" showErrorMessage="1" errorTitle="X-Author for Excel" error="Id and Lookup fields are not editable." promptTitle="X-Author for Excel" sqref="A7:A30" xr:uid="{00000000-0002-0000-0900-000000000000}">
      <formula1>""</formula1>
    </dataValidation>
    <dataValidation type="list" allowBlank="1" showInputMessage="1" showErrorMessage="1" errorTitle="X-Author for Excel" error="Please select a value from the drop-down." promptTitle="X-Author for Excel" sqref="K7:K30" xr:uid="{00000000-0002-0000-0900-000001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30" xr:uid="{00000000-0002-0000-0900-00000200000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30" xr:uid="{00000000-0002-0000-0900-000003000000}">
      <formula1>"TRUE,FALSE"</formula1>
    </dataValidation>
    <dataValidation type="decimal" allowBlank="1" showInputMessage="1" showErrorMessage="1" errorTitle="X-Author for Excel" error="Please enter a valid numeric value. Valid range for Baseline N# is -1E+16 to 1E+16." promptTitle="X-Author for Excel" sqref="N7:N30" xr:uid="{00000000-0002-0000-0900-000004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30" xr:uid="{00000000-0002-0000-0900-000005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P7:P30" xr:uid="{00000000-0002-0000-0900-000006000000}">
      <formula1>-999.9</formula1>
      <formula2>999.9</formula2>
    </dataValidation>
    <dataValidation type="list" allowBlank="1" showInputMessage="1" showErrorMessage="1" errorTitle="X-Author for Excel" error="Please select a value from the drop-down." promptTitle="X-Author for Excel" sqref="Q7:Q30" xr:uid="{00000000-0002-0000-0900-000007000000}">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30" xr:uid="{00000000-0002-0000-0900-000008000000}">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30" xr:uid="{00000000-0002-0000-0900-000009000000}">
      <formula1>-10000000000000000</formula1>
      <formula2>10000000000000000</formula2>
    </dataValidation>
    <dataValidation type="decimal" allowBlank="1" showInputMessage="1" showErrorMessage="1" errorTitle="X-Author for Excel" error="Please enter a valid numeric value. Valid range for Target % is -999.9 to 999.9." promptTitle="X-Author for Excel" sqref="U7:U30" xr:uid="{00000000-0002-0000-0900-00000A000000}">
      <formula1>-999.9</formula1>
      <formula2>999.9</formula2>
    </dataValidation>
    <dataValidation type="decimal" allowBlank="1" showInputMessage="1" showErrorMessage="1" errorTitle="X-Author for Excel" error="Please enter a valid numeric value. Valid range for Result N#  (PR) is -1E+16 to 1E+16." promptTitle="X-Author for Excel" sqref="W7:W30" xr:uid="{00000000-0002-0000-0900-00000B000000}">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30" xr:uid="{00000000-0002-0000-0900-00000C000000}">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Y7:Y30" xr:uid="{00000000-0002-0000-0900-00000D000000}">
      <formula1>-999.9</formula1>
      <formula2>999.9</formula2>
    </dataValidation>
    <dataValidation type="list" allowBlank="1" showInputMessage="1" showErrorMessage="1" errorTitle="X-Author for Excel" error="Please select a value from the drop-down." promptTitle="X-Author for Excel" sqref="Z7:Z30" xr:uid="{00000000-0002-0000-0900-00000E000000}">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Achievement % is -99999.99 to 99999.99." promptTitle="X-Author for Excel" sqref="AA7:AA30" xr:uid="{00000000-0002-0000-0900-00000F000000}">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30" xr:uid="{00000000-0002-0000-0900-000010000000}">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30" xr:uid="{00000000-0002-0000-0900-000011000000}">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30" xr:uid="{00000000-0002-0000-0900-000012000000}">
      <formula1>-999.9</formula1>
      <formula2>999.9</formula2>
    </dataValidation>
    <dataValidation type="list" allowBlank="1" showInputMessage="1" showErrorMessage="1" errorTitle="X-Author for Excel" error="Please select a value from the drop-down." promptTitle="X-Author for Excel" sqref="AF7:AF30" xr:uid="{00000000-0002-0000-0900-000013000000}">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AH7:AH30" xr:uid="{00000000-0002-0000-0900-000014000000}">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30" xr:uid="{00000000-0002-0000-0900-000015000000}">
      <formula1>-1000000000000000000</formula1>
      <formula2>1000000000000000000</formula2>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92D050"/>
  </sheetPr>
  <dimension ref="A1:AD150"/>
  <sheetViews>
    <sheetView topLeftCell="C49" zoomScale="70" zoomScaleNormal="70" workbookViewId="0">
      <selection activeCell="M34" sqref="M34"/>
    </sheetView>
  </sheetViews>
  <sheetFormatPr baseColWidth="10" defaultColWidth="9.140625" defaultRowHeight="15" x14ac:dyDescent="0.2"/>
  <cols>
    <col min="1" max="1" width="11.42578125" style="648" hidden="1" customWidth="1"/>
    <col min="2" max="2" width="16.140625" style="648" hidden="1" customWidth="1"/>
    <col min="3" max="3" width="34.140625" style="33" customWidth="1"/>
    <col min="4" max="4" width="43.85546875" style="33" customWidth="1"/>
    <col min="5" max="5" width="21.85546875" style="33" customWidth="1"/>
    <col min="6" max="6" width="18" style="33" customWidth="1"/>
    <col min="7" max="7" width="23.7109375" style="33" customWidth="1"/>
    <col min="8" max="8" width="23.28515625" style="33" customWidth="1"/>
    <col min="9" max="9" width="16.5703125" style="33" customWidth="1"/>
    <col min="10" max="10" width="14.28515625" style="33" customWidth="1"/>
    <col min="11" max="11" width="19.85546875" style="33" customWidth="1"/>
    <col min="12" max="12" width="19.140625" style="33" customWidth="1"/>
    <col min="13" max="13" width="19.7109375" style="33" customWidth="1"/>
    <col min="14" max="14" width="19.140625" style="33" customWidth="1"/>
    <col min="15" max="15" width="16.5703125" style="33" customWidth="1"/>
    <col min="16" max="16" width="22" style="33" customWidth="1"/>
    <col min="17" max="17" width="42.140625" style="33" customWidth="1"/>
    <col min="18" max="18" width="9" style="33" hidden="1" customWidth="1"/>
    <col min="19" max="21" width="9.140625" style="33"/>
    <col min="22" max="22" width="20.5703125" style="33" customWidth="1"/>
    <col min="23" max="23" width="52.5703125" style="33" customWidth="1"/>
    <col min="24" max="24" width="52.5703125" style="33" hidden="1" customWidth="1"/>
    <col min="25" max="25" width="11.85546875" style="33" customWidth="1"/>
    <col min="26" max="26" width="11.42578125" style="33" customWidth="1"/>
    <col min="27" max="27" width="11.85546875" style="33" customWidth="1"/>
    <col min="28" max="28" width="43.42578125" style="33" customWidth="1"/>
    <col min="29" max="29" width="10.140625" style="33" customWidth="1"/>
    <col min="30" max="16384" width="9.140625" style="33"/>
  </cols>
  <sheetData>
    <row r="1" spans="1:30" ht="45.75" customHeight="1" thickBot="1" x14ac:dyDescent="0.25">
      <c r="C1" s="38" t="str">
        <f>CoverSheet!A1</f>
        <v>Rapport périodique sur les résultats actuels et demande de décaissement</v>
      </c>
      <c r="D1" s="39"/>
      <c r="E1" s="39"/>
      <c r="F1" s="39"/>
      <c r="G1" s="39"/>
      <c r="H1" s="39"/>
      <c r="I1" s="39"/>
      <c r="J1" s="39"/>
      <c r="K1" s="39"/>
      <c r="L1" s="39"/>
      <c r="M1" s="39"/>
      <c r="N1" s="39"/>
      <c r="O1" s="39"/>
      <c r="P1" s="39"/>
      <c r="Q1" s="39"/>
      <c r="R1" s="39"/>
      <c r="S1" s="39"/>
      <c r="T1" s="39"/>
      <c r="U1" s="39"/>
      <c r="V1" s="39"/>
      <c r="W1" s="39"/>
      <c r="X1" s="39"/>
      <c r="Y1" s="39"/>
      <c r="Z1" s="39"/>
      <c r="AA1" s="39"/>
      <c r="AB1" s="39"/>
      <c r="AC1" s="40"/>
    </row>
    <row r="2" spans="1:30" ht="13.5" customHeight="1" x14ac:dyDescent="0.2">
      <c r="C2" s="35"/>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ht="45" customHeight="1" x14ac:dyDescent="0.2">
      <c r="C3" s="1014" t="str">
        <f>VLOOKUP(Translations!B84,Translations!B3:H508,4,0)</f>
        <v>Section 1 :  Information programmatique</v>
      </c>
      <c r="D3" s="1015"/>
      <c r="E3" s="1015"/>
      <c r="F3" s="1015"/>
      <c r="G3" s="1015"/>
      <c r="H3" s="1015"/>
      <c r="I3" s="1015"/>
      <c r="J3" s="1015"/>
      <c r="K3" s="1015"/>
      <c r="L3" s="1015"/>
      <c r="M3" s="1015"/>
      <c r="N3" s="1015"/>
      <c r="O3" s="1015"/>
      <c r="P3" s="1015"/>
      <c r="Q3" s="1015"/>
      <c r="R3" s="1015"/>
      <c r="S3" s="1015"/>
      <c r="T3" s="1015"/>
      <c r="U3" s="1015"/>
      <c r="V3" s="1015"/>
      <c r="W3" s="1015"/>
      <c r="X3" s="1015"/>
      <c r="Y3" s="1015"/>
      <c r="Z3" s="1015"/>
      <c r="AA3" s="1015"/>
      <c r="AB3" s="1015"/>
      <c r="AC3" s="1016"/>
    </row>
    <row r="4" spans="1:30" x14ac:dyDescent="0.2">
      <c r="C4" s="34"/>
      <c r="D4" s="34"/>
      <c r="E4" s="34"/>
      <c r="F4" s="34"/>
      <c r="G4" s="34"/>
      <c r="H4" s="34"/>
      <c r="I4" s="34"/>
      <c r="J4" s="34"/>
      <c r="K4" s="34"/>
      <c r="L4" s="34"/>
      <c r="M4" s="34"/>
      <c r="N4" s="34"/>
      <c r="O4" s="34"/>
      <c r="P4" s="34"/>
      <c r="Q4" s="34"/>
      <c r="R4" s="34"/>
      <c r="S4" s="34"/>
      <c r="T4" s="34"/>
      <c r="U4" s="34"/>
      <c r="V4" s="34"/>
      <c r="W4" s="34"/>
      <c r="X4" s="34"/>
      <c r="Y4" s="34"/>
      <c r="Z4" s="34"/>
      <c r="AA4" s="34"/>
      <c r="AB4" s="34"/>
      <c r="AC4" s="34"/>
    </row>
    <row r="5" spans="1:30" ht="90.75" customHeight="1" x14ac:dyDescent="0.2">
      <c r="C5" s="1452" t="s">
        <v>546</v>
      </c>
      <c r="D5" s="1453"/>
      <c r="E5" s="1453"/>
      <c r="F5" s="1453"/>
      <c r="G5" s="1453"/>
      <c r="H5" s="1453"/>
      <c r="I5" s="1453"/>
      <c r="J5" s="1453"/>
      <c r="K5" s="1453"/>
      <c r="L5" s="1453"/>
      <c r="M5" s="1453"/>
      <c r="N5" s="1453"/>
      <c r="O5" s="1453"/>
      <c r="P5" s="1453"/>
      <c r="Q5" s="1453"/>
      <c r="R5" s="1453"/>
      <c r="S5" s="1453"/>
      <c r="T5" s="1453"/>
      <c r="U5" s="1453"/>
      <c r="V5" s="1453"/>
      <c r="W5" s="1453"/>
      <c r="X5" s="1017"/>
      <c r="Y5" s="1018"/>
      <c r="Z5" s="1018"/>
      <c r="AA5" s="1018"/>
      <c r="AB5" s="1018"/>
      <c r="AC5" s="1019"/>
    </row>
    <row r="6" spans="1:30" x14ac:dyDescent="0.2">
      <c r="C6" s="34"/>
      <c r="D6" s="34"/>
      <c r="E6" s="34"/>
      <c r="F6" s="34"/>
      <c r="G6" s="34"/>
      <c r="H6" s="34"/>
      <c r="I6" s="34"/>
      <c r="J6" s="34"/>
      <c r="K6" s="34"/>
      <c r="L6" s="34"/>
      <c r="M6" s="34"/>
      <c r="N6" s="34"/>
      <c r="O6" s="34"/>
      <c r="P6" s="34"/>
      <c r="Q6" s="34"/>
      <c r="R6" s="34"/>
      <c r="S6" s="34"/>
      <c r="T6" s="34"/>
      <c r="U6" s="34"/>
      <c r="V6" s="34"/>
      <c r="W6" s="34"/>
      <c r="X6" s="34"/>
      <c r="Y6" s="34"/>
      <c r="Z6" s="34"/>
      <c r="AA6" s="34"/>
      <c r="AB6" s="34"/>
      <c r="AC6" s="34"/>
    </row>
    <row r="7" spans="1:30" ht="39" customHeight="1" x14ac:dyDescent="0.2">
      <c r="C7" s="1020" t="str">
        <f>VLOOKUP(Translations!B117,Translations!B3:H508,4,0)</f>
        <v>B- Indicateurs de couverture - Ventilation</v>
      </c>
      <c r="D7" s="1021"/>
      <c r="E7" s="1021"/>
      <c r="F7" s="1021"/>
      <c r="G7" s="1021"/>
      <c r="H7" s="1021"/>
      <c r="I7" s="1021"/>
      <c r="J7" s="1021"/>
      <c r="K7" s="1021"/>
      <c r="L7" s="1021"/>
      <c r="M7" s="1021"/>
      <c r="N7" s="1021"/>
      <c r="O7" s="1021"/>
      <c r="P7" s="1021"/>
      <c r="Q7" s="1021"/>
      <c r="R7" s="1021"/>
      <c r="S7" s="1021"/>
      <c r="T7" s="1021"/>
      <c r="U7" s="1021"/>
      <c r="V7" s="1021"/>
      <c r="W7" s="1021"/>
      <c r="X7" s="1021"/>
      <c r="Y7" s="1021"/>
      <c r="Z7" s="1021"/>
      <c r="AA7" s="1021"/>
      <c r="AB7" s="1021"/>
      <c r="AC7" s="1022"/>
    </row>
    <row r="8" spans="1:30" ht="18.75" customHeight="1" thickBot="1" x14ac:dyDescent="0.25">
      <c r="C8" s="36"/>
      <c r="D8" s="37"/>
      <c r="E8" s="37"/>
      <c r="F8" s="37"/>
      <c r="G8" s="37"/>
      <c r="H8" s="37"/>
      <c r="I8" s="37"/>
      <c r="J8" s="37"/>
      <c r="K8" s="37"/>
      <c r="L8" s="37"/>
      <c r="M8" s="37"/>
      <c r="N8" s="37"/>
      <c r="O8" s="37"/>
      <c r="P8" s="37"/>
      <c r="Q8" s="37"/>
      <c r="R8" s="37"/>
      <c r="S8" s="37"/>
      <c r="T8" s="37"/>
      <c r="U8" s="37"/>
      <c r="V8" s="37"/>
      <c r="W8" s="37"/>
      <c r="X8" s="37"/>
      <c r="Y8" s="37"/>
      <c r="Z8" s="37"/>
      <c r="AA8" s="37"/>
      <c r="AB8" s="37"/>
      <c r="AC8" s="37"/>
    </row>
    <row r="9" spans="1:30" ht="28.5" customHeight="1" x14ac:dyDescent="0.2">
      <c r="C9" s="1438" t="str">
        <f>VLOOKUP(Translations!B118,Translations!B3:H508,4,0)</f>
        <v>Module</v>
      </c>
      <c r="D9" s="1433" t="str">
        <f>VLOOKUP(Translations!B119,Translations!B3:H508,4,0)</f>
        <v>Indicateurs</v>
      </c>
      <c r="E9" s="1462" t="str">
        <f>VLOOKUP(Translations!B120,Translations!B3:H508,4,0)</f>
        <v>Ventilation</v>
      </c>
      <c r="F9" s="1433" t="str">
        <f>VLOOKUP(Translations!B121,Translations!B3:H508,4,0)</f>
        <v>Catégorie</v>
      </c>
      <c r="G9" s="1430" t="str">
        <f>VLOOKUP(Translations!B122,Translations!B3:H508,4,0)</f>
        <v>Référence</v>
      </c>
      <c r="H9" s="1432"/>
      <c r="I9" s="1432"/>
      <c r="J9" s="1432"/>
      <c r="K9" s="1431"/>
      <c r="L9" s="1433" t="str">
        <f>VLOOKUP(586,Translations!B3:H793,4,0)</f>
        <v>Géographie</v>
      </c>
      <c r="M9" s="1435" t="str">
        <f>VLOOKUP(Translations!B128,Translations!B3:H508,4,0)</f>
        <v>Résultats</v>
      </c>
      <c r="N9" s="1436"/>
      <c r="O9" s="1437"/>
      <c r="P9" s="1419" t="str">
        <f>VLOOKUP(Translations!B127,Translations!B3:H508,4,0)</f>
        <v>Source</v>
      </c>
      <c r="Q9" s="1419" t="str">
        <f>VLOOKUP(Translations!B133,Translations!B3:H508,4,0)</f>
        <v>Commentaires</v>
      </c>
      <c r="R9" s="1419"/>
      <c r="S9" s="1442" t="s">
        <v>165</v>
      </c>
      <c r="T9" s="1443"/>
      <c r="U9" s="1444"/>
      <c r="V9" s="1421" t="s">
        <v>22</v>
      </c>
      <c r="W9" s="1421" t="s">
        <v>160</v>
      </c>
      <c r="X9" s="1433"/>
      <c r="Y9" s="1451" t="s">
        <v>131</v>
      </c>
      <c r="Z9" s="1451"/>
      <c r="AA9" s="1451"/>
      <c r="AB9" s="1423" t="s">
        <v>328</v>
      </c>
      <c r="AC9" s="1433"/>
    </row>
    <row r="10" spans="1:30" x14ac:dyDescent="0.2">
      <c r="C10" s="1439"/>
      <c r="D10" s="1434"/>
      <c r="E10" s="1463"/>
      <c r="F10" s="1434"/>
      <c r="G10" s="1023" t="s">
        <v>136</v>
      </c>
      <c r="H10" s="1023" t="s">
        <v>134</v>
      </c>
      <c r="I10" s="1023" t="s">
        <v>135</v>
      </c>
      <c r="J10" s="407" t="str">
        <f>VLOOKUP(Translations!B126,Translations!B3:H508,4,0)</f>
        <v>Année</v>
      </c>
      <c r="K10" s="407" t="str">
        <f>VLOOKUP(Translations!B127,Translations!B3:H508,4,0)</f>
        <v>Source</v>
      </c>
      <c r="L10" s="1434"/>
      <c r="M10" s="1024" t="s">
        <v>136</v>
      </c>
      <c r="N10" s="1024" t="s">
        <v>134</v>
      </c>
      <c r="O10" s="1024" t="s">
        <v>135</v>
      </c>
      <c r="P10" s="1420"/>
      <c r="Q10" s="1420"/>
      <c r="R10" s="1420"/>
      <c r="S10" s="1025" t="s">
        <v>136</v>
      </c>
      <c r="T10" s="1025" t="s">
        <v>134</v>
      </c>
      <c r="U10" s="1025" t="s">
        <v>135</v>
      </c>
      <c r="V10" s="1422"/>
      <c r="W10" s="1422"/>
      <c r="X10" s="1434"/>
      <c r="Y10" s="1057" t="s">
        <v>136</v>
      </c>
      <c r="Z10" s="1057" t="s">
        <v>134</v>
      </c>
      <c r="AA10" s="1057" t="s">
        <v>135</v>
      </c>
      <c r="AB10" s="1424"/>
      <c r="AC10" s="1434"/>
    </row>
    <row r="11" spans="1:30" ht="78" customHeight="1" x14ac:dyDescent="0.2">
      <c r="A11" s="648">
        <f>A10+1</f>
        <v>1</v>
      </c>
      <c r="B11" s="648" t="str">
        <f>"Coverage"&amp;A11</f>
        <v>Coverage1</v>
      </c>
      <c r="C11" s="1027" t="str">
        <f>IFERROR(INDEX('Disaggregation1B_Import-Export'!D$8:D$239,MATCH($B11,'Disaggregation1B_Import-Export'!$C$8:$C$239,0)),"")</f>
        <v>TB care and prevention</v>
      </c>
      <c r="D11" s="1028" t="str">
        <f>IFERROR(INDEX('Disaggregation1B_Import-Export'!AF$8:AF$256,MATCH($B11,'Disaggregation1B_Import-Export'!$C$8:$C$256,0)),"")</f>
        <v>TCP-1(M): Nombre de cas déclarés de tuberculose, toutes formes confondues, bactériologiquement confirmés et cliniquement diagnostiqués, nouveaux cas et récidives</v>
      </c>
      <c r="E11" s="1028" t="str">
        <f>IFERROR(IF(INDEX('Disaggregation1B_Import-Export'!AG$8:AG$239,MATCH($B11,'Disaggregation1B_Import-Export'!$C$8:$C$239,0))="","",INDEX('Disaggregation1B_Import-Export'!AG$8:AG$239,MATCH($B11,'Disaggregation1B_Import-Export'!$C$8:$C$239,0))),"")</f>
        <v>Femme</v>
      </c>
      <c r="F11" s="1028" t="str">
        <f>IFERROR(IF(INDEX('Disaggregation1B_Import-Export'!AH$8:AH$239,MATCH($B11,'Disaggregation1B_Import-Export'!$C$8:$C$239,0))="","",INDEX('Disaggregation1B_Import-Export'!AH$8:AH$239,MATCH($B11,'Disaggregation1B_Import-Export'!$C$8:$C$239,0))),"")</f>
        <v>Sexe</v>
      </c>
      <c r="G11" s="1107">
        <f>IFERROR(IF(INDEX('Disaggregation1B_Import-Export'!H$8:H$239,MATCH($B11,'Disaggregation1B_Import-Export'!$C$8:$C$239,0))="","",INDEX('Disaggregation1B_Import-Export'!H$8:H$239,MATCH($B11,'Disaggregation1B_Import-Export'!$C$8:$C$239,0))),"")</f>
        <v>2740</v>
      </c>
      <c r="H11" s="1107">
        <f>IFERROR(IF(INDEX('Disaggregation1B_Import-Export'!I$8:I$239,MATCH($B11,'Disaggregation1B_Import-Export'!$C$8:$C$239,0))="","",INDEX('Disaggregation1B_Import-Export'!I$8:I$239,MATCH($B11,'Disaggregation1B_Import-Export'!$C$8:$C$239,0))),"")</f>
        <v>0</v>
      </c>
      <c r="I11" s="1108" t="str">
        <f>IFERROR(IF(INDEX('Disaggregation1B_Import-Export'!J$8:J$239,MATCH($B11,'Disaggregation1B_Import-Export'!$C$8:$C$239,0))="","",INDEX('Disaggregation1B_Import-Export'!J$8:J$239,MATCH($B11,'Disaggregation1B_Import-Export'!$C$8:$C$239,0))),"")</f>
        <v>0.0</v>
      </c>
      <c r="J11" s="1028" t="str">
        <f>IFERROR(IF(INDEX('Disaggregation1B_Import-Export'!K$8:K$239,MATCH($B11,'Disaggregation1B_Import-Export'!$C$8:$C$239,0))="","",INDEX('Disaggregation1B_Import-Export'!K$8:K$239,MATCH($B11,'Disaggregation1B_Import-Export'!$C$8:$C$239,0))),"")</f>
        <v>2016</v>
      </c>
      <c r="K11" s="1028" t="str">
        <f>IFERROR(IF(INDEX('Disaggregation1B_Import-Export'!L$8:L$239,MATCH($B11,'Disaggregation1B_Import-Export'!$C$8:$C$239,0))="","",INDEX('Disaggregation1B_Import-Export'!L$8:L$239,MATCH($B11,'Disaggregation1B_Import-Export'!$C$8:$C$239,0))),"")</f>
        <v>PNILT 2016 Annual Report</v>
      </c>
      <c r="L11" s="1028" t="str">
        <f>IFERROR(IF(INDEX('Disaggregation1B_Import-Export'!AQ$8:AQ$239,MATCH($B11,'Disaggregation1B_Import-Export'!$C$8:$C$239,0))="","",INDEX('Disaggregation1B_Import-Export'!AQ$8:AQ$239,MATCH($B11,'Disaggregation1B_Import-Export'!$C$8:$C$239,0))),"")</f>
        <v>Burundi</v>
      </c>
      <c r="M11" s="1064">
        <v>1141</v>
      </c>
      <c r="N11" s="1064">
        <v>3359</v>
      </c>
      <c r="O11" s="1109">
        <f>IFERROR((M11/N11)*100,"")</f>
        <v>33.968442988984812</v>
      </c>
      <c r="P11" s="1065" t="s">
        <v>69</v>
      </c>
      <c r="Q11" s="1065" t="s">
        <v>547</v>
      </c>
      <c r="R11" s="1066"/>
      <c r="S11" s="1064"/>
      <c r="T11" s="1064"/>
      <c r="U11" s="1109" t="str">
        <f>IFERROR((S11/T11)*100,"")</f>
        <v/>
      </c>
      <c r="V11" s="1065"/>
      <c r="W11" s="1065"/>
      <c r="X11" s="1066"/>
      <c r="Y11" s="1110"/>
      <c r="Z11" s="1110"/>
      <c r="AA11" s="1111" t="str">
        <f>IFERROR(Y11/Z11,"")</f>
        <v/>
      </c>
      <c r="AB11" s="1112"/>
      <c r="AC11" s="1113"/>
    </row>
    <row r="12" spans="1:30" ht="60" customHeight="1" x14ac:dyDescent="0.2">
      <c r="A12" s="648">
        <f t="shared" ref="A12:A75" si="0">A11+1</f>
        <v>2</v>
      </c>
      <c r="B12" s="648" t="str">
        <f t="shared" ref="B12:B49" si="1">"Coverage"&amp;A12</f>
        <v>Coverage2</v>
      </c>
      <c r="C12" s="1027" t="str">
        <f>IFERROR(INDEX('Disaggregation1B_Import-Export'!D$8:D$239,MATCH($B12,'Disaggregation1B_Import-Export'!$C$8:$C$239,0)),"")</f>
        <v>TB care and prevention</v>
      </c>
      <c r="D12" s="1028" t="str">
        <f>IFERROR(INDEX('Disaggregation1B_Import-Export'!AF$8:AF$256,MATCH($B12,'Disaggregation1B_Import-Export'!$C$8:$C$256,0)),"")</f>
        <v>TCP-1(M): Nombre de cas déclarés de tuberculose, toutes formes confondues, bactériologiquement confirmés et cliniquement diagnostiqués, nouveaux cas et récidives</v>
      </c>
      <c r="E12" s="1028" t="str">
        <f>IFERROR(IF(INDEX('Disaggregation1B_Import-Export'!AG$8:AG$239,MATCH($B12,'Disaggregation1B_Import-Export'!$C$8:$C$239,0))="","",INDEX('Disaggregation1B_Import-Export'!AG$8:AG$239,MATCH($B12,'Disaggregation1B_Import-Export'!$C$8:$C$239,0))),"")</f>
        <v>Bactériologiquement confirmé</v>
      </c>
      <c r="F12" s="1028" t="str">
        <f>IFERROR(IF(INDEX('Disaggregation1B_Import-Export'!AH$8:AH$239,MATCH($B12,'Disaggregation1B_Import-Export'!$C$8:$C$239,0))="","",INDEX('Disaggregation1B_Import-Export'!AH$8:AH$239,MATCH($B12,'Disaggregation1B_Import-Export'!$C$8:$C$239,0))),"")</f>
        <v>Définition des cas</v>
      </c>
      <c r="G12" s="1107">
        <f>IFERROR(IF(INDEX('Disaggregation1B_Import-Export'!H$8:H$239,MATCH($B12,'Disaggregation1B_Import-Export'!$C$8:$C$239,0))="","",INDEX('Disaggregation1B_Import-Export'!H$8:H$239,MATCH($B12,'Disaggregation1B_Import-Export'!$C$8:$C$239,0))),"")</f>
        <v>4585</v>
      </c>
      <c r="H12" s="1107">
        <f>IFERROR(IF(INDEX('Disaggregation1B_Import-Export'!I$8:I$239,MATCH($B12,'Disaggregation1B_Import-Export'!$C$8:$C$239,0))="","",INDEX('Disaggregation1B_Import-Export'!I$8:I$239,MATCH($B12,'Disaggregation1B_Import-Export'!$C$8:$C$239,0))),"")</f>
        <v>0</v>
      </c>
      <c r="I12" s="1108" t="str">
        <f>IFERROR(IF(INDEX('Disaggregation1B_Import-Export'!J$8:J$239,MATCH($B12,'Disaggregation1B_Import-Export'!$C$8:$C$239,0))="","",INDEX('Disaggregation1B_Import-Export'!J$8:J$239,MATCH($B12,'Disaggregation1B_Import-Export'!$C$8:$C$239,0))),"")</f>
        <v>0.0</v>
      </c>
      <c r="J12" s="1028" t="str">
        <f>IFERROR(IF(INDEX('Disaggregation1B_Import-Export'!K$8:K$239,MATCH($B12,'Disaggregation1B_Import-Export'!$C$8:$C$239,0))="","",INDEX('Disaggregation1B_Import-Export'!K$8:K$239,MATCH($B12,'Disaggregation1B_Import-Export'!$C$8:$C$239,0))),"")</f>
        <v>2016</v>
      </c>
      <c r="K12" s="1028" t="str">
        <f>IFERROR(IF(INDEX('Disaggregation1B_Import-Export'!L$8:L$239,MATCH($B12,'Disaggregation1B_Import-Export'!$C$8:$C$239,0))="","",INDEX('Disaggregation1B_Import-Export'!L$8:L$239,MATCH($B12,'Disaggregation1B_Import-Export'!$C$8:$C$239,0))),"")</f>
        <v>PNILT 2016 Annual Report</v>
      </c>
      <c r="L12" s="1028" t="str">
        <f>IFERROR(IF(INDEX('Disaggregation1B_Import-Export'!AQ$8:AQ$239,MATCH($B12,'Disaggregation1B_Import-Export'!$C$8:$C$239,0))="","",INDEX('Disaggregation1B_Import-Export'!AQ$8:AQ$239,MATCH($B12,'Disaggregation1B_Import-Export'!$C$8:$C$239,0))),"")</f>
        <v>Burundi</v>
      </c>
      <c r="M12" s="1064">
        <v>2136</v>
      </c>
      <c r="N12" s="1064">
        <v>3359</v>
      </c>
      <c r="O12" s="1109">
        <f t="shared" ref="O12:O49" si="2">IFERROR((M12/N12)*100,"")</f>
        <v>63.59035427210479</v>
      </c>
      <c r="P12" s="1065" t="s">
        <v>69</v>
      </c>
      <c r="Q12" s="1065" t="s">
        <v>548</v>
      </c>
      <c r="R12" s="1066"/>
      <c r="S12" s="1064"/>
      <c r="T12" s="1064"/>
      <c r="U12" s="1109" t="str">
        <f t="shared" ref="U12:U49" si="3">IFERROR((S12/T12)*100,"")</f>
        <v/>
      </c>
      <c r="V12" s="1065"/>
      <c r="W12" s="1065"/>
      <c r="X12" s="1066"/>
      <c r="Y12" s="1110"/>
      <c r="Z12" s="1110"/>
      <c r="AA12" s="1111" t="str">
        <f t="shared" ref="AA12:AA49" si="4">IFERROR(Y12/Z12,"")</f>
        <v/>
      </c>
      <c r="AB12" s="1112"/>
      <c r="AC12" s="1113"/>
    </row>
    <row r="13" spans="1:30" ht="60" customHeight="1" x14ac:dyDescent="0.2">
      <c r="A13" s="648">
        <f t="shared" si="0"/>
        <v>3</v>
      </c>
      <c r="B13" s="648" t="str">
        <f t="shared" si="1"/>
        <v>Coverage3</v>
      </c>
      <c r="C13" s="1027" t="str">
        <f>IFERROR(INDEX('Disaggregation1B_Import-Export'!D$8:D$239,MATCH($B13,'Disaggregation1B_Import-Export'!$C$8:$C$239,0)),"")</f>
        <v>TB care and prevention</v>
      </c>
      <c r="D13" s="1028" t="str">
        <f>IFERROR(INDEX('Disaggregation1B_Import-Export'!AF$8:AF$256,MATCH($B13,'Disaggregation1B_Import-Export'!$C$8:$C$256,0)),"")</f>
        <v>TCP-1(M): Nombre de cas déclarés de tuberculose, toutes formes confondues, bactériologiquement confirmés et cliniquement diagnostiqués, nouveaux cas et récidives</v>
      </c>
      <c r="E13" s="1028" t="str">
        <f>IFERROR(IF(INDEX('Disaggregation1B_Import-Export'!AG$8:AG$239,MATCH($B13,'Disaggregation1B_Import-Export'!$C$8:$C$239,0))="","",INDEX('Disaggregation1B_Import-Export'!AG$8:AG$239,MATCH($B13,'Disaggregation1B_Import-Export'!$C$8:$C$239,0))),"")</f>
        <v>+ de 15 ans</v>
      </c>
      <c r="F13" s="1028" t="str">
        <f>IFERROR(IF(INDEX('Disaggregation1B_Import-Export'!AH$8:AH$239,MATCH($B13,'Disaggregation1B_Import-Export'!$C$8:$C$239,0))="","",INDEX('Disaggregation1B_Import-Export'!AH$8:AH$239,MATCH($B13,'Disaggregation1B_Import-Export'!$C$8:$C$239,0))),"")</f>
        <v>Age</v>
      </c>
      <c r="G13" s="1107">
        <f>IFERROR(IF(INDEX('Disaggregation1B_Import-Export'!H$8:H$239,MATCH($B13,'Disaggregation1B_Import-Export'!$C$8:$C$239,0))="","",INDEX('Disaggregation1B_Import-Export'!H$8:H$239,MATCH($B13,'Disaggregation1B_Import-Export'!$C$8:$C$239,0))),"")</f>
        <v>7270</v>
      </c>
      <c r="H13" s="1107">
        <f>IFERROR(IF(INDEX('Disaggregation1B_Import-Export'!I$8:I$239,MATCH($B13,'Disaggregation1B_Import-Export'!$C$8:$C$239,0))="","",INDEX('Disaggregation1B_Import-Export'!I$8:I$239,MATCH($B13,'Disaggregation1B_Import-Export'!$C$8:$C$239,0))),"")</f>
        <v>0</v>
      </c>
      <c r="I13" s="1108" t="str">
        <f>IFERROR(IF(INDEX('Disaggregation1B_Import-Export'!J$8:J$239,MATCH($B13,'Disaggregation1B_Import-Export'!$C$8:$C$239,0))="","",INDEX('Disaggregation1B_Import-Export'!J$8:J$239,MATCH($B13,'Disaggregation1B_Import-Export'!$C$8:$C$239,0))),"")</f>
        <v>0.0</v>
      </c>
      <c r="J13" s="1028" t="str">
        <f>IFERROR(IF(INDEX('Disaggregation1B_Import-Export'!K$8:K$239,MATCH($B13,'Disaggregation1B_Import-Export'!$C$8:$C$239,0))="","",INDEX('Disaggregation1B_Import-Export'!K$8:K$239,MATCH($B13,'Disaggregation1B_Import-Export'!$C$8:$C$239,0))),"")</f>
        <v>2016</v>
      </c>
      <c r="K13" s="1028" t="str">
        <f>IFERROR(IF(INDEX('Disaggregation1B_Import-Export'!L$8:L$239,MATCH($B13,'Disaggregation1B_Import-Export'!$C$8:$C$239,0))="","",INDEX('Disaggregation1B_Import-Export'!L$8:L$239,MATCH($B13,'Disaggregation1B_Import-Export'!$C$8:$C$239,0))),"")</f>
        <v>PNILT 2016 Annual Report</v>
      </c>
      <c r="L13" s="1028" t="str">
        <f>IFERROR(IF(INDEX('Disaggregation1B_Import-Export'!AQ$8:AQ$239,MATCH($B13,'Disaggregation1B_Import-Export'!$C$8:$C$239,0))="","",INDEX('Disaggregation1B_Import-Export'!AQ$8:AQ$239,MATCH($B13,'Disaggregation1B_Import-Export'!$C$8:$C$239,0))),"")</f>
        <v>Burundi</v>
      </c>
      <c r="M13" s="1064">
        <v>3213</v>
      </c>
      <c r="N13" s="1064">
        <v>3359</v>
      </c>
      <c r="O13" s="1109">
        <f t="shared" si="2"/>
        <v>95.653468294135152</v>
      </c>
      <c r="P13" s="1065" t="s">
        <v>69</v>
      </c>
      <c r="Q13" s="1065" t="s">
        <v>549</v>
      </c>
      <c r="R13" s="1066"/>
      <c r="S13" s="1064"/>
      <c r="T13" s="1064"/>
      <c r="U13" s="1109" t="str">
        <f t="shared" si="3"/>
        <v/>
      </c>
      <c r="V13" s="1065"/>
      <c r="W13" s="1065"/>
      <c r="X13" s="1066"/>
      <c r="Y13" s="1110"/>
      <c r="Z13" s="1110"/>
      <c r="AA13" s="1111" t="str">
        <f t="shared" si="4"/>
        <v/>
      </c>
      <c r="AB13" s="1112"/>
      <c r="AC13" s="1113"/>
    </row>
    <row r="14" spans="1:30" ht="60" customHeight="1" x14ac:dyDescent="0.2">
      <c r="A14" s="648">
        <f t="shared" si="0"/>
        <v>4</v>
      </c>
      <c r="B14" s="648" t="str">
        <f t="shared" si="1"/>
        <v>Coverage4</v>
      </c>
      <c r="C14" s="1027" t="str">
        <f>IFERROR(INDEX('Disaggregation1B_Import-Export'!D$8:D$239,MATCH($B14,'Disaggregation1B_Import-Export'!$C$8:$C$239,0)),"")</f>
        <v>TB care and prevention</v>
      </c>
      <c r="D14" s="1028" t="str">
        <f>IFERROR(INDEX('Disaggregation1B_Import-Export'!AF$8:AF$256,MATCH($B14,'Disaggregation1B_Import-Export'!$C$8:$C$256,0)),"")</f>
        <v>TCP-1(M): Nombre de cas déclarés de tuberculose, toutes formes confondues, bactériologiquement confirmés et cliniquement diagnostiqués, nouveaux cas et récidives</v>
      </c>
      <c r="E14" s="1028" t="str">
        <f>IFERROR(IF(INDEX('Disaggregation1B_Import-Export'!AG$8:AG$239,MATCH($B14,'Disaggregation1B_Import-Export'!$C$8:$C$239,0))="","",INDEX('Disaggregation1B_Import-Export'!AG$8:AG$239,MATCH($B14,'Disaggregation1B_Import-Export'!$C$8:$C$239,0))),"")</f>
        <v>&lt;15 ans</v>
      </c>
      <c r="F14" s="1028" t="str">
        <f>IFERROR(IF(INDEX('Disaggregation1B_Import-Export'!AH$8:AH$239,MATCH($B14,'Disaggregation1B_Import-Export'!$C$8:$C$239,0))="","",INDEX('Disaggregation1B_Import-Export'!AH$8:AH$239,MATCH($B14,'Disaggregation1B_Import-Export'!$C$8:$C$239,0))),"")</f>
        <v>Age</v>
      </c>
      <c r="G14" s="1107">
        <f>IFERROR(IF(INDEX('Disaggregation1B_Import-Export'!H$8:H$239,MATCH($B14,'Disaggregation1B_Import-Export'!$C$8:$C$239,0))="","",INDEX('Disaggregation1B_Import-Export'!H$8:H$239,MATCH($B14,'Disaggregation1B_Import-Export'!$C$8:$C$239,0))),"")</f>
        <v>392</v>
      </c>
      <c r="H14" s="1107">
        <f>IFERROR(IF(INDEX('Disaggregation1B_Import-Export'!I$8:I$239,MATCH($B14,'Disaggregation1B_Import-Export'!$C$8:$C$239,0))="","",INDEX('Disaggregation1B_Import-Export'!I$8:I$239,MATCH($B14,'Disaggregation1B_Import-Export'!$C$8:$C$239,0))),"")</f>
        <v>0</v>
      </c>
      <c r="I14" s="1108" t="str">
        <f>IFERROR(IF(INDEX('Disaggregation1B_Import-Export'!J$8:J$239,MATCH($B14,'Disaggregation1B_Import-Export'!$C$8:$C$239,0))="","",INDEX('Disaggregation1B_Import-Export'!J$8:J$239,MATCH($B14,'Disaggregation1B_Import-Export'!$C$8:$C$239,0))),"")</f>
        <v>0.0</v>
      </c>
      <c r="J14" s="1028" t="str">
        <f>IFERROR(IF(INDEX('Disaggregation1B_Import-Export'!K$8:K$239,MATCH($B14,'Disaggregation1B_Import-Export'!$C$8:$C$239,0))="","",INDEX('Disaggregation1B_Import-Export'!K$8:K$239,MATCH($B14,'Disaggregation1B_Import-Export'!$C$8:$C$239,0))),"")</f>
        <v>2016</v>
      </c>
      <c r="K14" s="1028" t="str">
        <f>IFERROR(IF(INDEX('Disaggregation1B_Import-Export'!L$8:L$239,MATCH($B14,'Disaggregation1B_Import-Export'!$C$8:$C$239,0))="","",INDEX('Disaggregation1B_Import-Export'!L$8:L$239,MATCH($B14,'Disaggregation1B_Import-Export'!$C$8:$C$239,0))),"")</f>
        <v>PNILT 2016 Annual Report</v>
      </c>
      <c r="L14" s="1028" t="str">
        <f>IFERROR(IF(INDEX('Disaggregation1B_Import-Export'!AQ$8:AQ$239,MATCH($B14,'Disaggregation1B_Import-Export'!$C$8:$C$239,0))="","",INDEX('Disaggregation1B_Import-Export'!AQ$8:AQ$239,MATCH($B14,'Disaggregation1B_Import-Export'!$C$8:$C$239,0))),"")</f>
        <v>Burundi</v>
      </c>
      <c r="M14" s="1064">
        <v>146</v>
      </c>
      <c r="N14" s="1064">
        <v>3359</v>
      </c>
      <c r="O14" s="1109">
        <f t="shared" si="2"/>
        <v>4.3465317058648409</v>
      </c>
      <c r="P14" s="1065" t="s">
        <v>69</v>
      </c>
      <c r="Q14" s="1065" t="s">
        <v>550</v>
      </c>
      <c r="R14" s="1066"/>
      <c r="S14" s="1064"/>
      <c r="T14" s="1064"/>
      <c r="U14" s="1109" t="str">
        <f t="shared" si="3"/>
        <v/>
      </c>
      <c r="V14" s="1065"/>
      <c r="W14" s="1065"/>
      <c r="X14" s="1066"/>
      <c r="Y14" s="1110"/>
      <c r="Z14" s="1110"/>
      <c r="AA14" s="1111" t="str">
        <f t="shared" si="4"/>
        <v/>
      </c>
      <c r="AB14" s="1112"/>
      <c r="AC14" s="1113"/>
    </row>
    <row r="15" spans="1:30" ht="60" customHeight="1" x14ac:dyDescent="0.2">
      <c r="A15" s="648">
        <f t="shared" si="0"/>
        <v>5</v>
      </c>
      <c r="B15" s="648" t="str">
        <f t="shared" si="1"/>
        <v>Coverage5</v>
      </c>
      <c r="C15" s="1027" t="str">
        <f>IFERROR(INDEX('Disaggregation1B_Import-Export'!D$8:D$239,MATCH($B15,'Disaggregation1B_Import-Export'!$C$8:$C$239,0)),"")</f>
        <v>TB care and prevention</v>
      </c>
      <c r="D15" s="1028" t="str">
        <f>IFERROR(INDEX('Disaggregation1B_Import-Export'!AF$8:AF$256,MATCH($B15,'Disaggregation1B_Import-Export'!$C$8:$C$256,0)),"")</f>
        <v>TCP-1(M): Nombre de cas déclarés de tuberculose, toutes formes confondues, bactériologiquement confirmés et cliniquement diagnostiqués, nouveaux cas et récidives</v>
      </c>
      <c r="E15" s="1028" t="str">
        <f>IFERROR(IF(INDEX('Disaggregation1B_Import-Export'!AG$8:AG$239,MATCH($B15,'Disaggregation1B_Import-Export'!$C$8:$C$239,0))="","",INDEX('Disaggregation1B_Import-Export'!AG$8:AG$239,MATCH($B15,'Disaggregation1B_Import-Export'!$C$8:$C$239,0))),"")</f>
        <v>Non communiqué</v>
      </c>
      <c r="F15" s="1028" t="str">
        <f>IFERROR(IF(INDEX('Disaggregation1B_Import-Export'!AH$8:AH$239,MATCH($B15,'Disaggregation1B_Import-Export'!$C$8:$C$239,0))="","",INDEX('Disaggregation1B_Import-Export'!AH$8:AH$239,MATCH($B15,'Disaggregation1B_Import-Export'!$C$8:$C$239,0))),"")</f>
        <v>Résultat du test VIH</v>
      </c>
      <c r="G15" s="1107">
        <f>IFERROR(IF(INDEX('Disaggregation1B_Import-Export'!H$8:H$239,MATCH($B15,'Disaggregation1B_Import-Export'!$C$8:$C$239,0))="","",INDEX('Disaggregation1B_Import-Export'!H$8:H$239,MATCH($B15,'Disaggregation1B_Import-Export'!$C$8:$C$239,0))),"")</f>
        <v>317</v>
      </c>
      <c r="H15" s="1107">
        <f>IFERROR(IF(INDEX('Disaggregation1B_Import-Export'!I$8:I$239,MATCH($B15,'Disaggregation1B_Import-Export'!$C$8:$C$239,0))="","",INDEX('Disaggregation1B_Import-Export'!I$8:I$239,MATCH($B15,'Disaggregation1B_Import-Export'!$C$8:$C$239,0))),"")</f>
        <v>0</v>
      </c>
      <c r="I15" s="1108" t="str">
        <f>IFERROR(IF(INDEX('Disaggregation1B_Import-Export'!J$8:J$239,MATCH($B15,'Disaggregation1B_Import-Export'!$C$8:$C$239,0))="","",INDEX('Disaggregation1B_Import-Export'!J$8:J$239,MATCH($B15,'Disaggregation1B_Import-Export'!$C$8:$C$239,0))),"")</f>
        <v>0.0</v>
      </c>
      <c r="J15" s="1028" t="str">
        <f>IFERROR(IF(INDEX('Disaggregation1B_Import-Export'!K$8:K$239,MATCH($B15,'Disaggregation1B_Import-Export'!$C$8:$C$239,0))="","",INDEX('Disaggregation1B_Import-Export'!K$8:K$239,MATCH($B15,'Disaggregation1B_Import-Export'!$C$8:$C$239,0))),"")</f>
        <v>2016</v>
      </c>
      <c r="K15" s="1028" t="str">
        <f>IFERROR(IF(INDEX('Disaggregation1B_Import-Export'!L$8:L$239,MATCH($B15,'Disaggregation1B_Import-Export'!$C$8:$C$239,0))="","",INDEX('Disaggregation1B_Import-Export'!L$8:L$239,MATCH($B15,'Disaggregation1B_Import-Export'!$C$8:$C$239,0))),"")</f>
        <v>PNILT 2016 Annual Report</v>
      </c>
      <c r="L15" s="1028" t="str">
        <f>IFERROR(IF(INDEX('Disaggregation1B_Import-Export'!AQ$8:AQ$239,MATCH($B15,'Disaggregation1B_Import-Export'!$C$8:$C$239,0))="","",INDEX('Disaggregation1B_Import-Export'!AQ$8:AQ$239,MATCH($B15,'Disaggregation1B_Import-Export'!$C$8:$C$239,0))),"")</f>
        <v>Burundi</v>
      </c>
      <c r="M15" s="1064">
        <v>34</v>
      </c>
      <c r="N15" s="1064">
        <v>3359</v>
      </c>
      <c r="O15" s="1109">
        <f t="shared" si="2"/>
        <v>1.0122060136945519</v>
      </c>
      <c r="P15" s="1065" t="s">
        <v>69</v>
      </c>
      <c r="Q15" s="1065" t="s">
        <v>551</v>
      </c>
      <c r="R15" s="1066"/>
      <c r="S15" s="1064"/>
      <c r="T15" s="1064"/>
      <c r="U15" s="1109" t="str">
        <f t="shared" si="3"/>
        <v/>
      </c>
      <c r="V15" s="1065"/>
      <c r="W15" s="1065"/>
      <c r="X15" s="1066"/>
      <c r="Y15" s="1110"/>
      <c r="Z15" s="1110"/>
      <c r="AA15" s="1111" t="str">
        <f t="shared" si="4"/>
        <v/>
      </c>
      <c r="AB15" s="1112"/>
      <c r="AC15" s="1113"/>
    </row>
    <row r="16" spans="1:30" ht="60" customHeight="1" x14ac:dyDescent="0.2">
      <c r="A16" s="648">
        <f t="shared" si="0"/>
        <v>6</v>
      </c>
      <c r="B16" s="648" t="str">
        <f t="shared" si="1"/>
        <v>Coverage6</v>
      </c>
      <c r="C16" s="1027" t="str">
        <f>IFERROR(INDEX('Disaggregation1B_Import-Export'!D$8:D$239,MATCH($B16,'Disaggregation1B_Import-Export'!$C$8:$C$239,0)),"")</f>
        <v>TB care and prevention</v>
      </c>
      <c r="D16" s="1028" t="str">
        <f>IFERROR(INDEX('Disaggregation1B_Import-Export'!AF$8:AF$256,MATCH($B16,'Disaggregation1B_Import-Export'!$C$8:$C$256,0)),"")</f>
        <v>TCP-1(M): Nombre de cas déclarés de tuberculose, toutes formes confondues, bactériologiquement confirmés et cliniquement diagnostiqués, nouveaux cas et récidives</v>
      </c>
      <c r="E16" s="1028" t="str">
        <f>IFERROR(IF(INDEX('Disaggregation1B_Import-Export'!AG$8:AG$239,MATCH($B16,'Disaggregation1B_Import-Export'!$C$8:$C$239,0))="","",INDEX('Disaggregation1B_Import-Export'!AG$8:AG$239,MATCH($B16,'Disaggregation1B_Import-Export'!$C$8:$C$239,0))),"")</f>
        <v>Négatif</v>
      </c>
      <c r="F16" s="1028" t="str">
        <f>IFERROR(IF(INDEX('Disaggregation1B_Import-Export'!AH$8:AH$239,MATCH($B16,'Disaggregation1B_Import-Export'!$C$8:$C$239,0))="","",INDEX('Disaggregation1B_Import-Export'!AH$8:AH$239,MATCH($B16,'Disaggregation1B_Import-Export'!$C$8:$C$239,0))),"")</f>
        <v>Résultat du test VIH</v>
      </c>
      <c r="G16" s="1107">
        <f>IFERROR(IF(INDEX('Disaggregation1B_Import-Export'!H$8:H$239,MATCH($B16,'Disaggregation1B_Import-Export'!$C$8:$C$239,0))="","",INDEX('Disaggregation1B_Import-Export'!H$8:H$239,MATCH($B16,'Disaggregation1B_Import-Export'!$C$8:$C$239,0))),"")</f>
        <v>6468</v>
      </c>
      <c r="H16" s="1107">
        <f>IFERROR(IF(INDEX('Disaggregation1B_Import-Export'!I$8:I$239,MATCH($B16,'Disaggregation1B_Import-Export'!$C$8:$C$239,0))="","",INDEX('Disaggregation1B_Import-Export'!I$8:I$239,MATCH($B16,'Disaggregation1B_Import-Export'!$C$8:$C$239,0))),"")</f>
        <v>0</v>
      </c>
      <c r="I16" s="1108" t="str">
        <f>IFERROR(IF(INDEX('Disaggregation1B_Import-Export'!J$8:J$239,MATCH($B16,'Disaggregation1B_Import-Export'!$C$8:$C$239,0))="","",INDEX('Disaggregation1B_Import-Export'!J$8:J$239,MATCH($B16,'Disaggregation1B_Import-Export'!$C$8:$C$239,0))),"")</f>
        <v>0.0</v>
      </c>
      <c r="J16" s="1028" t="str">
        <f>IFERROR(IF(INDEX('Disaggregation1B_Import-Export'!K$8:K$239,MATCH($B16,'Disaggregation1B_Import-Export'!$C$8:$C$239,0))="","",INDEX('Disaggregation1B_Import-Export'!K$8:K$239,MATCH($B16,'Disaggregation1B_Import-Export'!$C$8:$C$239,0))),"")</f>
        <v>2016</v>
      </c>
      <c r="K16" s="1028" t="str">
        <f>IFERROR(IF(INDEX('Disaggregation1B_Import-Export'!L$8:L$239,MATCH($B16,'Disaggregation1B_Import-Export'!$C$8:$C$239,0))="","",INDEX('Disaggregation1B_Import-Export'!L$8:L$239,MATCH($B16,'Disaggregation1B_Import-Export'!$C$8:$C$239,0))),"")</f>
        <v>PNILT 2016 Annual Report</v>
      </c>
      <c r="L16" s="1028" t="str">
        <f>IFERROR(IF(INDEX('Disaggregation1B_Import-Export'!AQ$8:AQ$239,MATCH($B16,'Disaggregation1B_Import-Export'!$C$8:$C$239,0))="","",INDEX('Disaggregation1B_Import-Export'!AQ$8:AQ$239,MATCH($B16,'Disaggregation1B_Import-Export'!$C$8:$C$239,0))),"")</f>
        <v>Burundi</v>
      </c>
      <c r="M16" s="1064">
        <v>3036</v>
      </c>
      <c r="N16" s="1064">
        <v>3325</v>
      </c>
      <c r="O16" s="1109">
        <f t="shared" si="2"/>
        <v>91.308270676691734</v>
      </c>
      <c r="P16" s="1065" t="s">
        <v>69</v>
      </c>
      <c r="Q16" s="1065" t="s">
        <v>552</v>
      </c>
      <c r="R16" s="1066"/>
      <c r="S16" s="1064"/>
      <c r="T16" s="1064"/>
      <c r="U16" s="1109" t="str">
        <f t="shared" si="3"/>
        <v/>
      </c>
      <c r="V16" s="1065"/>
      <c r="W16" s="1065"/>
      <c r="X16" s="1066"/>
      <c r="Y16" s="1110"/>
      <c r="Z16" s="1110"/>
      <c r="AA16" s="1111" t="str">
        <f t="shared" si="4"/>
        <v/>
      </c>
      <c r="AB16" s="1112"/>
      <c r="AC16" s="1113"/>
    </row>
    <row r="17" spans="1:29" ht="60" customHeight="1" x14ac:dyDescent="0.2">
      <c r="A17" s="648">
        <f t="shared" si="0"/>
        <v>7</v>
      </c>
      <c r="B17" s="648" t="str">
        <f t="shared" si="1"/>
        <v>Coverage7</v>
      </c>
      <c r="C17" s="1027" t="str">
        <f>IFERROR(INDEX('Disaggregation1B_Import-Export'!D$8:D$239,MATCH($B17,'Disaggregation1B_Import-Export'!$C$8:$C$239,0)),"")</f>
        <v>TB care and prevention</v>
      </c>
      <c r="D17" s="1028" t="str">
        <f>IFERROR(INDEX('Disaggregation1B_Import-Export'!AF$8:AF$256,MATCH($B17,'Disaggregation1B_Import-Export'!$C$8:$C$256,0)),"")</f>
        <v>TCP-1(M): Nombre de cas déclarés de tuberculose, toutes formes confondues, bactériologiquement confirmés et cliniquement diagnostiqués, nouveaux cas et récidives</v>
      </c>
      <c r="E17" s="1028" t="str">
        <f>IFERROR(IF(INDEX('Disaggregation1B_Import-Export'!AG$8:AG$239,MATCH($B17,'Disaggregation1B_Import-Export'!$C$8:$C$239,0))="","",INDEX('Disaggregation1B_Import-Export'!AG$8:AG$239,MATCH($B17,'Disaggregation1B_Import-Export'!$C$8:$C$239,0))),"")</f>
        <v>Positif</v>
      </c>
      <c r="F17" s="1028" t="str">
        <f>IFERROR(IF(INDEX('Disaggregation1B_Import-Export'!AH$8:AH$239,MATCH($B17,'Disaggregation1B_Import-Export'!$C$8:$C$239,0))="","",INDEX('Disaggregation1B_Import-Export'!AH$8:AH$239,MATCH($B17,'Disaggregation1B_Import-Export'!$C$8:$C$239,0))),"")</f>
        <v>Résultat du test VIH</v>
      </c>
      <c r="G17" s="1107">
        <f>IFERROR(IF(INDEX('Disaggregation1B_Import-Export'!H$8:H$239,MATCH($B17,'Disaggregation1B_Import-Export'!$C$8:$C$239,0))="","",INDEX('Disaggregation1B_Import-Export'!H$8:H$239,MATCH($B17,'Disaggregation1B_Import-Export'!$C$8:$C$239,0))),"")</f>
        <v>877</v>
      </c>
      <c r="H17" s="1107">
        <f>IFERROR(IF(INDEX('Disaggregation1B_Import-Export'!I$8:I$239,MATCH($B17,'Disaggregation1B_Import-Export'!$C$8:$C$239,0))="","",INDEX('Disaggregation1B_Import-Export'!I$8:I$239,MATCH($B17,'Disaggregation1B_Import-Export'!$C$8:$C$239,0))),"")</f>
        <v>0</v>
      </c>
      <c r="I17" s="1108" t="str">
        <f>IFERROR(IF(INDEX('Disaggregation1B_Import-Export'!J$8:J$239,MATCH($B17,'Disaggregation1B_Import-Export'!$C$8:$C$239,0))="","",INDEX('Disaggregation1B_Import-Export'!J$8:J$239,MATCH($B17,'Disaggregation1B_Import-Export'!$C$8:$C$239,0))),"")</f>
        <v>0.0</v>
      </c>
      <c r="J17" s="1028" t="str">
        <f>IFERROR(IF(INDEX('Disaggregation1B_Import-Export'!K$8:K$239,MATCH($B17,'Disaggregation1B_Import-Export'!$C$8:$C$239,0))="","",INDEX('Disaggregation1B_Import-Export'!K$8:K$239,MATCH($B17,'Disaggregation1B_Import-Export'!$C$8:$C$239,0))),"")</f>
        <v>2016</v>
      </c>
      <c r="K17" s="1028" t="str">
        <f>IFERROR(IF(INDEX('Disaggregation1B_Import-Export'!L$8:L$239,MATCH($B17,'Disaggregation1B_Import-Export'!$C$8:$C$239,0))="","",INDEX('Disaggregation1B_Import-Export'!L$8:L$239,MATCH($B17,'Disaggregation1B_Import-Export'!$C$8:$C$239,0))),"")</f>
        <v>PNILT 2016 Annual Report</v>
      </c>
      <c r="L17" s="1028" t="str">
        <f>IFERROR(IF(INDEX('Disaggregation1B_Import-Export'!AQ$8:AQ$239,MATCH($B17,'Disaggregation1B_Import-Export'!$C$8:$C$239,0))="","",INDEX('Disaggregation1B_Import-Export'!AQ$8:AQ$239,MATCH($B17,'Disaggregation1B_Import-Export'!$C$8:$C$239,0))),"")</f>
        <v>Burundi</v>
      </c>
      <c r="M17" s="1064">
        <v>262</v>
      </c>
      <c r="N17" s="1064">
        <v>3325</v>
      </c>
      <c r="O17" s="1109">
        <f t="shared" si="2"/>
        <v>7.8796992481203008</v>
      </c>
      <c r="P17" s="1065" t="s">
        <v>69</v>
      </c>
      <c r="Q17" s="1065" t="s">
        <v>553</v>
      </c>
      <c r="R17" s="1066"/>
      <c r="S17" s="1064"/>
      <c r="T17" s="1064"/>
      <c r="U17" s="1109" t="str">
        <f t="shared" si="3"/>
        <v/>
      </c>
      <c r="V17" s="1065"/>
      <c r="W17" s="1065"/>
      <c r="X17" s="1066"/>
      <c r="Y17" s="1110"/>
      <c r="Z17" s="1110"/>
      <c r="AA17" s="1111" t="str">
        <f t="shared" si="4"/>
        <v/>
      </c>
      <c r="AB17" s="1112"/>
      <c r="AC17" s="1113"/>
    </row>
    <row r="18" spans="1:29" ht="60" customHeight="1" x14ac:dyDescent="0.2">
      <c r="A18" s="648">
        <f t="shared" si="0"/>
        <v>8</v>
      </c>
      <c r="B18" s="648" t="str">
        <f t="shared" si="1"/>
        <v>Coverage8</v>
      </c>
      <c r="C18" s="1027" t="str">
        <f>IFERROR(INDEX('Disaggregation1B_Import-Export'!D$8:D$239,MATCH($B18,'Disaggregation1B_Import-Export'!$C$8:$C$239,0)),"")</f>
        <v>TB care and prevention</v>
      </c>
      <c r="D18" s="1028" t="str">
        <f>IFERROR(INDEX('Disaggregation1B_Import-Export'!AF$8:AF$256,MATCH($B18,'Disaggregation1B_Import-Export'!$C$8:$C$256,0)),"")</f>
        <v>TCP-1(M): Nombre de cas déclarés de tuberculose, toutes formes confondues, bactériologiquement confirmés et cliniquement diagnostiqués, nouveaux cas et récidives</v>
      </c>
      <c r="E18" s="1028" t="str">
        <f>IFERROR(IF(INDEX('Disaggregation1B_Import-Export'!AG$8:AG$239,MATCH($B18,'Disaggregation1B_Import-Export'!$C$8:$C$239,0))="","",INDEX('Disaggregation1B_Import-Export'!AG$8:AG$239,MATCH($B18,'Disaggregation1B_Import-Export'!$C$8:$C$239,0))),"")</f>
        <v>Homme</v>
      </c>
      <c r="F18" s="1028" t="str">
        <f>IFERROR(IF(INDEX('Disaggregation1B_Import-Export'!AH$8:AH$239,MATCH($B18,'Disaggregation1B_Import-Export'!$C$8:$C$239,0))="","",INDEX('Disaggregation1B_Import-Export'!AH$8:AH$239,MATCH($B18,'Disaggregation1B_Import-Export'!$C$8:$C$239,0))),"")</f>
        <v>Sexe</v>
      </c>
      <c r="G18" s="1107">
        <f>IFERROR(IF(INDEX('Disaggregation1B_Import-Export'!H$8:H$239,MATCH($B18,'Disaggregation1B_Import-Export'!$C$8:$C$239,0))="","",INDEX('Disaggregation1B_Import-Export'!H$8:H$239,MATCH($B18,'Disaggregation1B_Import-Export'!$C$8:$C$239,0))),"")</f>
        <v>4922</v>
      </c>
      <c r="H18" s="1107">
        <f>IFERROR(IF(INDEX('Disaggregation1B_Import-Export'!I$8:I$239,MATCH($B18,'Disaggregation1B_Import-Export'!$C$8:$C$239,0))="","",INDEX('Disaggregation1B_Import-Export'!I$8:I$239,MATCH($B18,'Disaggregation1B_Import-Export'!$C$8:$C$239,0))),"")</f>
        <v>0</v>
      </c>
      <c r="I18" s="1108" t="str">
        <f>IFERROR(IF(INDEX('Disaggregation1B_Import-Export'!J$8:J$239,MATCH($B18,'Disaggregation1B_Import-Export'!$C$8:$C$239,0))="","",INDEX('Disaggregation1B_Import-Export'!J$8:J$239,MATCH($B18,'Disaggregation1B_Import-Export'!$C$8:$C$239,0))),"")</f>
        <v>0.0</v>
      </c>
      <c r="J18" s="1028" t="str">
        <f>IFERROR(IF(INDEX('Disaggregation1B_Import-Export'!K$8:K$239,MATCH($B18,'Disaggregation1B_Import-Export'!$C$8:$C$239,0))="","",INDEX('Disaggregation1B_Import-Export'!K$8:K$239,MATCH($B18,'Disaggregation1B_Import-Export'!$C$8:$C$239,0))),"")</f>
        <v>2016</v>
      </c>
      <c r="K18" s="1028" t="str">
        <f>IFERROR(IF(INDEX('Disaggregation1B_Import-Export'!L$8:L$239,MATCH($B18,'Disaggregation1B_Import-Export'!$C$8:$C$239,0))="","",INDEX('Disaggregation1B_Import-Export'!L$8:L$239,MATCH($B18,'Disaggregation1B_Import-Export'!$C$8:$C$239,0))),"")</f>
        <v>PNILT 2016 Annual Report</v>
      </c>
      <c r="L18" s="1028" t="str">
        <f>IFERROR(IF(INDEX('Disaggregation1B_Import-Export'!AQ$8:AQ$239,MATCH($B18,'Disaggregation1B_Import-Export'!$C$8:$C$239,0))="","",INDEX('Disaggregation1B_Import-Export'!AQ$8:AQ$239,MATCH($B18,'Disaggregation1B_Import-Export'!$C$8:$C$239,0))),"")</f>
        <v>Burundi</v>
      </c>
      <c r="M18" s="1064">
        <v>2218</v>
      </c>
      <c r="N18" s="1064">
        <v>3359</v>
      </c>
      <c r="O18" s="1109">
        <f t="shared" si="2"/>
        <v>66.031557011015181</v>
      </c>
      <c r="P18" s="1065" t="s">
        <v>69</v>
      </c>
      <c r="Q18" s="1065" t="s">
        <v>554</v>
      </c>
      <c r="R18" s="1066"/>
      <c r="S18" s="1064"/>
      <c r="T18" s="1064"/>
      <c r="U18" s="1109" t="str">
        <f t="shared" si="3"/>
        <v/>
      </c>
      <c r="V18" s="1065"/>
      <c r="W18" s="1065"/>
      <c r="X18" s="1066"/>
      <c r="Y18" s="1110"/>
      <c r="Z18" s="1110"/>
      <c r="AA18" s="1111" t="str">
        <f t="shared" si="4"/>
        <v/>
      </c>
      <c r="AB18" s="1112"/>
      <c r="AC18" s="1113"/>
    </row>
    <row r="19" spans="1:29" ht="60" customHeight="1" x14ac:dyDescent="0.2">
      <c r="A19" s="648">
        <f t="shared" si="0"/>
        <v>9</v>
      </c>
      <c r="B19" s="648" t="str">
        <f t="shared" si="1"/>
        <v>Coverage9</v>
      </c>
      <c r="C19" s="1027" t="str">
        <f>IFERROR(INDEX('Disaggregation1B_Import-Export'!D$8:D$239,MATCH($B19,'Disaggregation1B_Import-Export'!$C$8:$C$239,0)),"")</f>
        <v>TB care and prevention</v>
      </c>
      <c r="D19" s="1028" t="str">
        <f>IFERROR(INDEX('Disaggregation1B_Import-Export'!AF$8:AF$256,MATCH($B19,'Disaggregation1B_Import-Export'!$C$8:$C$256,0)),"")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19" s="1028" t="str">
        <f>IFERROR(IF(INDEX('Disaggregation1B_Import-Export'!AG$8:AG$239,MATCH($B19,'Disaggregation1B_Import-Export'!$C$8:$C$239,0))="","",INDEX('Disaggregation1B_Import-Export'!AG$8:AG$239,MATCH($B19,'Disaggregation1B_Import-Export'!$C$8:$C$239,0))),"")</f>
        <v>Négatif</v>
      </c>
      <c r="F19" s="1028" t="str">
        <f>IFERROR(IF(INDEX('Disaggregation1B_Import-Export'!AH$8:AH$239,MATCH($B19,'Disaggregation1B_Import-Export'!$C$8:$C$239,0))="","",INDEX('Disaggregation1B_Import-Export'!AH$8:AH$239,MATCH($B19,'Disaggregation1B_Import-Export'!$C$8:$C$239,0))),"")</f>
        <v>Résultat du test VIH</v>
      </c>
      <c r="G19" s="1107">
        <f>IFERROR(IF(INDEX('Disaggregation1B_Import-Export'!H$8:H$239,MATCH($B19,'Disaggregation1B_Import-Export'!$C$8:$C$239,0))="","",INDEX('Disaggregation1B_Import-Export'!H$8:H$239,MATCH($B19,'Disaggregation1B_Import-Export'!$C$8:$C$239,0))),"")</f>
        <v>0</v>
      </c>
      <c r="H19" s="1107">
        <f>IFERROR(IF(INDEX('Disaggregation1B_Import-Export'!I$8:I$239,MATCH($B19,'Disaggregation1B_Import-Export'!$C$8:$C$239,0))="","",INDEX('Disaggregation1B_Import-Export'!I$8:I$239,MATCH($B19,'Disaggregation1B_Import-Export'!$C$8:$C$239,0))),"")</f>
        <v>0</v>
      </c>
      <c r="I19" s="1108" t="str">
        <f>IFERROR(IF(INDEX('Disaggregation1B_Import-Export'!J$8:J$239,MATCH($B19,'Disaggregation1B_Import-Export'!$C$8:$C$239,0))="","",INDEX('Disaggregation1B_Import-Export'!J$8:J$239,MATCH($B19,'Disaggregation1B_Import-Export'!$C$8:$C$239,0))),"")</f>
        <v>0.0</v>
      </c>
      <c r="J19" s="1028" t="str">
        <f>IFERROR(IF(INDEX('Disaggregation1B_Import-Export'!K$8:K$239,MATCH($B19,'Disaggregation1B_Import-Export'!$C$8:$C$239,0))="","",INDEX('Disaggregation1B_Import-Export'!K$8:K$239,MATCH($B19,'Disaggregation1B_Import-Export'!$C$8:$C$239,0))),"")</f>
        <v/>
      </c>
      <c r="K19" s="1028" t="str">
        <f>IFERROR(IF(INDEX('Disaggregation1B_Import-Export'!L$8:L$239,MATCH($B19,'Disaggregation1B_Import-Export'!$C$8:$C$239,0))="","",INDEX('Disaggregation1B_Import-Export'!L$8:L$239,MATCH($B19,'Disaggregation1B_Import-Export'!$C$8:$C$239,0))),"")</f>
        <v/>
      </c>
      <c r="L19" s="1028" t="str">
        <f>IFERROR(IF(INDEX('Disaggregation1B_Import-Export'!AQ$8:AQ$239,MATCH($B19,'Disaggregation1B_Import-Export'!$C$8:$C$239,0))="","",INDEX('Disaggregation1B_Import-Export'!AQ$8:AQ$239,MATCH($B19,'Disaggregation1B_Import-Export'!$C$8:$C$239,0))),"")</f>
        <v>Burundi</v>
      </c>
      <c r="M19" s="1064"/>
      <c r="N19" s="1064"/>
      <c r="O19" s="1109" t="str">
        <f t="shared" si="2"/>
        <v/>
      </c>
      <c r="P19" s="1065"/>
      <c r="Q19" s="1065" t="s">
        <v>555</v>
      </c>
      <c r="R19" s="1066"/>
      <c r="S19" s="1064"/>
      <c r="T19" s="1064"/>
      <c r="U19" s="1109" t="str">
        <f t="shared" si="3"/>
        <v/>
      </c>
      <c r="V19" s="1065"/>
      <c r="W19" s="1065"/>
      <c r="X19" s="1066"/>
      <c r="Y19" s="1110"/>
      <c r="Z19" s="1110"/>
      <c r="AA19" s="1111" t="str">
        <f t="shared" si="4"/>
        <v/>
      </c>
      <c r="AB19" s="1112"/>
      <c r="AC19" s="1113"/>
    </row>
    <row r="20" spans="1:29" ht="60" customHeight="1" x14ac:dyDescent="0.2">
      <c r="A20" s="648">
        <f t="shared" si="0"/>
        <v>10</v>
      </c>
      <c r="B20" s="648" t="str">
        <f t="shared" si="1"/>
        <v>Coverage10</v>
      </c>
      <c r="C20" s="1027" t="str">
        <f>IFERROR(INDEX('Disaggregation1B_Import-Export'!D$8:D$239,MATCH($B20,'Disaggregation1B_Import-Export'!$C$8:$C$239,0)),"")</f>
        <v>TB care and prevention</v>
      </c>
      <c r="D20" s="1028" t="str">
        <f>IFERROR(INDEX('Disaggregation1B_Import-Export'!AF$8:AF$256,MATCH($B20,'Disaggregation1B_Import-Export'!$C$8:$C$256,0)),"")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20" s="1028" t="str">
        <f>IFERROR(IF(INDEX('Disaggregation1B_Import-Export'!AG$8:AG$239,MATCH($B20,'Disaggregation1B_Import-Export'!$C$8:$C$239,0))="","",INDEX('Disaggregation1B_Import-Export'!AG$8:AG$239,MATCH($B20,'Disaggregation1B_Import-Export'!$C$8:$C$239,0))),"")</f>
        <v>Homme</v>
      </c>
      <c r="F20" s="1028" t="str">
        <f>IFERROR(IF(INDEX('Disaggregation1B_Import-Export'!AH$8:AH$239,MATCH($B20,'Disaggregation1B_Import-Export'!$C$8:$C$239,0))="","",INDEX('Disaggregation1B_Import-Export'!AH$8:AH$239,MATCH($B20,'Disaggregation1B_Import-Export'!$C$8:$C$239,0))),"")</f>
        <v>Sexe</v>
      </c>
      <c r="G20" s="1107">
        <f>IFERROR(IF(INDEX('Disaggregation1B_Import-Export'!H$8:H$239,MATCH($B20,'Disaggregation1B_Import-Export'!$C$8:$C$239,0))="","",INDEX('Disaggregation1B_Import-Export'!H$8:H$239,MATCH($B20,'Disaggregation1B_Import-Export'!$C$8:$C$239,0))),"")</f>
        <v>0</v>
      </c>
      <c r="H20" s="1107">
        <f>IFERROR(IF(INDEX('Disaggregation1B_Import-Export'!I$8:I$239,MATCH($B20,'Disaggregation1B_Import-Export'!$C$8:$C$239,0))="","",INDEX('Disaggregation1B_Import-Export'!I$8:I$239,MATCH($B20,'Disaggregation1B_Import-Export'!$C$8:$C$239,0))),"")</f>
        <v>0</v>
      </c>
      <c r="I20" s="1108" t="str">
        <f>IFERROR(IF(INDEX('Disaggregation1B_Import-Export'!J$8:J$239,MATCH($B20,'Disaggregation1B_Import-Export'!$C$8:$C$239,0))="","",INDEX('Disaggregation1B_Import-Export'!J$8:J$239,MATCH($B20,'Disaggregation1B_Import-Export'!$C$8:$C$239,0))),"")</f>
        <v>0.0</v>
      </c>
      <c r="J20" s="1028" t="str">
        <f>IFERROR(IF(INDEX('Disaggregation1B_Import-Export'!K$8:K$239,MATCH($B20,'Disaggregation1B_Import-Export'!$C$8:$C$239,0))="","",INDEX('Disaggregation1B_Import-Export'!K$8:K$239,MATCH($B20,'Disaggregation1B_Import-Export'!$C$8:$C$239,0))),"")</f>
        <v/>
      </c>
      <c r="K20" s="1028" t="str">
        <f>IFERROR(IF(INDEX('Disaggregation1B_Import-Export'!L$8:L$239,MATCH($B20,'Disaggregation1B_Import-Export'!$C$8:$C$239,0))="","",INDEX('Disaggregation1B_Import-Export'!L$8:L$239,MATCH($B20,'Disaggregation1B_Import-Export'!$C$8:$C$239,0))),"")</f>
        <v/>
      </c>
      <c r="L20" s="1028" t="str">
        <f>IFERROR(IF(INDEX('Disaggregation1B_Import-Export'!AQ$8:AQ$239,MATCH($B20,'Disaggregation1B_Import-Export'!$C$8:$C$239,0))="","",INDEX('Disaggregation1B_Import-Export'!AQ$8:AQ$239,MATCH($B20,'Disaggregation1B_Import-Export'!$C$8:$C$239,0))),"")</f>
        <v>Burundi</v>
      </c>
      <c r="M20" s="1064">
        <v>2085</v>
      </c>
      <c r="N20" s="1064">
        <v>3152</v>
      </c>
      <c r="O20" s="1109">
        <f t="shared" si="2"/>
        <v>66.148477157360404</v>
      </c>
      <c r="P20" s="1065" t="s">
        <v>69</v>
      </c>
      <c r="Q20" s="1065" t="s">
        <v>556</v>
      </c>
      <c r="R20" s="1066"/>
      <c r="S20" s="1064"/>
      <c r="T20" s="1064"/>
      <c r="U20" s="1109" t="str">
        <f t="shared" si="3"/>
        <v/>
      </c>
      <c r="V20" s="1065"/>
      <c r="W20" s="1065"/>
      <c r="X20" s="1066"/>
      <c r="Y20" s="1110"/>
      <c r="Z20" s="1110"/>
      <c r="AA20" s="1111" t="str">
        <f t="shared" si="4"/>
        <v/>
      </c>
      <c r="AB20" s="1112"/>
      <c r="AC20" s="1113"/>
    </row>
    <row r="21" spans="1:29" ht="60" customHeight="1" x14ac:dyDescent="0.2">
      <c r="A21" s="648">
        <f t="shared" si="0"/>
        <v>11</v>
      </c>
      <c r="B21" s="648" t="str">
        <f t="shared" si="1"/>
        <v>Coverage11</v>
      </c>
      <c r="C21" s="1027" t="str">
        <f>IFERROR(INDEX('Disaggregation1B_Import-Export'!D$8:D$239,MATCH($B21,'Disaggregation1B_Import-Export'!$C$8:$C$239,0)),"")</f>
        <v>TB care and prevention</v>
      </c>
      <c r="D21" s="1028" t="str">
        <f>IFERROR(INDEX('Disaggregation1B_Import-Export'!AF$8:AF$256,MATCH($B21,'Disaggregation1B_Import-Export'!$C$8:$C$256,0)),"")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21" s="1028" t="str">
        <f>IFERROR(IF(INDEX('Disaggregation1B_Import-Export'!AG$8:AG$239,MATCH($B21,'Disaggregation1B_Import-Export'!$C$8:$C$239,0))="","",INDEX('Disaggregation1B_Import-Export'!AG$8:AG$239,MATCH($B21,'Disaggregation1B_Import-Export'!$C$8:$C$239,0))),"")</f>
        <v>Positif</v>
      </c>
      <c r="F21" s="1028" t="str">
        <f>IFERROR(IF(INDEX('Disaggregation1B_Import-Export'!AH$8:AH$239,MATCH($B21,'Disaggregation1B_Import-Export'!$C$8:$C$239,0))="","",INDEX('Disaggregation1B_Import-Export'!AH$8:AH$239,MATCH($B21,'Disaggregation1B_Import-Export'!$C$8:$C$239,0))),"")</f>
        <v>Résultat du test VIH</v>
      </c>
      <c r="G21" s="1107">
        <f>IFERROR(IF(INDEX('Disaggregation1B_Import-Export'!H$8:H$239,MATCH($B21,'Disaggregation1B_Import-Export'!$C$8:$C$239,0))="","",INDEX('Disaggregation1B_Import-Export'!H$8:H$239,MATCH($B21,'Disaggregation1B_Import-Export'!$C$8:$C$239,0))),"")</f>
        <v>0</v>
      </c>
      <c r="H21" s="1107">
        <f>IFERROR(IF(INDEX('Disaggregation1B_Import-Export'!I$8:I$239,MATCH($B21,'Disaggregation1B_Import-Export'!$C$8:$C$239,0))="","",INDEX('Disaggregation1B_Import-Export'!I$8:I$239,MATCH($B21,'Disaggregation1B_Import-Export'!$C$8:$C$239,0))),"")</f>
        <v>0</v>
      </c>
      <c r="I21" s="1108" t="str">
        <f>IFERROR(IF(INDEX('Disaggregation1B_Import-Export'!J$8:J$239,MATCH($B21,'Disaggregation1B_Import-Export'!$C$8:$C$239,0))="","",INDEX('Disaggregation1B_Import-Export'!J$8:J$239,MATCH($B21,'Disaggregation1B_Import-Export'!$C$8:$C$239,0))),"")</f>
        <v>0.0</v>
      </c>
      <c r="J21" s="1028" t="str">
        <f>IFERROR(IF(INDEX('Disaggregation1B_Import-Export'!K$8:K$239,MATCH($B21,'Disaggregation1B_Import-Export'!$C$8:$C$239,0))="","",INDEX('Disaggregation1B_Import-Export'!K$8:K$239,MATCH($B21,'Disaggregation1B_Import-Export'!$C$8:$C$239,0))),"")</f>
        <v/>
      </c>
      <c r="K21" s="1028" t="str">
        <f>IFERROR(IF(INDEX('Disaggregation1B_Import-Export'!L$8:L$239,MATCH($B21,'Disaggregation1B_Import-Export'!$C$8:$C$239,0))="","",INDEX('Disaggregation1B_Import-Export'!L$8:L$239,MATCH($B21,'Disaggregation1B_Import-Export'!$C$8:$C$239,0))),"")</f>
        <v/>
      </c>
      <c r="L21" s="1028" t="str">
        <f>IFERROR(IF(INDEX('Disaggregation1B_Import-Export'!AQ$8:AQ$239,MATCH($B21,'Disaggregation1B_Import-Export'!$C$8:$C$239,0))="","",INDEX('Disaggregation1B_Import-Export'!AQ$8:AQ$239,MATCH($B21,'Disaggregation1B_Import-Export'!$C$8:$C$239,0))),"")</f>
        <v>Burundi</v>
      </c>
      <c r="M21" s="1064"/>
      <c r="N21" s="1064"/>
      <c r="O21" s="1109" t="str">
        <f t="shared" si="2"/>
        <v/>
      </c>
      <c r="P21" s="1065"/>
      <c r="Q21" s="1065" t="s">
        <v>555</v>
      </c>
      <c r="R21" s="1066"/>
      <c r="S21" s="1064"/>
      <c r="T21" s="1064"/>
      <c r="U21" s="1109" t="str">
        <f t="shared" si="3"/>
        <v/>
      </c>
      <c r="V21" s="1065"/>
      <c r="W21" s="1065"/>
      <c r="X21" s="1066"/>
      <c r="Y21" s="1110"/>
      <c r="Z21" s="1110"/>
      <c r="AA21" s="1111" t="str">
        <f t="shared" si="4"/>
        <v/>
      </c>
      <c r="AB21" s="1112"/>
      <c r="AC21" s="1113"/>
    </row>
    <row r="22" spans="1:29" ht="60" customHeight="1" x14ac:dyDescent="0.2">
      <c r="A22" s="648">
        <f t="shared" si="0"/>
        <v>12</v>
      </c>
      <c r="B22" s="648" t="str">
        <f t="shared" si="1"/>
        <v>Coverage12</v>
      </c>
      <c r="C22" s="1027" t="str">
        <f>IFERROR(INDEX('Disaggregation1B_Import-Export'!D$8:D$239,MATCH($B22,'Disaggregation1B_Import-Export'!$C$8:$C$239,0)),"")</f>
        <v>TB care and prevention</v>
      </c>
      <c r="D22" s="1028" t="str">
        <f>IFERROR(INDEX('Disaggregation1B_Import-Export'!AF$8:AF$256,MATCH($B22,'Disaggregation1B_Import-Export'!$C$8:$C$256,0)),"")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22" s="1028" t="str">
        <f>IFERROR(IF(INDEX('Disaggregation1B_Import-Export'!AG$8:AG$239,MATCH($B22,'Disaggregation1B_Import-Export'!$C$8:$C$239,0))="","",INDEX('Disaggregation1B_Import-Export'!AG$8:AG$239,MATCH($B22,'Disaggregation1B_Import-Export'!$C$8:$C$239,0))),"")</f>
        <v>Non communiqué</v>
      </c>
      <c r="F22" s="1028" t="str">
        <f>IFERROR(IF(INDEX('Disaggregation1B_Import-Export'!AH$8:AH$239,MATCH($B22,'Disaggregation1B_Import-Export'!$C$8:$C$239,0))="","",INDEX('Disaggregation1B_Import-Export'!AH$8:AH$239,MATCH($B22,'Disaggregation1B_Import-Export'!$C$8:$C$239,0))),"")</f>
        <v>Résultat du test VIH</v>
      </c>
      <c r="G22" s="1107">
        <f>IFERROR(IF(INDEX('Disaggregation1B_Import-Export'!H$8:H$239,MATCH($B22,'Disaggregation1B_Import-Export'!$C$8:$C$239,0))="","",INDEX('Disaggregation1B_Import-Export'!H$8:H$239,MATCH($B22,'Disaggregation1B_Import-Export'!$C$8:$C$239,0))),"")</f>
        <v>0</v>
      </c>
      <c r="H22" s="1107">
        <f>IFERROR(IF(INDEX('Disaggregation1B_Import-Export'!I$8:I$239,MATCH($B22,'Disaggregation1B_Import-Export'!$C$8:$C$239,0))="","",INDEX('Disaggregation1B_Import-Export'!I$8:I$239,MATCH($B22,'Disaggregation1B_Import-Export'!$C$8:$C$239,0))),"")</f>
        <v>0</v>
      </c>
      <c r="I22" s="1108" t="str">
        <f>IFERROR(IF(INDEX('Disaggregation1B_Import-Export'!J$8:J$239,MATCH($B22,'Disaggregation1B_Import-Export'!$C$8:$C$239,0))="","",INDEX('Disaggregation1B_Import-Export'!J$8:J$239,MATCH($B22,'Disaggregation1B_Import-Export'!$C$8:$C$239,0))),"")</f>
        <v>0.0</v>
      </c>
      <c r="J22" s="1028" t="str">
        <f>IFERROR(IF(INDEX('Disaggregation1B_Import-Export'!K$8:K$239,MATCH($B22,'Disaggregation1B_Import-Export'!$C$8:$C$239,0))="","",INDEX('Disaggregation1B_Import-Export'!K$8:K$239,MATCH($B22,'Disaggregation1B_Import-Export'!$C$8:$C$239,0))),"")</f>
        <v/>
      </c>
      <c r="K22" s="1028" t="str">
        <f>IFERROR(IF(INDEX('Disaggregation1B_Import-Export'!L$8:L$239,MATCH($B22,'Disaggregation1B_Import-Export'!$C$8:$C$239,0))="","",INDEX('Disaggregation1B_Import-Export'!L$8:L$239,MATCH($B22,'Disaggregation1B_Import-Export'!$C$8:$C$239,0))),"")</f>
        <v/>
      </c>
      <c r="L22" s="1028" t="str">
        <f>IFERROR(IF(INDEX('Disaggregation1B_Import-Export'!AQ$8:AQ$239,MATCH($B22,'Disaggregation1B_Import-Export'!$C$8:$C$239,0))="","",INDEX('Disaggregation1B_Import-Export'!AQ$8:AQ$239,MATCH($B22,'Disaggregation1B_Import-Export'!$C$8:$C$239,0))),"")</f>
        <v>Burundi</v>
      </c>
      <c r="M22" s="1064"/>
      <c r="N22" s="1064"/>
      <c r="O22" s="1109" t="str">
        <f t="shared" si="2"/>
        <v/>
      </c>
      <c r="P22" s="1065"/>
      <c r="Q22" s="1065" t="s">
        <v>555</v>
      </c>
      <c r="R22" s="1066"/>
      <c r="S22" s="1064"/>
      <c r="T22" s="1064"/>
      <c r="U22" s="1109" t="str">
        <f t="shared" si="3"/>
        <v/>
      </c>
      <c r="V22" s="1065"/>
      <c r="W22" s="1065"/>
      <c r="X22" s="1066"/>
      <c r="Y22" s="1110"/>
      <c r="Z22" s="1110"/>
      <c r="AA22" s="1111" t="str">
        <f t="shared" si="4"/>
        <v/>
      </c>
      <c r="AB22" s="1112"/>
      <c r="AC22" s="1113"/>
    </row>
    <row r="23" spans="1:29" ht="60" customHeight="1" x14ac:dyDescent="0.2">
      <c r="A23" s="648">
        <f t="shared" si="0"/>
        <v>13</v>
      </c>
      <c r="B23" s="648" t="str">
        <f t="shared" si="1"/>
        <v>Coverage13</v>
      </c>
      <c r="C23" s="1027" t="str">
        <f>IFERROR(INDEX('Disaggregation1B_Import-Export'!D$8:D$239,MATCH($B23,'Disaggregation1B_Import-Export'!$C$8:$C$239,0)),"")</f>
        <v>TB care and prevention</v>
      </c>
      <c r="D23" s="1028" t="str">
        <f>IFERROR(INDEX('Disaggregation1B_Import-Export'!AF$8:AF$256,MATCH($B23,'Disaggregation1B_Import-Export'!$C$8:$C$256,0)),"")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23" s="1028" t="str">
        <f>IFERROR(IF(INDEX('Disaggregation1B_Import-Export'!AG$8:AG$239,MATCH($B23,'Disaggregation1B_Import-Export'!$C$8:$C$239,0))="","",INDEX('Disaggregation1B_Import-Export'!AG$8:AG$239,MATCH($B23,'Disaggregation1B_Import-Export'!$C$8:$C$239,0))),"")</f>
        <v>&lt;15 ans</v>
      </c>
      <c r="F23" s="1028" t="str">
        <f>IFERROR(IF(INDEX('Disaggregation1B_Import-Export'!AH$8:AH$239,MATCH($B23,'Disaggregation1B_Import-Export'!$C$8:$C$239,0))="","",INDEX('Disaggregation1B_Import-Export'!AH$8:AH$239,MATCH($B23,'Disaggregation1B_Import-Export'!$C$8:$C$239,0))),"")</f>
        <v>Age</v>
      </c>
      <c r="G23" s="1107">
        <f>IFERROR(IF(INDEX('Disaggregation1B_Import-Export'!H$8:H$239,MATCH($B23,'Disaggregation1B_Import-Export'!$C$8:$C$239,0))="","",INDEX('Disaggregation1B_Import-Export'!H$8:H$239,MATCH($B23,'Disaggregation1B_Import-Export'!$C$8:$C$239,0))),"")</f>
        <v>0</v>
      </c>
      <c r="H23" s="1107">
        <f>IFERROR(IF(INDEX('Disaggregation1B_Import-Export'!I$8:I$239,MATCH($B23,'Disaggregation1B_Import-Export'!$C$8:$C$239,0))="","",INDEX('Disaggregation1B_Import-Export'!I$8:I$239,MATCH($B23,'Disaggregation1B_Import-Export'!$C$8:$C$239,0))),"")</f>
        <v>0</v>
      </c>
      <c r="I23" s="1108" t="str">
        <f>IFERROR(IF(INDEX('Disaggregation1B_Import-Export'!J$8:J$239,MATCH($B23,'Disaggregation1B_Import-Export'!$C$8:$C$239,0))="","",INDEX('Disaggregation1B_Import-Export'!J$8:J$239,MATCH($B23,'Disaggregation1B_Import-Export'!$C$8:$C$239,0))),"")</f>
        <v>0.0</v>
      </c>
      <c r="J23" s="1028" t="str">
        <f>IFERROR(IF(INDEX('Disaggregation1B_Import-Export'!K$8:K$239,MATCH($B23,'Disaggregation1B_Import-Export'!$C$8:$C$239,0))="","",INDEX('Disaggregation1B_Import-Export'!K$8:K$239,MATCH($B23,'Disaggregation1B_Import-Export'!$C$8:$C$239,0))),"")</f>
        <v/>
      </c>
      <c r="K23" s="1028" t="str">
        <f>IFERROR(IF(INDEX('Disaggregation1B_Import-Export'!L$8:L$239,MATCH($B23,'Disaggregation1B_Import-Export'!$C$8:$C$239,0))="","",INDEX('Disaggregation1B_Import-Export'!L$8:L$239,MATCH($B23,'Disaggregation1B_Import-Export'!$C$8:$C$239,0))),"")</f>
        <v/>
      </c>
      <c r="L23" s="1028" t="str">
        <f>IFERROR(IF(INDEX('Disaggregation1B_Import-Export'!AQ$8:AQ$239,MATCH($B23,'Disaggregation1B_Import-Export'!$C$8:$C$239,0))="","",INDEX('Disaggregation1B_Import-Export'!AQ$8:AQ$239,MATCH($B23,'Disaggregation1B_Import-Export'!$C$8:$C$239,0))),"")</f>
        <v>Burundi</v>
      </c>
      <c r="M23" s="1064">
        <v>163</v>
      </c>
      <c r="N23" s="1064">
        <v>3152</v>
      </c>
      <c r="O23" s="1109">
        <f t="shared" si="2"/>
        <v>5.1713197969543145</v>
      </c>
      <c r="P23" s="1065" t="s">
        <v>69</v>
      </c>
      <c r="Q23" s="1065" t="s">
        <v>557</v>
      </c>
      <c r="R23" s="1066"/>
      <c r="S23" s="1064"/>
      <c r="T23" s="1064"/>
      <c r="U23" s="1109" t="str">
        <f t="shared" si="3"/>
        <v/>
      </c>
      <c r="V23" s="1065"/>
      <c r="W23" s="1065"/>
      <c r="X23" s="1066"/>
      <c r="Y23" s="1110"/>
      <c r="Z23" s="1110"/>
      <c r="AA23" s="1111" t="str">
        <f t="shared" si="4"/>
        <v/>
      </c>
      <c r="AB23" s="1112"/>
      <c r="AC23" s="1113"/>
    </row>
    <row r="24" spans="1:29" ht="60" customHeight="1" x14ac:dyDescent="0.2">
      <c r="A24" s="648">
        <f t="shared" si="0"/>
        <v>14</v>
      </c>
      <c r="B24" s="648" t="str">
        <f t="shared" si="1"/>
        <v>Coverage14</v>
      </c>
      <c r="C24" s="1027" t="str">
        <f>IFERROR(INDEX('Disaggregation1B_Import-Export'!D$8:D$239,MATCH($B24,'Disaggregation1B_Import-Export'!$C$8:$C$239,0)),"")</f>
        <v>TB care and prevention</v>
      </c>
      <c r="D24" s="1028" t="str">
        <f>IFERROR(INDEX('Disaggregation1B_Import-Export'!AF$8:AF$256,MATCH($B24,'Disaggregation1B_Import-Export'!$C$8:$C$256,0)),"")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24" s="1028" t="str">
        <f>IFERROR(IF(INDEX('Disaggregation1B_Import-Export'!AG$8:AG$239,MATCH($B24,'Disaggregation1B_Import-Export'!$C$8:$C$239,0))="","",INDEX('Disaggregation1B_Import-Export'!AG$8:AG$239,MATCH($B24,'Disaggregation1B_Import-Export'!$C$8:$C$239,0))),"")</f>
        <v>+ de 15 ans</v>
      </c>
      <c r="F24" s="1028" t="str">
        <f>IFERROR(IF(INDEX('Disaggregation1B_Import-Export'!AH$8:AH$239,MATCH($B24,'Disaggregation1B_Import-Export'!$C$8:$C$239,0))="","",INDEX('Disaggregation1B_Import-Export'!AH$8:AH$239,MATCH($B24,'Disaggregation1B_Import-Export'!$C$8:$C$239,0))),"")</f>
        <v>Age</v>
      </c>
      <c r="G24" s="1107">
        <f>IFERROR(IF(INDEX('Disaggregation1B_Import-Export'!H$8:H$239,MATCH($B24,'Disaggregation1B_Import-Export'!$C$8:$C$239,0))="","",INDEX('Disaggregation1B_Import-Export'!H$8:H$239,MATCH($B24,'Disaggregation1B_Import-Export'!$C$8:$C$239,0))),"")</f>
        <v>0</v>
      </c>
      <c r="H24" s="1107">
        <f>IFERROR(IF(INDEX('Disaggregation1B_Import-Export'!I$8:I$239,MATCH($B24,'Disaggregation1B_Import-Export'!$C$8:$C$239,0))="","",INDEX('Disaggregation1B_Import-Export'!I$8:I$239,MATCH($B24,'Disaggregation1B_Import-Export'!$C$8:$C$239,0))),"")</f>
        <v>0</v>
      </c>
      <c r="I24" s="1108" t="str">
        <f>IFERROR(IF(INDEX('Disaggregation1B_Import-Export'!J$8:J$239,MATCH($B24,'Disaggregation1B_Import-Export'!$C$8:$C$239,0))="","",INDEX('Disaggregation1B_Import-Export'!J$8:J$239,MATCH($B24,'Disaggregation1B_Import-Export'!$C$8:$C$239,0))),"")</f>
        <v>0.0</v>
      </c>
      <c r="J24" s="1028" t="str">
        <f>IFERROR(IF(INDEX('Disaggregation1B_Import-Export'!K$8:K$239,MATCH($B24,'Disaggregation1B_Import-Export'!$C$8:$C$239,0))="","",INDEX('Disaggregation1B_Import-Export'!K$8:K$239,MATCH($B24,'Disaggregation1B_Import-Export'!$C$8:$C$239,0))),"")</f>
        <v/>
      </c>
      <c r="K24" s="1028" t="str">
        <f>IFERROR(IF(INDEX('Disaggregation1B_Import-Export'!L$8:L$239,MATCH($B24,'Disaggregation1B_Import-Export'!$C$8:$C$239,0))="","",INDEX('Disaggregation1B_Import-Export'!L$8:L$239,MATCH($B24,'Disaggregation1B_Import-Export'!$C$8:$C$239,0))),"")</f>
        <v/>
      </c>
      <c r="L24" s="1028" t="str">
        <f>IFERROR(IF(INDEX('Disaggregation1B_Import-Export'!AQ$8:AQ$239,MATCH($B24,'Disaggregation1B_Import-Export'!$C$8:$C$239,0))="","",INDEX('Disaggregation1B_Import-Export'!AQ$8:AQ$239,MATCH($B24,'Disaggregation1B_Import-Export'!$C$8:$C$239,0))),"")</f>
        <v>Burundi</v>
      </c>
      <c r="M24" s="1064">
        <v>2989</v>
      </c>
      <c r="N24" s="1064">
        <v>3152</v>
      </c>
      <c r="O24" s="1109">
        <f t="shared" si="2"/>
        <v>94.828680203045693</v>
      </c>
      <c r="P24" s="1065" t="s">
        <v>69</v>
      </c>
      <c r="Q24" s="1065" t="s">
        <v>558</v>
      </c>
      <c r="R24" s="1066"/>
      <c r="S24" s="1064"/>
      <c r="T24" s="1064"/>
      <c r="U24" s="1109" t="str">
        <f t="shared" si="3"/>
        <v/>
      </c>
      <c r="V24" s="1065"/>
      <c r="W24" s="1065"/>
      <c r="X24" s="1066"/>
      <c r="Y24" s="1110"/>
      <c r="Z24" s="1110"/>
      <c r="AA24" s="1111" t="str">
        <f t="shared" si="4"/>
        <v/>
      </c>
      <c r="AB24" s="1112"/>
      <c r="AC24" s="1113"/>
    </row>
    <row r="25" spans="1:29" ht="60" customHeight="1" x14ac:dyDescent="0.2">
      <c r="A25" s="648">
        <f t="shared" si="0"/>
        <v>15</v>
      </c>
      <c r="B25" s="648" t="str">
        <f t="shared" si="1"/>
        <v>Coverage15</v>
      </c>
      <c r="C25" s="1027" t="str">
        <f>IFERROR(INDEX('Disaggregation1B_Import-Export'!D$8:D$239,MATCH($B25,'Disaggregation1B_Import-Export'!$C$8:$C$239,0)),"")</f>
        <v>TB care and prevention</v>
      </c>
      <c r="D25" s="1028" t="str">
        <f>IFERROR(INDEX('Disaggregation1B_Import-Export'!AF$8:AF$256,MATCH($B25,'Disaggregation1B_Import-Export'!$C$8:$C$256,0)),"")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25" s="1028" t="str">
        <f>IFERROR(IF(INDEX('Disaggregation1B_Import-Export'!AG$8:AG$239,MATCH($B25,'Disaggregation1B_Import-Export'!$C$8:$C$239,0))="","",INDEX('Disaggregation1B_Import-Export'!AG$8:AG$239,MATCH($B25,'Disaggregation1B_Import-Export'!$C$8:$C$239,0))),"")</f>
        <v>Femme</v>
      </c>
      <c r="F25" s="1028" t="str">
        <f>IFERROR(IF(INDEX('Disaggregation1B_Import-Export'!AH$8:AH$239,MATCH($B25,'Disaggregation1B_Import-Export'!$C$8:$C$239,0))="","",INDEX('Disaggregation1B_Import-Export'!AH$8:AH$239,MATCH($B25,'Disaggregation1B_Import-Export'!$C$8:$C$239,0))),"")</f>
        <v>Sexe</v>
      </c>
      <c r="G25" s="1107">
        <f>IFERROR(IF(INDEX('Disaggregation1B_Import-Export'!H$8:H$239,MATCH($B25,'Disaggregation1B_Import-Export'!$C$8:$C$239,0))="","",INDEX('Disaggregation1B_Import-Export'!H$8:H$239,MATCH($B25,'Disaggregation1B_Import-Export'!$C$8:$C$239,0))),"")</f>
        <v>4279</v>
      </c>
      <c r="H25" s="1107">
        <f>IFERROR(IF(INDEX('Disaggregation1B_Import-Export'!I$8:I$239,MATCH($B25,'Disaggregation1B_Import-Export'!$C$8:$C$239,0))="","",INDEX('Disaggregation1B_Import-Export'!I$8:I$239,MATCH($B25,'Disaggregation1B_Import-Export'!$C$8:$C$239,0))),"")</f>
        <v>4654</v>
      </c>
      <c r="I25" s="1108" t="str">
        <f>IFERROR(IF(INDEX('Disaggregation1B_Import-Export'!J$8:J$239,MATCH($B25,'Disaggregation1B_Import-Export'!$C$8:$C$239,0))="","",INDEX('Disaggregation1B_Import-Export'!J$8:J$239,MATCH($B25,'Disaggregation1B_Import-Export'!$C$8:$C$239,0))),"")</f>
        <v>0.9</v>
      </c>
      <c r="J25" s="1028" t="str">
        <f>IFERROR(IF(INDEX('Disaggregation1B_Import-Export'!K$8:K$239,MATCH($B25,'Disaggregation1B_Import-Export'!$C$8:$C$239,0))="","",INDEX('Disaggregation1B_Import-Export'!K$8:K$239,MATCH($B25,'Disaggregation1B_Import-Export'!$C$8:$C$239,0))),"")</f>
        <v>2016</v>
      </c>
      <c r="K25" s="1028" t="str">
        <f>IFERROR(IF(INDEX('Disaggregation1B_Import-Export'!L$8:L$239,MATCH($B25,'Disaggregation1B_Import-Export'!$C$8:$C$239,0))="","",INDEX('Disaggregation1B_Import-Export'!L$8:L$239,MATCH($B25,'Disaggregation1B_Import-Export'!$C$8:$C$239,0))),"")</f>
        <v>PNILT 2016 Annual Report</v>
      </c>
      <c r="L25" s="1028" t="str">
        <f>IFERROR(IF(INDEX('Disaggregation1B_Import-Export'!AQ$8:AQ$239,MATCH($B25,'Disaggregation1B_Import-Export'!$C$8:$C$239,0))="","",INDEX('Disaggregation1B_Import-Export'!AQ$8:AQ$239,MATCH($B25,'Disaggregation1B_Import-Export'!$C$8:$C$239,0))),"")</f>
        <v>Burundi</v>
      </c>
      <c r="M25" s="1064">
        <v>1067</v>
      </c>
      <c r="N25" s="1064">
        <v>3152</v>
      </c>
      <c r="O25" s="1109">
        <f t="shared" si="2"/>
        <v>33.851522842639589</v>
      </c>
      <c r="P25" s="1065" t="s">
        <v>69</v>
      </c>
      <c r="Q25" s="1065" t="s">
        <v>559</v>
      </c>
      <c r="R25" s="1066"/>
      <c r="S25" s="1064"/>
      <c r="T25" s="1064"/>
      <c r="U25" s="1109" t="str">
        <f t="shared" si="3"/>
        <v/>
      </c>
      <c r="V25" s="1065"/>
      <c r="W25" s="1065"/>
      <c r="X25" s="1066"/>
      <c r="Y25" s="1110"/>
      <c r="Z25" s="1110"/>
      <c r="AA25" s="1111" t="str">
        <f t="shared" si="4"/>
        <v/>
      </c>
      <c r="AB25" s="1112"/>
      <c r="AC25" s="1113"/>
    </row>
    <row r="26" spans="1:29" ht="60" customHeight="1" x14ac:dyDescent="0.2">
      <c r="A26" s="648">
        <f t="shared" si="0"/>
        <v>16</v>
      </c>
      <c r="B26" s="648" t="str">
        <f t="shared" si="1"/>
        <v>Coverage16</v>
      </c>
      <c r="C26" s="1027" t="str">
        <f>IFERROR(INDEX('Disaggregation1B_Import-Export'!D$8:D$239,MATCH($B26,'Disaggregation1B_Import-Export'!$C$8:$C$239,0)),"")</f>
        <v>MDR-TB</v>
      </c>
      <c r="D26" s="1028" t="str">
        <f>IFERROR(INDEX('Disaggregation1B_Import-Export'!AF$8:AF$256,MATCH($B26,'Disaggregation1B_Import-Export'!$C$8:$C$256,0)),"")</f>
        <v>MDR TB-2(M): Nombre de cas de tuberculose, résistante à la rifampicine et/ou tuberculose multirésistante confirmés</v>
      </c>
      <c r="E26" s="1028" t="str">
        <f>IFERROR(IF(INDEX('Disaggregation1B_Import-Export'!AG$8:AG$239,MATCH($B26,'Disaggregation1B_Import-Export'!$C$8:$C$239,0))="","",INDEX('Disaggregation1B_Import-Export'!AG$8:AG$239,MATCH($B26,'Disaggregation1B_Import-Export'!$C$8:$C$239,0))),"")</f>
        <v>Femme</v>
      </c>
      <c r="F26" s="1028" t="str">
        <f>IFERROR(IF(INDEX('Disaggregation1B_Import-Export'!AH$8:AH$239,MATCH($B26,'Disaggregation1B_Import-Export'!$C$8:$C$239,0))="","",INDEX('Disaggregation1B_Import-Export'!AH$8:AH$239,MATCH($B26,'Disaggregation1B_Import-Export'!$C$8:$C$239,0))),"")</f>
        <v>Sexe</v>
      </c>
      <c r="G26" s="1107">
        <f>IFERROR(IF(INDEX('Disaggregation1B_Import-Export'!H$8:H$239,MATCH($B26,'Disaggregation1B_Import-Export'!$C$8:$C$239,0))="","",INDEX('Disaggregation1B_Import-Export'!H$8:H$239,MATCH($B26,'Disaggregation1B_Import-Export'!$C$8:$C$239,0))),"")</f>
        <v>27</v>
      </c>
      <c r="H26" s="1107">
        <f>IFERROR(IF(INDEX('Disaggregation1B_Import-Export'!I$8:I$239,MATCH($B26,'Disaggregation1B_Import-Export'!$C$8:$C$239,0))="","",INDEX('Disaggregation1B_Import-Export'!I$8:I$239,MATCH($B26,'Disaggregation1B_Import-Export'!$C$8:$C$239,0))),"")</f>
        <v>0</v>
      </c>
      <c r="I26" s="1108" t="str">
        <f>IFERROR(IF(INDEX('Disaggregation1B_Import-Export'!J$8:J$239,MATCH($B26,'Disaggregation1B_Import-Export'!$C$8:$C$239,0))="","",INDEX('Disaggregation1B_Import-Export'!J$8:J$239,MATCH($B26,'Disaggregation1B_Import-Export'!$C$8:$C$239,0))),"")</f>
        <v>0.0</v>
      </c>
      <c r="J26" s="1028" t="str">
        <f>IFERROR(IF(INDEX('Disaggregation1B_Import-Export'!K$8:K$239,MATCH($B26,'Disaggregation1B_Import-Export'!$C$8:$C$239,0))="","",INDEX('Disaggregation1B_Import-Export'!K$8:K$239,MATCH($B26,'Disaggregation1B_Import-Export'!$C$8:$C$239,0))),"")</f>
        <v>2016</v>
      </c>
      <c r="K26" s="1028" t="str">
        <f>IFERROR(IF(INDEX('Disaggregation1B_Import-Export'!L$8:L$239,MATCH($B26,'Disaggregation1B_Import-Export'!$C$8:$C$239,0))="","",INDEX('Disaggregation1B_Import-Export'!L$8:L$239,MATCH($B26,'Disaggregation1B_Import-Export'!$C$8:$C$239,0))),"")</f>
        <v>PNILT 2016 Annual Report</v>
      </c>
      <c r="L26" s="1028" t="str">
        <f>IFERROR(IF(INDEX('Disaggregation1B_Import-Export'!AQ$8:AQ$239,MATCH($B26,'Disaggregation1B_Import-Export'!$C$8:$C$239,0))="","",INDEX('Disaggregation1B_Import-Export'!AQ$8:AQ$239,MATCH($B26,'Disaggregation1B_Import-Export'!$C$8:$C$239,0))),"")</f>
        <v>Burundi</v>
      </c>
      <c r="M26" s="1064">
        <v>8</v>
      </c>
      <c r="N26" s="1064"/>
      <c r="O26" s="1109" t="str">
        <f t="shared" si="2"/>
        <v/>
      </c>
      <c r="P26" s="1065" t="s">
        <v>65</v>
      </c>
      <c r="Q26" s="1065" t="s">
        <v>560</v>
      </c>
      <c r="R26" s="1066"/>
      <c r="S26" s="1064"/>
      <c r="T26" s="1064"/>
      <c r="U26" s="1109" t="str">
        <f t="shared" si="3"/>
        <v/>
      </c>
      <c r="V26" s="1065"/>
      <c r="W26" s="1065"/>
      <c r="X26" s="1066"/>
      <c r="Y26" s="1110"/>
      <c r="Z26" s="1110"/>
      <c r="AA26" s="1111" t="str">
        <f t="shared" si="4"/>
        <v/>
      </c>
      <c r="AB26" s="1112"/>
      <c r="AC26" s="1113"/>
    </row>
    <row r="27" spans="1:29" ht="60" customHeight="1" x14ac:dyDescent="0.2">
      <c r="A27" s="648">
        <f t="shared" si="0"/>
        <v>17</v>
      </c>
      <c r="B27" s="648" t="str">
        <f t="shared" si="1"/>
        <v>Coverage17</v>
      </c>
      <c r="C27" s="1027" t="str">
        <f>IFERROR(INDEX('Disaggregation1B_Import-Export'!D$8:D$239,MATCH($B27,'Disaggregation1B_Import-Export'!$C$8:$C$239,0)),"")</f>
        <v>MDR-TB</v>
      </c>
      <c r="D27" s="1028" t="str">
        <f>IFERROR(INDEX('Disaggregation1B_Import-Export'!AF$8:AF$256,MATCH($B27,'Disaggregation1B_Import-Export'!$C$8:$C$256,0)),"")</f>
        <v>MDR TB-2(M): Nombre de cas de tuberculose, résistante à la rifampicine et/ou tuberculose multirésistante confirmés</v>
      </c>
      <c r="E27" s="1028" t="str">
        <f>IFERROR(IF(INDEX('Disaggregation1B_Import-Export'!AG$8:AG$239,MATCH($B27,'Disaggregation1B_Import-Export'!$C$8:$C$239,0))="","",INDEX('Disaggregation1B_Import-Export'!AG$8:AG$239,MATCH($B27,'Disaggregation1B_Import-Export'!$C$8:$C$239,0))),"")</f>
        <v>Homme</v>
      </c>
      <c r="F27" s="1028" t="str">
        <f>IFERROR(IF(INDEX('Disaggregation1B_Import-Export'!AH$8:AH$239,MATCH($B27,'Disaggregation1B_Import-Export'!$C$8:$C$239,0))="","",INDEX('Disaggregation1B_Import-Export'!AH$8:AH$239,MATCH($B27,'Disaggregation1B_Import-Export'!$C$8:$C$239,0))),"")</f>
        <v>Sexe</v>
      </c>
      <c r="G27" s="1107">
        <f>IFERROR(IF(INDEX('Disaggregation1B_Import-Export'!H$8:H$239,MATCH($B27,'Disaggregation1B_Import-Export'!$C$8:$C$239,0))="","",INDEX('Disaggregation1B_Import-Export'!H$8:H$239,MATCH($B27,'Disaggregation1B_Import-Export'!$C$8:$C$239,0))),"")</f>
        <v>53</v>
      </c>
      <c r="H27" s="1107">
        <f>IFERROR(IF(INDEX('Disaggregation1B_Import-Export'!I$8:I$239,MATCH($B27,'Disaggregation1B_Import-Export'!$C$8:$C$239,0))="","",INDEX('Disaggregation1B_Import-Export'!I$8:I$239,MATCH($B27,'Disaggregation1B_Import-Export'!$C$8:$C$239,0))),"")</f>
        <v>0</v>
      </c>
      <c r="I27" s="1108" t="str">
        <f>IFERROR(IF(INDEX('Disaggregation1B_Import-Export'!J$8:J$239,MATCH($B27,'Disaggregation1B_Import-Export'!$C$8:$C$239,0))="","",INDEX('Disaggregation1B_Import-Export'!J$8:J$239,MATCH($B27,'Disaggregation1B_Import-Export'!$C$8:$C$239,0))),"")</f>
        <v>0.0</v>
      </c>
      <c r="J27" s="1028" t="str">
        <f>IFERROR(IF(INDEX('Disaggregation1B_Import-Export'!K$8:K$239,MATCH($B27,'Disaggregation1B_Import-Export'!$C$8:$C$239,0))="","",INDEX('Disaggregation1B_Import-Export'!K$8:K$239,MATCH($B27,'Disaggregation1B_Import-Export'!$C$8:$C$239,0))),"")</f>
        <v>2016</v>
      </c>
      <c r="K27" s="1028" t="str">
        <f>IFERROR(IF(INDEX('Disaggregation1B_Import-Export'!L$8:L$239,MATCH($B27,'Disaggregation1B_Import-Export'!$C$8:$C$239,0))="","",INDEX('Disaggregation1B_Import-Export'!L$8:L$239,MATCH($B27,'Disaggregation1B_Import-Export'!$C$8:$C$239,0))),"")</f>
        <v>PNILT 2016 Annual Report</v>
      </c>
      <c r="L27" s="1028" t="str">
        <f>IFERROR(IF(INDEX('Disaggregation1B_Import-Export'!AQ$8:AQ$239,MATCH($B27,'Disaggregation1B_Import-Export'!$C$8:$C$239,0))="","",INDEX('Disaggregation1B_Import-Export'!AQ$8:AQ$239,MATCH($B27,'Disaggregation1B_Import-Export'!$C$8:$C$239,0))),"")</f>
        <v>Burundi</v>
      </c>
      <c r="M27" s="1064">
        <v>27</v>
      </c>
      <c r="N27" s="1064"/>
      <c r="O27" s="1109" t="str">
        <f t="shared" si="2"/>
        <v/>
      </c>
      <c r="P27" s="1065" t="s">
        <v>65</v>
      </c>
      <c r="Q27" s="1065" t="s">
        <v>561</v>
      </c>
      <c r="R27" s="1066"/>
      <c r="S27" s="1064"/>
      <c r="T27" s="1064"/>
      <c r="U27" s="1109" t="str">
        <f t="shared" si="3"/>
        <v/>
      </c>
      <c r="V27" s="1065"/>
      <c r="W27" s="1065"/>
      <c r="X27" s="1066"/>
      <c r="Y27" s="1110"/>
      <c r="Z27" s="1110"/>
      <c r="AA27" s="1111" t="str">
        <f t="shared" si="4"/>
        <v/>
      </c>
      <c r="AB27" s="1112"/>
      <c r="AC27" s="1113"/>
    </row>
    <row r="28" spans="1:29" ht="60" customHeight="1" x14ac:dyDescent="0.2">
      <c r="A28" s="648">
        <f t="shared" si="0"/>
        <v>18</v>
      </c>
      <c r="B28" s="648" t="str">
        <f t="shared" si="1"/>
        <v>Coverage18</v>
      </c>
      <c r="C28" s="1027" t="str">
        <f>IFERROR(INDEX('Disaggregation1B_Import-Export'!D$8:D$239,MATCH($B28,'Disaggregation1B_Import-Export'!$C$8:$C$239,0)),"")</f>
        <v>MDR-TB</v>
      </c>
      <c r="D28" s="1028" t="str">
        <f>IFERROR(INDEX('Disaggregation1B_Import-Export'!AF$8:AF$256,MATCH($B28,'Disaggregation1B_Import-Export'!$C$8:$C$256,0)),"")</f>
        <v>MDR TB-2(M): Nombre de cas de tuberculose, résistante à la rifampicine et/ou tuberculose multirésistante confirmés</v>
      </c>
      <c r="E28" s="1028" t="str">
        <f>IFERROR(IF(INDEX('Disaggregation1B_Import-Export'!AG$8:AG$239,MATCH($B28,'Disaggregation1B_Import-Export'!$C$8:$C$239,0))="","",INDEX('Disaggregation1B_Import-Export'!AG$8:AG$239,MATCH($B28,'Disaggregation1B_Import-Export'!$C$8:$C$239,0))),"")</f>
        <v>&lt;15 ans</v>
      </c>
      <c r="F28" s="1028" t="str">
        <f>IFERROR(IF(INDEX('Disaggregation1B_Import-Export'!AH$8:AH$239,MATCH($B28,'Disaggregation1B_Import-Export'!$C$8:$C$239,0))="","",INDEX('Disaggregation1B_Import-Export'!AH$8:AH$239,MATCH($B28,'Disaggregation1B_Import-Export'!$C$8:$C$239,0))),"")</f>
        <v>Age</v>
      </c>
      <c r="G28" s="1107">
        <f>IFERROR(IF(INDEX('Disaggregation1B_Import-Export'!H$8:H$239,MATCH($B28,'Disaggregation1B_Import-Export'!$C$8:$C$239,0))="","",INDEX('Disaggregation1B_Import-Export'!H$8:H$239,MATCH($B28,'Disaggregation1B_Import-Export'!$C$8:$C$239,0))),"")</f>
        <v>2</v>
      </c>
      <c r="H28" s="1107">
        <f>IFERROR(IF(INDEX('Disaggregation1B_Import-Export'!I$8:I$239,MATCH($B28,'Disaggregation1B_Import-Export'!$C$8:$C$239,0))="","",INDEX('Disaggregation1B_Import-Export'!I$8:I$239,MATCH($B28,'Disaggregation1B_Import-Export'!$C$8:$C$239,0))),"")</f>
        <v>0</v>
      </c>
      <c r="I28" s="1108" t="str">
        <f>IFERROR(IF(INDEX('Disaggregation1B_Import-Export'!J$8:J$239,MATCH($B28,'Disaggregation1B_Import-Export'!$C$8:$C$239,0))="","",INDEX('Disaggregation1B_Import-Export'!J$8:J$239,MATCH($B28,'Disaggregation1B_Import-Export'!$C$8:$C$239,0))),"")</f>
        <v>0.0</v>
      </c>
      <c r="J28" s="1028" t="str">
        <f>IFERROR(IF(INDEX('Disaggregation1B_Import-Export'!K$8:K$239,MATCH($B28,'Disaggregation1B_Import-Export'!$C$8:$C$239,0))="","",INDEX('Disaggregation1B_Import-Export'!K$8:K$239,MATCH($B28,'Disaggregation1B_Import-Export'!$C$8:$C$239,0))),"")</f>
        <v>2016</v>
      </c>
      <c r="K28" s="1028" t="str">
        <f>IFERROR(IF(INDEX('Disaggregation1B_Import-Export'!L$8:L$239,MATCH($B28,'Disaggregation1B_Import-Export'!$C$8:$C$239,0))="","",INDEX('Disaggregation1B_Import-Export'!L$8:L$239,MATCH($B28,'Disaggregation1B_Import-Export'!$C$8:$C$239,0))),"")</f>
        <v>PNILT 2016 Annual Report</v>
      </c>
      <c r="L28" s="1028" t="str">
        <f>IFERROR(IF(INDEX('Disaggregation1B_Import-Export'!AQ$8:AQ$239,MATCH($B28,'Disaggregation1B_Import-Export'!$C$8:$C$239,0))="","",INDEX('Disaggregation1B_Import-Export'!AQ$8:AQ$239,MATCH($B28,'Disaggregation1B_Import-Export'!$C$8:$C$239,0))),"")</f>
        <v>Burundi</v>
      </c>
      <c r="M28" s="1064">
        <v>1</v>
      </c>
      <c r="N28" s="1064"/>
      <c r="O28" s="1109" t="str">
        <f t="shared" si="2"/>
        <v/>
      </c>
      <c r="P28" s="1065" t="s">
        <v>65</v>
      </c>
      <c r="Q28" s="1065" t="s">
        <v>562</v>
      </c>
      <c r="R28" s="1066"/>
      <c r="S28" s="1064"/>
      <c r="T28" s="1064"/>
      <c r="U28" s="1109" t="str">
        <f t="shared" si="3"/>
        <v/>
      </c>
      <c r="V28" s="1065"/>
      <c r="W28" s="1065"/>
      <c r="X28" s="1066"/>
      <c r="Y28" s="1110"/>
      <c r="Z28" s="1110"/>
      <c r="AA28" s="1111" t="str">
        <f t="shared" si="4"/>
        <v/>
      </c>
      <c r="AB28" s="1112"/>
      <c r="AC28" s="1113"/>
    </row>
    <row r="29" spans="1:29" ht="60" customHeight="1" x14ac:dyDescent="0.2">
      <c r="A29" s="648">
        <f t="shared" si="0"/>
        <v>19</v>
      </c>
      <c r="B29" s="648" t="str">
        <f t="shared" si="1"/>
        <v>Coverage19</v>
      </c>
      <c r="C29" s="1027" t="str">
        <f>IFERROR(INDEX('Disaggregation1B_Import-Export'!D$8:D$239,MATCH($B29,'Disaggregation1B_Import-Export'!$C$8:$C$239,0)),"")</f>
        <v>MDR-TB</v>
      </c>
      <c r="D29" s="1028" t="str">
        <f>IFERROR(INDEX('Disaggregation1B_Import-Export'!AF$8:AF$256,MATCH($B29,'Disaggregation1B_Import-Export'!$C$8:$C$256,0)),"")</f>
        <v>MDR TB-2(M): Nombre de cas de tuberculose, résistante à la rifampicine et/ou tuberculose multirésistante confirmés</v>
      </c>
      <c r="E29" s="1028" t="str">
        <f>IFERROR(IF(INDEX('Disaggregation1B_Import-Export'!AG$8:AG$239,MATCH($B29,'Disaggregation1B_Import-Export'!$C$8:$C$239,0))="","",INDEX('Disaggregation1B_Import-Export'!AG$8:AG$239,MATCH($B29,'Disaggregation1B_Import-Export'!$C$8:$C$239,0))),"")</f>
        <v>+ de 15 ans</v>
      </c>
      <c r="F29" s="1028" t="str">
        <f>IFERROR(IF(INDEX('Disaggregation1B_Import-Export'!AH$8:AH$239,MATCH($B29,'Disaggregation1B_Import-Export'!$C$8:$C$239,0))="","",INDEX('Disaggregation1B_Import-Export'!AH$8:AH$239,MATCH($B29,'Disaggregation1B_Import-Export'!$C$8:$C$239,0))),"")</f>
        <v>Age</v>
      </c>
      <c r="G29" s="1107">
        <f>IFERROR(IF(INDEX('Disaggregation1B_Import-Export'!H$8:H$239,MATCH($B29,'Disaggregation1B_Import-Export'!$C$8:$C$239,0))="","",INDEX('Disaggregation1B_Import-Export'!H$8:H$239,MATCH($B29,'Disaggregation1B_Import-Export'!$C$8:$C$239,0))),"")</f>
        <v>78</v>
      </c>
      <c r="H29" s="1107">
        <f>IFERROR(IF(INDEX('Disaggregation1B_Import-Export'!I$8:I$239,MATCH($B29,'Disaggregation1B_Import-Export'!$C$8:$C$239,0))="","",INDEX('Disaggregation1B_Import-Export'!I$8:I$239,MATCH($B29,'Disaggregation1B_Import-Export'!$C$8:$C$239,0))),"")</f>
        <v>0</v>
      </c>
      <c r="I29" s="1108" t="str">
        <f>IFERROR(IF(INDEX('Disaggregation1B_Import-Export'!J$8:J$239,MATCH($B29,'Disaggregation1B_Import-Export'!$C$8:$C$239,0))="","",INDEX('Disaggregation1B_Import-Export'!J$8:J$239,MATCH($B29,'Disaggregation1B_Import-Export'!$C$8:$C$239,0))),"")</f>
        <v>0.0</v>
      </c>
      <c r="J29" s="1028" t="str">
        <f>IFERROR(IF(INDEX('Disaggregation1B_Import-Export'!K$8:K$239,MATCH($B29,'Disaggregation1B_Import-Export'!$C$8:$C$239,0))="","",INDEX('Disaggregation1B_Import-Export'!K$8:K$239,MATCH($B29,'Disaggregation1B_Import-Export'!$C$8:$C$239,0))),"")</f>
        <v>2016</v>
      </c>
      <c r="K29" s="1028" t="str">
        <f>IFERROR(IF(INDEX('Disaggregation1B_Import-Export'!L$8:L$239,MATCH($B29,'Disaggregation1B_Import-Export'!$C$8:$C$239,0))="","",INDEX('Disaggregation1B_Import-Export'!L$8:L$239,MATCH($B29,'Disaggregation1B_Import-Export'!$C$8:$C$239,0))),"")</f>
        <v>PNILT 2016 Annual Report</v>
      </c>
      <c r="L29" s="1028" t="str">
        <f>IFERROR(IF(INDEX('Disaggregation1B_Import-Export'!AQ$8:AQ$239,MATCH($B29,'Disaggregation1B_Import-Export'!$C$8:$C$239,0))="","",INDEX('Disaggregation1B_Import-Export'!AQ$8:AQ$239,MATCH($B29,'Disaggregation1B_Import-Export'!$C$8:$C$239,0))),"")</f>
        <v>Burundi</v>
      </c>
      <c r="M29" s="1064">
        <v>34</v>
      </c>
      <c r="N29" s="1064"/>
      <c r="O29" s="1109" t="str">
        <f t="shared" si="2"/>
        <v/>
      </c>
      <c r="P29" s="1065" t="s">
        <v>65</v>
      </c>
      <c r="Q29" s="1065" t="s">
        <v>563</v>
      </c>
      <c r="R29" s="1066"/>
      <c r="S29" s="1064"/>
      <c r="T29" s="1064"/>
      <c r="U29" s="1109" t="str">
        <f t="shared" si="3"/>
        <v/>
      </c>
      <c r="V29" s="1065"/>
      <c r="W29" s="1065"/>
      <c r="X29" s="1066"/>
      <c r="Y29" s="1110"/>
      <c r="Z29" s="1110"/>
      <c r="AA29" s="1111" t="str">
        <f t="shared" si="4"/>
        <v/>
      </c>
      <c r="AB29" s="1112"/>
      <c r="AC29" s="1113"/>
    </row>
    <row r="30" spans="1:29" ht="60" customHeight="1" x14ac:dyDescent="0.2">
      <c r="A30" s="648">
        <f t="shared" si="0"/>
        <v>20</v>
      </c>
      <c r="B30" s="648" t="str">
        <f t="shared" si="1"/>
        <v>Coverage20</v>
      </c>
      <c r="C30" s="1027" t="str">
        <f>IFERROR(INDEX('Disaggregation1B_Import-Export'!D$8:D$239,MATCH($B30,'Disaggregation1B_Import-Export'!$C$8:$C$239,0)),"")</f>
        <v>MDR-TB</v>
      </c>
      <c r="D30" s="1028" t="str">
        <f>IFERROR(INDEX('Disaggregation1B_Import-Export'!AF$8:AF$256,MATCH($B30,'Disaggregation1B_Import-Export'!$C$8:$C$256,0)),"")</f>
        <v>MDR TB-3(M): Nombre de cas de tuberculose résistante à la rifampicine et/ou tuberculose multirésistante qui ont commencé un traitement de deuxième intention</v>
      </c>
      <c r="E30" s="1028" t="str">
        <f>IFERROR(IF(INDEX('Disaggregation1B_Import-Export'!AG$8:AG$239,MATCH($B30,'Disaggregation1B_Import-Export'!$C$8:$C$239,0))="","",INDEX('Disaggregation1B_Import-Export'!AG$8:AG$239,MATCH($B30,'Disaggregation1B_Import-Export'!$C$8:$C$239,0))),"")</f>
        <v>&lt;15 ans</v>
      </c>
      <c r="F30" s="1028" t="str">
        <f>IFERROR(IF(INDEX('Disaggregation1B_Import-Export'!AH$8:AH$239,MATCH($B30,'Disaggregation1B_Import-Export'!$C$8:$C$239,0))="","",INDEX('Disaggregation1B_Import-Export'!AH$8:AH$239,MATCH($B30,'Disaggregation1B_Import-Export'!$C$8:$C$239,0))),"")</f>
        <v>Age</v>
      </c>
      <c r="G30" s="1107">
        <f>IFERROR(IF(INDEX('Disaggregation1B_Import-Export'!H$8:H$239,MATCH($B30,'Disaggregation1B_Import-Export'!$C$8:$C$239,0))="","",INDEX('Disaggregation1B_Import-Export'!H$8:H$239,MATCH($B30,'Disaggregation1B_Import-Export'!$C$8:$C$239,0))),"")</f>
        <v>2</v>
      </c>
      <c r="H30" s="1107">
        <f>IFERROR(IF(INDEX('Disaggregation1B_Import-Export'!I$8:I$239,MATCH($B30,'Disaggregation1B_Import-Export'!$C$8:$C$239,0))="","",INDEX('Disaggregation1B_Import-Export'!I$8:I$239,MATCH($B30,'Disaggregation1B_Import-Export'!$C$8:$C$239,0))),"")</f>
        <v>0</v>
      </c>
      <c r="I30" s="1108" t="str">
        <f>IFERROR(IF(INDEX('Disaggregation1B_Import-Export'!J$8:J$239,MATCH($B30,'Disaggregation1B_Import-Export'!$C$8:$C$239,0))="","",INDEX('Disaggregation1B_Import-Export'!J$8:J$239,MATCH($B30,'Disaggregation1B_Import-Export'!$C$8:$C$239,0))),"")</f>
        <v>0.0</v>
      </c>
      <c r="J30" s="1028" t="str">
        <f>IFERROR(IF(INDEX('Disaggregation1B_Import-Export'!K$8:K$239,MATCH($B30,'Disaggregation1B_Import-Export'!$C$8:$C$239,0))="","",INDEX('Disaggregation1B_Import-Export'!K$8:K$239,MATCH($B30,'Disaggregation1B_Import-Export'!$C$8:$C$239,0))),"")</f>
        <v>2016</v>
      </c>
      <c r="K30" s="1028" t="str">
        <f>IFERROR(IF(INDEX('Disaggregation1B_Import-Export'!L$8:L$239,MATCH($B30,'Disaggregation1B_Import-Export'!$C$8:$C$239,0))="","",INDEX('Disaggregation1B_Import-Export'!L$8:L$239,MATCH($B30,'Disaggregation1B_Import-Export'!$C$8:$C$239,0))),"")</f>
        <v/>
      </c>
      <c r="L30" s="1028" t="str">
        <f>IFERROR(IF(INDEX('Disaggregation1B_Import-Export'!AQ$8:AQ$239,MATCH($B30,'Disaggregation1B_Import-Export'!$C$8:$C$239,0))="","",INDEX('Disaggregation1B_Import-Export'!AQ$8:AQ$239,MATCH($B30,'Disaggregation1B_Import-Export'!$C$8:$C$239,0))),"")</f>
        <v>Burundi</v>
      </c>
      <c r="M30" s="1064">
        <v>1</v>
      </c>
      <c r="N30" s="1064"/>
      <c r="O30" s="1109" t="str">
        <f t="shared" si="2"/>
        <v/>
      </c>
      <c r="P30" s="1065" t="s">
        <v>65</v>
      </c>
      <c r="Q30" s="1065" t="s">
        <v>564</v>
      </c>
      <c r="R30" s="1066"/>
      <c r="S30" s="1064"/>
      <c r="T30" s="1064"/>
      <c r="U30" s="1109" t="str">
        <f t="shared" si="3"/>
        <v/>
      </c>
      <c r="V30" s="1065"/>
      <c r="W30" s="1065"/>
      <c r="X30" s="1066"/>
      <c r="Y30" s="1110"/>
      <c r="Z30" s="1110"/>
      <c r="AA30" s="1111" t="str">
        <f t="shared" si="4"/>
        <v/>
      </c>
      <c r="AB30" s="1112"/>
      <c r="AC30" s="1113"/>
    </row>
    <row r="31" spans="1:29" ht="60" customHeight="1" x14ac:dyDescent="0.2">
      <c r="A31" s="648">
        <f t="shared" si="0"/>
        <v>21</v>
      </c>
      <c r="B31" s="648" t="str">
        <f t="shared" si="1"/>
        <v>Coverage21</v>
      </c>
      <c r="C31" s="1027" t="str">
        <f>IFERROR(INDEX('Disaggregation1B_Import-Export'!D$8:D$239,MATCH($B31,'Disaggregation1B_Import-Export'!$C$8:$C$239,0)),"")</f>
        <v>MDR-TB</v>
      </c>
      <c r="D31" s="1028" t="str">
        <f>IFERROR(INDEX('Disaggregation1B_Import-Export'!AF$8:AF$256,MATCH($B31,'Disaggregation1B_Import-Export'!$C$8:$C$256,0)),"")</f>
        <v>MDR TB-3(M): Nombre de cas de tuberculose résistante à la rifampicine et/ou tuberculose multirésistante qui ont commencé un traitement de deuxième intention</v>
      </c>
      <c r="E31" s="1028" t="str">
        <f>IFERROR(IF(INDEX('Disaggregation1B_Import-Export'!AG$8:AG$239,MATCH($B31,'Disaggregation1B_Import-Export'!$C$8:$C$239,0))="","",INDEX('Disaggregation1B_Import-Export'!AG$8:AG$239,MATCH($B31,'Disaggregation1B_Import-Export'!$C$8:$C$239,0))),"")</f>
        <v>Femme</v>
      </c>
      <c r="F31" s="1028" t="str">
        <f>IFERROR(IF(INDEX('Disaggregation1B_Import-Export'!AH$8:AH$239,MATCH($B31,'Disaggregation1B_Import-Export'!$C$8:$C$239,0))="","",INDEX('Disaggregation1B_Import-Export'!AH$8:AH$239,MATCH($B31,'Disaggregation1B_Import-Export'!$C$8:$C$239,0))),"")</f>
        <v>Sexe</v>
      </c>
      <c r="G31" s="1107">
        <f>IFERROR(IF(INDEX('Disaggregation1B_Import-Export'!H$8:H$239,MATCH($B31,'Disaggregation1B_Import-Export'!$C$8:$C$239,0))="","",INDEX('Disaggregation1B_Import-Export'!H$8:H$239,MATCH($B31,'Disaggregation1B_Import-Export'!$C$8:$C$239,0))),"")</f>
        <v>27</v>
      </c>
      <c r="H31" s="1107">
        <f>IFERROR(IF(INDEX('Disaggregation1B_Import-Export'!I$8:I$239,MATCH($B31,'Disaggregation1B_Import-Export'!$C$8:$C$239,0))="","",INDEX('Disaggregation1B_Import-Export'!I$8:I$239,MATCH($B31,'Disaggregation1B_Import-Export'!$C$8:$C$239,0))),"")</f>
        <v>0</v>
      </c>
      <c r="I31" s="1108" t="str">
        <f>IFERROR(IF(INDEX('Disaggregation1B_Import-Export'!J$8:J$239,MATCH($B31,'Disaggregation1B_Import-Export'!$C$8:$C$239,0))="","",INDEX('Disaggregation1B_Import-Export'!J$8:J$239,MATCH($B31,'Disaggregation1B_Import-Export'!$C$8:$C$239,0))),"")</f>
        <v>0.0</v>
      </c>
      <c r="J31" s="1028" t="str">
        <f>IFERROR(IF(INDEX('Disaggregation1B_Import-Export'!K$8:K$239,MATCH($B31,'Disaggregation1B_Import-Export'!$C$8:$C$239,0))="","",INDEX('Disaggregation1B_Import-Export'!K$8:K$239,MATCH($B31,'Disaggregation1B_Import-Export'!$C$8:$C$239,0))),"")</f>
        <v>2016</v>
      </c>
      <c r="K31" s="1028" t="str">
        <f>IFERROR(IF(INDEX('Disaggregation1B_Import-Export'!L$8:L$239,MATCH($B31,'Disaggregation1B_Import-Export'!$C$8:$C$239,0))="","",INDEX('Disaggregation1B_Import-Export'!L$8:L$239,MATCH($B31,'Disaggregation1B_Import-Export'!$C$8:$C$239,0))),"")</f>
        <v/>
      </c>
      <c r="L31" s="1028" t="str">
        <f>IFERROR(IF(INDEX('Disaggregation1B_Import-Export'!AQ$8:AQ$239,MATCH($B31,'Disaggregation1B_Import-Export'!$C$8:$C$239,0))="","",INDEX('Disaggregation1B_Import-Export'!AQ$8:AQ$239,MATCH($B31,'Disaggregation1B_Import-Export'!$C$8:$C$239,0))),"")</f>
        <v>Burundi</v>
      </c>
      <c r="M31" s="1064">
        <v>8</v>
      </c>
      <c r="N31" s="1064"/>
      <c r="O31" s="1109" t="str">
        <f t="shared" si="2"/>
        <v/>
      </c>
      <c r="P31" s="1065" t="s">
        <v>65</v>
      </c>
      <c r="Q31" s="1065" t="s">
        <v>565</v>
      </c>
      <c r="R31" s="1066"/>
      <c r="S31" s="1064"/>
      <c r="T31" s="1064"/>
      <c r="U31" s="1109" t="str">
        <f t="shared" si="3"/>
        <v/>
      </c>
      <c r="V31" s="1065"/>
      <c r="W31" s="1065"/>
      <c r="X31" s="1066"/>
      <c r="Y31" s="1110"/>
      <c r="Z31" s="1110"/>
      <c r="AA31" s="1111" t="str">
        <f t="shared" si="4"/>
        <v/>
      </c>
      <c r="AB31" s="1112"/>
      <c r="AC31" s="1113"/>
    </row>
    <row r="32" spans="1:29" ht="60" customHeight="1" x14ac:dyDescent="0.2">
      <c r="A32" s="648">
        <f t="shared" si="0"/>
        <v>22</v>
      </c>
      <c r="B32" s="648" t="str">
        <f t="shared" si="1"/>
        <v>Coverage22</v>
      </c>
      <c r="C32" s="1027" t="str">
        <f>IFERROR(INDEX('Disaggregation1B_Import-Export'!D$8:D$239,MATCH($B32,'Disaggregation1B_Import-Export'!$C$8:$C$239,0)),"")</f>
        <v>MDR-TB</v>
      </c>
      <c r="D32" s="1028" t="str">
        <f>IFERROR(INDEX('Disaggregation1B_Import-Export'!AF$8:AF$256,MATCH($B32,'Disaggregation1B_Import-Export'!$C$8:$C$256,0)),"")</f>
        <v>MDR TB-3(M): Nombre de cas de tuberculose résistante à la rifampicine et/ou tuberculose multirésistante qui ont commencé un traitement de deuxième intention</v>
      </c>
      <c r="E32" s="1028" t="str">
        <f>IFERROR(IF(INDEX('Disaggregation1B_Import-Export'!AG$8:AG$239,MATCH($B32,'Disaggregation1B_Import-Export'!$C$8:$C$239,0))="","",INDEX('Disaggregation1B_Import-Export'!AG$8:AG$239,MATCH($B32,'Disaggregation1B_Import-Export'!$C$8:$C$239,0))),"")</f>
        <v>Homme</v>
      </c>
      <c r="F32" s="1028" t="str">
        <f>IFERROR(IF(INDEX('Disaggregation1B_Import-Export'!AH$8:AH$239,MATCH($B32,'Disaggregation1B_Import-Export'!$C$8:$C$239,0))="","",INDEX('Disaggregation1B_Import-Export'!AH$8:AH$239,MATCH($B32,'Disaggregation1B_Import-Export'!$C$8:$C$239,0))),"")</f>
        <v>Sexe</v>
      </c>
      <c r="G32" s="1107">
        <f>IFERROR(IF(INDEX('Disaggregation1B_Import-Export'!H$8:H$239,MATCH($B32,'Disaggregation1B_Import-Export'!$C$8:$C$239,0))="","",INDEX('Disaggregation1B_Import-Export'!H$8:H$239,MATCH($B32,'Disaggregation1B_Import-Export'!$C$8:$C$239,0))),"")</f>
        <v>53</v>
      </c>
      <c r="H32" s="1107">
        <f>IFERROR(IF(INDEX('Disaggregation1B_Import-Export'!I$8:I$239,MATCH($B32,'Disaggregation1B_Import-Export'!$C$8:$C$239,0))="","",INDEX('Disaggregation1B_Import-Export'!I$8:I$239,MATCH($B32,'Disaggregation1B_Import-Export'!$C$8:$C$239,0))),"")</f>
        <v>0</v>
      </c>
      <c r="I32" s="1108" t="str">
        <f>IFERROR(IF(INDEX('Disaggregation1B_Import-Export'!J$8:J$239,MATCH($B32,'Disaggregation1B_Import-Export'!$C$8:$C$239,0))="","",INDEX('Disaggregation1B_Import-Export'!J$8:J$239,MATCH($B32,'Disaggregation1B_Import-Export'!$C$8:$C$239,0))),"")</f>
        <v>0.0</v>
      </c>
      <c r="J32" s="1028" t="str">
        <f>IFERROR(IF(INDEX('Disaggregation1B_Import-Export'!K$8:K$239,MATCH($B32,'Disaggregation1B_Import-Export'!$C$8:$C$239,0))="","",INDEX('Disaggregation1B_Import-Export'!K$8:K$239,MATCH($B32,'Disaggregation1B_Import-Export'!$C$8:$C$239,0))),"")</f>
        <v>2016</v>
      </c>
      <c r="K32" s="1028" t="str">
        <f>IFERROR(IF(INDEX('Disaggregation1B_Import-Export'!L$8:L$239,MATCH($B32,'Disaggregation1B_Import-Export'!$C$8:$C$239,0))="","",INDEX('Disaggregation1B_Import-Export'!L$8:L$239,MATCH($B32,'Disaggregation1B_Import-Export'!$C$8:$C$239,0))),"")</f>
        <v/>
      </c>
      <c r="L32" s="1028" t="str">
        <f>IFERROR(IF(INDEX('Disaggregation1B_Import-Export'!AQ$8:AQ$239,MATCH($B32,'Disaggregation1B_Import-Export'!$C$8:$C$239,0))="","",INDEX('Disaggregation1B_Import-Export'!AQ$8:AQ$239,MATCH($B32,'Disaggregation1B_Import-Export'!$C$8:$C$239,0))),"")</f>
        <v>Burundi</v>
      </c>
      <c r="M32" s="1064">
        <v>27</v>
      </c>
      <c r="N32" s="1064"/>
      <c r="O32" s="1109" t="str">
        <f t="shared" si="2"/>
        <v/>
      </c>
      <c r="P32" s="1065" t="s">
        <v>67</v>
      </c>
      <c r="Q32" s="1065" t="s">
        <v>566</v>
      </c>
      <c r="R32" s="1066"/>
      <c r="S32" s="1064"/>
      <c r="T32" s="1064"/>
      <c r="U32" s="1109" t="str">
        <f t="shared" si="3"/>
        <v/>
      </c>
      <c r="V32" s="1065"/>
      <c r="W32" s="1065"/>
      <c r="X32" s="1066"/>
      <c r="Y32" s="1110"/>
      <c r="Z32" s="1110"/>
      <c r="AA32" s="1111" t="str">
        <f t="shared" si="4"/>
        <v/>
      </c>
      <c r="AB32" s="1112"/>
      <c r="AC32" s="1113"/>
    </row>
    <row r="33" spans="1:29" ht="60" customHeight="1" x14ac:dyDescent="0.2">
      <c r="A33" s="648">
        <f t="shared" si="0"/>
        <v>23</v>
      </c>
      <c r="B33" s="648" t="str">
        <f t="shared" si="1"/>
        <v>Coverage23</v>
      </c>
      <c r="C33" s="1027" t="str">
        <f>IFERROR(INDEX('Disaggregation1B_Import-Export'!D$8:D$239,MATCH($B33,'Disaggregation1B_Import-Export'!$C$8:$C$239,0)),"")</f>
        <v>MDR-TB</v>
      </c>
      <c r="D33" s="1028" t="str">
        <f>IFERROR(INDEX('Disaggregation1B_Import-Export'!AF$8:AF$256,MATCH($B33,'Disaggregation1B_Import-Export'!$C$8:$C$256,0)),"")</f>
        <v>MDR TB-3(M): Nombre de cas de tuberculose résistante à la rifampicine et/ou tuberculose multirésistante qui ont commencé un traitement de deuxième intention</v>
      </c>
      <c r="E33" s="1028" t="str">
        <f>IFERROR(IF(INDEX('Disaggregation1B_Import-Export'!AG$8:AG$239,MATCH($B33,'Disaggregation1B_Import-Export'!$C$8:$C$239,0))="","",INDEX('Disaggregation1B_Import-Export'!AG$8:AG$239,MATCH($B33,'Disaggregation1B_Import-Export'!$C$8:$C$239,0))),"")</f>
        <v>+ de 15 ans</v>
      </c>
      <c r="F33" s="1028" t="str">
        <f>IFERROR(IF(INDEX('Disaggregation1B_Import-Export'!AH$8:AH$239,MATCH($B33,'Disaggregation1B_Import-Export'!$C$8:$C$239,0))="","",INDEX('Disaggregation1B_Import-Export'!AH$8:AH$239,MATCH($B33,'Disaggregation1B_Import-Export'!$C$8:$C$239,0))),"")</f>
        <v>Age</v>
      </c>
      <c r="G33" s="1107">
        <f>IFERROR(IF(INDEX('Disaggregation1B_Import-Export'!H$8:H$239,MATCH($B33,'Disaggregation1B_Import-Export'!$C$8:$C$239,0))="","",INDEX('Disaggregation1B_Import-Export'!H$8:H$239,MATCH($B33,'Disaggregation1B_Import-Export'!$C$8:$C$239,0))),"")</f>
        <v>78</v>
      </c>
      <c r="H33" s="1107">
        <f>IFERROR(IF(INDEX('Disaggregation1B_Import-Export'!I$8:I$239,MATCH($B33,'Disaggregation1B_Import-Export'!$C$8:$C$239,0))="","",INDEX('Disaggregation1B_Import-Export'!I$8:I$239,MATCH($B33,'Disaggregation1B_Import-Export'!$C$8:$C$239,0))),"")</f>
        <v>0</v>
      </c>
      <c r="I33" s="1108" t="str">
        <f>IFERROR(IF(INDEX('Disaggregation1B_Import-Export'!J$8:J$239,MATCH($B33,'Disaggregation1B_Import-Export'!$C$8:$C$239,0))="","",INDEX('Disaggregation1B_Import-Export'!J$8:J$239,MATCH($B33,'Disaggregation1B_Import-Export'!$C$8:$C$239,0))),"")</f>
        <v>0.0</v>
      </c>
      <c r="J33" s="1028" t="str">
        <f>IFERROR(IF(INDEX('Disaggregation1B_Import-Export'!K$8:K$239,MATCH($B33,'Disaggregation1B_Import-Export'!$C$8:$C$239,0))="","",INDEX('Disaggregation1B_Import-Export'!K$8:K$239,MATCH($B33,'Disaggregation1B_Import-Export'!$C$8:$C$239,0))),"")</f>
        <v>2016</v>
      </c>
      <c r="K33" s="1028" t="str">
        <f>IFERROR(IF(INDEX('Disaggregation1B_Import-Export'!L$8:L$239,MATCH($B33,'Disaggregation1B_Import-Export'!$C$8:$C$239,0))="","",INDEX('Disaggregation1B_Import-Export'!L$8:L$239,MATCH($B33,'Disaggregation1B_Import-Export'!$C$8:$C$239,0))),"")</f>
        <v/>
      </c>
      <c r="L33" s="1028" t="str">
        <f>IFERROR(IF(INDEX('Disaggregation1B_Import-Export'!AQ$8:AQ$239,MATCH($B33,'Disaggregation1B_Import-Export'!$C$8:$C$239,0))="","",INDEX('Disaggregation1B_Import-Export'!AQ$8:AQ$239,MATCH($B33,'Disaggregation1B_Import-Export'!$C$8:$C$239,0))),"")</f>
        <v>Burundi</v>
      </c>
      <c r="M33" s="1064">
        <v>34</v>
      </c>
      <c r="N33" s="1064"/>
      <c r="O33" s="1109" t="str">
        <f t="shared" si="2"/>
        <v/>
      </c>
      <c r="P33" s="1065" t="s">
        <v>65</v>
      </c>
      <c r="Q33" s="1065" t="s">
        <v>564</v>
      </c>
      <c r="R33" s="1066"/>
      <c r="S33" s="1064"/>
      <c r="T33" s="1064"/>
      <c r="U33" s="1109" t="str">
        <f t="shared" si="3"/>
        <v/>
      </c>
      <c r="V33" s="1065"/>
      <c r="W33" s="1065"/>
      <c r="X33" s="1066"/>
      <c r="Y33" s="1110"/>
      <c r="Z33" s="1110"/>
      <c r="AA33" s="1111" t="str">
        <f t="shared" si="4"/>
        <v/>
      </c>
      <c r="AB33" s="1112"/>
      <c r="AC33" s="1113"/>
    </row>
    <row r="34" spans="1:29" ht="60" customHeight="1" x14ac:dyDescent="0.2">
      <c r="A34" s="648">
        <f t="shared" si="0"/>
        <v>24</v>
      </c>
      <c r="B34" s="648" t="str">
        <f t="shared" si="1"/>
        <v>Coverage24</v>
      </c>
      <c r="C34" s="1027" t="str">
        <f>IFERROR(INDEX('Disaggregation1B_Import-Export'!D$8:D$239,MATCH($B34,'Disaggregation1B_Import-Export'!$C$8:$C$239,0)),"")</f>
        <v>MDR-TB</v>
      </c>
      <c r="D34" s="1028" t="str">
        <f>IFERROR(INDEX('Disaggregation1B_Import-Export'!AF$8:AF$256,MATCH($B34,'Disaggregation1B_Import-Export'!$C$8:$C$256,0)),"")</f>
        <v>MDR TB-3(M): Nombre de cas de tuberculose résistante à la rifampicine et/ou tuberculose multirésistante qui ont commencé un traitement de deuxième intention</v>
      </c>
      <c r="E34" s="1028" t="str">
        <f>IFERROR(IF(INDEX('Disaggregation1B_Import-Export'!AG$8:AG$239,MATCH($B34,'Disaggregation1B_Import-Export'!$C$8:$C$239,0))="","",INDEX('Disaggregation1B_Import-Export'!AG$8:AG$239,MATCH($B34,'Disaggregation1B_Import-Export'!$C$8:$C$239,0))),"")</f>
        <v>Nouveau traitement TB</v>
      </c>
      <c r="F34" s="1028" t="str">
        <f>IFERROR(IF(INDEX('Disaggregation1B_Import-Export'!AH$8:AH$239,MATCH($B34,'Disaggregation1B_Import-Export'!$C$8:$C$239,0))="","",INDEX('Disaggregation1B_Import-Export'!AH$8:AH$239,MATCH($B34,'Disaggregation1B_Import-Export'!$C$8:$C$239,0))),"")</f>
        <v>Schéma thérapeutique</v>
      </c>
      <c r="G34" s="1107">
        <f>IFERROR(IF(INDEX('Disaggregation1B_Import-Export'!H$8:H$239,MATCH($B34,'Disaggregation1B_Import-Export'!$C$8:$C$239,0))="","",INDEX('Disaggregation1B_Import-Export'!H$8:H$239,MATCH($B34,'Disaggregation1B_Import-Export'!$C$8:$C$239,0))),"")</f>
        <v>0</v>
      </c>
      <c r="H34" s="1107">
        <f>IFERROR(IF(INDEX('Disaggregation1B_Import-Export'!I$8:I$239,MATCH($B34,'Disaggregation1B_Import-Export'!$C$8:$C$239,0))="","",INDEX('Disaggregation1B_Import-Export'!I$8:I$239,MATCH($B34,'Disaggregation1B_Import-Export'!$C$8:$C$239,0))),"")</f>
        <v>0</v>
      </c>
      <c r="I34" s="1108" t="str">
        <f>IFERROR(IF(INDEX('Disaggregation1B_Import-Export'!J$8:J$239,MATCH($B34,'Disaggregation1B_Import-Export'!$C$8:$C$239,0))="","",INDEX('Disaggregation1B_Import-Export'!J$8:J$239,MATCH($B34,'Disaggregation1B_Import-Export'!$C$8:$C$239,0))),"")</f>
        <v>0.0</v>
      </c>
      <c r="J34" s="1028" t="str">
        <f>IFERROR(IF(INDEX('Disaggregation1B_Import-Export'!K$8:K$239,MATCH($B34,'Disaggregation1B_Import-Export'!$C$8:$C$239,0))="","",INDEX('Disaggregation1B_Import-Export'!K$8:K$239,MATCH($B34,'Disaggregation1B_Import-Export'!$C$8:$C$239,0))),"")</f>
        <v>2016</v>
      </c>
      <c r="K34" s="1028" t="str">
        <f>IFERROR(IF(INDEX('Disaggregation1B_Import-Export'!L$8:L$239,MATCH($B34,'Disaggregation1B_Import-Export'!$C$8:$C$239,0))="","",INDEX('Disaggregation1B_Import-Export'!L$8:L$239,MATCH($B34,'Disaggregation1B_Import-Export'!$C$8:$C$239,0))),"")</f>
        <v/>
      </c>
      <c r="L34" s="1028" t="str">
        <f>IFERROR(IF(INDEX('Disaggregation1B_Import-Export'!AQ$8:AQ$239,MATCH($B34,'Disaggregation1B_Import-Export'!$C$8:$C$239,0))="","",INDEX('Disaggregation1B_Import-Export'!AQ$8:AQ$239,MATCH($B34,'Disaggregation1B_Import-Export'!$C$8:$C$239,0))),"")</f>
        <v>Burundi</v>
      </c>
      <c r="M34" s="1064">
        <v>0</v>
      </c>
      <c r="N34" s="1064"/>
      <c r="O34" s="1109" t="str">
        <f t="shared" si="2"/>
        <v/>
      </c>
      <c r="P34" s="1065" t="s">
        <v>65</v>
      </c>
      <c r="Q34" s="1065" t="s">
        <v>567</v>
      </c>
      <c r="R34" s="1066"/>
      <c r="S34" s="1064"/>
      <c r="T34" s="1064"/>
      <c r="U34" s="1109" t="str">
        <f t="shared" si="3"/>
        <v/>
      </c>
      <c r="V34" s="1065"/>
      <c r="W34" s="1065"/>
      <c r="X34" s="1066"/>
      <c r="Y34" s="1110"/>
      <c r="Z34" s="1110"/>
      <c r="AA34" s="1111" t="str">
        <f t="shared" si="4"/>
        <v/>
      </c>
      <c r="AB34" s="1112"/>
      <c r="AC34" s="1113"/>
    </row>
    <row r="35" spans="1:29" ht="60" customHeight="1" x14ac:dyDescent="0.2">
      <c r="A35" s="648">
        <f t="shared" si="0"/>
        <v>25</v>
      </c>
      <c r="B35" s="648" t="str">
        <f t="shared" si="1"/>
        <v>Coverage25</v>
      </c>
      <c r="C35" s="1027" t="str">
        <f>IFERROR(INDEX('Disaggregation1B_Import-Export'!D$8:D$239,MATCH($B35,'Disaggregation1B_Import-Export'!$C$8:$C$239,0)),"")</f>
        <v>MDR-TB</v>
      </c>
      <c r="D35" s="1028" t="str">
        <f>IFERROR(INDEX('Disaggregation1B_Import-Export'!AF$8:AF$256,MATCH($B35,'Disaggregation1B_Import-Export'!$C$8:$C$256,0)),"")</f>
        <v>MDR TB-3(M): Nombre de cas de tuberculose résistante à la rifampicine et/ou tuberculose multirésistante qui ont commencé un traitement de deuxième intention</v>
      </c>
      <c r="E35" s="1028" t="str">
        <f>IFERROR(IF(INDEX('Disaggregation1B_Import-Export'!AG$8:AG$239,MATCH($B35,'Disaggregation1B_Import-Export'!$C$8:$C$239,0))="","",INDEX('Disaggregation1B_Import-Export'!AG$8:AG$239,MATCH($B35,'Disaggregation1B_Import-Export'!$C$8:$C$239,0))),"")</f>
        <v>Régime court</v>
      </c>
      <c r="F35" s="1028" t="str">
        <f>IFERROR(IF(INDEX('Disaggregation1B_Import-Export'!AH$8:AH$239,MATCH($B35,'Disaggregation1B_Import-Export'!$C$8:$C$239,0))="","",INDEX('Disaggregation1B_Import-Export'!AH$8:AH$239,MATCH($B35,'Disaggregation1B_Import-Export'!$C$8:$C$239,0))),"")</f>
        <v>Schéma thérapeutique</v>
      </c>
      <c r="G35" s="1107">
        <f>IFERROR(IF(INDEX('Disaggregation1B_Import-Export'!H$8:H$239,MATCH($B35,'Disaggregation1B_Import-Export'!$C$8:$C$239,0))="","",INDEX('Disaggregation1B_Import-Export'!H$8:H$239,MATCH($B35,'Disaggregation1B_Import-Export'!$C$8:$C$239,0))),"")</f>
        <v>80</v>
      </c>
      <c r="H35" s="1107">
        <f>IFERROR(IF(INDEX('Disaggregation1B_Import-Export'!I$8:I$239,MATCH($B35,'Disaggregation1B_Import-Export'!$C$8:$C$239,0))="","",INDEX('Disaggregation1B_Import-Export'!I$8:I$239,MATCH($B35,'Disaggregation1B_Import-Export'!$C$8:$C$239,0))),"")</f>
        <v>0</v>
      </c>
      <c r="I35" s="1108" t="str">
        <f>IFERROR(IF(INDEX('Disaggregation1B_Import-Export'!J$8:J$239,MATCH($B35,'Disaggregation1B_Import-Export'!$C$8:$C$239,0))="","",INDEX('Disaggregation1B_Import-Export'!J$8:J$239,MATCH($B35,'Disaggregation1B_Import-Export'!$C$8:$C$239,0))),"")</f>
        <v>0.0</v>
      </c>
      <c r="J35" s="1028" t="str">
        <f>IFERROR(IF(INDEX('Disaggregation1B_Import-Export'!K$8:K$239,MATCH($B35,'Disaggregation1B_Import-Export'!$C$8:$C$239,0))="","",INDEX('Disaggregation1B_Import-Export'!K$8:K$239,MATCH($B35,'Disaggregation1B_Import-Export'!$C$8:$C$239,0))),"")</f>
        <v>2016</v>
      </c>
      <c r="K35" s="1028" t="str">
        <f>IFERROR(IF(INDEX('Disaggregation1B_Import-Export'!L$8:L$239,MATCH($B35,'Disaggregation1B_Import-Export'!$C$8:$C$239,0))="","",INDEX('Disaggregation1B_Import-Export'!L$8:L$239,MATCH($B35,'Disaggregation1B_Import-Export'!$C$8:$C$239,0))),"")</f>
        <v/>
      </c>
      <c r="L35" s="1028" t="str">
        <f>IFERROR(IF(INDEX('Disaggregation1B_Import-Export'!AQ$8:AQ$239,MATCH($B35,'Disaggregation1B_Import-Export'!$C$8:$C$239,0))="","",INDEX('Disaggregation1B_Import-Export'!AQ$8:AQ$239,MATCH($B35,'Disaggregation1B_Import-Export'!$C$8:$C$239,0))),"")</f>
        <v>Burundi</v>
      </c>
      <c r="M35" s="1064">
        <v>35</v>
      </c>
      <c r="N35" s="1064"/>
      <c r="O35" s="1109" t="str">
        <f t="shared" si="2"/>
        <v/>
      </c>
      <c r="P35" s="1065" t="s">
        <v>65</v>
      </c>
      <c r="Q35" s="1065" t="s">
        <v>568</v>
      </c>
      <c r="R35" s="1066"/>
      <c r="S35" s="1064"/>
      <c r="T35" s="1064"/>
      <c r="U35" s="1109" t="str">
        <f t="shared" si="3"/>
        <v/>
      </c>
      <c r="V35" s="1065"/>
      <c r="W35" s="1065"/>
      <c r="X35" s="1066"/>
      <c r="Y35" s="1110"/>
      <c r="Z35" s="1110"/>
      <c r="AA35" s="1111" t="str">
        <f t="shared" si="4"/>
        <v/>
      </c>
      <c r="AB35" s="1112"/>
      <c r="AC35" s="1113"/>
    </row>
    <row r="36" spans="1:29" ht="60" customHeight="1" x14ac:dyDescent="0.2">
      <c r="A36" s="648">
        <f t="shared" si="0"/>
        <v>26</v>
      </c>
      <c r="B36" s="648" t="str">
        <f t="shared" si="1"/>
        <v>Coverage26</v>
      </c>
      <c r="C36" s="1027" t="str">
        <f>IFERROR(INDEX('Disaggregation1B_Import-Export'!D$8:D$239,MATCH($B36,'Disaggregation1B_Import-Export'!$C$8:$C$239,0)),"")</f>
        <v>Treatment, care and support</v>
      </c>
      <c r="D36" s="1028" t="str">
        <f>IFERROR(INDEX('Disaggregation1B_Import-Export'!AF$8:AF$256,MATCH($B36,'Disaggregation1B_Import-Export'!$C$8:$C$256,0)),"")</f>
        <v>TCS-1(M): Pourcentage de personnes vivant avec le VIH bénéficiant actuellement d'un traitement antirétroviral</v>
      </c>
      <c r="E36" s="1028" t="str">
        <f>IFERROR(IF(INDEX('Disaggregation1B_Import-Export'!AG$8:AG$239,MATCH($B36,'Disaggregation1B_Import-Export'!$C$8:$C$239,0))="","",INDEX('Disaggregation1B_Import-Export'!AG$8:AG$239,MATCH($B36,'Disaggregation1B_Import-Export'!$C$8:$C$239,0))),"")</f>
        <v>Transgenre</v>
      </c>
      <c r="F36" s="1028" t="str">
        <f>IFERROR(IF(INDEX('Disaggregation1B_Import-Export'!AH$8:AH$239,MATCH($B36,'Disaggregation1B_Import-Export'!$C$8:$C$239,0))="","",INDEX('Disaggregation1B_Import-Export'!AH$8:AH$239,MATCH($B36,'Disaggregation1B_Import-Export'!$C$8:$C$239,0))),"")</f>
        <v>Groupe à risque cible</v>
      </c>
      <c r="G36" s="1107">
        <f>IFERROR(IF(INDEX('Disaggregation1B_Import-Export'!H$8:H$239,MATCH($B36,'Disaggregation1B_Import-Export'!$C$8:$C$239,0))="","",INDEX('Disaggregation1B_Import-Export'!H$8:H$239,MATCH($B36,'Disaggregation1B_Import-Export'!$C$8:$C$239,0))),"")</f>
        <v>0</v>
      </c>
      <c r="H36" s="1107">
        <f>IFERROR(IF(INDEX('Disaggregation1B_Import-Export'!I$8:I$239,MATCH($B36,'Disaggregation1B_Import-Export'!$C$8:$C$239,0))="","",INDEX('Disaggregation1B_Import-Export'!I$8:I$239,MATCH($B36,'Disaggregation1B_Import-Export'!$C$8:$C$239,0))),"")</f>
        <v>0</v>
      </c>
      <c r="I36" s="1108" t="str">
        <f>IFERROR(IF(INDEX('Disaggregation1B_Import-Export'!J$8:J$239,MATCH($B36,'Disaggregation1B_Import-Export'!$C$8:$C$239,0))="","",INDEX('Disaggregation1B_Import-Export'!J$8:J$239,MATCH($B36,'Disaggregation1B_Import-Export'!$C$8:$C$239,0))),"")</f>
        <v>0.0</v>
      </c>
      <c r="J36" s="1028" t="str">
        <f>IFERROR(IF(INDEX('Disaggregation1B_Import-Export'!K$8:K$239,MATCH($B36,'Disaggregation1B_Import-Export'!$C$8:$C$239,0))="","",INDEX('Disaggregation1B_Import-Export'!K$8:K$239,MATCH($B36,'Disaggregation1B_Import-Export'!$C$8:$C$239,0))),"")</f>
        <v/>
      </c>
      <c r="K36" s="1028" t="str">
        <f>IFERROR(IF(INDEX('Disaggregation1B_Import-Export'!L$8:L$239,MATCH($B36,'Disaggregation1B_Import-Export'!$C$8:$C$239,0))="","",INDEX('Disaggregation1B_Import-Export'!L$8:L$239,MATCH($B36,'Disaggregation1B_Import-Export'!$C$8:$C$239,0))),"")</f>
        <v/>
      </c>
      <c r="L36" s="1028" t="str">
        <f>IFERROR(IF(INDEX('Disaggregation1B_Import-Export'!AQ$8:AQ$239,MATCH($B36,'Disaggregation1B_Import-Export'!$C$8:$C$239,0))="","",INDEX('Disaggregation1B_Import-Export'!AQ$8:AQ$239,MATCH($B36,'Disaggregation1B_Import-Export'!$C$8:$C$239,0))),"")</f>
        <v>Burundi</v>
      </c>
      <c r="M36" s="1064"/>
      <c r="N36" s="1064"/>
      <c r="O36" s="1109" t="str">
        <f t="shared" si="2"/>
        <v/>
      </c>
      <c r="P36" s="1065"/>
      <c r="Q36" s="1065" t="s">
        <v>569</v>
      </c>
      <c r="R36" s="1066"/>
      <c r="S36" s="1064"/>
      <c r="T36" s="1064"/>
      <c r="U36" s="1109" t="str">
        <f t="shared" si="3"/>
        <v/>
      </c>
      <c r="V36" s="1065"/>
      <c r="W36" s="1065"/>
      <c r="X36" s="1066"/>
      <c r="Y36" s="1110"/>
      <c r="Z36" s="1110"/>
      <c r="AA36" s="1111" t="str">
        <f t="shared" si="4"/>
        <v/>
      </c>
      <c r="AB36" s="1112"/>
      <c r="AC36" s="1113"/>
    </row>
    <row r="37" spans="1:29" ht="60" customHeight="1" x14ac:dyDescent="0.2">
      <c r="A37" s="648">
        <f t="shared" si="0"/>
        <v>27</v>
      </c>
      <c r="B37" s="648" t="str">
        <f t="shared" si="1"/>
        <v>Coverage27</v>
      </c>
      <c r="C37" s="1027" t="str">
        <f>IFERROR(INDEX('Disaggregation1B_Import-Export'!D$8:D$239,MATCH($B37,'Disaggregation1B_Import-Export'!$C$8:$C$239,0)),"")</f>
        <v>Treatment, care and support</v>
      </c>
      <c r="D37" s="1028" t="str">
        <f>IFERROR(INDEX('Disaggregation1B_Import-Export'!AF$8:AF$256,MATCH($B37,'Disaggregation1B_Import-Export'!$C$8:$C$256,0)),"")</f>
        <v>TCS-1(M): Pourcentage de personnes vivant avec le VIH bénéficiant actuellement d'un traitement antirétroviral</v>
      </c>
      <c r="E37" s="1028" t="str">
        <f>IFERROR(IF(INDEX('Disaggregation1B_Import-Export'!AG$8:AG$239,MATCH($B37,'Disaggregation1B_Import-Export'!$C$8:$C$239,0))="","",INDEX('Disaggregation1B_Import-Export'!AG$8:AG$239,MATCH($B37,'Disaggregation1B_Import-Export'!$C$8:$C$239,0))),"")</f>
        <v>Femme</v>
      </c>
      <c r="F37" s="1028" t="str">
        <f>IFERROR(IF(INDEX('Disaggregation1B_Import-Export'!AH$8:AH$239,MATCH($B37,'Disaggregation1B_Import-Export'!$C$8:$C$239,0))="","",INDEX('Disaggregation1B_Import-Export'!AH$8:AH$239,MATCH($B37,'Disaggregation1B_Import-Export'!$C$8:$C$239,0))),"")</f>
        <v>Sexe</v>
      </c>
      <c r="G37" s="1107">
        <f>IFERROR(IF(INDEX('Disaggregation1B_Import-Export'!H$8:H$239,MATCH($B37,'Disaggregation1B_Import-Export'!$C$8:$C$239,0))="","",INDEX('Disaggregation1B_Import-Export'!H$8:H$239,MATCH($B37,'Disaggregation1B_Import-Export'!$C$8:$C$239,0))),"")</f>
        <v>0</v>
      </c>
      <c r="H37" s="1107">
        <f>IFERROR(IF(INDEX('Disaggregation1B_Import-Export'!I$8:I$239,MATCH($B37,'Disaggregation1B_Import-Export'!$C$8:$C$239,0))="","",INDEX('Disaggregation1B_Import-Export'!I$8:I$239,MATCH($B37,'Disaggregation1B_Import-Export'!$C$8:$C$239,0))),"")</f>
        <v>0</v>
      </c>
      <c r="I37" s="1108" t="str">
        <f>IFERROR(IF(INDEX('Disaggregation1B_Import-Export'!J$8:J$239,MATCH($B37,'Disaggregation1B_Import-Export'!$C$8:$C$239,0))="","",INDEX('Disaggregation1B_Import-Export'!J$8:J$239,MATCH($B37,'Disaggregation1B_Import-Export'!$C$8:$C$239,0))),"")</f>
        <v>0.0</v>
      </c>
      <c r="J37" s="1028" t="str">
        <f>IFERROR(IF(INDEX('Disaggregation1B_Import-Export'!K$8:K$239,MATCH($B37,'Disaggregation1B_Import-Export'!$C$8:$C$239,0))="","",INDEX('Disaggregation1B_Import-Export'!K$8:K$239,MATCH($B37,'Disaggregation1B_Import-Export'!$C$8:$C$239,0))),"")</f>
        <v/>
      </c>
      <c r="K37" s="1028" t="str">
        <f>IFERROR(IF(INDEX('Disaggregation1B_Import-Export'!L$8:L$239,MATCH($B37,'Disaggregation1B_Import-Export'!$C$8:$C$239,0))="","",INDEX('Disaggregation1B_Import-Export'!L$8:L$239,MATCH($B37,'Disaggregation1B_Import-Export'!$C$8:$C$239,0))),"")</f>
        <v/>
      </c>
      <c r="L37" s="1028" t="str">
        <f>IFERROR(IF(INDEX('Disaggregation1B_Import-Export'!AQ$8:AQ$239,MATCH($B37,'Disaggregation1B_Import-Export'!$C$8:$C$239,0))="","",INDEX('Disaggregation1B_Import-Export'!AQ$8:AQ$239,MATCH($B37,'Disaggregation1B_Import-Export'!$C$8:$C$239,0))),"")</f>
        <v>Burundi</v>
      </c>
      <c r="M37" s="1064">
        <v>41695</v>
      </c>
      <c r="N37" s="1064">
        <v>63702</v>
      </c>
      <c r="O37" s="1109">
        <f t="shared" si="2"/>
        <v>65.453203981036694</v>
      </c>
      <c r="P37" s="1065" t="s">
        <v>26</v>
      </c>
      <c r="Q37" s="1065" t="s">
        <v>570</v>
      </c>
      <c r="R37" s="1066"/>
      <c r="S37" s="1064"/>
      <c r="T37" s="1064"/>
      <c r="U37" s="1109" t="str">
        <f t="shared" si="3"/>
        <v/>
      </c>
      <c r="V37" s="1065"/>
      <c r="W37" s="1065"/>
      <c r="X37" s="1066"/>
      <c r="Y37" s="1110"/>
      <c r="Z37" s="1110"/>
      <c r="AA37" s="1111" t="str">
        <f t="shared" si="4"/>
        <v/>
      </c>
      <c r="AB37" s="1112"/>
      <c r="AC37" s="1113"/>
    </row>
    <row r="38" spans="1:29" ht="60" customHeight="1" x14ac:dyDescent="0.2">
      <c r="A38" s="648">
        <f t="shared" si="0"/>
        <v>28</v>
      </c>
      <c r="B38" s="648" t="str">
        <f t="shared" si="1"/>
        <v>Coverage28</v>
      </c>
      <c r="C38" s="1027" t="str">
        <f>IFERROR(INDEX('Disaggregation1B_Import-Export'!D$8:D$239,MATCH($B38,'Disaggregation1B_Import-Export'!$C$8:$C$239,0)),"")</f>
        <v>Treatment, care and support</v>
      </c>
      <c r="D38" s="1028" t="str">
        <f>IFERROR(INDEX('Disaggregation1B_Import-Export'!AF$8:AF$256,MATCH($B38,'Disaggregation1B_Import-Export'!$C$8:$C$256,0)),"")</f>
        <v>TCS-1(M): Pourcentage de personnes vivant avec le VIH bénéficiant actuellement d'un traitement antirétroviral</v>
      </c>
      <c r="E38" s="1028" t="str">
        <f>IFERROR(IF(INDEX('Disaggregation1B_Import-Export'!AG$8:AG$239,MATCH($B38,'Disaggregation1B_Import-Export'!$C$8:$C$239,0))="","",INDEX('Disaggregation1B_Import-Export'!AG$8:AG$239,MATCH($B38,'Disaggregation1B_Import-Export'!$C$8:$C$239,0))),"")</f>
        <v>Homme</v>
      </c>
      <c r="F38" s="1028" t="str">
        <f>IFERROR(IF(INDEX('Disaggregation1B_Import-Export'!AH$8:AH$239,MATCH($B38,'Disaggregation1B_Import-Export'!$C$8:$C$239,0))="","",INDEX('Disaggregation1B_Import-Export'!AH$8:AH$239,MATCH($B38,'Disaggregation1B_Import-Export'!$C$8:$C$239,0))),"")</f>
        <v>Sexe</v>
      </c>
      <c r="G38" s="1107">
        <f>IFERROR(IF(INDEX('Disaggregation1B_Import-Export'!H$8:H$239,MATCH($B38,'Disaggregation1B_Import-Export'!$C$8:$C$239,0))="","",INDEX('Disaggregation1B_Import-Export'!H$8:H$239,MATCH($B38,'Disaggregation1B_Import-Export'!$C$8:$C$239,0))),"")</f>
        <v>0</v>
      </c>
      <c r="H38" s="1107">
        <f>IFERROR(IF(INDEX('Disaggregation1B_Import-Export'!I$8:I$239,MATCH($B38,'Disaggregation1B_Import-Export'!$C$8:$C$239,0))="","",INDEX('Disaggregation1B_Import-Export'!I$8:I$239,MATCH($B38,'Disaggregation1B_Import-Export'!$C$8:$C$239,0))),"")</f>
        <v>0</v>
      </c>
      <c r="I38" s="1108" t="str">
        <f>IFERROR(IF(INDEX('Disaggregation1B_Import-Export'!J$8:J$239,MATCH($B38,'Disaggregation1B_Import-Export'!$C$8:$C$239,0))="","",INDEX('Disaggregation1B_Import-Export'!J$8:J$239,MATCH($B38,'Disaggregation1B_Import-Export'!$C$8:$C$239,0))),"")</f>
        <v>0.0</v>
      </c>
      <c r="J38" s="1028" t="str">
        <f>IFERROR(IF(INDEX('Disaggregation1B_Import-Export'!K$8:K$239,MATCH($B38,'Disaggregation1B_Import-Export'!$C$8:$C$239,0))="","",INDEX('Disaggregation1B_Import-Export'!K$8:K$239,MATCH($B38,'Disaggregation1B_Import-Export'!$C$8:$C$239,0))),"")</f>
        <v/>
      </c>
      <c r="K38" s="1028" t="str">
        <f>IFERROR(IF(INDEX('Disaggregation1B_Import-Export'!L$8:L$239,MATCH($B38,'Disaggregation1B_Import-Export'!$C$8:$C$239,0))="","",INDEX('Disaggregation1B_Import-Export'!L$8:L$239,MATCH($B38,'Disaggregation1B_Import-Export'!$C$8:$C$239,0))),"")</f>
        <v/>
      </c>
      <c r="L38" s="1028" t="str">
        <f>IFERROR(IF(INDEX('Disaggregation1B_Import-Export'!AQ$8:AQ$239,MATCH($B38,'Disaggregation1B_Import-Export'!$C$8:$C$239,0))="","",INDEX('Disaggregation1B_Import-Export'!AQ$8:AQ$239,MATCH($B38,'Disaggregation1B_Import-Export'!$C$8:$C$239,0))),"")</f>
        <v>Burundi</v>
      </c>
      <c r="M38" s="1064">
        <v>22007</v>
      </c>
      <c r="N38" s="1064">
        <v>63702</v>
      </c>
      <c r="O38" s="1109">
        <f t="shared" si="2"/>
        <v>34.546796018963299</v>
      </c>
      <c r="P38" s="1065" t="s">
        <v>26</v>
      </c>
      <c r="Q38" s="1065" t="s">
        <v>571</v>
      </c>
      <c r="R38" s="1066"/>
      <c r="S38" s="1064"/>
      <c r="T38" s="1064"/>
      <c r="U38" s="1109" t="str">
        <f t="shared" si="3"/>
        <v/>
      </c>
      <c r="V38" s="1065"/>
      <c r="W38" s="1065"/>
      <c r="X38" s="1066"/>
      <c r="Y38" s="1110"/>
      <c r="Z38" s="1110"/>
      <c r="AA38" s="1111" t="str">
        <f t="shared" si="4"/>
        <v/>
      </c>
      <c r="AB38" s="1112"/>
      <c r="AC38" s="1113"/>
    </row>
    <row r="39" spans="1:29" ht="60" customHeight="1" x14ac:dyDescent="0.2">
      <c r="A39" s="648">
        <f t="shared" si="0"/>
        <v>29</v>
      </c>
      <c r="B39" s="648" t="str">
        <f t="shared" si="1"/>
        <v>Coverage29</v>
      </c>
      <c r="C39" s="1027" t="str">
        <f>IFERROR(INDEX('Disaggregation1B_Import-Export'!D$8:D$239,MATCH($B39,'Disaggregation1B_Import-Export'!$C$8:$C$239,0)),"")</f>
        <v>Treatment, care and support</v>
      </c>
      <c r="D39" s="1028" t="str">
        <f>IFERROR(INDEX('Disaggregation1B_Import-Export'!AF$8:AF$256,MATCH($B39,'Disaggregation1B_Import-Export'!$C$8:$C$256,0)),"")</f>
        <v>TCS-1(M): Pourcentage de personnes vivant avec le VIH bénéficiant actuellement d'un traitement antirétroviral</v>
      </c>
      <c r="E39" s="1028" t="str">
        <f>IFERROR(IF(INDEX('Disaggregation1B_Import-Export'!AG$8:AG$239,MATCH($B39,'Disaggregation1B_Import-Export'!$C$8:$C$239,0))="","",INDEX('Disaggregation1B_Import-Export'!AG$8:AG$239,MATCH($B39,'Disaggregation1B_Import-Export'!$C$8:$C$239,0))),"")</f>
        <v>&lt;15 ans</v>
      </c>
      <c r="F39" s="1028" t="str">
        <f>IFERROR(IF(INDEX('Disaggregation1B_Import-Export'!AH$8:AH$239,MATCH($B39,'Disaggregation1B_Import-Export'!$C$8:$C$239,0))="","",INDEX('Disaggregation1B_Import-Export'!AH$8:AH$239,MATCH($B39,'Disaggregation1B_Import-Export'!$C$8:$C$239,0))),"")</f>
        <v>Age</v>
      </c>
      <c r="G39" s="1107">
        <f>IFERROR(IF(INDEX('Disaggregation1B_Import-Export'!H$8:H$239,MATCH($B39,'Disaggregation1B_Import-Export'!$C$8:$C$239,0))="","",INDEX('Disaggregation1B_Import-Export'!H$8:H$239,MATCH($B39,'Disaggregation1B_Import-Export'!$C$8:$C$239,0))),"")</f>
        <v>3050</v>
      </c>
      <c r="H39" s="1107">
        <f>IFERROR(IF(INDEX('Disaggregation1B_Import-Export'!I$8:I$239,MATCH($B39,'Disaggregation1B_Import-Export'!$C$8:$C$239,0))="","",INDEX('Disaggregation1B_Import-Export'!I$8:I$239,MATCH($B39,'Disaggregation1B_Import-Export'!$C$8:$C$239,0))),"")</f>
        <v>8238</v>
      </c>
      <c r="I39" s="1108" t="str">
        <f>IFERROR(IF(INDEX('Disaggregation1B_Import-Export'!J$8:J$239,MATCH($B39,'Disaggregation1B_Import-Export'!$C$8:$C$239,0))="","",INDEX('Disaggregation1B_Import-Export'!J$8:J$239,MATCH($B39,'Disaggregation1B_Import-Export'!$C$8:$C$239,0))),"")</f>
        <v>0.4</v>
      </c>
      <c r="J39" s="1028" t="str">
        <f>IFERROR(IF(INDEX('Disaggregation1B_Import-Export'!K$8:K$239,MATCH($B39,'Disaggregation1B_Import-Export'!$C$8:$C$239,0))="","",INDEX('Disaggregation1B_Import-Export'!K$8:K$239,MATCH($B39,'Disaggregation1B_Import-Export'!$C$8:$C$239,0))),"")</f>
        <v>2016</v>
      </c>
      <c r="K39" s="1028" t="str">
        <f>IFERROR(IF(INDEX('Disaggregation1B_Import-Export'!L$8:L$239,MATCH($B39,'Disaggregation1B_Import-Export'!$C$8:$C$239,0))="","",INDEX('Disaggregation1B_Import-Export'!L$8:L$239,MATCH($B39,'Disaggregation1B_Import-Export'!$C$8:$C$239,0))),"")</f>
        <v>PNLS Annual Report</v>
      </c>
      <c r="L39" s="1028" t="str">
        <f>IFERROR(IF(INDEX('Disaggregation1B_Import-Export'!AQ$8:AQ$239,MATCH($B39,'Disaggregation1B_Import-Export'!$C$8:$C$239,0))="","",INDEX('Disaggregation1B_Import-Export'!AQ$8:AQ$239,MATCH($B39,'Disaggregation1B_Import-Export'!$C$8:$C$239,0))),"")</f>
        <v>Burundi</v>
      </c>
      <c r="M39" s="1064">
        <v>2978</v>
      </c>
      <c r="N39" s="1064">
        <v>63702</v>
      </c>
      <c r="O39" s="1109">
        <f t="shared" si="2"/>
        <v>4.6748924680543782</v>
      </c>
      <c r="P39" s="1065" t="s">
        <v>26</v>
      </c>
      <c r="Q39" s="1065" t="s">
        <v>572</v>
      </c>
      <c r="R39" s="1066"/>
      <c r="S39" s="1064"/>
      <c r="T39" s="1064"/>
      <c r="U39" s="1109" t="str">
        <f t="shared" si="3"/>
        <v/>
      </c>
      <c r="V39" s="1065"/>
      <c r="W39" s="1065"/>
      <c r="X39" s="1066"/>
      <c r="Y39" s="1110"/>
      <c r="Z39" s="1110"/>
      <c r="AA39" s="1111" t="str">
        <f t="shared" si="4"/>
        <v/>
      </c>
      <c r="AB39" s="1112"/>
      <c r="AC39" s="1113"/>
    </row>
    <row r="40" spans="1:29" ht="60" customHeight="1" x14ac:dyDescent="0.2">
      <c r="A40" s="648">
        <f t="shared" si="0"/>
        <v>30</v>
      </c>
      <c r="B40" s="648" t="str">
        <f t="shared" si="1"/>
        <v>Coverage30</v>
      </c>
      <c r="C40" s="1027" t="str">
        <f>IFERROR(INDEX('Disaggregation1B_Import-Export'!D$8:D$239,MATCH($B40,'Disaggregation1B_Import-Export'!$C$8:$C$239,0)),"")</f>
        <v>Treatment, care and support</v>
      </c>
      <c r="D40" s="1028" t="str">
        <f>IFERROR(INDEX('Disaggregation1B_Import-Export'!AF$8:AF$256,MATCH($B40,'Disaggregation1B_Import-Export'!$C$8:$C$256,0)),"")</f>
        <v>TCS-1(M): Pourcentage de personnes vivant avec le VIH bénéficiant actuellement d'un traitement antirétroviral</v>
      </c>
      <c r="E40" s="1028" t="str">
        <f>IFERROR(IF(INDEX('Disaggregation1B_Import-Export'!AG$8:AG$239,MATCH($B40,'Disaggregation1B_Import-Export'!$C$8:$C$239,0))="","",INDEX('Disaggregation1B_Import-Export'!AG$8:AG$239,MATCH($B40,'Disaggregation1B_Import-Export'!$C$8:$C$239,0))),"")</f>
        <v>Professionnels du sexe</v>
      </c>
      <c r="F40" s="1028" t="str">
        <f>IFERROR(IF(INDEX('Disaggregation1B_Import-Export'!AH$8:AH$239,MATCH($B40,'Disaggregation1B_Import-Export'!$C$8:$C$239,0))="","",INDEX('Disaggregation1B_Import-Export'!AH$8:AH$239,MATCH($B40,'Disaggregation1B_Import-Export'!$C$8:$C$239,0))),"")</f>
        <v>Groupe à risque cible</v>
      </c>
      <c r="G40" s="1107">
        <f>IFERROR(IF(INDEX('Disaggregation1B_Import-Export'!H$8:H$239,MATCH($B40,'Disaggregation1B_Import-Export'!$C$8:$C$239,0))="","",INDEX('Disaggregation1B_Import-Export'!H$8:H$239,MATCH($B40,'Disaggregation1B_Import-Export'!$C$8:$C$239,0))),"")</f>
        <v>0</v>
      </c>
      <c r="H40" s="1107">
        <f>IFERROR(IF(INDEX('Disaggregation1B_Import-Export'!I$8:I$239,MATCH($B40,'Disaggregation1B_Import-Export'!$C$8:$C$239,0))="","",INDEX('Disaggregation1B_Import-Export'!I$8:I$239,MATCH($B40,'Disaggregation1B_Import-Export'!$C$8:$C$239,0))),"")</f>
        <v>0</v>
      </c>
      <c r="I40" s="1108" t="str">
        <f>IFERROR(IF(INDEX('Disaggregation1B_Import-Export'!J$8:J$239,MATCH($B40,'Disaggregation1B_Import-Export'!$C$8:$C$239,0))="","",INDEX('Disaggregation1B_Import-Export'!J$8:J$239,MATCH($B40,'Disaggregation1B_Import-Export'!$C$8:$C$239,0))),"")</f>
        <v>0.0</v>
      </c>
      <c r="J40" s="1028" t="str">
        <f>IFERROR(IF(INDEX('Disaggregation1B_Import-Export'!K$8:K$239,MATCH($B40,'Disaggregation1B_Import-Export'!$C$8:$C$239,0))="","",INDEX('Disaggregation1B_Import-Export'!K$8:K$239,MATCH($B40,'Disaggregation1B_Import-Export'!$C$8:$C$239,0))),"")</f>
        <v/>
      </c>
      <c r="K40" s="1028" t="str">
        <f>IFERROR(IF(INDEX('Disaggregation1B_Import-Export'!L$8:L$239,MATCH($B40,'Disaggregation1B_Import-Export'!$C$8:$C$239,0))="","",INDEX('Disaggregation1B_Import-Export'!L$8:L$239,MATCH($B40,'Disaggregation1B_Import-Export'!$C$8:$C$239,0))),"")</f>
        <v/>
      </c>
      <c r="L40" s="1028" t="str">
        <f>IFERROR(IF(INDEX('Disaggregation1B_Import-Export'!AQ$8:AQ$239,MATCH($B40,'Disaggregation1B_Import-Export'!$C$8:$C$239,0))="","",INDEX('Disaggregation1B_Import-Export'!AQ$8:AQ$239,MATCH($B40,'Disaggregation1B_Import-Export'!$C$8:$C$239,0))),"")</f>
        <v>Burundi</v>
      </c>
      <c r="M40" s="1064"/>
      <c r="N40" s="1064"/>
      <c r="O40" s="1109" t="str">
        <f t="shared" si="2"/>
        <v/>
      </c>
      <c r="P40" s="1065" t="s">
        <v>26</v>
      </c>
      <c r="Q40" s="1065" t="s">
        <v>569</v>
      </c>
      <c r="R40" s="1066"/>
      <c r="S40" s="1064"/>
      <c r="T40" s="1064"/>
      <c r="U40" s="1109" t="str">
        <f t="shared" si="3"/>
        <v/>
      </c>
      <c r="V40" s="1065"/>
      <c r="W40" s="1065"/>
      <c r="X40" s="1066"/>
      <c r="Y40" s="1110"/>
      <c r="Z40" s="1110"/>
      <c r="AA40" s="1111" t="str">
        <f t="shared" si="4"/>
        <v/>
      </c>
      <c r="AB40" s="1112"/>
      <c r="AC40" s="1113"/>
    </row>
    <row r="41" spans="1:29" ht="60" customHeight="1" x14ac:dyDescent="0.2">
      <c r="A41" s="648">
        <f t="shared" si="0"/>
        <v>31</v>
      </c>
      <c r="B41" s="648" t="str">
        <f t="shared" si="1"/>
        <v>Coverage31</v>
      </c>
      <c r="C41" s="1027" t="str">
        <f>IFERROR(INDEX('Disaggregation1B_Import-Export'!D$8:D$239,MATCH($B41,'Disaggregation1B_Import-Export'!$C$8:$C$239,0)),"")</f>
        <v>Treatment, care and support</v>
      </c>
      <c r="D41" s="1028" t="str">
        <f>IFERROR(INDEX('Disaggregation1B_Import-Export'!AF$8:AF$256,MATCH($B41,'Disaggregation1B_Import-Export'!$C$8:$C$256,0)),"")</f>
        <v>TCS-1(M): Pourcentage de personnes vivant avec le VIH bénéficiant actuellement d'un traitement antirétroviral</v>
      </c>
      <c r="E41" s="1028" t="str">
        <f>IFERROR(IF(INDEX('Disaggregation1B_Import-Export'!AG$8:AG$239,MATCH($B41,'Disaggregation1B_Import-Export'!$C$8:$C$239,0))="","",INDEX('Disaggregation1B_Import-Export'!AG$8:AG$239,MATCH($B41,'Disaggregation1B_Import-Export'!$C$8:$C$239,0))),"")</f>
        <v>HSH</v>
      </c>
      <c r="F41" s="1028" t="str">
        <f>IFERROR(IF(INDEX('Disaggregation1B_Import-Export'!AH$8:AH$239,MATCH($B41,'Disaggregation1B_Import-Export'!$C$8:$C$239,0))="","",INDEX('Disaggregation1B_Import-Export'!AH$8:AH$239,MATCH($B41,'Disaggregation1B_Import-Export'!$C$8:$C$239,0))),"")</f>
        <v>Groupe à risque cible</v>
      </c>
      <c r="G41" s="1107">
        <f>IFERROR(IF(INDEX('Disaggregation1B_Import-Export'!H$8:H$239,MATCH($B41,'Disaggregation1B_Import-Export'!$C$8:$C$239,0))="","",INDEX('Disaggregation1B_Import-Export'!H$8:H$239,MATCH($B41,'Disaggregation1B_Import-Export'!$C$8:$C$239,0))),"")</f>
        <v>0</v>
      </c>
      <c r="H41" s="1107">
        <f>IFERROR(IF(INDEX('Disaggregation1B_Import-Export'!I$8:I$239,MATCH($B41,'Disaggregation1B_Import-Export'!$C$8:$C$239,0))="","",INDEX('Disaggregation1B_Import-Export'!I$8:I$239,MATCH($B41,'Disaggregation1B_Import-Export'!$C$8:$C$239,0))),"")</f>
        <v>0</v>
      </c>
      <c r="I41" s="1108" t="str">
        <f>IFERROR(IF(INDEX('Disaggregation1B_Import-Export'!J$8:J$239,MATCH($B41,'Disaggregation1B_Import-Export'!$C$8:$C$239,0))="","",INDEX('Disaggregation1B_Import-Export'!J$8:J$239,MATCH($B41,'Disaggregation1B_Import-Export'!$C$8:$C$239,0))),"")</f>
        <v>0.0</v>
      </c>
      <c r="J41" s="1028" t="str">
        <f>IFERROR(IF(INDEX('Disaggregation1B_Import-Export'!K$8:K$239,MATCH($B41,'Disaggregation1B_Import-Export'!$C$8:$C$239,0))="","",INDEX('Disaggregation1B_Import-Export'!K$8:K$239,MATCH($B41,'Disaggregation1B_Import-Export'!$C$8:$C$239,0))),"")</f>
        <v/>
      </c>
      <c r="K41" s="1028" t="str">
        <f>IFERROR(IF(INDEX('Disaggregation1B_Import-Export'!L$8:L$239,MATCH($B41,'Disaggregation1B_Import-Export'!$C$8:$C$239,0))="","",INDEX('Disaggregation1B_Import-Export'!L$8:L$239,MATCH($B41,'Disaggregation1B_Import-Export'!$C$8:$C$239,0))),"")</f>
        <v/>
      </c>
      <c r="L41" s="1028" t="str">
        <f>IFERROR(IF(INDEX('Disaggregation1B_Import-Export'!AQ$8:AQ$239,MATCH($B41,'Disaggregation1B_Import-Export'!$C$8:$C$239,0))="","",INDEX('Disaggregation1B_Import-Export'!AQ$8:AQ$239,MATCH($B41,'Disaggregation1B_Import-Export'!$C$8:$C$239,0))),"")</f>
        <v>Burundi</v>
      </c>
      <c r="M41" s="1064"/>
      <c r="N41" s="1064"/>
      <c r="O41" s="1109" t="str">
        <f t="shared" si="2"/>
        <v/>
      </c>
      <c r="P41" s="1065" t="s">
        <v>26</v>
      </c>
      <c r="Q41" s="1065" t="s">
        <v>569</v>
      </c>
      <c r="R41" s="1066"/>
      <c r="S41" s="1064"/>
      <c r="T41" s="1064"/>
      <c r="U41" s="1109" t="str">
        <f t="shared" si="3"/>
        <v/>
      </c>
      <c r="V41" s="1065"/>
      <c r="W41" s="1065"/>
      <c r="X41" s="1066"/>
      <c r="Y41" s="1110"/>
      <c r="Z41" s="1110"/>
      <c r="AA41" s="1111" t="str">
        <f t="shared" si="4"/>
        <v/>
      </c>
      <c r="AB41" s="1112"/>
      <c r="AC41" s="1113"/>
    </row>
    <row r="42" spans="1:29" ht="60" customHeight="1" x14ac:dyDescent="0.2">
      <c r="A42" s="648">
        <f t="shared" si="0"/>
        <v>32</v>
      </c>
      <c r="B42" s="648" t="str">
        <f t="shared" si="1"/>
        <v>Coverage32</v>
      </c>
      <c r="C42" s="1027" t="str">
        <f>IFERROR(INDEX('Disaggregation1B_Import-Export'!D$8:D$239,MATCH($B42,'Disaggregation1B_Import-Export'!$C$8:$C$239,0)),"")</f>
        <v>Treatment, care and support</v>
      </c>
      <c r="D42" s="1028" t="str">
        <f>IFERROR(INDEX('Disaggregation1B_Import-Export'!AF$8:AF$256,MATCH($B42,'Disaggregation1B_Import-Export'!$C$8:$C$256,0)),"")</f>
        <v>TCS-1(M): Pourcentage de personnes vivant avec le VIH bénéficiant actuellement d'un traitement antirétroviral</v>
      </c>
      <c r="E42" s="1028" t="str">
        <f>IFERROR(IF(INDEX('Disaggregation1B_Import-Export'!AG$8:AG$239,MATCH($B42,'Disaggregation1B_Import-Export'!$C$8:$C$239,0))="","",INDEX('Disaggregation1B_Import-Export'!AG$8:AG$239,MATCH($B42,'Disaggregation1B_Import-Export'!$C$8:$C$239,0))),"")</f>
        <v>Homme de 20 à 24</v>
      </c>
      <c r="F42" s="1028" t="str">
        <f>IFERROR(IF(INDEX('Disaggregation1B_Import-Export'!AH$8:AH$239,MATCH($B42,'Disaggregation1B_Import-Export'!$C$8:$C$239,0))="","",INDEX('Disaggregation1B_Import-Export'!AH$8:AH$239,MATCH($B42,'Disaggregation1B_Import-Export'!$C$8:$C$239,0))),"")</f>
        <v>Sexe | Age</v>
      </c>
      <c r="G42" s="1107">
        <f>IFERROR(IF(INDEX('Disaggregation1B_Import-Export'!H$8:H$239,MATCH($B42,'Disaggregation1B_Import-Export'!$C$8:$C$239,0))="","",INDEX('Disaggregation1B_Import-Export'!H$8:H$239,MATCH($B42,'Disaggregation1B_Import-Export'!$C$8:$C$239,0))),"")</f>
        <v>0</v>
      </c>
      <c r="H42" s="1107">
        <f>IFERROR(IF(INDEX('Disaggregation1B_Import-Export'!I$8:I$239,MATCH($B42,'Disaggregation1B_Import-Export'!$C$8:$C$239,0))="","",INDEX('Disaggregation1B_Import-Export'!I$8:I$239,MATCH($B42,'Disaggregation1B_Import-Export'!$C$8:$C$239,0))),"")</f>
        <v>0</v>
      </c>
      <c r="I42" s="1108" t="str">
        <f>IFERROR(IF(INDEX('Disaggregation1B_Import-Export'!J$8:J$239,MATCH($B42,'Disaggregation1B_Import-Export'!$C$8:$C$239,0))="","",INDEX('Disaggregation1B_Import-Export'!J$8:J$239,MATCH($B42,'Disaggregation1B_Import-Export'!$C$8:$C$239,0))),"")</f>
        <v>0.0</v>
      </c>
      <c r="J42" s="1028" t="str">
        <f>IFERROR(IF(INDEX('Disaggregation1B_Import-Export'!K$8:K$239,MATCH($B42,'Disaggregation1B_Import-Export'!$C$8:$C$239,0))="","",INDEX('Disaggregation1B_Import-Export'!K$8:K$239,MATCH($B42,'Disaggregation1B_Import-Export'!$C$8:$C$239,0))),"")</f>
        <v/>
      </c>
      <c r="K42" s="1028" t="str">
        <f>IFERROR(IF(INDEX('Disaggregation1B_Import-Export'!L$8:L$239,MATCH($B42,'Disaggregation1B_Import-Export'!$C$8:$C$239,0))="","",INDEX('Disaggregation1B_Import-Export'!L$8:L$239,MATCH($B42,'Disaggregation1B_Import-Export'!$C$8:$C$239,0))),"")</f>
        <v/>
      </c>
      <c r="L42" s="1028" t="str">
        <f>IFERROR(IF(INDEX('Disaggregation1B_Import-Export'!AQ$8:AQ$239,MATCH($B42,'Disaggregation1B_Import-Export'!$C$8:$C$239,0))="","",INDEX('Disaggregation1B_Import-Export'!AQ$8:AQ$239,MATCH($B42,'Disaggregation1B_Import-Export'!$C$8:$C$239,0))),"")</f>
        <v>Burundi</v>
      </c>
      <c r="M42" s="1064">
        <v>1092</v>
      </c>
      <c r="N42" s="1064">
        <v>63702</v>
      </c>
      <c r="O42" s="1109">
        <f t="shared" si="2"/>
        <v>1.7142318922482809</v>
      </c>
      <c r="P42" s="1065" t="s">
        <v>26</v>
      </c>
      <c r="Q42" s="1065" t="s">
        <v>573</v>
      </c>
      <c r="R42" s="1066"/>
      <c r="S42" s="1064"/>
      <c r="T42" s="1064"/>
      <c r="U42" s="1109" t="str">
        <f t="shared" si="3"/>
        <v/>
      </c>
      <c r="V42" s="1065"/>
      <c r="W42" s="1065"/>
      <c r="X42" s="1066"/>
      <c r="Y42" s="1110"/>
      <c r="Z42" s="1110"/>
      <c r="AA42" s="1111" t="str">
        <f t="shared" si="4"/>
        <v/>
      </c>
      <c r="AB42" s="1112"/>
      <c r="AC42" s="1113"/>
    </row>
    <row r="43" spans="1:29" ht="60" customHeight="1" x14ac:dyDescent="0.2">
      <c r="A43" s="648">
        <f t="shared" si="0"/>
        <v>33</v>
      </c>
      <c r="B43" s="648" t="str">
        <f t="shared" si="1"/>
        <v>Coverage33</v>
      </c>
      <c r="C43" s="1027" t="str">
        <f>IFERROR(INDEX('Disaggregation1B_Import-Export'!D$8:D$239,MATCH($B43,'Disaggregation1B_Import-Export'!$C$8:$C$239,0)),"")</f>
        <v>Treatment, care and support</v>
      </c>
      <c r="D43" s="1028" t="str">
        <f>IFERROR(INDEX('Disaggregation1B_Import-Export'!AF$8:AF$256,MATCH($B43,'Disaggregation1B_Import-Export'!$C$8:$C$256,0)),"")</f>
        <v>TCS-1(M): Pourcentage de personnes vivant avec le VIH bénéficiant actuellement d'un traitement antirétroviral</v>
      </c>
      <c r="E43" s="1028" t="str">
        <f>IFERROR(IF(INDEX('Disaggregation1B_Import-Export'!AG$8:AG$239,MATCH($B43,'Disaggregation1B_Import-Export'!$C$8:$C$239,0))="","",INDEX('Disaggregation1B_Import-Export'!AG$8:AG$239,MATCH($B43,'Disaggregation1B_Import-Export'!$C$8:$C$239,0))),"")</f>
        <v>+ de 15 ans</v>
      </c>
      <c r="F43" s="1028" t="str">
        <f>IFERROR(IF(INDEX('Disaggregation1B_Import-Export'!AH$8:AH$239,MATCH($B43,'Disaggregation1B_Import-Export'!$C$8:$C$239,0))="","",INDEX('Disaggregation1B_Import-Export'!AH$8:AH$239,MATCH($B43,'Disaggregation1B_Import-Export'!$C$8:$C$239,0))),"")</f>
        <v>Age</v>
      </c>
      <c r="G43" s="1107">
        <f>IFERROR(IF(INDEX('Disaggregation1B_Import-Export'!H$8:H$239,MATCH($B43,'Disaggregation1B_Import-Export'!$C$8:$C$239,0))="","",INDEX('Disaggregation1B_Import-Export'!H$8:H$239,MATCH($B43,'Disaggregation1B_Import-Export'!$C$8:$C$239,0))),"")</f>
        <v>48867</v>
      </c>
      <c r="H43" s="1107">
        <f>IFERROR(IF(INDEX('Disaggregation1B_Import-Export'!I$8:I$239,MATCH($B43,'Disaggregation1B_Import-Export'!$C$8:$C$239,0))="","",INDEX('Disaggregation1B_Import-Export'!I$8:I$239,MATCH($B43,'Disaggregation1B_Import-Export'!$C$8:$C$239,0))),"")</f>
        <v>75204</v>
      </c>
      <c r="I43" s="1108" t="str">
        <f>IFERROR(IF(INDEX('Disaggregation1B_Import-Export'!J$8:J$239,MATCH($B43,'Disaggregation1B_Import-Export'!$C$8:$C$239,0))="","",INDEX('Disaggregation1B_Import-Export'!J$8:J$239,MATCH($B43,'Disaggregation1B_Import-Export'!$C$8:$C$239,0))),"")</f>
        <v>0.6</v>
      </c>
      <c r="J43" s="1028" t="str">
        <f>IFERROR(IF(INDEX('Disaggregation1B_Import-Export'!K$8:K$239,MATCH($B43,'Disaggregation1B_Import-Export'!$C$8:$C$239,0))="","",INDEX('Disaggregation1B_Import-Export'!K$8:K$239,MATCH($B43,'Disaggregation1B_Import-Export'!$C$8:$C$239,0))),"")</f>
        <v>2016</v>
      </c>
      <c r="K43" s="1028" t="str">
        <f>IFERROR(IF(INDEX('Disaggregation1B_Import-Export'!L$8:L$239,MATCH($B43,'Disaggregation1B_Import-Export'!$C$8:$C$239,0))="","",INDEX('Disaggregation1B_Import-Export'!L$8:L$239,MATCH($B43,'Disaggregation1B_Import-Export'!$C$8:$C$239,0))),"")</f>
        <v>PNLS Annual Report</v>
      </c>
      <c r="L43" s="1028" t="str">
        <f>IFERROR(IF(INDEX('Disaggregation1B_Import-Export'!AQ$8:AQ$239,MATCH($B43,'Disaggregation1B_Import-Export'!$C$8:$C$239,0))="","",INDEX('Disaggregation1B_Import-Export'!AQ$8:AQ$239,MATCH($B43,'Disaggregation1B_Import-Export'!$C$8:$C$239,0))),"")</f>
        <v>Burundi</v>
      </c>
      <c r="M43" s="1064">
        <v>60724</v>
      </c>
      <c r="N43" s="1064">
        <v>63702</v>
      </c>
      <c r="O43" s="1109">
        <f t="shared" si="2"/>
        <v>95.325107531945619</v>
      </c>
      <c r="P43" s="1065" t="s">
        <v>26</v>
      </c>
      <c r="Q43" s="1065" t="s">
        <v>574</v>
      </c>
      <c r="R43" s="1066"/>
      <c r="S43" s="1064"/>
      <c r="T43" s="1064"/>
      <c r="U43" s="1109" t="str">
        <f t="shared" si="3"/>
        <v/>
      </c>
      <c r="V43" s="1065"/>
      <c r="W43" s="1065"/>
      <c r="X43" s="1066"/>
      <c r="Y43" s="1110"/>
      <c r="Z43" s="1110"/>
      <c r="AA43" s="1111" t="str">
        <f t="shared" si="4"/>
        <v/>
      </c>
      <c r="AB43" s="1112"/>
      <c r="AC43" s="1113"/>
    </row>
    <row r="44" spans="1:29" ht="60" customHeight="1" x14ac:dyDescent="0.2">
      <c r="A44" s="648">
        <f t="shared" si="0"/>
        <v>34</v>
      </c>
      <c r="B44" s="648" t="str">
        <f t="shared" si="1"/>
        <v>Coverage34</v>
      </c>
      <c r="C44" s="1027" t="str">
        <f>IFERROR(INDEX('Disaggregation1B_Import-Export'!D$8:D$239,MATCH($B44,'Disaggregation1B_Import-Export'!$C$8:$C$239,0)),"")</f>
        <v>Treatment, care and support</v>
      </c>
      <c r="D44" s="1028" t="str">
        <f>IFERROR(INDEX('Disaggregation1B_Import-Export'!AF$8:AF$256,MATCH($B44,'Disaggregation1B_Import-Export'!$C$8:$C$256,0)),"")</f>
        <v>TCS-1(M): Pourcentage de personnes vivant avec le VIH bénéficiant actuellement d'un traitement antirétroviral</v>
      </c>
      <c r="E44" s="1028" t="str">
        <f>IFERROR(IF(INDEX('Disaggregation1B_Import-Export'!AG$8:AG$239,MATCH($B44,'Disaggregation1B_Import-Export'!$C$8:$C$239,0))="","",INDEX('Disaggregation1B_Import-Export'!AG$8:AG$239,MATCH($B44,'Disaggregation1B_Import-Export'!$C$8:$C$239,0))),"")</f>
        <v>Homme 15-24 ans</v>
      </c>
      <c r="F44" s="1028" t="str">
        <f>IFERROR(IF(INDEX('Disaggregation1B_Import-Export'!AH$8:AH$239,MATCH($B44,'Disaggregation1B_Import-Export'!$C$8:$C$239,0))="","",INDEX('Disaggregation1B_Import-Export'!AH$8:AH$239,MATCH($B44,'Disaggregation1B_Import-Export'!$C$8:$C$239,0))),"")</f>
        <v>Sexe | Age</v>
      </c>
      <c r="G44" s="1107">
        <f>IFERROR(IF(INDEX('Disaggregation1B_Import-Export'!H$8:H$239,MATCH($B44,'Disaggregation1B_Import-Export'!$C$8:$C$239,0))="","",INDEX('Disaggregation1B_Import-Export'!H$8:H$239,MATCH($B44,'Disaggregation1B_Import-Export'!$C$8:$C$239,0))),"")</f>
        <v>0</v>
      </c>
      <c r="H44" s="1107">
        <f>IFERROR(IF(INDEX('Disaggregation1B_Import-Export'!I$8:I$239,MATCH($B44,'Disaggregation1B_Import-Export'!$C$8:$C$239,0))="","",INDEX('Disaggregation1B_Import-Export'!I$8:I$239,MATCH($B44,'Disaggregation1B_Import-Export'!$C$8:$C$239,0))),"")</f>
        <v>0</v>
      </c>
      <c r="I44" s="1108" t="str">
        <f>IFERROR(IF(INDEX('Disaggregation1B_Import-Export'!J$8:J$239,MATCH($B44,'Disaggregation1B_Import-Export'!$C$8:$C$239,0))="","",INDEX('Disaggregation1B_Import-Export'!J$8:J$239,MATCH($B44,'Disaggregation1B_Import-Export'!$C$8:$C$239,0))),"")</f>
        <v>0.0</v>
      </c>
      <c r="J44" s="1028" t="str">
        <f>IFERROR(IF(INDEX('Disaggregation1B_Import-Export'!K$8:K$239,MATCH($B44,'Disaggregation1B_Import-Export'!$C$8:$C$239,0))="","",INDEX('Disaggregation1B_Import-Export'!K$8:K$239,MATCH($B44,'Disaggregation1B_Import-Export'!$C$8:$C$239,0))),"")</f>
        <v/>
      </c>
      <c r="K44" s="1028" t="str">
        <f>IFERROR(IF(INDEX('Disaggregation1B_Import-Export'!L$8:L$239,MATCH($B44,'Disaggregation1B_Import-Export'!$C$8:$C$239,0))="","",INDEX('Disaggregation1B_Import-Export'!L$8:L$239,MATCH($B44,'Disaggregation1B_Import-Export'!$C$8:$C$239,0))),"")</f>
        <v/>
      </c>
      <c r="L44" s="1028" t="str">
        <f>IFERROR(IF(INDEX('Disaggregation1B_Import-Export'!AQ$8:AQ$239,MATCH($B44,'Disaggregation1B_Import-Export'!$C$8:$C$239,0))="","",INDEX('Disaggregation1B_Import-Export'!AQ$8:AQ$239,MATCH($B44,'Disaggregation1B_Import-Export'!$C$8:$C$239,0))),"")</f>
        <v>Burundi</v>
      </c>
      <c r="M44" s="1064">
        <v>1943</v>
      </c>
      <c r="N44" s="1064">
        <v>63702</v>
      </c>
      <c r="O44" s="1109">
        <f t="shared" si="2"/>
        <v>3.050139713038837</v>
      </c>
      <c r="P44" s="1065" t="s">
        <v>26</v>
      </c>
      <c r="Q44" s="1065" t="s">
        <v>575</v>
      </c>
      <c r="R44" s="1066"/>
      <c r="S44" s="1064"/>
      <c r="T44" s="1064"/>
      <c r="U44" s="1109" t="str">
        <f t="shared" si="3"/>
        <v/>
      </c>
      <c r="V44" s="1065"/>
      <c r="W44" s="1065"/>
      <c r="X44" s="1066"/>
      <c r="Y44" s="1110"/>
      <c r="Z44" s="1110"/>
      <c r="AA44" s="1111" t="str">
        <f t="shared" si="4"/>
        <v/>
      </c>
      <c r="AB44" s="1112"/>
      <c r="AC44" s="1113"/>
    </row>
    <row r="45" spans="1:29" ht="60" customHeight="1" x14ac:dyDescent="0.2">
      <c r="A45" s="648">
        <f t="shared" si="0"/>
        <v>35</v>
      </c>
      <c r="B45" s="648" t="str">
        <f t="shared" si="1"/>
        <v>Coverage35</v>
      </c>
      <c r="C45" s="1027" t="str">
        <f>IFERROR(INDEX('Disaggregation1B_Import-Export'!D$8:D$239,MATCH($B45,'Disaggregation1B_Import-Export'!$C$8:$C$239,0)),"")</f>
        <v>Treatment, care and support</v>
      </c>
      <c r="D45" s="1028" t="str">
        <f>IFERROR(INDEX('Disaggregation1B_Import-Export'!AF$8:AF$256,MATCH($B45,'Disaggregation1B_Import-Export'!$C$8:$C$256,0)),"")</f>
        <v>TCS-1(M): Pourcentage de personnes vivant avec le VIH bénéficiant actuellement d'un traitement antirétroviral</v>
      </c>
      <c r="E45" s="1028" t="str">
        <f>IFERROR(IF(INDEX('Disaggregation1B_Import-Export'!AG$8:AG$239,MATCH($B45,'Disaggregation1B_Import-Export'!$C$8:$C$239,0))="","",INDEX('Disaggregation1B_Import-Export'!AG$8:AG$239,MATCH($B45,'Disaggregation1B_Import-Export'!$C$8:$C$239,0))),"")</f>
        <v>Homme de 15 à 19</v>
      </c>
      <c r="F45" s="1028" t="str">
        <f>IFERROR(IF(INDEX('Disaggregation1B_Import-Export'!AH$8:AH$239,MATCH($B45,'Disaggregation1B_Import-Export'!$C$8:$C$239,0))="","",INDEX('Disaggregation1B_Import-Export'!AH$8:AH$239,MATCH($B45,'Disaggregation1B_Import-Export'!$C$8:$C$239,0))),"")</f>
        <v>Sexe | Age</v>
      </c>
      <c r="G45" s="1107">
        <f>IFERROR(IF(INDEX('Disaggregation1B_Import-Export'!H$8:H$239,MATCH($B45,'Disaggregation1B_Import-Export'!$C$8:$C$239,0))="","",INDEX('Disaggregation1B_Import-Export'!H$8:H$239,MATCH($B45,'Disaggregation1B_Import-Export'!$C$8:$C$239,0))),"")</f>
        <v>0</v>
      </c>
      <c r="H45" s="1107">
        <f>IFERROR(IF(INDEX('Disaggregation1B_Import-Export'!I$8:I$239,MATCH($B45,'Disaggregation1B_Import-Export'!$C$8:$C$239,0))="","",INDEX('Disaggregation1B_Import-Export'!I$8:I$239,MATCH($B45,'Disaggregation1B_Import-Export'!$C$8:$C$239,0))),"")</f>
        <v>0</v>
      </c>
      <c r="I45" s="1108" t="str">
        <f>IFERROR(IF(INDEX('Disaggregation1B_Import-Export'!J$8:J$239,MATCH($B45,'Disaggregation1B_Import-Export'!$C$8:$C$239,0))="","",INDEX('Disaggregation1B_Import-Export'!J$8:J$239,MATCH($B45,'Disaggregation1B_Import-Export'!$C$8:$C$239,0))),"")</f>
        <v>0.0</v>
      </c>
      <c r="J45" s="1028" t="str">
        <f>IFERROR(IF(INDEX('Disaggregation1B_Import-Export'!K$8:K$239,MATCH($B45,'Disaggregation1B_Import-Export'!$C$8:$C$239,0))="","",INDEX('Disaggregation1B_Import-Export'!K$8:K$239,MATCH($B45,'Disaggregation1B_Import-Export'!$C$8:$C$239,0))),"")</f>
        <v/>
      </c>
      <c r="K45" s="1028" t="str">
        <f>IFERROR(IF(INDEX('Disaggregation1B_Import-Export'!L$8:L$239,MATCH($B45,'Disaggregation1B_Import-Export'!$C$8:$C$239,0))="","",INDEX('Disaggregation1B_Import-Export'!L$8:L$239,MATCH($B45,'Disaggregation1B_Import-Export'!$C$8:$C$239,0))),"")</f>
        <v/>
      </c>
      <c r="L45" s="1028" t="str">
        <f>IFERROR(IF(INDEX('Disaggregation1B_Import-Export'!AQ$8:AQ$239,MATCH($B45,'Disaggregation1B_Import-Export'!$C$8:$C$239,0))="","",INDEX('Disaggregation1B_Import-Export'!AQ$8:AQ$239,MATCH($B45,'Disaggregation1B_Import-Export'!$C$8:$C$239,0))),"")</f>
        <v>Burundi</v>
      </c>
      <c r="M45" s="1064">
        <v>851</v>
      </c>
      <c r="N45" s="1064">
        <v>63702</v>
      </c>
      <c r="O45" s="1109">
        <f t="shared" si="2"/>
        <v>1.3359078207905561</v>
      </c>
      <c r="P45" s="1065" t="s">
        <v>26</v>
      </c>
      <c r="Q45" s="1065" t="s">
        <v>576</v>
      </c>
      <c r="R45" s="1066"/>
      <c r="S45" s="1064"/>
      <c r="T45" s="1064"/>
      <c r="U45" s="1109" t="str">
        <f t="shared" si="3"/>
        <v/>
      </c>
      <c r="V45" s="1065"/>
      <c r="W45" s="1065"/>
      <c r="X45" s="1066"/>
      <c r="Y45" s="1110"/>
      <c r="Z45" s="1110"/>
      <c r="AA45" s="1111" t="str">
        <f t="shared" si="4"/>
        <v/>
      </c>
      <c r="AB45" s="1112"/>
      <c r="AC45" s="1113"/>
    </row>
    <row r="46" spans="1:29" ht="60" customHeight="1" x14ac:dyDescent="0.2">
      <c r="A46" s="648">
        <f t="shared" si="0"/>
        <v>36</v>
      </c>
      <c r="B46" s="648" t="str">
        <f t="shared" si="1"/>
        <v>Coverage36</v>
      </c>
      <c r="C46" s="1027" t="str">
        <f>IFERROR(INDEX('Disaggregation1B_Import-Export'!D$8:D$239,MATCH($B46,'Disaggregation1B_Import-Export'!$C$8:$C$239,0)),"")</f>
        <v>HIV Testing Services</v>
      </c>
      <c r="D46" s="1028" t="str">
        <f>IFERROR(INDEX('Disaggregation1B_Import-Export'!AF$8:AF$256,MATCH($B46,'Disaggregation1B_Import-Export'!$C$8:$C$256,0)),"")</f>
        <v>HTS-1: Nombre de personnes dépistées pour le VIH et ayant reçu leurs résultats durant la période de rapportage</v>
      </c>
      <c r="E46" s="1028" t="str">
        <f>IFERROR(IF(INDEX('Disaggregation1B_Import-Export'!AG$8:AG$239,MATCH($B46,'Disaggregation1B_Import-Export'!$C$8:$C$239,0))="","",INDEX('Disaggregation1B_Import-Export'!AG$8:AG$239,MATCH($B46,'Disaggregation1B_Import-Export'!$C$8:$C$239,0))),"")</f>
        <v>Positif</v>
      </c>
      <c r="F46" s="1028" t="str">
        <f>IFERROR(IF(INDEX('Disaggregation1B_Import-Export'!AH$8:AH$239,MATCH($B46,'Disaggregation1B_Import-Export'!$C$8:$C$239,0))="","",INDEX('Disaggregation1B_Import-Export'!AH$8:AH$239,MATCH($B46,'Disaggregation1B_Import-Export'!$C$8:$C$239,0))),"")</f>
        <v>Résultat du test VIH</v>
      </c>
      <c r="G46" s="1107">
        <f>IFERROR(IF(INDEX('Disaggregation1B_Import-Export'!H$8:H$239,MATCH($B46,'Disaggregation1B_Import-Export'!$C$8:$C$239,0))="","",INDEX('Disaggregation1B_Import-Export'!H$8:H$239,MATCH($B46,'Disaggregation1B_Import-Export'!$C$8:$C$239,0))),"")</f>
        <v>15371</v>
      </c>
      <c r="H46" s="1107">
        <f>IFERROR(IF(INDEX('Disaggregation1B_Import-Export'!I$8:I$239,MATCH($B46,'Disaggregation1B_Import-Export'!$C$8:$C$239,0))="","",INDEX('Disaggregation1B_Import-Export'!I$8:I$239,MATCH($B46,'Disaggregation1B_Import-Export'!$C$8:$C$239,0))),"")</f>
        <v>1528625</v>
      </c>
      <c r="I46" s="1108" t="str">
        <f>IFERROR(IF(INDEX('Disaggregation1B_Import-Export'!J$8:J$239,MATCH($B46,'Disaggregation1B_Import-Export'!$C$8:$C$239,0))="","",INDEX('Disaggregation1B_Import-Export'!J$8:J$239,MATCH($B46,'Disaggregation1B_Import-Export'!$C$8:$C$239,0))),"")</f>
        <v>0.0</v>
      </c>
      <c r="J46" s="1028" t="str">
        <f>IFERROR(IF(INDEX('Disaggregation1B_Import-Export'!K$8:K$239,MATCH($B46,'Disaggregation1B_Import-Export'!$C$8:$C$239,0))="","",INDEX('Disaggregation1B_Import-Export'!K$8:K$239,MATCH($B46,'Disaggregation1B_Import-Export'!$C$8:$C$239,0))),"")</f>
        <v>2016</v>
      </c>
      <c r="K46" s="1028" t="str">
        <f>IFERROR(IF(INDEX('Disaggregation1B_Import-Export'!L$8:L$239,MATCH($B46,'Disaggregation1B_Import-Export'!$C$8:$C$239,0))="","",INDEX('Disaggregation1B_Import-Export'!L$8:L$239,MATCH($B46,'Disaggregation1B_Import-Export'!$C$8:$C$239,0))),"")</f>
        <v>2016 Annual Report</v>
      </c>
      <c r="L46" s="1028" t="str">
        <f>IFERROR(IF(INDEX('Disaggregation1B_Import-Export'!AQ$8:AQ$239,MATCH($B46,'Disaggregation1B_Import-Export'!$C$8:$C$239,0))="","",INDEX('Disaggregation1B_Import-Export'!AQ$8:AQ$239,MATCH($B46,'Disaggregation1B_Import-Export'!$C$8:$C$239,0))),"")</f>
        <v>Burundi</v>
      </c>
      <c r="M46" s="1064">
        <v>16403</v>
      </c>
      <c r="N46" s="1064"/>
      <c r="O46" s="1109" t="str">
        <f t="shared" si="2"/>
        <v/>
      </c>
      <c r="P46" s="1065" t="s">
        <v>26</v>
      </c>
      <c r="Q46" s="1065" t="s">
        <v>577</v>
      </c>
      <c r="R46" s="1066"/>
      <c r="S46" s="1064"/>
      <c r="T46" s="1064"/>
      <c r="U46" s="1109" t="str">
        <f t="shared" si="3"/>
        <v/>
      </c>
      <c r="V46" s="1065"/>
      <c r="W46" s="1065"/>
      <c r="X46" s="1066"/>
      <c r="Y46" s="1110"/>
      <c r="Z46" s="1110"/>
      <c r="AA46" s="1111" t="str">
        <f t="shared" si="4"/>
        <v/>
      </c>
      <c r="AB46" s="1112"/>
      <c r="AC46" s="1113"/>
    </row>
    <row r="47" spans="1:29" ht="60" customHeight="1" x14ac:dyDescent="0.2">
      <c r="A47" s="648">
        <f t="shared" si="0"/>
        <v>37</v>
      </c>
      <c r="B47" s="648" t="str">
        <f t="shared" si="1"/>
        <v>Coverage37</v>
      </c>
      <c r="C47" s="1027" t="str">
        <f>IFERROR(INDEX('Disaggregation1B_Import-Export'!D$8:D$239,MATCH($B47,'Disaggregation1B_Import-Export'!$C$8:$C$239,0)),"")</f>
        <v>HIV Testing Services</v>
      </c>
      <c r="D47" s="1028" t="str">
        <f>IFERROR(INDEX('Disaggregation1B_Import-Export'!AF$8:AF$256,MATCH($B47,'Disaggregation1B_Import-Export'!$C$8:$C$256,0)),"")</f>
        <v>HTS-1: Nombre de personnes dépistées pour le VIH et ayant reçu leurs résultats durant la période de rapportage</v>
      </c>
      <c r="E47" s="1028" t="str">
        <f>IFERROR(IF(INDEX('Disaggregation1B_Import-Export'!AG$8:AG$239,MATCH($B47,'Disaggregation1B_Import-Export'!$C$8:$C$239,0))="","",INDEX('Disaggregation1B_Import-Export'!AG$8:AG$239,MATCH($B47,'Disaggregation1B_Import-Export'!$C$8:$C$239,0))),"")</f>
        <v>Femme</v>
      </c>
      <c r="F47" s="1028" t="str">
        <f>IFERROR(IF(INDEX('Disaggregation1B_Import-Export'!AH$8:AH$239,MATCH($B47,'Disaggregation1B_Import-Export'!$C$8:$C$239,0))="","",INDEX('Disaggregation1B_Import-Export'!AH$8:AH$239,MATCH($B47,'Disaggregation1B_Import-Export'!$C$8:$C$239,0))),"")</f>
        <v>Sexe</v>
      </c>
      <c r="G47" s="1107">
        <f>IFERROR(IF(INDEX('Disaggregation1B_Import-Export'!H$8:H$239,MATCH($B47,'Disaggregation1B_Import-Export'!$C$8:$C$239,0))="","",INDEX('Disaggregation1B_Import-Export'!H$8:H$239,MATCH($B47,'Disaggregation1B_Import-Export'!$C$8:$C$239,0))),"")</f>
        <v>0</v>
      </c>
      <c r="H47" s="1107">
        <f>IFERROR(IF(INDEX('Disaggregation1B_Import-Export'!I$8:I$239,MATCH($B47,'Disaggregation1B_Import-Export'!$C$8:$C$239,0))="","",INDEX('Disaggregation1B_Import-Export'!I$8:I$239,MATCH($B47,'Disaggregation1B_Import-Export'!$C$8:$C$239,0))),"")</f>
        <v>0</v>
      </c>
      <c r="I47" s="1108" t="str">
        <f>IFERROR(IF(INDEX('Disaggregation1B_Import-Export'!J$8:J$239,MATCH($B47,'Disaggregation1B_Import-Export'!$C$8:$C$239,0))="","",INDEX('Disaggregation1B_Import-Export'!J$8:J$239,MATCH($B47,'Disaggregation1B_Import-Export'!$C$8:$C$239,0))),"")</f>
        <v>0.0</v>
      </c>
      <c r="J47" s="1028" t="str">
        <f>IFERROR(IF(INDEX('Disaggregation1B_Import-Export'!K$8:K$239,MATCH($B47,'Disaggregation1B_Import-Export'!$C$8:$C$239,0))="","",INDEX('Disaggregation1B_Import-Export'!K$8:K$239,MATCH($B47,'Disaggregation1B_Import-Export'!$C$8:$C$239,0))),"")</f>
        <v/>
      </c>
      <c r="K47" s="1028" t="str">
        <f>IFERROR(IF(INDEX('Disaggregation1B_Import-Export'!L$8:L$239,MATCH($B47,'Disaggregation1B_Import-Export'!$C$8:$C$239,0))="","",INDEX('Disaggregation1B_Import-Export'!L$8:L$239,MATCH($B47,'Disaggregation1B_Import-Export'!$C$8:$C$239,0))),"")</f>
        <v/>
      </c>
      <c r="L47" s="1028" t="str">
        <f>IFERROR(IF(INDEX('Disaggregation1B_Import-Export'!AQ$8:AQ$239,MATCH($B47,'Disaggregation1B_Import-Export'!$C$8:$C$239,0))="","",INDEX('Disaggregation1B_Import-Export'!AQ$8:AQ$239,MATCH($B47,'Disaggregation1B_Import-Export'!$C$8:$C$239,0))),"")</f>
        <v>Burundi</v>
      </c>
      <c r="M47" s="1064">
        <v>742578</v>
      </c>
      <c r="N47" s="1064"/>
      <c r="O47" s="1109" t="str">
        <f t="shared" si="2"/>
        <v/>
      </c>
      <c r="P47" s="1065" t="s">
        <v>26</v>
      </c>
      <c r="Q47" s="1065" t="s">
        <v>578</v>
      </c>
      <c r="R47" s="1066"/>
      <c r="S47" s="1064"/>
      <c r="T47" s="1064"/>
      <c r="U47" s="1109" t="str">
        <f t="shared" si="3"/>
        <v/>
      </c>
      <c r="V47" s="1065"/>
      <c r="W47" s="1065"/>
      <c r="X47" s="1066"/>
      <c r="Y47" s="1110"/>
      <c r="Z47" s="1110"/>
      <c r="AA47" s="1111" t="str">
        <f t="shared" si="4"/>
        <v/>
      </c>
      <c r="AB47" s="1112"/>
      <c r="AC47" s="1113"/>
    </row>
    <row r="48" spans="1:29" ht="60" customHeight="1" x14ac:dyDescent="0.2">
      <c r="A48" s="648">
        <f t="shared" si="0"/>
        <v>38</v>
      </c>
      <c r="B48" s="648" t="str">
        <f t="shared" si="1"/>
        <v>Coverage38</v>
      </c>
      <c r="C48" s="1027" t="str">
        <f>IFERROR(INDEX('Disaggregation1B_Import-Export'!D$8:D$239,MATCH($B48,'Disaggregation1B_Import-Export'!$C$8:$C$239,0)),"")</f>
        <v>HIV Testing Services</v>
      </c>
      <c r="D48" s="1028" t="str">
        <f>IFERROR(INDEX('Disaggregation1B_Import-Export'!AF$8:AF$256,MATCH($B48,'Disaggregation1B_Import-Export'!$C$8:$C$256,0)),"")</f>
        <v>HTS-1: Nombre de personnes dépistées pour le VIH et ayant reçu leurs résultats durant la période de rapportage</v>
      </c>
      <c r="E48" s="1028" t="str">
        <f>IFERROR(IF(INDEX('Disaggregation1B_Import-Export'!AG$8:AG$239,MATCH($B48,'Disaggregation1B_Import-Export'!$C$8:$C$239,0))="","",INDEX('Disaggregation1B_Import-Export'!AG$8:AG$239,MATCH($B48,'Disaggregation1B_Import-Export'!$C$8:$C$239,0))),"")</f>
        <v>Homme</v>
      </c>
      <c r="F48" s="1028" t="str">
        <f>IFERROR(IF(INDEX('Disaggregation1B_Import-Export'!AH$8:AH$239,MATCH($B48,'Disaggregation1B_Import-Export'!$C$8:$C$239,0))="","",INDEX('Disaggregation1B_Import-Export'!AH$8:AH$239,MATCH($B48,'Disaggregation1B_Import-Export'!$C$8:$C$239,0))),"")</f>
        <v>Sexe</v>
      </c>
      <c r="G48" s="1107">
        <f>IFERROR(IF(INDEX('Disaggregation1B_Import-Export'!H$8:H$239,MATCH($B48,'Disaggregation1B_Import-Export'!$C$8:$C$239,0))="","",INDEX('Disaggregation1B_Import-Export'!H$8:H$239,MATCH($B48,'Disaggregation1B_Import-Export'!$C$8:$C$239,0))),"")</f>
        <v>0</v>
      </c>
      <c r="H48" s="1107">
        <f>IFERROR(IF(INDEX('Disaggregation1B_Import-Export'!I$8:I$239,MATCH($B48,'Disaggregation1B_Import-Export'!$C$8:$C$239,0))="","",INDEX('Disaggregation1B_Import-Export'!I$8:I$239,MATCH($B48,'Disaggregation1B_Import-Export'!$C$8:$C$239,0))),"")</f>
        <v>0</v>
      </c>
      <c r="I48" s="1108" t="str">
        <f>IFERROR(IF(INDEX('Disaggregation1B_Import-Export'!J$8:J$239,MATCH($B48,'Disaggregation1B_Import-Export'!$C$8:$C$239,0))="","",INDEX('Disaggregation1B_Import-Export'!J$8:J$239,MATCH($B48,'Disaggregation1B_Import-Export'!$C$8:$C$239,0))),"")</f>
        <v>0.0</v>
      </c>
      <c r="J48" s="1028" t="str">
        <f>IFERROR(IF(INDEX('Disaggregation1B_Import-Export'!K$8:K$239,MATCH($B48,'Disaggregation1B_Import-Export'!$C$8:$C$239,0))="","",INDEX('Disaggregation1B_Import-Export'!K$8:K$239,MATCH($B48,'Disaggregation1B_Import-Export'!$C$8:$C$239,0))),"")</f>
        <v/>
      </c>
      <c r="K48" s="1028" t="str">
        <f>IFERROR(IF(INDEX('Disaggregation1B_Import-Export'!L$8:L$239,MATCH($B48,'Disaggregation1B_Import-Export'!$C$8:$C$239,0))="","",INDEX('Disaggregation1B_Import-Export'!L$8:L$239,MATCH($B48,'Disaggregation1B_Import-Export'!$C$8:$C$239,0))),"")</f>
        <v/>
      </c>
      <c r="L48" s="1028" t="str">
        <f>IFERROR(IF(INDEX('Disaggregation1B_Import-Export'!AQ$8:AQ$239,MATCH($B48,'Disaggregation1B_Import-Export'!$C$8:$C$239,0))="","",INDEX('Disaggregation1B_Import-Export'!AQ$8:AQ$239,MATCH($B48,'Disaggregation1B_Import-Export'!$C$8:$C$239,0))),"")</f>
        <v>Burundi</v>
      </c>
      <c r="M48" s="1064">
        <v>286794</v>
      </c>
      <c r="N48" s="1064"/>
      <c r="O48" s="1109" t="str">
        <f t="shared" si="2"/>
        <v/>
      </c>
      <c r="P48" s="1065" t="s">
        <v>26</v>
      </c>
      <c r="Q48" s="1065" t="s">
        <v>579</v>
      </c>
      <c r="R48" s="1066"/>
      <c r="S48" s="1064"/>
      <c r="T48" s="1064"/>
      <c r="U48" s="1109" t="str">
        <f t="shared" si="3"/>
        <v/>
      </c>
      <c r="V48" s="1065"/>
      <c r="W48" s="1065"/>
      <c r="X48" s="1066"/>
      <c r="Y48" s="1110"/>
      <c r="Z48" s="1110"/>
      <c r="AA48" s="1111" t="str">
        <f t="shared" si="4"/>
        <v/>
      </c>
      <c r="AB48" s="1112"/>
      <c r="AC48" s="1113"/>
    </row>
    <row r="49" spans="1:29" ht="60" customHeight="1" x14ac:dyDescent="0.2">
      <c r="A49" s="648">
        <f t="shared" si="0"/>
        <v>39</v>
      </c>
      <c r="B49" s="648" t="str">
        <f t="shared" si="1"/>
        <v>Coverage39</v>
      </c>
      <c r="C49" s="1027" t="str">
        <f>IFERROR(INDEX('Disaggregation1B_Import-Export'!D$8:D$239,MATCH($B49,'Disaggregation1B_Import-Export'!$C$8:$C$239,0)),"")</f>
        <v>HIV Testing Services</v>
      </c>
      <c r="D49" s="1028" t="str">
        <f>IFERROR(INDEX('Disaggregation1B_Import-Export'!AF$8:AF$256,MATCH($B49,'Disaggregation1B_Import-Export'!$C$8:$C$256,0)),"")</f>
        <v>HTS-1: Nombre de personnes dépistées pour le VIH et ayant reçu leurs résultats durant la période de rapportage</v>
      </c>
      <c r="E49" s="1028" t="str">
        <f>IFERROR(IF(INDEX('Disaggregation1B_Import-Export'!AG$8:AG$239,MATCH($B49,'Disaggregation1B_Import-Export'!$C$8:$C$239,0))="","",INDEX('Disaggregation1B_Import-Export'!AG$8:AG$239,MATCH($B49,'Disaggregation1B_Import-Export'!$C$8:$C$239,0))),"")</f>
        <v>Négatif</v>
      </c>
      <c r="F49" s="1028" t="str">
        <f>IFERROR(IF(INDEX('Disaggregation1B_Import-Export'!AH$8:AH$239,MATCH($B49,'Disaggregation1B_Import-Export'!$C$8:$C$239,0))="","",INDEX('Disaggregation1B_Import-Export'!AH$8:AH$239,MATCH($B49,'Disaggregation1B_Import-Export'!$C$8:$C$239,0))),"")</f>
        <v>Résultat du test VIH</v>
      </c>
      <c r="G49" s="1107">
        <f>IFERROR(IF(INDEX('Disaggregation1B_Import-Export'!H$8:H$239,MATCH($B49,'Disaggregation1B_Import-Export'!$C$8:$C$239,0))="","",INDEX('Disaggregation1B_Import-Export'!H$8:H$239,MATCH($B49,'Disaggregation1B_Import-Export'!$C$8:$C$239,0))),"")</f>
        <v>1513254</v>
      </c>
      <c r="H49" s="1107">
        <f>IFERROR(IF(INDEX('Disaggregation1B_Import-Export'!I$8:I$239,MATCH($B49,'Disaggregation1B_Import-Export'!$C$8:$C$239,0))="","",INDEX('Disaggregation1B_Import-Export'!I$8:I$239,MATCH($B49,'Disaggregation1B_Import-Export'!$C$8:$C$239,0))),"")</f>
        <v>1528625</v>
      </c>
      <c r="I49" s="1108" t="str">
        <f>IFERROR(IF(INDEX('Disaggregation1B_Import-Export'!J$8:J$239,MATCH($B49,'Disaggregation1B_Import-Export'!$C$8:$C$239,0))="","",INDEX('Disaggregation1B_Import-Export'!J$8:J$239,MATCH($B49,'Disaggregation1B_Import-Export'!$C$8:$C$239,0))),"")</f>
        <v>1.0</v>
      </c>
      <c r="J49" s="1028" t="str">
        <f>IFERROR(IF(INDEX('Disaggregation1B_Import-Export'!K$8:K$239,MATCH($B49,'Disaggregation1B_Import-Export'!$C$8:$C$239,0))="","",INDEX('Disaggregation1B_Import-Export'!K$8:K$239,MATCH($B49,'Disaggregation1B_Import-Export'!$C$8:$C$239,0))),"")</f>
        <v>2016</v>
      </c>
      <c r="K49" s="1028" t="str">
        <f>IFERROR(IF(INDEX('Disaggregation1B_Import-Export'!L$8:L$239,MATCH($B49,'Disaggregation1B_Import-Export'!$C$8:$C$239,0))="","",INDEX('Disaggregation1B_Import-Export'!L$8:L$239,MATCH($B49,'Disaggregation1B_Import-Export'!$C$8:$C$239,0))),"")</f>
        <v>2016 Annual Report</v>
      </c>
      <c r="L49" s="1028" t="str">
        <f>IFERROR(IF(INDEX('Disaggregation1B_Import-Export'!AQ$8:AQ$239,MATCH($B49,'Disaggregation1B_Import-Export'!$C$8:$C$239,0))="","",INDEX('Disaggregation1B_Import-Export'!AQ$8:AQ$239,MATCH($B49,'Disaggregation1B_Import-Export'!$C$8:$C$239,0))),"")</f>
        <v>Burundi</v>
      </c>
      <c r="M49" s="1064">
        <v>1000834</v>
      </c>
      <c r="N49" s="1064"/>
      <c r="O49" s="1109" t="str">
        <f t="shared" si="2"/>
        <v/>
      </c>
      <c r="P49" s="1065" t="s">
        <v>26</v>
      </c>
      <c r="Q49" s="1065" t="s">
        <v>580</v>
      </c>
      <c r="R49" s="1066"/>
      <c r="S49" s="1064"/>
      <c r="T49" s="1064"/>
      <c r="U49" s="1109" t="str">
        <f t="shared" si="3"/>
        <v/>
      </c>
      <c r="V49" s="1065"/>
      <c r="W49" s="1065"/>
      <c r="X49" s="1066"/>
      <c r="Y49" s="1110"/>
      <c r="Z49" s="1110"/>
      <c r="AA49" s="1111" t="str">
        <f t="shared" si="4"/>
        <v/>
      </c>
      <c r="AB49" s="1112"/>
      <c r="AC49" s="1113"/>
    </row>
    <row r="50" spans="1:29" ht="60" customHeight="1" x14ac:dyDescent="0.2">
      <c r="A50" s="648">
        <f t="shared" si="0"/>
        <v>40</v>
      </c>
      <c r="B50" s="648" t="str">
        <f t="shared" ref="B50:B113" si="5">"Coverage"&amp;A50</f>
        <v>Coverage40</v>
      </c>
      <c r="C50" s="1027" t="str">
        <f>IFERROR(INDEX('Disaggregation1B_Import-Export'!D$8:D$239,MATCH($B50,'Disaggregation1B_Import-Export'!$C$8:$C$239,0)),"")</f>
        <v/>
      </c>
      <c r="D50" s="1028" t="str">
        <f>IFERROR(INDEX('Disaggregation1B_Import-Export'!AF$8:AF$256,MATCH($B50,'Disaggregation1B_Import-Export'!$C$8:$C$256,0)),"")</f>
        <v/>
      </c>
      <c r="E50" s="1028" t="str">
        <f>IFERROR(IF(INDEX('Disaggregation1B_Import-Export'!AG$8:AG$239,MATCH($B50,'Disaggregation1B_Import-Export'!$C$8:$C$239,0))="","",INDEX('Disaggregation1B_Import-Export'!AG$8:AG$239,MATCH($B50,'Disaggregation1B_Import-Export'!$C$8:$C$239,0))),"")</f>
        <v/>
      </c>
      <c r="F50" s="1028" t="str">
        <f>IFERROR(IF(INDEX('Disaggregation1B_Import-Export'!AH$8:AH$239,MATCH($B50,'Disaggregation1B_Import-Export'!$C$8:$C$239,0))="","",INDEX('Disaggregation1B_Import-Export'!AH$8:AH$239,MATCH($B50,'Disaggregation1B_Import-Export'!$C$8:$C$239,0))),"")</f>
        <v/>
      </c>
      <c r="G50" s="1107" t="str">
        <f>IFERROR(IF(INDEX('Disaggregation1B_Import-Export'!H$8:H$239,MATCH($B50,'Disaggregation1B_Import-Export'!$C$8:$C$239,0))="","",INDEX('Disaggregation1B_Import-Export'!H$8:H$239,MATCH($B50,'Disaggregation1B_Import-Export'!$C$8:$C$239,0))),"")</f>
        <v/>
      </c>
      <c r="H50" s="1107" t="str">
        <f>IFERROR(IF(INDEX('Disaggregation1B_Import-Export'!I$8:I$239,MATCH($B50,'Disaggregation1B_Import-Export'!$C$8:$C$239,0))="","",INDEX('Disaggregation1B_Import-Export'!I$8:I$239,MATCH($B50,'Disaggregation1B_Import-Export'!$C$8:$C$239,0))),"")</f>
        <v/>
      </c>
      <c r="I50" s="1108" t="str">
        <f>IFERROR(IF(INDEX('Disaggregation1B_Import-Export'!J$8:J$239,MATCH($B50,'Disaggregation1B_Import-Export'!$C$8:$C$239,0))="","",INDEX('Disaggregation1B_Import-Export'!J$8:J$239,MATCH($B50,'Disaggregation1B_Import-Export'!$C$8:$C$239,0))),"")</f>
        <v/>
      </c>
      <c r="J50" s="1028" t="str">
        <f>IFERROR(IF(INDEX('Disaggregation1B_Import-Export'!K$8:K$239,MATCH($B50,'Disaggregation1B_Import-Export'!$C$8:$C$239,0))="","",INDEX('Disaggregation1B_Import-Export'!K$8:K$239,MATCH($B50,'Disaggregation1B_Import-Export'!$C$8:$C$239,0))),"")</f>
        <v/>
      </c>
      <c r="K50" s="1028" t="str">
        <f>IFERROR(IF(INDEX('Disaggregation1B_Import-Export'!L$8:L$239,MATCH($B50,'Disaggregation1B_Import-Export'!$C$8:$C$239,0))="","",INDEX('Disaggregation1B_Import-Export'!L$8:L$239,MATCH($B50,'Disaggregation1B_Import-Export'!$C$8:$C$239,0))),"")</f>
        <v/>
      </c>
      <c r="L50" s="1028" t="str">
        <f>IFERROR(IF(INDEX('Disaggregation1B_Import-Export'!AQ$8:AQ$239,MATCH($B50,'Disaggregation1B_Import-Export'!$C$8:$C$239,0))="","",INDEX('Disaggregation1B_Import-Export'!AQ$8:AQ$239,MATCH($B50,'Disaggregation1B_Import-Export'!$C$8:$C$239,0))),"")</f>
        <v/>
      </c>
      <c r="M50" s="1064"/>
      <c r="N50" s="1064"/>
      <c r="O50" s="1109" t="str">
        <f t="shared" ref="O50:O113" si="6">IFERROR((M50/N50)*100,"")</f>
        <v/>
      </c>
      <c r="P50" s="1065"/>
      <c r="Q50" s="1065"/>
      <c r="R50" s="1066"/>
      <c r="S50" s="1064"/>
      <c r="T50" s="1064"/>
      <c r="U50" s="1109" t="str">
        <f t="shared" ref="U50:U113" si="7">IFERROR((S50/T50)*100,"")</f>
        <v/>
      </c>
      <c r="V50" s="1065"/>
      <c r="W50" s="1065"/>
      <c r="X50" s="1066"/>
      <c r="Y50" s="1110"/>
      <c r="Z50" s="1110"/>
      <c r="AA50" s="1111" t="str">
        <f t="shared" ref="AA50:AA113" si="8">IFERROR(Y50/Z50,"")</f>
        <v/>
      </c>
      <c r="AB50" s="1112"/>
      <c r="AC50" s="1113"/>
    </row>
    <row r="51" spans="1:29" ht="60" customHeight="1" x14ac:dyDescent="0.2">
      <c r="A51" s="648">
        <f t="shared" si="0"/>
        <v>41</v>
      </c>
      <c r="B51" s="648" t="str">
        <f t="shared" si="5"/>
        <v>Coverage41</v>
      </c>
      <c r="C51" s="1027" t="str">
        <f>IFERROR(INDEX('Disaggregation1B_Import-Export'!D$8:D$239,MATCH($B51,'Disaggregation1B_Import-Export'!$C$8:$C$239,0)),"")</f>
        <v/>
      </c>
      <c r="D51" s="1028" t="str">
        <f>IFERROR(INDEX('Disaggregation1B_Import-Export'!AF$8:AF$256,MATCH($B51,'Disaggregation1B_Import-Export'!$C$8:$C$256,0)),"")</f>
        <v/>
      </c>
      <c r="E51" s="1028" t="str">
        <f>IFERROR(IF(INDEX('Disaggregation1B_Import-Export'!AG$8:AG$239,MATCH($B51,'Disaggregation1B_Import-Export'!$C$8:$C$239,0))="","",INDEX('Disaggregation1B_Import-Export'!AG$8:AG$239,MATCH($B51,'Disaggregation1B_Import-Export'!$C$8:$C$239,0))),"")</f>
        <v/>
      </c>
      <c r="F51" s="1028" t="str">
        <f>IFERROR(IF(INDEX('Disaggregation1B_Import-Export'!AH$8:AH$239,MATCH($B51,'Disaggregation1B_Import-Export'!$C$8:$C$239,0))="","",INDEX('Disaggregation1B_Import-Export'!AH$8:AH$239,MATCH($B51,'Disaggregation1B_Import-Export'!$C$8:$C$239,0))),"")</f>
        <v/>
      </c>
      <c r="G51" s="1107" t="str">
        <f>IFERROR(IF(INDEX('Disaggregation1B_Import-Export'!H$8:H$239,MATCH($B51,'Disaggregation1B_Import-Export'!$C$8:$C$239,0))="","",INDEX('Disaggregation1B_Import-Export'!H$8:H$239,MATCH($B51,'Disaggregation1B_Import-Export'!$C$8:$C$239,0))),"")</f>
        <v/>
      </c>
      <c r="H51" s="1107" t="str">
        <f>IFERROR(IF(INDEX('Disaggregation1B_Import-Export'!I$8:I$239,MATCH($B51,'Disaggregation1B_Import-Export'!$C$8:$C$239,0))="","",INDEX('Disaggregation1B_Import-Export'!I$8:I$239,MATCH($B51,'Disaggregation1B_Import-Export'!$C$8:$C$239,0))),"")</f>
        <v/>
      </c>
      <c r="I51" s="1108" t="str">
        <f>IFERROR(IF(INDEX('Disaggregation1B_Import-Export'!J$8:J$239,MATCH($B51,'Disaggregation1B_Import-Export'!$C$8:$C$239,0))="","",INDEX('Disaggregation1B_Import-Export'!J$8:J$239,MATCH($B51,'Disaggregation1B_Import-Export'!$C$8:$C$239,0))),"")</f>
        <v/>
      </c>
      <c r="J51" s="1028" t="str">
        <f>IFERROR(IF(INDEX('Disaggregation1B_Import-Export'!K$8:K$239,MATCH($B51,'Disaggregation1B_Import-Export'!$C$8:$C$239,0))="","",INDEX('Disaggregation1B_Import-Export'!K$8:K$239,MATCH($B51,'Disaggregation1B_Import-Export'!$C$8:$C$239,0))),"")</f>
        <v/>
      </c>
      <c r="K51" s="1028" t="str">
        <f>IFERROR(IF(INDEX('Disaggregation1B_Import-Export'!L$8:L$239,MATCH($B51,'Disaggregation1B_Import-Export'!$C$8:$C$239,0))="","",INDEX('Disaggregation1B_Import-Export'!L$8:L$239,MATCH($B51,'Disaggregation1B_Import-Export'!$C$8:$C$239,0))),"")</f>
        <v/>
      </c>
      <c r="L51" s="1028" t="str">
        <f>IFERROR(IF(INDEX('Disaggregation1B_Import-Export'!AQ$8:AQ$239,MATCH($B51,'Disaggregation1B_Import-Export'!$C$8:$C$239,0))="","",INDEX('Disaggregation1B_Import-Export'!AQ$8:AQ$239,MATCH($B51,'Disaggregation1B_Import-Export'!$C$8:$C$239,0))),"")</f>
        <v/>
      </c>
      <c r="M51" s="1064"/>
      <c r="N51" s="1064"/>
      <c r="O51" s="1109" t="str">
        <f t="shared" si="6"/>
        <v/>
      </c>
      <c r="P51" s="1065"/>
      <c r="Q51" s="1065"/>
      <c r="R51" s="1066"/>
      <c r="S51" s="1064"/>
      <c r="T51" s="1064"/>
      <c r="U51" s="1109" t="str">
        <f t="shared" si="7"/>
        <v/>
      </c>
      <c r="V51" s="1065"/>
      <c r="W51" s="1065"/>
      <c r="X51" s="1066"/>
      <c r="Y51" s="1110"/>
      <c r="Z51" s="1110"/>
      <c r="AA51" s="1111" t="str">
        <f t="shared" si="8"/>
        <v/>
      </c>
      <c r="AB51" s="1112"/>
      <c r="AC51" s="1113"/>
    </row>
    <row r="52" spans="1:29" x14ac:dyDescent="0.2">
      <c r="A52" s="648">
        <f t="shared" si="0"/>
        <v>42</v>
      </c>
      <c r="B52" s="648" t="str">
        <f t="shared" si="5"/>
        <v>Coverage42</v>
      </c>
      <c r="C52" s="1027" t="str">
        <f>IFERROR(INDEX('Disaggregation1B_Import-Export'!D$8:D$239,MATCH($B52,'Disaggregation1B_Import-Export'!$C$8:$C$239,0)),"")</f>
        <v/>
      </c>
      <c r="D52" s="1028" t="str">
        <f>IFERROR(INDEX('Disaggregation1B_Import-Export'!AF$8:AF$256,MATCH($B52,'Disaggregation1B_Import-Export'!$C$8:$C$256,0)),"")</f>
        <v/>
      </c>
      <c r="E52" s="1028" t="str">
        <f>IFERROR(IF(INDEX('Disaggregation1B_Import-Export'!AG$8:AG$239,MATCH($B52,'Disaggregation1B_Import-Export'!$C$8:$C$239,0))="","",INDEX('Disaggregation1B_Import-Export'!AG$8:AG$239,MATCH($B52,'Disaggregation1B_Import-Export'!$C$8:$C$239,0))),"")</f>
        <v/>
      </c>
      <c r="F52" s="1028" t="str">
        <f>IFERROR(IF(INDEX('Disaggregation1B_Import-Export'!AH$8:AH$239,MATCH($B52,'Disaggregation1B_Import-Export'!$C$8:$C$239,0))="","",INDEX('Disaggregation1B_Import-Export'!AH$8:AH$239,MATCH($B52,'Disaggregation1B_Import-Export'!$C$8:$C$239,0))),"")</f>
        <v/>
      </c>
      <c r="G52" s="1107" t="str">
        <f>IFERROR(IF(INDEX('Disaggregation1B_Import-Export'!H$8:H$239,MATCH($B52,'Disaggregation1B_Import-Export'!$C$8:$C$239,0))="","",INDEX('Disaggregation1B_Import-Export'!H$8:H$239,MATCH($B52,'Disaggregation1B_Import-Export'!$C$8:$C$239,0))),"")</f>
        <v/>
      </c>
      <c r="H52" s="1107" t="str">
        <f>IFERROR(IF(INDEX('Disaggregation1B_Import-Export'!I$8:I$239,MATCH($B52,'Disaggregation1B_Import-Export'!$C$8:$C$239,0))="","",INDEX('Disaggregation1B_Import-Export'!I$8:I$239,MATCH($B52,'Disaggregation1B_Import-Export'!$C$8:$C$239,0))),"")</f>
        <v/>
      </c>
      <c r="I52" s="1108" t="str">
        <f>IFERROR(IF(INDEX('Disaggregation1B_Import-Export'!J$8:J$239,MATCH($B52,'Disaggregation1B_Import-Export'!$C$8:$C$239,0))="","",INDEX('Disaggregation1B_Import-Export'!J$8:J$239,MATCH($B52,'Disaggregation1B_Import-Export'!$C$8:$C$239,0))),"")</f>
        <v/>
      </c>
      <c r="J52" s="1028" t="str">
        <f>IFERROR(IF(INDEX('Disaggregation1B_Import-Export'!K$8:K$239,MATCH($B52,'Disaggregation1B_Import-Export'!$C$8:$C$239,0))="","",INDEX('Disaggregation1B_Import-Export'!K$8:K$239,MATCH($B52,'Disaggregation1B_Import-Export'!$C$8:$C$239,0))),"")</f>
        <v/>
      </c>
      <c r="K52" s="1028" t="str">
        <f>IFERROR(IF(INDEX('Disaggregation1B_Import-Export'!L$8:L$239,MATCH($B52,'Disaggregation1B_Import-Export'!$C$8:$C$239,0))="","",INDEX('Disaggregation1B_Import-Export'!L$8:L$239,MATCH($B52,'Disaggregation1B_Import-Export'!$C$8:$C$239,0))),"")</f>
        <v/>
      </c>
      <c r="L52" s="1028" t="str">
        <f>IFERROR(IF(INDEX('Disaggregation1B_Import-Export'!AQ$8:AQ$239,MATCH($B52,'Disaggregation1B_Import-Export'!$C$8:$C$239,0))="","",INDEX('Disaggregation1B_Import-Export'!AQ$8:AQ$239,MATCH($B52,'Disaggregation1B_Import-Export'!$C$8:$C$239,0))),"")</f>
        <v/>
      </c>
      <c r="M52" s="1064"/>
      <c r="N52" s="1064"/>
      <c r="O52" s="1109" t="str">
        <f t="shared" si="6"/>
        <v/>
      </c>
      <c r="P52" s="1065"/>
      <c r="Q52" s="1065"/>
      <c r="R52" s="1066"/>
      <c r="S52" s="1064"/>
      <c r="T52" s="1064"/>
      <c r="U52" s="1109" t="str">
        <f t="shared" si="7"/>
        <v/>
      </c>
      <c r="V52" s="1065"/>
      <c r="W52" s="1065"/>
      <c r="X52" s="1066"/>
      <c r="Y52" s="1110"/>
      <c r="Z52" s="1110"/>
      <c r="AA52" s="1111" t="str">
        <f t="shared" si="8"/>
        <v/>
      </c>
      <c r="AB52" s="1112"/>
      <c r="AC52" s="1113"/>
    </row>
    <row r="53" spans="1:29" x14ac:dyDescent="0.2">
      <c r="A53" s="648">
        <f t="shared" si="0"/>
        <v>43</v>
      </c>
      <c r="B53" s="648" t="str">
        <f t="shared" si="5"/>
        <v>Coverage43</v>
      </c>
      <c r="C53" s="1027" t="str">
        <f>IFERROR(INDEX('Disaggregation1B_Import-Export'!D$8:D$239,MATCH($B53,'Disaggregation1B_Import-Export'!$C$8:$C$239,0)),"")</f>
        <v/>
      </c>
      <c r="D53" s="1028" t="str">
        <f>IFERROR(INDEX('Disaggregation1B_Import-Export'!AF$8:AF$256,MATCH($B53,'Disaggregation1B_Import-Export'!$C$8:$C$256,0)),"")</f>
        <v/>
      </c>
      <c r="E53" s="1028" t="str">
        <f>IFERROR(IF(INDEX('Disaggregation1B_Import-Export'!AG$8:AG$239,MATCH($B53,'Disaggregation1B_Import-Export'!$C$8:$C$239,0))="","",INDEX('Disaggregation1B_Import-Export'!AG$8:AG$239,MATCH($B53,'Disaggregation1B_Import-Export'!$C$8:$C$239,0))),"")</f>
        <v/>
      </c>
      <c r="F53" s="1028" t="str">
        <f>IFERROR(IF(INDEX('Disaggregation1B_Import-Export'!AH$8:AH$239,MATCH($B53,'Disaggregation1B_Import-Export'!$C$8:$C$239,0))="","",INDEX('Disaggregation1B_Import-Export'!AH$8:AH$239,MATCH($B53,'Disaggregation1B_Import-Export'!$C$8:$C$239,0))),"")</f>
        <v/>
      </c>
      <c r="G53" s="1107" t="str">
        <f>IFERROR(IF(INDEX('Disaggregation1B_Import-Export'!H$8:H$239,MATCH($B53,'Disaggregation1B_Import-Export'!$C$8:$C$239,0))="","",INDEX('Disaggregation1B_Import-Export'!H$8:H$239,MATCH($B53,'Disaggregation1B_Import-Export'!$C$8:$C$239,0))),"")</f>
        <v/>
      </c>
      <c r="H53" s="1107" t="str">
        <f>IFERROR(IF(INDEX('Disaggregation1B_Import-Export'!I$8:I$239,MATCH($B53,'Disaggregation1B_Import-Export'!$C$8:$C$239,0))="","",INDEX('Disaggregation1B_Import-Export'!I$8:I$239,MATCH($B53,'Disaggregation1B_Import-Export'!$C$8:$C$239,0))),"")</f>
        <v/>
      </c>
      <c r="I53" s="1108" t="str">
        <f>IFERROR(IF(INDEX('Disaggregation1B_Import-Export'!J$8:J$239,MATCH($B53,'Disaggregation1B_Import-Export'!$C$8:$C$239,0))="","",INDEX('Disaggregation1B_Import-Export'!J$8:J$239,MATCH($B53,'Disaggregation1B_Import-Export'!$C$8:$C$239,0))),"")</f>
        <v/>
      </c>
      <c r="J53" s="1028" t="str">
        <f>IFERROR(IF(INDEX('Disaggregation1B_Import-Export'!K$8:K$239,MATCH($B53,'Disaggregation1B_Import-Export'!$C$8:$C$239,0))="","",INDEX('Disaggregation1B_Import-Export'!K$8:K$239,MATCH($B53,'Disaggregation1B_Import-Export'!$C$8:$C$239,0))),"")</f>
        <v/>
      </c>
      <c r="K53" s="1028" t="str">
        <f>IFERROR(IF(INDEX('Disaggregation1B_Import-Export'!L$8:L$239,MATCH($B53,'Disaggregation1B_Import-Export'!$C$8:$C$239,0))="","",INDEX('Disaggregation1B_Import-Export'!L$8:L$239,MATCH($B53,'Disaggregation1B_Import-Export'!$C$8:$C$239,0))),"")</f>
        <v/>
      </c>
      <c r="L53" s="1028" t="str">
        <f>IFERROR(IF(INDEX('Disaggregation1B_Import-Export'!AQ$8:AQ$239,MATCH($B53,'Disaggregation1B_Import-Export'!$C$8:$C$239,0))="","",INDEX('Disaggregation1B_Import-Export'!AQ$8:AQ$239,MATCH($B53,'Disaggregation1B_Import-Export'!$C$8:$C$239,0))),"")</f>
        <v/>
      </c>
      <c r="M53" s="1064"/>
      <c r="N53" s="1064"/>
      <c r="O53" s="1109" t="str">
        <f t="shared" si="6"/>
        <v/>
      </c>
      <c r="P53" s="1065"/>
      <c r="Q53" s="1065"/>
      <c r="R53" s="1066"/>
      <c r="S53" s="1064"/>
      <c r="T53" s="1064"/>
      <c r="U53" s="1109" t="str">
        <f t="shared" si="7"/>
        <v/>
      </c>
      <c r="V53" s="1065"/>
      <c r="W53" s="1065"/>
      <c r="X53" s="1066"/>
      <c r="Y53" s="1110"/>
      <c r="Z53" s="1110"/>
      <c r="AA53" s="1111" t="str">
        <f t="shared" si="8"/>
        <v/>
      </c>
      <c r="AB53" s="1112"/>
      <c r="AC53" s="1113"/>
    </row>
    <row r="54" spans="1:29" x14ac:dyDescent="0.2">
      <c r="A54" s="648">
        <f t="shared" si="0"/>
        <v>44</v>
      </c>
      <c r="B54" s="648" t="str">
        <f t="shared" si="5"/>
        <v>Coverage44</v>
      </c>
      <c r="C54" s="1027" t="str">
        <f>IFERROR(INDEX('Disaggregation1B_Import-Export'!D$8:D$239,MATCH($B54,'Disaggregation1B_Import-Export'!$C$8:$C$239,0)),"")</f>
        <v/>
      </c>
      <c r="D54" s="1028" t="str">
        <f>IFERROR(INDEX('Disaggregation1B_Import-Export'!AF$8:AF$256,MATCH($B54,'Disaggregation1B_Import-Export'!$C$8:$C$256,0)),"")</f>
        <v/>
      </c>
      <c r="E54" s="1028" t="str">
        <f>IFERROR(IF(INDEX('Disaggregation1B_Import-Export'!AG$8:AG$239,MATCH($B54,'Disaggregation1B_Import-Export'!$C$8:$C$239,0))="","",INDEX('Disaggregation1B_Import-Export'!AG$8:AG$239,MATCH($B54,'Disaggregation1B_Import-Export'!$C$8:$C$239,0))),"")</f>
        <v/>
      </c>
      <c r="F54" s="1028" t="str">
        <f>IFERROR(IF(INDEX('Disaggregation1B_Import-Export'!AH$8:AH$239,MATCH($B54,'Disaggregation1B_Import-Export'!$C$8:$C$239,0))="","",INDEX('Disaggregation1B_Import-Export'!AH$8:AH$239,MATCH($B54,'Disaggregation1B_Import-Export'!$C$8:$C$239,0))),"")</f>
        <v/>
      </c>
      <c r="G54" s="1107" t="str">
        <f>IFERROR(IF(INDEX('Disaggregation1B_Import-Export'!H$8:H$239,MATCH($B54,'Disaggregation1B_Import-Export'!$C$8:$C$239,0))="","",INDEX('Disaggregation1B_Import-Export'!H$8:H$239,MATCH($B54,'Disaggregation1B_Import-Export'!$C$8:$C$239,0))),"")</f>
        <v/>
      </c>
      <c r="H54" s="1107" t="str">
        <f>IFERROR(IF(INDEX('Disaggregation1B_Import-Export'!I$8:I$239,MATCH($B54,'Disaggregation1B_Import-Export'!$C$8:$C$239,0))="","",INDEX('Disaggregation1B_Import-Export'!I$8:I$239,MATCH($B54,'Disaggregation1B_Import-Export'!$C$8:$C$239,0))),"")</f>
        <v/>
      </c>
      <c r="I54" s="1108" t="str">
        <f>IFERROR(IF(INDEX('Disaggregation1B_Import-Export'!J$8:J$239,MATCH($B54,'Disaggregation1B_Import-Export'!$C$8:$C$239,0))="","",INDEX('Disaggregation1B_Import-Export'!J$8:J$239,MATCH($B54,'Disaggregation1B_Import-Export'!$C$8:$C$239,0))),"")</f>
        <v/>
      </c>
      <c r="J54" s="1028" t="str">
        <f>IFERROR(IF(INDEX('Disaggregation1B_Import-Export'!K$8:K$239,MATCH($B54,'Disaggregation1B_Import-Export'!$C$8:$C$239,0))="","",INDEX('Disaggregation1B_Import-Export'!K$8:K$239,MATCH($B54,'Disaggregation1B_Import-Export'!$C$8:$C$239,0))),"")</f>
        <v/>
      </c>
      <c r="K54" s="1028" t="str">
        <f>IFERROR(IF(INDEX('Disaggregation1B_Import-Export'!L$8:L$239,MATCH($B54,'Disaggregation1B_Import-Export'!$C$8:$C$239,0))="","",INDEX('Disaggregation1B_Import-Export'!L$8:L$239,MATCH($B54,'Disaggregation1B_Import-Export'!$C$8:$C$239,0))),"")</f>
        <v/>
      </c>
      <c r="L54" s="1028" t="str">
        <f>IFERROR(IF(INDEX('Disaggregation1B_Import-Export'!AQ$8:AQ$239,MATCH($B54,'Disaggregation1B_Import-Export'!$C$8:$C$239,0))="","",INDEX('Disaggregation1B_Import-Export'!AQ$8:AQ$239,MATCH($B54,'Disaggregation1B_Import-Export'!$C$8:$C$239,0))),"")</f>
        <v/>
      </c>
      <c r="M54" s="1064"/>
      <c r="N54" s="1064"/>
      <c r="O54" s="1109" t="str">
        <f t="shared" si="6"/>
        <v/>
      </c>
      <c r="P54" s="1065"/>
      <c r="Q54" s="1065"/>
      <c r="R54" s="1066"/>
      <c r="S54" s="1064"/>
      <c r="T54" s="1064"/>
      <c r="U54" s="1109" t="str">
        <f t="shared" si="7"/>
        <v/>
      </c>
      <c r="V54" s="1065"/>
      <c r="W54" s="1065"/>
      <c r="X54" s="1066"/>
      <c r="Y54" s="1110"/>
      <c r="Z54" s="1110"/>
      <c r="AA54" s="1111" t="str">
        <f t="shared" si="8"/>
        <v/>
      </c>
      <c r="AB54" s="1112"/>
      <c r="AC54" s="1113"/>
    </row>
    <row r="55" spans="1:29" x14ac:dyDescent="0.2">
      <c r="A55" s="648">
        <f t="shared" si="0"/>
        <v>45</v>
      </c>
      <c r="B55" s="648" t="str">
        <f t="shared" si="5"/>
        <v>Coverage45</v>
      </c>
      <c r="C55" s="1027" t="str">
        <f>IFERROR(INDEX('Disaggregation1B_Import-Export'!D$8:D$239,MATCH($B55,'Disaggregation1B_Import-Export'!$C$8:$C$239,0)),"")</f>
        <v/>
      </c>
      <c r="D55" s="1028" t="str">
        <f>IFERROR(INDEX('Disaggregation1B_Import-Export'!AF$8:AF$256,MATCH($B55,'Disaggregation1B_Import-Export'!$C$8:$C$256,0)),"")</f>
        <v/>
      </c>
      <c r="E55" s="1028" t="str">
        <f>IFERROR(IF(INDEX('Disaggregation1B_Import-Export'!AG$8:AG$239,MATCH($B55,'Disaggregation1B_Import-Export'!$C$8:$C$239,0))="","",INDEX('Disaggregation1B_Import-Export'!AG$8:AG$239,MATCH($B55,'Disaggregation1B_Import-Export'!$C$8:$C$239,0))),"")</f>
        <v/>
      </c>
      <c r="F55" s="1028" t="str">
        <f>IFERROR(IF(INDEX('Disaggregation1B_Import-Export'!AH$8:AH$239,MATCH($B55,'Disaggregation1B_Import-Export'!$C$8:$C$239,0))="","",INDEX('Disaggregation1B_Import-Export'!AH$8:AH$239,MATCH($B55,'Disaggregation1B_Import-Export'!$C$8:$C$239,0))),"")</f>
        <v/>
      </c>
      <c r="G55" s="1107" t="str">
        <f>IFERROR(IF(INDEX('Disaggregation1B_Import-Export'!H$8:H$239,MATCH($B55,'Disaggregation1B_Import-Export'!$C$8:$C$239,0))="","",INDEX('Disaggregation1B_Import-Export'!H$8:H$239,MATCH($B55,'Disaggregation1B_Import-Export'!$C$8:$C$239,0))),"")</f>
        <v/>
      </c>
      <c r="H55" s="1107" t="str">
        <f>IFERROR(IF(INDEX('Disaggregation1B_Import-Export'!I$8:I$239,MATCH($B55,'Disaggregation1B_Import-Export'!$C$8:$C$239,0))="","",INDEX('Disaggregation1B_Import-Export'!I$8:I$239,MATCH($B55,'Disaggregation1B_Import-Export'!$C$8:$C$239,0))),"")</f>
        <v/>
      </c>
      <c r="I55" s="1108" t="str">
        <f>IFERROR(IF(INDEX('Disaggregation1B_Import-Export'!J$8:J$239,MATCH($B55,'Disaggregation1B_Import-Export'!$C$8:$C$239,0))="","",INDEX('Disaggregation1B_Import-Export'!J$8:J$239,MATCH($B55,'Disaggregation1B_Import-Export'!$C$8:$C$239,0))),"")</f>
        <v/>
      </c>
      <c r="J55" s="1028" t="str">
        <f>IFERROR(IF(INDEX('Disaggregation1B_Import-Export'!K$8:K$239,MATCH($B55,'Disaggregation1B_Import-Export'!$C$8:$C$239,0))="","",INDEX('Disaggregation1B_Import-Export'!K$8:K$239,MATCH($B55,'Disaggregation1B_Import-Export'!$C$8:$C$239,0))),"")</f>
        <v/>
      </c>
      <c r="K55" s="1028" t="str">
        <f>IFERROR(IF(INDEX('Disaggregation1B_Import-Export'!L$8:L$239,MATCH($B55,'Disaggregation1B_Import-Export'!$C$8:$C$239,0))="","",INDEX('Disaggregation1B_Import-Export'!L$8:L$239,MATCH($B55,'Disaggregation1B_Import-Export'!$C$8:$C$239,0))),"")</f>
        <v/>
      </c>
      <c r="L55" s="1028" t="str">
        <f>IFERROR(IF(INDEX('Disaggregation1B_Import-Export'!AQ$8:AQ$239,MATCH($B55,'Disaggregation1B_Import-Export'!$C$8:$C$239,0))="","",INDEX('Disaggregation1B_Import-Export'!AQ$8:AQ$239,MATCH($B55,'Disaggregation1B_Import-Export'!$C$8:$C$239,0))),"")</f>
        <v/>
      </c>
      <c r="M55" s="1064"/>
      <c r="N55" s="1064"/>
      <c r="O55" s="1109" t="str">
        <f t="shared" si="6"/>
        <v/>
      </c>
      <c r="P55" s="1065"/>
      <c r="Q55" s="1065"/>
      <c r="R55" s="1066"/>
      <c r="S55" s="1064"/>
      <c r="T55" s="1064"/>
      <c r="U55" s="1109" t="str">
        <f t="shared" si="7"/>
        <v/>
      </c>
      <c r="V55" s="1065"/>
      <c r="W55" s="1065"/>
      <c r="X55" s="1066"/>
      <c r="Y55" s="1110"/>
      <c r="Z55" s="1110"/>
      <c r="AA55" s="1111" t="str">
        <f t="shared" si="8"/>
        <v/>
      </c>
      <c r="AB55" s="1112"/>
      <c r="AC55" s="1113"/>
    </row>
    <row r="56" spans="1:29" x14ac:dyDescent="0.2">
      <c r="A56" s="648">
        <f t="shared" si="0"/>
        <v>46</v>
      </c>
      <c r="B56" s="648" t="str">
        <f t="shared" si="5"/>
        <v>Coverage46</v>
      </c>
      <c r="C56" s="1027" t="str">
        <f>IFERROR(INDEX('Disaggregation1B_Import-Export'!D$8:D$239,MATCH($B56,'Disaggregation1B_Import-Export'!$C$8:$C$239,0)),"")</f>
        <v/>
      </c>
      <c r="D56" s="1028" t="str">
        <f>IFERROR(INDEX('Disaggregation1B_Import-Export'!AF$8:AF$256,MATCH($B56,'Disaggregation1B_Import-Export'!$C$8:$C$256,0)),"")</f>
        <v/>
      </c>
      <c r="E56" s="1028" t="str">
        <f>IFERROR(IF(INDEX('Disaggregation1B_Import-Export'!AG$8:AG$239,MATCH($B56,'Disaggregation1B_Import-Export'!$C$8:$C$239,0))="","",INDEX('Disaggregation1B_Import-Export'!AG$8:AG$239,MATCH($B56,'Disaggregation1B_Import-Export'!$C$8:$C$239,0))),"")</f>
        <v/>
      </c>
      <c r="F56" s="1028" t="str">
        <f>IFERROR(IF(INDEX('Disaggregation1B_Import-Export'!AH$8:AH$239,MATCH($B56,'Disaggregation1B_Import-Export'!$C$8:$C$239,0))="","",INDEX('Disaggregation1B_Import-Export'!AH$8:AH$239,MATCH($B56,'Disaggregation1B_Import-Export'!$C$8:$C$239,0))),"")</f>
        <v/>
      </c>
      <c r="G56" s="1107" t="str">
        <f>IFERROR(IF(INDEX('Disaggregation1B_Import-Export'!H$8:H$239,MATCH($B56,'Disaggregation1B_Import-Export'!$C$8:$C$239,0))="","",INDEX('Disaggregation1B_Import-Export'!H$8:H$239,MATCH($B56,'Disaggregation1B_Import-Export'!$C$8:$C$239,0))),"")</f>
        <v/>
      </c>
      <c r="H56" s="1107" t="str">
        <f>IFERROR(IF(INDEX('Disaggregation1B_Import-Export'!I$8:I$239,MATCH($B56,'Disaggregation1B_Import-Export'!$C$8:$C$239,0))="","",INDEX('Disaggregation1B_Import-Export'!I$8:I$239,MATCH($B56,'Disaggregation1B_Import-Export'!$C$8:$C$239,0))),"")</f>
        <v/>
      </c>
      <c r="I56" s="1108" t="str">
        <f>IFERROR(IF(INDEX('Disaggregation1B_Import-Export'!J$8:J$239,MATCH($B56,'Disaggregation1B_Import-Export'!$C$8:$C$239,0))="","",INDEX('Disaggregation1B_Import-Export'!J$8:J$239,MATCH($B56,'Disaggregation1B_Import-Export'!$C$8:$C$239,0))),"")</f>
        <v/>
      </c>
      <c r="J56" s="1028" t="str">
        <f>IFERROR(IF(INDEX('Disaggregation1B_Import-Export'!K$8:K$239,MATCH($B56,'Disaggregation1B_Import-Export'!$C$8:$C$239,0))="","",INDEX('Disaggregation1B_Import-Export'!K$8:K$239,MATCH($B56,'Disaggregation1B_Import-Export'!$C$8:$C$239,0))),"")</f>
        <v/>
      </c>
      <c r="K56" s="1028" t="str">
        <f>IFERROR(IF(INDEX('Disaggregation1B_Import-Export'!L$8:L$239,MATCH($B56,'Disaggregation1B_Import-Export'!$C$8:$C$239,0))="","",INDEX('Disaggregation1B_Import-Export'!L$8:L$239,MATCH($B56,'Disaggregation1B_Import-Export'!$C$8:$C$239,0))),"")</f>
        <v/>
      </c>
      <c r="L56" s="1028" t="str">
        <f>IFERROR(IF(INDEX('Disaggregation1B_Import-Export'!AQ$8:AQ$239,MATCH($B56,'Disaggregation1B_Import-Export'!$C$8:$C$239,0))="","",INDEX('Disaggregation1B_Import-Export'!AQ$8:AQ$239,MATCH($B56,'Disaggregation1B_Import-Export'!$C$8:$C$239,0))),"")</f>
        <v/>
      </c>
      <c r="M56" s="1064"/>
      <c r="N56" s="1064"/>
      <c r="O56" s="1109" t="str">
        <f t="shared" si="6"/>
        <v/>
      </c>
      <c r="P56" s="1065"/>
      <c r="Q56" s="1065"/>
      <c r="R56" s="1066"/>
      <c r="S56" s="1064"/>
      <c r="T56" s="1064"/>
      <c r="U56" s="1109" t="str">
        <f t="shared" si="7"/>
        <v/>
      </c>
      <c r="V56" s="1065"/>
      <c r="W56" s="1065"/>
      <c r="X56" s="1066"/>
      <c r="Y56" s="1110"/>
      <c r="Z56" s="1110"/>
      <c r="AA56" s="1111" t="str">
        <f t="shared" si="8"/>
        <v/>
      </c>
      <c r="AB56" s="1112"/>
      <c r="AC56" s="1113"/>
    </row>
    <row r="57" spans="1:29" x14ac:dyDescent="0.2">
      <c r="A57" s="648">
        <f t="shared" si="0"/>
        <v>47</v>
      </c>
      <c r="B57" s="648" t="str">
        <f t="shared" si="5"/>
        <v>Coverage47</v>
      </c>
      <c r="C57" s="1027" t="str">
        <f>IFERROR(INDEX('Disaggregation1B_Import-Export'!D$8:D$239,MATCH($B57,'Disaggregation1B_Import-Export'!$C$8:$C$239,0)),"")</f>
        <v/>
      </c>
      <c r="D57" s="1028" t="str">
        <f>IFERROR(INDEX('Disaggregation1B_Import-Export'!AF$8:AF$256,MATCH($B57,'Disaggregation1B_Import-Export'!$C$8:$C$256,0)),"")</f>
        <v/>
      </c>
      <c r="E57" s="1028" t="str">
        <f>IFERROR(IF(INDEX('Disaggregation1B_Import-Export'!AG$8:AG$239,MATCH($B57,'Disaggregation1B_Import-Export'!$C$8:$C$239,0))="","",INDEX('Disaggregation1B_Import-Export'!AG$8:AG$239,MATCH($B57,'Disaggregation1B_Import-Export'!$C$8:$C$239,0))),"")</f>
        <v/>
      </c>
      <c r="F57" s="1028" t="str">
        <f>IFERROR(IF(INDEX('Disaggregation1B_Import-Export'!AH$8:AH$239,MATCH($B57,'Disaggregation1B_Import-Export'!$C$8:$C$239,0))="","",INDEX('Disaggregation1B_Import-Export'!AH$8:AH$239,MATCH($B57,'Disaggregation1B_Import-Export'!$C$8:$C$239,0))),"")</f>
        <v/>
      </c>
      <c r="G57" s="1107" t="str">
        <f>IFERROR(IF(INDEX('Disaggregation1B_Import-Export'!H$8:H$239,MATCH($B57,'Disaggregation1B_Import-Export'!$C$8:$C$239,0))="","",INDEX('Disaggregation1B_Import-Export'!H$8:H$239,MATCH($B57,'Disaggregation1B_Import-Export'!$C$8:$C$239,0))),"")</f>
        <v/>
      </c>
      <c r="H57" s="1107" t="str">
        <f>IFERROR(IF(INDEX('Disaggregation1B_Import-Export'!I$8:I$239,MATCH($B57,'Disaggregation1B_Import-Export'!$C$8:$C$239,0))="","",INDEX('Disaggregation1B_Import-Export'!I$8:I$239,MATCH($B57,'Disaggregation1B_Import-Export'!$C$8:$C$239,0))),"")</f>
        <v/>
      </c>
      <c r="I57" s="1108" t="str">
        <f>IFERROR(IF(INDEX('Disaggregation1B_Import-Export'!J$8:J$239,MATCH($B57,'Disaggregation1B_Import-Export'!$C$8:$C$239,0))="","",INDEX('Disaggregation1B_Import-Export'!J$8:J$239,MATCH($B57,'Disaggregation1B_Import-Export'!$C$8:$C$239,0))),"")</f>
        <v/>
      </c>
      <c r="J57" s="1028" t="str">
        <f>IFERROR(IF(INDEX('Disaggregation1B_Import-Export'!K$8:K$239,MATCH($B57,'Disaggregation1B_Import-Export'!$C$8:$C$239,0))="","",INDEX('Disaggregation1B_Import-Export'!K$8:K$239,MATCH($B57,'Disaggregation1B_Import-Export'!$C$8:$C$239,0))),"")</f>
        <v/>
      </c>
      <c r="K57" s="1028" t="str">
        <f>IFERROR(IF(INDEX('Disaggregation1B_Import-Export'!L$8:L$239,MATCH($B57,'Disaggregation1B_Import-Export'!$C$8:$C$239,0))="","",INDEX('Disaggregation1B_Import-Export'!L$8:L$239,MATCH($B57,'Disaggregation1B_Import-Export'!$C$8:$C$239,0))),"")</f>
        <v/>
      </c>
      <c r="L57" s="1028" t="str">
        <f>IFERROR(IF(INDEX('Disaggregation1B_Import-Export'!AQ$8:AQ$239,MATCH($B57,'Disaggregation1B_Import-Export'!$C$8:$C$239,0))="","",INDEX('Disaggregation1B_Import-Export'!AQ$8:AQ$239,MATCH($B57,'Disaggregation1B_Import-Export'!$C$8:$C$239,0))),"")</f>
        <v/>
      </c>
      <c r="M57" s="1064"/>
      <c r="N57" s="1064"/>
      <c r="O57" s="1109" t="str">
        <f t="shared" si="6"/>
        <v/>
      </c>
      <c r="P57" s="1065"/>
      <c r="Q57" s="1065"/>
      <c r="R57" s="1066"/>
      <c r="S57" s="1064"/>
      <c r="T57" s="1064"/>
      <c r="U57" s="1109" t="str">
        <f t="shared" si="7"/>
        <v/>
      </c>
      <c r="V57" s="1065"/>
      <c r="W57" s="1065"/>
      <c r="X57" s="1066"/>
      <c r="Y57" s="1110"/>
      <c r="Z57" s="1110"/>
      <c r="AA57" s="1111" t="str">
        <f t="shared" si="8"/>
        <v/>
      </c>
      <c r="AB57" s="1112"/>
      <c r="AC57" s="1113"/>
    </row>
    <row r="58" spans="1:29" x14ac:dyDescent="0.2">
      <c r="A58" s="648">
        <f t="shared" si="0"/>
        <v>48</v>
      </c>
      <c r="B58" s="648" t="str">
        <f t="shared" si="5"/>
        <v>Coverage48</v>
      </c>
      <c r="C58" s="1027" t="str">
        <f>IFERROR(INDEX('Disaggregation1B_Import-Export'!D$8:D$239,MATCH($B58,'Disaggregation1B_Import-Export'!$C$8:$C$239,0)),"")</f>
        <v/>
      </c>
      <c r="D58" s="1028" t="str">
        <f>IFERROR(INDEX('Disaggregation1B_Import-Export'!AF$8:AF$256,MATCH($B58,'Disaggregation1B_Import-Export'!$C$8:$C$256,0)),"")</f>
        <v/>
      </c>
      <c r="E58" s="1028" t="str">
        <f>IFERROR(IF(INDEX('Disaggregation1B_Import-Export'!AG$8:AG$239,MATCH($B58,'Disaggregation1B_Import-Export'!$C$8:$C$239,0))="","",INDEX('Disaggregation1B_Import-Export'!AG$8:AG$239,MATCH($B58,'Disaggregation1B_Import-Export'!$C$8:$C$239,0))),"")</f>
        <v/>
      </c>
      <c r="F58" s="1028" t="str">
        <f>IFERROR(IF(INDEX('Disaggregation1B_Import-Export'!AH$8:AH$239,MATCH($B58,'Disaggregation1B_Import-Export'!$C$8:$C$239,0))="","",INDEX('Disaggregation1B_Import-Export'!AH$8:AH$239,MATCH($B58,'Disaggregation1B_Import-Export'!$C$8:$C$239,0))),"")</f>
        <v/>
      </c>
      <c r="G58" s="1107" t="str">
        <f>IFERROR(IF(INDEX('Disaggregation1B_Import-Export'!H$8:H$239,MATCH($B58,'Disaggregation1B_Import-Export'!$C$8:$C$239,0))="","",INDEX('Disaggregation1B_Import-Export'!H$8:H$239,MATCH($B58,'Disaggregation1B_Import-Export'!$C$8:$C$239,0))),"")</f>
        <v/>
      </c>
      <c r="H58" s="1107" t="str">
        <f>IFERROR(IF(INDEX('Disaggregation1B_Import-Export'!I$8:I$239,MATCH($B58,'Disaggregation1B_Import-Export'!$C$8:$C$239,0))="","",INDEX('Disaggregation1B_Import-Export'!I$8:I$239,MATCH($B58,'Disaggregation1B_Import-Export'!$C$8:$C$239,0))),"")</f>
        <v/>
      </c>
      <c r="I58" s="1108" t="str">
        <f>IFERROR(IF(INDEX('Disaggregation1B_Import-Export'!J$8:J$239,MATCH($B58,'Disaggregation1B_Import-Export'!$C$8:$C$239,0))="","",INDEX('Disaggregation1B_Import-Export'!J$8:J$239,MATCH($B58,'Disaggregation1B_Import-Export'!$C$8:$C$239,0))),"")</f>
        <v/>
      </c>
      <c r="J58" s="1028" t="str">
        <f>IFERROR(IF(INDEX('Disaggregation1B_Import-Export'!K$8:K$239,MATCH($B58,'Disaggregation1B_Import-Export'!$C$8:$C$239,0))="","",INDEX('Disaggregation1B_Import-Export'!K$8:K$239,MATCH($B58,'Disaggregation1B_Import-Export'!$C$8:$C$239,0))),"")</f>
        <v/>
      </c>
      <c r="K58" s="1028" t="str">
        <f>IFERROR(IF(INDEX('Disaggregation1B_Import-Export'!L$8:L$239,MATCH($B58,'Disaggregation1B_Import-Export'!$C$8:$C$239,0))="","",INDEX('Disaggregation1B_Import-Export'!L$8:L$239,MATCH($B58,'Disaggregation1B_Import-Export'!$C$8:$C$239,0))),"")</f>
        <v/>
      </c>
      <c r="L58" s="1028" t="str">
        <f>IFERROR(IF(INDEX('Disaggregation1B_Import-Export'!AQ$8:AQ$239,MATCH($B58,'Disaggregation1B_Import-Export'!$C$8:$C$239,0))="","",INDEX('Disaggregation1B_Import-Export'!AQ$8:AQ$239,MATCH($B58,'Disaggregation1B_Import-Export'!$C$8:$C$239,0))),"")</f>
        <v/>
      </c>
      <c r="M58" s="1064"/>
      <c r="N58" s="1064"/>
      <c r="O58" s="1109" t="str">
        <f t="shared" si="6"/>
        <v/>
      </c>
      <c r="P58" s="1065"/>
      <c r="Q58" s="1065"/>
      <c r="R58" s="1066"/>
      <c r="S58" s="1064"/>
      <c r="T58" s="1064"/>
      <c r="U58" s="1109" t="str">
        <f t="shared" si="7"/>
        <v/>
      </c>
      <c r="V58" s="1065"/>
      <c r="W58" s="1065"/>
      <c r="X58" s="1066"/>
      <c r="Y58" s="1110"/>
      <c r="Z58" s="1110"/>
      <c r="AA58" s="1111" t="str">
        <f t="shared" si="8"/>
        <v/>
      </c>
      <c r="AB58" s="1112"/>
      <c r="AC58" s="1113"/>
    </row>
    <row r="59" spans="1:29" x14ac:dyDescent="0.2">
      <c r="A59" s="648">
        <f t="shared" si="0"/>
        <v>49</v>
      </c>
      <c r="B59" s="648" t="str">
        <f t="shared" si="5"/>
        <v>Coverage49</v>
      </c>
      <c r="C59" s="1027" t="str">
        <f>IFERROR(INDEX('Disaggregation1B_Import-Export'!D$8:D$239,MATCH($B59,'Disaggregation1B_Import-Export'!$C$8:$C$239,0)),"")</f>
        <v/>
      </c>
      <c r="D59" s="1028" t="str">
        <f>IFERROR(INDEX('Disaggregation1B_Import-Export'!AF$8:AF$256,MATCH($B59,'Disaggregation1B_Import-Export'!$C$8:$C$256,0)),"")</f>
        <v/>
      </c>
      <c r="E59" s="1028" t="str">
        <f>IFERROR(IF(INDEX('Disaggregation1B_Import-Export'!AG$8:AG$239,MATCH($B59,'Disaggregation1B_Import-Export'!$C$8:$C$239,0))="","",INDEX('Disaggregation1B_Import-Export'!AG$8:AG$239,MATCH($B59,'Disaggregation1B_Import-Export'!$C$8:$C$239,0))),"")</f>
        <v/>
      </c>
      <c r="F59" s="1028" t="str">
        <f>IFERROR(IF(INDEX('Disaggregation1B_Import-Export'!AH$8:AH$239,MATCH($B59,'Disaggregation1B_Import-Export'!$C$8:$C$239,0))="","",INDEX('Disaggregation1B_Import-Export'!AH$8:AH$239,MATCH($B59,'Disaggregation1B_Import-Export'!$C$8:$C$239,0))),"")</f>
        <v/>
      </c>
      <c r="G59" s="1107" t="str">
        <f>IFERROR(IF(INDEX('Disaggregation1B_Import-Export'!H$8:H$239,MATCH($B59,'Disaggregation1B_Import-Export'!$C$8:$C$239,0))="","",INDEX('Disaggregation1B_Import-Export'!H$8:H$239,MATCH($B59,'Disaggregation1B_Import-Export'!$C$8:$C$239,0))),"")</f>
        <v/>
      </c>
      <c r="H59" s="1107" t="str">
        <f>IFERROR(IF(INDEX('Disaggregation1B_Import-Export'!I$8:I$239,MATCH($B59,'Disaggregation1B_Import-Export'!$C$8:$C$239,0))="","",INDEX('Disaggregation1B_Import-Export'!I$8:I$239,MATCH($B59,'Disaggregation1B_Import-Export'!$C$8:$C$239,0))),"")</f>
        <v/>
      </c>
      <c r="I59" s="1108" t="str">
        <f>IFERROR(IF(INDEX('Disaggregation1B_Import-Export'!J$8:J$239,MATCH($B59,'Disaggregation1B_Import-Export'!$C$8:$C$239,0))="","",INDEX('Disaggregation1B_Import-Export'!J$8:J$239,MATCH($B59,'Disaggregation1B_Import-Export'!$C$8:$C$239,0))),"")</f>
        <v/>
      </c>
      <c r="J59" s="1028" t="str">
        <f>IFERROR(IF(INDEX('Disaggregation1B_Import-Export'!K$8:K$239,MATCH($B59,'Disaggregation1B_Import-Export'!$C$8:$C$239,0))="","",INDEX('Disaggregation1B_Import-Export'!K$8:K$239,MATCH($B59,'Disaggregation1B_Import-Export'!$C$8:$C$239,0))),"")</f>
        <v/>
      </c>
      <c r="K59" s="1028" t="str">
        <f>IFERROR(IF(INDEX('Disaggregation1B_Import-Export'!L$8:L$239,MATCH($B59,'Disaggregation1B_Import-Export'!$C$8:$C$239,0))="","",INDEX('Disaggregation1B_Import-Export'!L$8:L$239,MATCH($B59,'Disaggregation1B_Import-Export'!$C$8:$C$239,0))),"")</f>
        <v/>
      </c>
      <c r="L59" s="1028" t="str">
        <f>IFERROR(IF(INDEX('Disaggregation1B_Import-Export'!AQ$8:AQ$239,MATCH($B59,'Disaggregation1B_Import-Export'!$C$8:$C$239,0))="","",INDEX('Disaggregation1B_Import-Export'!AQ$8:AQ$239,MATCH($B59,'Disaggregation1B_Import-Export'!$C$8:$C$239,0))),"")</f>
        <v/>
      </c>
      <c r="M59" s="1064"/>
      <c r="N59" s="1064"/>
      <c r="O59" s="1109" t="str">
        <f t="shared" si="6"/>
        <v/>
      </c>
      <c r="P59" s="1065"/>
      <c r="Q59" s="1065"/>
      <c r="R59" s="1066"/>
      <c r="S59" s="1064"/>
      <c r="T59" s="1064"/>
      <c r="U59" s="1109" t="str">
        <f t="shared" si="7"/>
        <v/>
      </c>
      <c r="V59" s="1065"/>
      <c r="W59" s="1065"/>
      <c r="X59" s="1066"/>
      <c r="Y59" s="1110"/>
      <c r="Z59" s="1110"/>
      <c r="AA59" s="1111" t="str">
        <f t="shared" si="8"/>
        <v/>
      </c>
      <c r="AB59" s="1112"/>
      <c r="AC59" s="1113"/>
    </row>
    <row r="60" spans="1:29" x14ac:dyDescent="0.2">
      <c r="A60" s="648">
        <f t="shared" si="0"/>
        <v>50</v>
      </c>
      <c r="B60" s="648" t="str">
        <f t="shared" si="5"/>
        <v>Coverage50</v>
      </c>
      <c r="C60" s="1027" t="str">
        <f>IFERROR(INDEX('Disaggregation1B_Import-Export'!D$8:D$239,MATCH($B60,'Disaggregation1B_Import-Export'!$C$8:$C$239,0)),"")</f>
        <v/>
      </c>
      <c r="D60" s="1028" t="str">
        <f>IFERROR(INDEX('Disaggregation1B_Import-Export'!AF$8:AF$256,MATCH($B60,'Disaggregation1B_Import-Export'!$C$8:$C$256,0)),"")</f>
        <v/>
      </c>
      <c r="E60" s="1028" t="str">
        <f>IFERROR(IF(INDEX('Disaggregation1B_Import-Export'!AG$8:AG$239,MATCH($B60,'Disaggregation1B_Import-Export'!$C$8:$C$239,0))="","",INDEX('Disaggregation1B_Import-Export'!AG$8:AG$239,MATCH($B60,'Disaggregation1B_Import-Export'!$C$8:$C$239,0))),"")</f>
        <v/>
      </c>
      <c r="F60" s="1028" t="str">
        <f>IFERROR(IF(INDEX('Disaggregation1B_Import-Export'!AH$8:AH$239,MATCH($B60,'Disaggregation1B_Import-Export'!$C$8:$C$239,0))="","",INDEX('Disaggregation1B_Import-Export'!AH$8:AH$239,MATCH($B60,'Disaggregation1B_Import-Export'!$C$8:$C$239,0))),"")</f>
        <v/>
      </c>
      <c r="G60" s="1107" t="str">
        <f>IFERROR(IF(INDEX('Disaggregation1B_Import-Export'!H$8:H$239,MATCH($B60,'Disaggregation1B_Import-Export'!$C$8:$C$239,0))="","",INDEX('Disaggregation1B_Import-Export'!H$8:H$239,MATCH($B60,'Disaggregation1B_Import-Export'!$C$8:$C$239,0))),"")</f>
        <v/>
      </c>
      <c r="H60" s="1107" t="str">
        <f>IFERROR(IF(INDEX('Disaggregation1B_Import-Export'!I$8:I$239,MATCH($B60,'Disaggregation1B_Import-Export'!$C$8:$C$239,0))="","",INDEX('Disaggregation1B_Import-Export'!I$8:I$239,MATCH($B60,'Disaggregation1B_Import-Export'!$C$8:$C$239,0))),"")</f>
        <v/>
      </c>
      <c r="I60" s="1108" t="str">
        <f>IFERROR(IF(INDEX('Disaggregation1B_Import-Export'!J$8:J$239,MATCH($B60,'Disaggregation1B_Import-Export'!$C$8:$C$239,0))="","",INDEX('Disaggregation1B_Import-Export'!J$8:J$239,MATCH($B60,'Disaggregation1B_Import-Export'!$C$8:$C$239,0))),"")</f>
        <v/>
      </c>
      <c r="J60" s="1028" t="str">
        <f>IFERROR(IF(INDEX('Disaggregation1B_Import-Export'!K$8:K$239,MATCH($B60,'Disaggregation1B_Import-Export'!$C$8:$C$239,0))="","",INDEX('Disaggregation1B_Import-Export'!K$8:K$239,MATCH($B60,'Disaggregation1B_Import-Export'!$C$8:$C$239,0))),"")</f>
        <v/>
      </c>
      <c r="K60" s="1028" t="str">
        <f>IFERROR(IF(INDEX('Disaggregation1B_Import-Export'!L$8:L$239,MATCH($B60,'Disaggregation1B_Import-Export'!$C$8:$C$239,0))="","",INDEX('Disaggregation1B_Import-Export'!L$8:L$239,MATCH($B60,'Disaggregation1B_Import-Export'!$C$8:$C$239,0))),"")</f>
        <v/>
      </c>
      <c r="L60" s="1028" t="str">
        <f>IFERROR(IF(INDEX('Disaggregation1B_Import-Export'!AQ$8:AQ$239,MATCH($B60,'Disaggregation1B_Import-Export'!$C$8:$C$239,0))="","",INDEX('Disaggregation1B_Import-Export'!AQ$8:AQ$239,MATCH($B60,'Disaggregation1B_Import-Export'!$C$8:$C$239,0))),"")</f>
        <v/>
      </c>
      <c r="M60" s="1064"/>
      <c r="N60" s="1064"/>
      <c r="O60" s="1109" t="str">
        <f t="shared" si="6"/>
        <v/>
      </c>
      <c r="P60" s="1065"/>
      <c r="Q60" s="1065"/>
      <c r="R60" s="1066"/>
      <c r="S60" s="1064"/>
      <c r="T60" s="1064"/>
      <c r="U60" s="1109" t="str">
        <f t="shared" si="7"/>
        <v/>
      </c>
      <c r="V60" s="1065"/>
      <c r="W60" s="1065"/>
      <c r="X60" s="1066"/>
      <c r="Y60" s="1110"/>
      <c r="Z60" s="1110"/>
      <c r="AA60" s="1111" t="str">
        <f t="shared" si="8"/>
        <v/>
      </c>
      <c r="AB60" s="1112"/>
      <c r="AC60" s="1113"/>
    </row>
    <row r="61" spans="1:29" x14ac:dyDescent="0.2">
      <c r="A61" s="648">
        <f t="shared" si="0"/>
        <v>51</v>
      </c>
      <c r="B61" s="648" t="str">
        <f t="shared" si="5"/>
        <v>Coverage51</v>
      </c>
      <c r="C61" s="1027" t="str">
        <f>IFERROR(INDEX('Disaggregation1B_Import-Export'!D$8:D$239,MATCH($B61,'Disaggregation1B_Import-Export'!$C$8:$C$239,0)),"")</f>
        <v/>
      </c>
      <c r="D61" s="1028" t="str">
        <f>IFERROR(INDEX('Disaggregation1B_Import-Export'!AF$8:AF$256,MATCH($B61,'Disaggregation1B_Import-Export'!$C$8:$C$256,0)),"")</f>
        <v/>
      </c>
      <c r="E61" s="1028" t="str">
        <f>IFERROR(IF(INDEX('Disaggregation1B_Import-Export'!AG$8:AG$239,MATCH($B61,'Disaggregation1B_Import-Export'!$C$8:$C$239,0))="","",INDEX('Disaggregation1B_Import-Export'!AG$8:AG$239,MATCH($B61,'Disaggregation1B_Import-Export'!$C$8:$C$239,0))),"")</f>
        <v/>
      </c>
      <c r="F61" s="1028" t="str">
        <f>IFERROR(IF(INDEX('Disaggregation1B_Import-Export'!AH$8:AH$239,MATCH($B61,'Disaggregation1B_Import-Export'!$C$8:$C$239,0))="","",INDEX('Disaggregation1B_Import-Export'!AH$8:AH$239,MATCH($B61,'Disaggregation1B_Import-Export'!$C$8:$C$239,0))),"")</f>
        <v/>
      </c>
      <c r="G61" s="1107" t="str">
        <f>IFERROR(IF(INDEX('Disaggregation1B_Import-Export'!H$8:H$239,MATCH($B61,'Disaggregation1B_Import-Export'!$C$8:$C$239,0))="","",INDEX('Disaggregation1B_Import-Export'!H$8:H$239,MATCH($B61,'Disaggregation1B_Import-Export'!$C$8:$C$239,0))),"")</f>
        <v/>
      </c>
      <c r="H61" s="1107" t="str">
        <f>IFERROR(IF(INDEX('Disaggregation1B_Import-Export'!I$8:I$239,MATCH($B61,'Disaggregation1B_Import-Export'!$C$8:$C$239,0))="","",INDEX('Disaggregation1B_Import-Export'!I$8:I$239,MATCH($B61,'Disaggregation1B_Import-Export'!$C$8:$C$239,0))),"")</f>
        <v/>
      </c>
      <c r="I61" s="1108" t="str">
        <f>IFERROR(IF(INDEX('Disaggregation1B_Import-Export'!J$8:J$239,MATCH($B61,'Disaggregation1B_Import-Export'!$C$8:$C$239,0))="","",INDEX('Disaggregation1B_Import-Export'!J$8:J$239,MATCH($B61,'Disaggregation1B_Import-Export'!$C$8:$C$239,0))),"")</f>
        <v/>
      </c>
      <c r="J61" s="1028" t="str">
        <f>IFERROR(IF(INDEX('Disaggregation1B_Import-Export'!K$8:K$239,MATCH($B61,'Disaggregation1B_Import-Export'!$C$8:$C$239,0))="","",INDEX('Disaggregation1B_Import-Export'!K$8:K$239,MATCH($B61,'Disaggregation1B_Import-Export'!$C$8:$C$239,0))),"")</f>
        <v/>
      </c>
      <c r="K61" s="1028" t="str">
        <f>IFERROR(IF(INDEX('Disaggregation1B_Import-Export'!L$8:L$239,MATCH($B61,'Disaggregation1B_Import-Export'!$C$8:$C$239,0))="","",INDEX('Disaggregation1B_Import-Export'!L$8:L$239,MATCH($B61,'Disaggregation1B_Import-Export'!$C$8:$C$239,0))),"")</f>
        <v/>
      </c>
      <c r="L61" s="1028" t="str">
        <f>IFERROR(IF(INDEX('Disaggregation1B_Import-Export'!AQ$8:AQ$239,MATCH($B61,'Disaggregation1B_Import-Export'!$C$8:$C$239,0))="","",INDEX('Disaggregation1B_Import-Export'!AQ$8:AQ$239,MATCH($B61,'Disaggregation1B_Import-Export'!$C$8:$C$239,0))),"")</f>
        <v/>
      </c>
      <c r="M61" s="1064"/>
      <c r="N61" s="1064"/>
      <c r="O61" s="1109" t="str">
        <f t="shared" si="6"/>
        <v/>
      </c>
      <c r="P61" s="1065"/>
      <c r="Q61" s="1065"/>
      <c r="R61" s="1066"/>
      <c r="S61" s="1064"/>
      <c r="T61" s="1064"/>
      <c r="U61" s="1109" t="str">
        <f t="shared" si="7"/>
        <v/>
      </c>
      <c r="V61" s="1065"/>
      <c r="W61" s="1065"/>
      <c r="X61" s="1066"/>
      <c r="Y61" s="1110"/>
      <c r="Z61" s="1110"/>
      <c r="AA61" s="1111" t="str">
        <f t="shared" si="8"/>
        <v/>
      </c>
      <c r="AB61" s="1112"/>
      <c r="AC61" s="1113"/>
    </row>
    <row r="62" spans="1:29" x14ac:dyDescent="0.2">
      <c r="A62" s="648">
        <f t="shared" si="0"/>
        <v>52</v>
      </c>
      <c r="B62" s="648" t="str">
        <f t="shared" si="5"/>
        <v>Coverage52</v>
      </c>
      <c r="C62" s="1027" t="str">
        <f>IFERROR(INDEX('Disaggregation1B_Import-Export'!D$8:D$239,MATCH($B62,'Disaggregation1B_Import-Export'!$C$8:$C$239,0)),"")</f>
        <v/>
      </c>
      <c r="D62" s="1028" t="str">
        <f>IFERROR(INDEX('Disaggregation1B_Import-Export'!AF$8:AF$256,MATCH($B62,'Disaggregation1B_Import-Export'!$C$8:$C$256,0)),"")</f>
        <v/>
      </c>
      <c r="E62" s="1028" t="str">
        <f>IFERROR(IF(INDEX('Disaggregation1B_Import-Export'!AG$8:AG$239,MATCH($B62,'Disaggregation1B_Import-Export'!$C$8:$C$239,0))="","",INDEX('Disaggregation1B_Import-Export'!AG$8:AG$239,MATCH($B62,'Disaggregation1B_Import-Export'!$C$8:$C$239,0))),"")</f>
        <v/>
      </c>
      <c r="F62" s="1028" t="str">
        <f>IFERROR(IF(INDEX('Disaggregation1B_Import-Export'!AH$8:AH$239,MATCH($B62,'Disaggregation1B_Import-Export'!$C$8:$C$239,0))="","",INDEX('Disaggregation1B_Import-Export'!AH$8:AH$239,MATCH($B62,'Disaggregation1B_Import-Export'!$C$8:$C$239,0))),"")</f>
        <v/>
      </c>
      <c r="G62" s="1107" t="str">
        <f>IFERROR(IF(INDEX('Disaggregation1B_Import-Export'!H$8:H$239,MATCH($B62,'Disaggregation1B_Import-Export'!$C$8:$C$239,0))="","",INDEX('Disaggregation1B_Import-Export'!H$8:H$239,MATCH($B62,'Disaggregation1B_Import-Export'!$C$8:$C$239,0))),"")</f>
        <v/>
      </c>
      <c r="H62" s="1107" t="str">
        <f>IFERROR(IF(INDEX('Disaggregation1B_Import-Export'!I$8:I$239,MATCH($B62,'Disaggregation1B_Import-Export'!$C$8:$C$239,0))="","",INDEX('Disaggregation1B_Import-Export'!I$8:I$239,MATCH($B62,'Disaggregation1B_Import-Export'!$C$8:$C$239,0))),"")</f>
        <v/>
      </c>
      <c r="I62" s="1108" t="str">
        <f>IFERROR(IF(INDEX('Disaggregation1B_Import-Export'!J$8:J$239,MATCH($B62,'Disaggregation1B_Import-Export'!$C$8:$C$239,0))="","",INDEX('Disaggregation1B_Import-Export'!J$8:J$239,MATCH($B62,'Disaggregation1B_Import-Export'!$C$8:$C$239,0))),"")</f>
        <v/>
      </c>
      <c r="J62" s="1028" t="str">
        <f>IFERROR(IF(INDEX('Disaggregation1B_Import-Export'!K$8:K$239,MATCH($B62,'Disaggregation1B_Import-Export'!$C$8:$C$239,0))="","",INDEX('Disaggregation1B_Import-Export'!K$8:K$239,MATCH($B62,'Disaggregation1B_Import-Export'!$C$8:$C$239,0))),"")</f>
        <v/>
      </c>
      <c r="K62" s="1028" t="str">
        <f>IFERROR(IF(INDEX('Disaggregation1B_Import-Export'!L$8:L$239,MATCH($B62,'Disaggregation1B_Import-Export'!$C$8:$C$239,0))="","",INDEX('Disaggregation1B_Import-Export'!L$8:L$239,MATCH($B62,'Disaggregation1B_Import-Export'!$C$8:$C$239,0))),"")</f>
        <v/>
      </c>
      <c r="L62" s="1028" t="str">
        <f>IFERROR(IF(INDEX('Disaggregation1B_Import-Export'!AQ$8:AQ$239,MATCH($B62,'Disaggregation1B_Import-Export'!$C$8:$C$239,0))="","",INDEX('Disaggregation1B_Import-Export'!AQ$8:AQ$239,MATCH($B62,'Disaggregation1B_Import-Export'!$C$8:$C$239,0))),"")</f>
        <v/>
      </c>
      <c r="M62" s="1064"/>
      <c r="N62" s="1064"/>
      <c r="O62" s="1109" t="str">
        <f t="shared" si="6"/>
        <v/>
      </c>
      <c r="P62" s="1065"/>
      <c r="Q62" s="1065"/>
      <c r="R62" s="1066"/>
      <c r="S62" s="1064"/>
      <c r="T62" s="1064"/>
      <c r="U62" s="1109" t="str">
        <f t="shared" si="7"/>
        <v/>
      </c>
      <c r="V62" s="1065"/>
      <c r="W62" s="1065"/>
      <c r="X62" s="1066"/>
      <c r="Y62" s="1110"/>
      <c r="Z62" s="1110"/>
      <c r="AA62" s="1111" t="str">
        <f t="shared" si="8"/>
        <v/>
      </c>
      <c r="AB62" s="1112"/>
      <c r="AC62" s="1113"/>
    </row>
    <row r="63" spans="1:29" x14ac:dyDescent="0.2">
      <c r="A63" s="648">
        <f t="shared" si="0"/>
        <v>53</v>
      </c>
      <c r="B63" s="648" t="str">
        <f t="shared" si="5"/>
        <v>Coverage53</v>
      </c>
      <c r="C63" s="1027" t="str">
        <f>IFERROR(INDEX('Disaggregation1B_Import-Export'!D$8:D$239,MATCH($B63,'Disaggregation1B_Import-Export'!$C$8:$C$239,0)),"")</f>
        <v/>
      </c>
      <c r="D63" s="1028" t="str">
        <f>IFERROR(INDEX('Disaggregation1B_Import-Export'!AF$8:AF$256,MATCH($B63,'Disaggregation1B_Import-Export'!$C$8:$C$256,0)),"")</f>
        <v/>
      </c>
      <c r="E63" s="1028" t="str">
        <f>IFERROR(IF(INDEX('Disaggregation1B_Import-Export'!AG$8:AG$239,MATCH($B63,'Disaggregation1B_Import-Export'!$C$8:$C$239,0))="","",INDEX('Disaggregation1B_Import-Export'!AG$8:AG$239,MATCH($B63,'Disaggregation1B_Import-Export'!$C$8:$C$239,0))),"")</f>
        <v/>
      </c>
      <c r="F63" s="1028" t="str">
        <f>IFERROR(IF(INDEX('Disaggregation1B_Import-Export'!AH$8:AH$239,MATCH($B63,'Disaggregation1B_Import-Export'!$C$8:$C$239,0))="","",INDEX('Disaggregation1B_Import-Export'!AH$8:AH$239,MATCH($B63,'Disaggregation1B_Import-Export'!$C$8:$C$239,0))),"")</f>
        <v/>
      </c>
      <c r="G63" s="1107" t="str">
        <f>IFERROR(IF(INDEX('Disaggregation1B_Import-Export'!H$8:H$239,MATCH($B63,'Disaggregation1B_Import-Export'!$C$8:$C$239,0))="","",INDEX('Disaggregation1B_Import-Export'!H$8:H$239,MATCH($B63,'Disaggregation1B_Import-Export'!$C$8:$C$239,0))),"")</f>
        <v/>
      </c>
      <c r="H63" s="1107" t="str">
        <f>IFERROR(IF(INDEX('Disaggregation1B_Import-Export'!I$8:I$239,MATCH($B63,'Disaggregation1B_Import-Export'!$C$8:$C$239,0))="","",INDEX('Disaggregation1B_Import-Export'!I$8:I$239,MATCH($B63,'Disaggregation1B_Import-Export'!$C$8:$C$239,0))),"")</f>
        <v/>
      </c>
      <c r="I63" s="1108" t="str">
        <f>IFERROR(IF(INDEX('Disaggregation1B_Import-Export'!J$8:J$239,MATCH($B63,'Disaggregation1B_Import-Export'!$C$8:$C$239,0))="","",INDEX('Disaggregation1B_Import-Export'!J$8:J$239,MATCH($B63,'Disaggregation1B_Import-Export'!$C$8:$C$239,0))),"")</f>
        <v/>
      </c>
      <c r="J63" s="1028" t="str">
        <f>IFERROR(IF(INDEX('Disaggregation1B_Import-Export'!K$8:K$239,MATCH($B63,'Disaggregation1B_Import-Export'!$C$8:$C$239,0))="","",INDEX('Disaggregation1B_Import-Export'!K$8:K$239,MATCH($B63,'Disaggregation1B_Import-Export'!$C$8:$C$239,0))),"")</f>
        <v/>
      </c>
      <c r="K63" s="1028" t="str">
        <f>IFERROR(IF(INDEX('Disaggregation1B_Import-Export'!L$8:L$239,MATCH($B63,'Disaggregation1B_Import-Export'!$C$8:$C$239,0))="","",INDEX('Disaggregation1B_Import-Export'!L$8:L$239,MATCH($B63,'Disaggregation1B_Import-Export'!$C$8:$C$239,0))),"")</f>
        <v/>
      </c>
      <c r="L63" s="1028" t="str">
        <f>IFERROR(IF(INDEX('Disaggregation1B_Import-Export'!AQ$8:AQ$239,MATCH($B63,'Disaggregation1B_Import-Export'!$C$8:$C$239,0))="","",INDEX('Disaggregation1B_Import-Export'!AQ$8:AQ$239,MATCH($B63,'Disaggregation1B_Import-Export'!$C$8:$C$239,0))),"")</f>
        <v/>
      </c>
      <c r="M63" s="1064"/>
      <c r="N63" s="1064"/>
      <c r="O63" s="1109" t="str">
        <f t="shared" si="6"/>
        <v/>
      </c>
      <c r="P63" s="1065"/>
      <c r="Q63" s="1065"/>
      <c r="R63" s="1066"/>
      <c r="S63" s="1064"/>
      <c r="T63" s="1064"/>
      <c r="U63" s="1109" t="str">
        <f t="shared" si="7"/>
        <v/>
      </c>
      <c r="V63" s="1065"/>
      <c r="W63" s="1065"/>
      <c r="X63" s="1066"/>
      <c r="Y63" s="1110"/>
      <c r="Z63" s="1110"/>
      <c r="AA63" s="1111" t="str">
        <f t="shared" si="8"/>
        <v/>
      </c>
      <c r="AB63" s="1112"/>
      <c r="AC63" s="1113"/>
    </row>
    <row r="64" spans="1:29" x14ac:dyDescent="0.2">
      <c r="A64" s="648">
        <f t="shared" si="0"/>
        <v>54</v>
      </c>
      <c r="B64" s="648" t="str">
        <f t="shared" si="5"/>
        <v>Coverage54</v>
      </c>
      <c r="C64" s="1027" t="str">
        <f>IFERROR(INDEX('Disaggregation1B_Import-Export'!D$8:D$239,MATCH($B64,'Disaggregation1B_Import-Export'!$C$8:$C$239,0)),"")</f>
        <v/>
      </c>
      <c r="D64" s="1028" t="str">
        <f>IFERROR(INDEX('Disaggregation1B_Import-Export'!AF$8:AF$256,MATCH($B64,'Disaggregation1B_Import-Export'!$C$8:$C$256,0)),"")</f>
        <v/>
      </c>
      <c r="E64" s="1028" t="str">
        <f>IFERROR(IF(INDEX('Disaggregation1B_Import-Export'!AG$8:AG$239,MATCH($B64,'Disaggregation1B_Import-Export'!$C$8:$C$239,0))="","",INDEX('Disaggregation1B_Import-Export'!AG$8:AG$239,MATCH($B64,'Disaggregation1B_Import-Export'!$C$8:$C$239,0))),"")</f>
        <v/>
      </c>
      <c r="F64" s="1028" t="str">
        <f>IFERROR(IF(INDEX('Disaggregation1B_Import-Export'!AH$8:AH$239,MATCH($B64,'Disaggregation1B_Import-Export'!$C$8:$C$239,0))="","",INDEX('Disaggregation1B_Import-Export'!AH$8:AH$239,MATCH($B64,'Disaggregation1B_Import-Export'!$C$8:$C$239,0))),"")</f>
        <v/>
      </c>
      <c r="G64" s="1107" t="str">
        <f>IFERROR(IF(INDEX('Disaggregation1B_Import-Export'!H$8:H$239,MATCH($B64,'Disaggregation1B_Import-Export'!$C$8:$C$239,0))="","",INDEX('Disaggregation1B_Import-Export'!H$8:H$239,MATCH($B64,'Disaggregation1B_Import-Export'!$C$8:$C$239,0))),"")</f>
        <v/>
      </c>
      <c r="H64" s="1107" t="str">
        <f>IFERROR(IF(INDEX('Disaggregation1B_Import-Export'!I$8:I$239,MATCH($B64,'Disaggregation1B_Import-Export'!$C$8:$C$239,0))="","",INDEX('Disaggregation1B_Import-Export'!I$8:I$239,MATCH($B64,'Disaggregation1B_Import-Export'!$C$8:$C$239,0))),"")</f>
        <v/>
      </c>
      <c r="I64" s="1108" t="str">
        <f>IFERROR(IF(INDEX('Disaggregation1B_Import-Export'!J$8:J$239,MATCH($B64,'Disaggregation1B_Import-Export'!$C$8:$C$239,0))="","",INDEX('Disaggregation1B_Import-Export'!J$8:J$239,MATCH($B64,'Disaggregation1B_Import-Export'!$C$8:$C$239,0))),"")</f>
        <v/>
      </c>
      <c r="J64" s="1028" t="str">
        <f>IFERROR(IF(INDEX('Disaggregation1B_Import-Export'!K$8:K$239,MATCH($B64,'Disaggregation1B_Import-Export'!$C$8:$C$239,0))="","",INDEX('Disaggregation1B_Import-Export'!K$8:K$239,MATCH($B64,'Disaggregation1B_Import-Export'!$C$8:$C$239,0))),"")</f>
        <v/>
      </c>
      <c r="K64" s="1028" t="str">
        <f>IFERROR(IF(INDEX('Disaggregation1B_Import-Export'!L$8:L$239,MATCH($B64,'Disaggregation1B_Import-Export'!$C$8:$C$239,0))="","",INDEX('Disaggregation1B_Import-Export'!L$8:L$239,MATCH($B64,'Disaggregation1B_Import-Export'!$C$8:$C$239,0))),"")</f>
        <v/>
      </c>
      <c r="L64" s="1028" t="str">
        <f>IFERROR(IF(INDEX('Disaggregation1B_Import-Export'!AQ$8:AQ$239,MATCH($B64,'Disaggregation1B_Import-Export'!$C$8:$C$239,0))="","",INDEX('Disaggregation1B_Import-Export'!AQ$8:AQ$239,MATCH($B64,'Disaggregation1B_Import-Export'!$C$8:$C$239,0))),"")</f>
        <v/>
      </c>
      <c r="M64" s="1064"/>
      <c r="N64" s="1064"/>
      <c r="O64" s="1109" t="str">
        <f t="shared" si="6"/>
        <v/>
      </c>
      <c r="P64" s="1065"/>
      <c r="Q64" s="1065"/>
      <c r="R64" s="1066"/>
      <c r="S64" s="1064"/>
      <c r="T64" s="1064"/>
      <c r="U64" s="1109" t="str">
        <f t="shared" si="7"/>
        <v/>
      </c>
      <c r="V64" s="1065"/>
      <c r="W64" s="1065"/>
      <c r="X64" s="1066"/>
      <c r="Y64" s="1110"/>
      <c r="Z64" s="1110"/>
      <c r="AA64" s="1111" t="str">
        <f t="shared" si="8"/>
        <v/>
      </c>
      <c r="AB64" s="1112"/>
      <c r="AC64" s="1113"/>
    </row>
    <row r="65" spans="1:29" x14ac:dyDescent="0.2">
      <c r="A65" s="648">
        <f t="shared" si="0"/>
        <v>55</v>
      </c>
      <c r="B65" s="648" t="str">
        <f t="shared" si="5"/>
        <v>Coverage55</v>
      </c>
      <c r="C65" s="1027" t="str">
        <f>IFERROR(INDEX('Disaggregation1B_Import-Export'!D$8:D$239,MATCH($B65,'Disaggregation1B_Import-Export'!$C$8:$C$239,0)),"")</f>
        <v/>
      </c>
      <c r="D65" s="1028" t="str">
        <f>IFERROR(INDEX('Disaggregation1B_Import-Export'!AF$8:AF$256,MATCH($B65,'Disaggregation1B_Import-Export'!$C$8:$C$256,0)),"")</f>
        <v/>
      </c>
      <c r="E65" s="1028" t="str">
        <f>IFERROR(IF(INDEX('Disaggregation1B_Import-Export'!AG$8:AG$239,MATCH($B65,'Disaggregation1B_Import-Export'!$C$8:$C$239,0))="","",INDEX('Disaggregation1B_Import-Export'!AG$8:AG$239,MATCH($B65,'Disaggregation1B_Import-Export'!$C$8:$C$239,0))),"")</f>
        <v/>
      </c>
      <c r="F65" s="1028" t="str">
        <f>IFERROR(IF(INDEX('Disaggregation1B_Import-Export'!AH$8:AH$239,MATCH($B65,'Disaggregation1B_Import-Export'!$C$8:$C$239,0))="","",INDEX('Disaggregation1B_Import-Export'!AH$8:AH$239,MATCH($B65,'Disaggregation1B_Import-Export'!$C$8:$C$239,0))),"")</f>
        <v/>
      </c>
      <c r="G65" s="1107" t="str">
        <f>IFERROR(IF(INDEX('Disaggregation1B_Import-Export'!H$8:H$239,MATCH($B65,'Disaggregation1B_Import-Export'!$C$8:$C$239,0))="","",INDEX('Disaggregation1B_Import-Export'!H$8:H$239,MATCH($B65,'Disaggregation1B_Import-Export'!$C$8:$C$239,0))),"")</f>
        <v/>
      </c>
      <c r="H65" s="1107" t="str">
        <f>IFERROR(IF(INDEX('Disaggregation1B_Import-Export'!I$8:I$239,MATCH($B65,'Disaggregation1B_Import-Export'!$C$8:$C$239,0))="","",INDEX('Disaggregation1B_Import-Export'!I$8:I$239,MATCH($B65,'Disaggregation1B_Import-Export'!$C$8:$C$239,0))),"")</f>
        <v/>
      </c>
      <c r="I65" s="1108" t="str">
        <f>IFERROR(IF(INDEX('Disaggregation1B_Import-Export'!J$8:J$239,MATCH($B65,'Disaggregation1B_Import-Export'!$C$8:$C$239,0))="","",INDEX('Disaggregation1B_Import-Export'!J$8:J$239,MATCH($B65,'Disaggregation1B_Import-Export'!$C$8:$C$239,0))),"")</f>
        <v/>
      </c>
      <c r="J65" s="1028" t="str">
        <f>IFERROR(IF(INDEX('Disaggregation1B_Import-Export'!K$8:K$239,MATCH($B65,'Disaggregation1B_Import-Export'!$C$8:$C$239,0))="","",INDEX('Disaggregation1B_Import-Export'!K$8:K$239,MATCH($B65,'Disaggregation1B_Import-Export'!$C$8:$C$239,0))),"")</f>
        <v/>
      </c>
      <c r="K65" s="1028" t="str">
        <f>IFERROR(IF(INDEX('Disaggregation1B_Import-Export'!L$8:L$239,MATCH($B65,'Disaggregation1B_Import-Export'!$C$8:$C$239,0))="","",INDEX('Disaggregation1B_Import-Export'!L$8:L$239,MATCH($B65,'Disaggregation1B_Import-Export'!$C$8:$C$239,0))),"")</f>
        <v/>
      </c>
      <c r="L65" s="1028" t="str">
        <f>IFERROR(IF(INDEX('Disaggregation1B_Import-Export'!AQ$8:AQ$239,MATCH($B65,'Disaggregation1B_Import-Export'!$C$8:$C$239,0))="","",INDEX('Disaggregation1B_Import-Export'!AQ$8:AQ$239,MATCH($B65,'Disaggregation1B_Import-Export'!$C$8:$C$239,0))),"")</f>
        <v/>
      </c>
      <c r="M65" s="1064"/>
      <c r="N65" s="1064"/>
      <c r="O65" s="1109" t="str">
        <f t="shared" si="6"/>
        <v/>
      </c>
      <c r="P65" s="1065"/>
      <c r="Q65" s="1065"/>
      <c r="R65" s="1066"/>
      <c r="S65" s="1064"/>
      <c r="T65" s="1064"/>
      <c r="U65" s="1109" t="str">
        <f t="shared" si="7"/>
        <v/>
      </c>
      <c r="V65" s="1065"/>
      <c r="W65" s="1065"/>
      <c r="X65" s="1066"/>
      <c r="Y65" s="1110"/>
      <c r="Z65" s="1110"/>
      <c r="AA65" s="1111" t="str">
        <f t="shared" si="8"/>
        <v/>
      </c>
      <c r="AB65" s="1112"/>
      <c r="AC65" s="1113"/>
    </row>
    <row r="66" spans="1:29" x14ac:dyDescent="0.2">
      <c r="A66" s="648">
        <f t="shared" si="0"/>
        <v>56</v>
      </c>
      <c r="B66" s="648" t="str">
        <f t="shared" si="5"/>
        <v>Coverage56</v>
      </c>
      <c r="C66" s="1027" t="str">
        <f>IFERROR(INDEX('Disaggregation1B_Import-Export'!D$8:D$239,MATCH($B66,'Disaggregation1B_Import-Export'!$C$8:$C$239,0)),"")</f>
        <v/>
      </c>
      <c r="D66" s="1028" t="str">
        <f>IFERROR(INDEX('Disaggregation1B_Import-Export'!AF$8:AF$256,MATCH($B66,'Disaggregation1B_Import-Export'!$C$8:$C$256,0)),"")</f>
        <v/>
      </c>
      <c r="E66" s="1028" t="str">
        <f>IFERROR(IF(INDEX('Disaggregation1B_Import-Export'!AG$8:AG$239,MATCH($B66,'Disaggregation1B_Import-Export'!$C$8:$C$239,0))="","",INDEX('Disaggregation1B_Import-Export'!AG$8:AG$239,MATCH($B66,'Disaggregation1B_Import-Export'!$C$8:$C$239,0))),"")</f>
        <v/>
      </c>
      <c r="F66" s="1028" t="str">
        <f>IFERROR(IF(INDEX('Disaggregation1B_Import-Export'!AH$8:AH$239,MATCH($B66,'Disaggregation1B_Import-Export'!$C$8:$C$239,0))="","",INDEX('Disaggregation1B_Import-Export'!AH$8:AH$239,MATCH($B66,'Disaggregation1B_Import-Export'!$C$8:$C$239,0))),"")</f>
        <v/>
      </c>
      <c r="G66" s="1107" t="str">
        <f>IFERROR(IF(INDEX('Disaggregation1B_Import-Export'!H$8:H$239,MATCH($B66,'Disaggregation1B_Import-Export'!$C$8:$C$239,0))="","",INDEX('Disaggregation1B_Import-Export'!H$8:H$239,MATCH($B66,'Disaggregation1B_Import-Export'!$C$8:$C$239,0))),"")</f>
        <v/>
      </c>
      <c r="H66" s="1107" t="str">
        <f>IFERROR(IF(INDEX('Disaggregation1B_Import-Export'!I$8:I$239,MATCH($B66,'Disaggregation1B_Import-Export'!$C$8:$C$239,0))="","",INDEX('Disaggregation1B_Import-Export'!I$8:I$239,MATCH($B66,'Disaggregation1B_Import-Export'!$C$8:$C$239,0))),"")</f>
        <v/>
      </c>
      <c r="I66" s="1108" t="str">
        <f>IFERROR(IF(INDEX('Disaggregation1B_Import-Export'!J$8:J$239,MATCH($B66,'Disaggregation1B_Import-Export'!$C$8:$C$239,0))="","",INDEX('Disaggregation1B_Import-Export'!J$8:J$239,MATCH($B66,'Disaggregation1B_Import-Export'!$C$8:$C$239,0))),"")</f>
        <v/>
      </c>
      <c r="J66" s="1028" t="str">
        <f>IFERROR(IF(INDEX('Disaggregation1B_Import-Export'!K$8:K$239,MATCH($B66,'Disaggregation1B_Import-Export'!$C$8:$C$239,0))="","",INDEX('Disaggregation1B_Import-Export'!K$8:K$239,MATCH($B66,'Disaggregation1B_Import-Export'!$C$8:$C$239,0))),"")</f>
        <v/>
      </c>
      <c r="K66" s="1028" t="str">
        <f>IFERROR(IF(INDEX('Disaggregation1B_Import-Export'!L$8:L$239,MATCH($B66,'Disaggregation1B_Import-Export'!$C$8:$C$239,0))="","",INDEX('Disaggregation1B_Import-Export'!L$8:L$239,MATCH($B66,'Disaggregation1B_Import-Export'!$C$8:$C$239,0))),"")</f>
        <v/>
      </c>
      <c r="L66" s="1028" t="str">
        <f>IFERROR(IF(INDEX('Disaggregation1B_Import-Export'!AQ$8:AQ$239,MATCH($B66,'Disaggregation1B_Import-Export'!$C$8:$C$239,0))="","",INDEX('Disaggregation1B_Import-Export'!AQ$8:AQ$239,MATCH($B66,'Disaggregation1B_Import-Export'!$C$8:$C$239,0))),"")</f>
        <v/>
      </c>
      <c r="M66" s="1064"/>
      <c r="N66" s="1064"/>
      <c r="O66" s="1109" t="str">
        <f t="shared" si="6"/>
        <v/>
      </c>
      <c r="P66" s="1065"/>
      <c r="Q66" s="1065"/>
      <c r="R66" s="1066"/>
      <c r="S66" s="1064"/>
      <c r="T66" s="1064"/>
      <c r="U66" s="1109" t="str">
        <f t="shared" si="7"/>
        <v/>
      </c>
      <c r="V66" s="1065"/>
      <c r="W66" s="1065"/>
      <c r="X66" s="1066"/>
      <c r="Y66" s="1110"/>
      <c r="Z66" s="1110"/>
      <c r="AA66" s="1111" t="str">
        <f t="shared" si="8"/>
        <v/>
      </c>
      <c r="AB66" s="1112"/>
      <c r="AC66" s="1113"/>
    </row>
    <row r="67" spans="1:29" x14ac:dyDescent="0.2">
      <c r="A67" s="648">
        <f t="shared" si="0"/>
        <v>57</v>
      </c>
      <c r="B67" s="648" t="str">
        <f t="shared" si="5"/>
        <v>Coverage57</v>
      </c>
      <c r="C67" s="1027" t="str">
        <f>IFERROR(INDEX('Disaggregation1B_Import-Export'!D$8:D$239,MATCH($B67,'Disaggregation1B_Import-Export'!$C$8:$C$239,0)),"")</f>
        <v/>
      </c>
      <c r="D67" s="1028" t="str">
        <f>IFERROR(INDEX('Disaggregation1B_Import-Export'!AF$8:AF$256,MATCH($B67,'Disaggregation1B_Import-Export'!$C$8:$C$256,0)),"")</f>
        <v/>
      </c>
      <c r="E67" s="1028" t="str">
        <f>IFERROR(IF(INDEX('Disaggregation1B_Import-Export'!AG$8:AG$239,MATCH($B67,'Disaggregation1B_Import-Export'!$C$8:$C$239,0))="","",INDEX('Disaggregation1B_Import-Export'!AG$8:AG$239,MATCH($B67,'Disaggregation1B_Import-Export'!$C$8:$C$239,0))),"")</f>
        <v/>
      </c>
      <c r="F67" s="1028" t="str">
        <f>IFERROR(IF(INDEX('Disaggregation1B_Import-Export'!AH$8:AH$239,MATCH($B67,'Disaggregation1B_Import-Export'!$C$8:$C$239,0))="","",INDEX('Disaggregation1B_Import-Export'!AH$8:AH$239,MATCH($B67,'Disaggregation1B_Import-Export'!$C$8:$C$239,0))),"")</f>
        <v/>
      </c>
      <c r="G67" s="1107" t="str">
        <f>IFERROR(IF(INDEX('Disaggregation1B_Import-Export'!H$8:H$239,MATCH($B67,'Disaggregation1B_Import-Export'!$C$8:$C$239,0))="","",INDEX('Disaggregation1B_Import-Export'!H$8:H$239,MATCH($B67,'Disaggregation1B_Import-Export'!$C$8:$C$239,0))),"")</f>
        <v/>
      </c>
      <c r="H67" s="1107" t="str">
        <f>IFERROR(IF(INDEX('Disaggregation1B_Import-Export'!I$8:I$239,MATCH($B67,'Disaggregation1B_Import-Export'!$C$8:$C$239,0))="","",INDEX('Disaggregation1B_Import-Export'!I$8:I$239,MATCH($B67,'Disaggregation1B_Import-Export'!$C$8:$C$239,0))),"")</f>
        <v/>
      </c>
      <c r="I67" s="1108" t="str">
        <f>IFERROR(IF(INDEX('Disaggregation1B_Import-Export'!J$8:J$239,MATCH($B67,'Disaggregation1B_Import-Export'!$C$8:$C$239,0))="","",INDEX('Disaggregation1B_Import-Export'!J$8:J$239,MATCH($B67,'Disaggregation1B_Import-Export'!$C$8:$C$239,0))),"")</f>
        <v/>
      </c>
      <c r="J67" s="1028" t="str">
        <f>IFERROR(IF(INDEX('Disaggregation1B_Import-Export'!K$8:K$239,MATCH($B67,'Disaggregation1B_Import-Export'!$C$8:$C$239,0))="","",INDEX('Disaggregation1B_Import-Export'!K$8:K$239,MATCH($B67,'Disaggregation1B_Import-Export'!$C$8:$C$239,0))),"")</f>
        <v/>
      </c>
      <c r="K67" s="1028" t="str">
        <f>IFERROR(IF(INDEX('Disaggregation1B_Import-Export'!L$8:L$239,MATCH($B67,'Disaggregation1B_Import-Export'!$C$8:$C$239,0))="","",INDEX('Disaggregation1B_Import-Export'!L$8:L$239,MATCH($B67,'Disaggregation1B_Import-Export'!$C$8:$C$239,0))),"")</f>
        <v/>
      </c>
      <c r="L67" s="1028" t="str">
        <f>IFERROR(IF(INDEX('Disaggregation1B_Import-Export'!AQ$8:AQ$239,MATCH($B67,'Disaggregation1B_Import-Export'!$C$8:$C$239,0))="","",INDEX('Disaggregation1B_Import-Export'!AQ$8:AQ$239,MATCH($B67,'Disaggregation1B_Import-Export'!$C$8:$C$239,0))),"")</f>
        <v/>
      </c>
      <c r="M67" s="1064"/>
      <c r="N67" s="1064"/>
      <c r="O67" s="1109" t="str">
        <f t="shared" si="6"/>
        <v/>
      </c>
      <c r="P67" s="1065"/>
      <c r="Q67" s="1065"/>
      <c r="R67" s="1066"/>
      <c r="S67" s="1064"/>
      <c r="T67" s="1064"/>
      <c r="U67" s="1109" t="str">
        <f t="shared" si="7"/>
        <v/>
      </c>
      <c r="V67" s="1065"/>
      <c r="W67" s="1065"/>
      <c r="X67" s="1066"/>
      <c r="Y67" s="1110"/>
      <c r="Z67" s="1110"/>
      <c r="AA67" s="1111" t="str">
        <f t="shared" si="8"/>
        <v/>
      </c>
      <c r="AB67" s="1112"/>
      <c r="AC67" s="1113"/>
    </row>
    <row r="68" spans="1:29" x14ac:dyDescent="0.2">
      <c r="A68" s="648">
        <f t="shared" si="0"/>
        <v>58</v>
      </c>
      <c r="B68" s="648" t="str">
        <f t="shared" si="5"/>
        <v>Coverage58</v>
      </c>
      <c r="C68" s="1027" t="str">
        <f>IFERROR(INDEX('Disaggregation1B_Import-Export'!D$8:D$239,MATCH($B68,'Disaggregation1B_Import-Export'!$C$8:$C$239,0)),"")</f>
        <v/>
      </c>
      <c r="D68" s="1028" t="str">
        <f>IFERROR(INDEX('Disaggregation1B_Import-Export'!AF$8:AF$256,MATCH($B68,'Disaggregation1B_Import-Export'!$C$8:$C$256,0)),"")</f>
        <v/>
      </c>
      <c r="E68" s="1028" t="str">
        <f>IFERROR(IF(INDEX('Disaggregation1B_Import-Export'!AG$8:AG$239,MATCH($B68,'Disaggregation1B_Import-Export'!$C$8:$C$239,0))="","",INDEX('Disaggregation1B_Import-Export'!AG$8:AG$239,MATCH($B68,'Disaggregation1B_Import-Export'!$C$8:$C$239,0))),"")</f>
        <v/>
      </c>
      <c r="F68" s="1028" t="str">
        <f>IFERROR(IF(INDEX('Disaggregation1B_Import-Export'!AH$8:AH$239,MATCH($B68,'Disaggregation1B_Import-Export'!$C$8:$C$239,0))="","",INDEX('Disaggregation1B_Import-Export'!AH$8:AH$239,MATCH($B68,'Disaggregation1B_Import-Export'!$C$8:$C$239,0))),"")</f>
        <v/>
      </c>
      <c r="G68" s="1107" t="str">
        <f>IFERROR(IF(INDEX('Disaggregation1B_Import-Export'!H$8:H$239,MATCH($B68,'Disaggregation1B_Import-Export'!$C$8:$C$239,0))="","",INDEX('Disaggregation1B_Import-Export'!H$8:H$239,MATCH($B68,'Disaggregation1B_Import-Export'!$C$8:$C$239,0))),"")</f>
        <v/>
      </c>
      <c r="H68" s="1107" t="str">
        <f>IFERROR(IF(INDEX('Disaggregation1B_Import-Export'!I$8:I$239,MATCH($B68,'Disaggregation1B_Import-Export'!$C$8:$C$239,0))="","",INDEX('Disaggregation1B_Import-Export'!I$8:I$239,MATCH($B68,'Disaggregation1B_Import-Export'!$C$8:$C$239,0))),"")</f>
        <v/>
      </c>
      <c r="I68" s="1108" t="str">
        <f>IFERROR(IF(INDEX('Disaggregation1B_Import-Export'!J$8:J$239,MATCH($B68,'Disaggregation1B_Import-Export'!$C$8:$C$239,0))="","",INDEX('Disaggregation1B_Import-Export'!J$8:J$239,MATCH($B68,'Disaggregation1B_Import-Export'!$C$8:$C$239,0))),"")</f>
        <v/>
      </c>
      <c r="J68" s="1028" t="str">
        <f>IFERROR(IF(INDEX('Disaggregation1B_Import-Export'!K$8:K$239,MATCH($B68,'Disaggregation1B_Import-Export'!$C$8:$C$239,0))="","",INDEX('Disaggregation1B_Import-Export'!K$8:K$239,MATCH($B68,'Disaggregation1B_Import-Export'!$C$8:$C$239,0))),"")</f>
        <v/>
      </c>
      <c r="K68" s="1028" t="str">
        <f>IFERROR(IF(INDEX('Disaggregation1B_Import-Export'!L$8:L$239,MATCH($B68,'Disaggregation1B_Import-Export'!$C$8:$C$239,0))="","",INDEX('Disaggregation1B_Import-Export'!L$8:L$239,MATCH($B68,'Disaggregation1B_Import-Export'!$C$8:$C$239,0))),"")</f>
        <v/>
      </c>
      <c r="L68" s="1028" t="str">
        <f>IFERROR(IF(INDEX('Disaggregation1B_Import-Export'!AQ$8:AQ$239,MATCH($B68,'Disaggregation1B_Import-Export'!$C$8:$C$239,0))="","",INDEX('Disaggregation1B_Import-Export'!AQ$8:AQ$239,MATCH($B68,'Disaggregation1B_Import-Export'!$C$8:$C$239,0))),"")</f>
        <v/>
      </c>
      <c r="M68" s="1064"/>
      <c r="N68" s="1064"/>
      <c r="O68" s="1109" t="str">
        <f t="shared" si="6"/>
        <v/>
      </c>
      <c r="P68" s="1065"/>
      <c r="Q68" s="1065"/>
      <c r="R68" s="1066"/>
      <c r="S68" s="1064"/>
      <c r="T68" s="1064"/>
      <c r="U68" s="1109" t="str">
        <f t="shared" si="7"/>
        <v/>
      </c>
      <c r="V68" s="1065"/>
      <c r="W68" s="1065"/>
      <c r="X68" s="1066"/>
      <c r="Y68" s="1110"/>
      <c r="Z68" s="1110"/>
      <c r="AA68" s="1111" t="str">
        <f t="shared" si="8"/>
        <v/>
      </c>
      <c r="AB68" s="1112"/>
      <c r="AC68" s="1113"/>
    </row>
    <row r="69" spans="1:29" x14ac:dyDescent="0.2">
      <c r="A69" s="648">
        <f t="shared" si="0"/>
        <v>59</v>
      </c>
      <c r="B69" s="648" t="str">
        <f t="shared" si="5"/>
        <v>Coverage59</v>
      </c>
      <c r="C69" s="1027" t="str">
        <f>IFERROR(INDEX('Disaggregation1B_Import-Export'!D$8:D$239,MATCH($B69,'Disaggregation1B_Import-Export'!$C$8:$C$239,0)),"")</f>
        <v/>
      </c>
      <c r="D69" s="1028" t="str">
        <f>IFERROR(INDEX('Disaggregation1B_Import-Export'!AF$8:AF$256,MATCH($B69,'Disaggregation1B_Import-Export'!$C$8:$C$256,0)),"")</f>
        <v/>
      </c>
      <c r="E69" s="1028" t="str">
        <f>IFERROR(IF(INDEX('Disaggregation1B_Import-Export'!AG$8:AG$239,MATCH($B69,'Disaggregation1B_Import-Export'!$C$8:$C$239,0))="","",INDEX('Disaggregation1B_Import-Export'!AG$8:AG$239,MATCH($B69,'Disaggregation1B_Import-Export'!$C$8:$C$239,0))),"")</f>
        <v/>
      </c>
      <c r="F69" s="1028" t="str">
        <f>IFERROR(IF(INDEX('Disaggregation1B_Import-Export'!AH$8:AH$239,MATCH($B69,'Disaggregation1B_Import-Export'!$C$8:$C$239,0))="","",INDEX('Disaggregation1B_Import-Export'!AH$8:AH$239,MATCH($B69,'Disaggregation1B_Import-Export'!$C$8:$C$239,0))),"")</f>
        <v/>
      </c>
      <c r="G69" s="1107" t="str">
        <f>IFERROR(IF(INDEX('Disaggregation1B_Import-Export'!H$8:H$239,MATCH($B69,'Disaggregation1B_Import-Export'!$C$8:$C$239,0))="","",INDEX('Disaggregation1B_Import-Export'!H$8:H$239,MATCH($B69,'Disaggregation1B_Import-Export'!$C$8:$C$239,0))),"")</f>
        <v/>
      </c>
      <c r="H69" s="1107" t="str">
        <f>IFERROR(IF(INDEX('Disaggregation1B_Import-Export'!I$8:I$239,MATCH($B69,'Disaggregation1B_Import-Export'!$C$8:$C$239,0))="","",INDEX('Disaggregation1B_Import-Export'!I$8:I$239,MATCH($B69,'Disaggregation1B_Import-Export'!$C$8:$C$239,0))),"")</f>
        <v/>
      </c>
      <c r="I69" s="1108" t="str">
        <f>IFERROR(IF(INDEX('Disaggregation1B_Import-Export'!J$8:J$239,MATCH($B69,'Disaggregation1B_Import-Export'!$C$8:$C$239,0))="","",INDEX('Disaggregation1B_Import-Export'!J$8:J$239,MATCH($B69,'Disaggregation1B_Import-Export'!$C$8:$C$239,0))),"")</f>
        <v/>
      </c>
      <c r="J69" s="1028" t="str">
        <f>IFERROR(IF(INDEX('Disaggregation1B_Import-Export'!K$8:K$239,MATCH($B69,'Disaggregation1B_Import-Export'!$C$8:$C$239,0))="","",INDEX('Disaggregation1B_Import-Export'!K$8:K$239,MATCH($B69,'Disaggregation1B_Import-Export'!$C$8:$C$239,0))),"")</f>
        <v/>
      </c>
      <c r="K69" s="1028" t="str">
        <f>IFERROR(IF(INDEX('Disaggregation1B_Import-Export'!L$8:L$239,MATCH($B69,'Disaggregation1B_Import-Export'!$C$8:$C$239,0))="","",INDEX('Disaggregation1B_Import-Export'!L$8:L$239,MATCH($B69,'Disaggregation1B_Import-Export'!$C$8:$C$239,0))),"")</f>
        <v/>
      </c>
      <c r="L69" s="1028" t="str">
        <f>IFERROR(IF(INDEX('Disaggregation1B_Import-Export'!AQ$8:AQ$239,MATCH($B69,'Disaggregation1B_Import-Export'!$C$8:$C$239,0))="","",INDEX('Disaggregation1B_Import-Export'!AQ$8:AQ$239,MATCH($B69,'Disaggregation1B_Import-Export'!$C$8:$C$239,0))),"")</f>
        <v/>
      </c>
      <c r="M69" s="1064"/>
      <c r="N69" s="1064"/>
      <c r="O69" s="1109" t="str">
        <f t="shared" si="6"/>
        <v/>
      </c>
      <c r="P69" s="1065"/>
      <c r="Q69" s="1065"/>
      <c r="R69" s="1066"/>
      <c r="S69" s="1064"/>
      <c r="T69" s="1064"/>
      <c r="U69" s="1109" t="str">
        <f t="shared" si="7"/>
        <v/>
      </c>
      <c r="V69" s="1065"/>
      <c r="W69" s="1065"/>
      <c r="X69" s="1066"/>
      <c r="Y69" s="1110"/>
      <c r="Z69" s="1110"/>
      <c r="AA69" s="1111" t="str">
        <f t="shared" si="8"/>
        <v/>
      </c>
      <c r="AB69" s="1112"/>
      <c r="AC69" s="1113"/>
    </row>
    <row r="70" spans="1:29" x14ac:dyDescent="0.2">
      <c r="A70" s="648">
        <f t="shared" si="0"/>
        <v>60</v>
      </c>
      <c r="B70" s="648" t="str">
        <f t="shared" si="5"/>
        <v>Coverage60</v>
      </c>
      <c r="C70" s="1027" t="str">
        <f>IFERROR(INDEX('Disaggregation1B_Import-Export'!D$8:D$239,MATCH($B70,'Disaggregation1B_Import-Export'!$C$8:$C$239,0)),"")</f>
        <v/>
      </c>
      <c r="D70" s="1028" t="str">
        <f>IFERROR(INDEX('Disaggregation1B_Import-Export'!AF$8:AF$256,MATCH($B70,'Disaggregation1B_Import-Export'!$C$8:$C$256,0)),"")</f>
        <v/>
      </c>
      <c r="E70" s="1028" t="str">
        <f>IFERROR(IF(INDEX('Disaggregation1B_Import-Export'!AG$8:AG$239,MATCH($B70,'Disaggregation1B_Import-Export'!$C$8:$C$239,0))="","",INDEX('Disaggregation1B_Import-Export'!AG$8:AG$239,MATCH($B70,'Disaggregation1B_Import-Export'!$C$8:$C$239,0))),"")</f>
        <v/>
      </c>
      <c r="F70" s="1028" t="str">
        <f>IFERROR(IF(INDEX('Disaggregation1B_Import-Export'!AH$8:AH$239,MATCH($B70,'Disaggregation1B_Import-Export'!$C$8:$C$239,0))="","",INDEX('Disaggregation1B_Import-Export'!AH$8:AH$239,MATCH($B70,'Disaggregation1B_Import-Export'!$C$8:$C$239,0))),"")</f>
        <v/>
      </c>
      <c r="G70" s="1107" t="str">
        <f>IFERROR(IF(INDEX('Disaggregation1B_Import-Export'!H$8:H$239,MATCH($B70,'Disaggregation1B_Import-Export'!$C$8:$C$239,0))="","",INDEX('Disaggregation1B_Import-Export'!H$8:H$239,MATCH($B70,'Disaggregation1B_Import-Export'!$C$8:$C$239,0))),"")</f>
        <v/>
      </c>
      <c r="H70" s="1107" t="str">
        <f>IFERROR(IF(INDEX('Disaggregation1B_Import-Export'!I$8:I$239,MATCH($B70,'Disaggregation1B_Import-Export'!$C$8:$C$239,0))="","",INDEX('Disaggregation1B_Import-Export'!I$8:I$239,MATCH($B70,'Disaggregation1B_Import-Export'!$C$8:$C$239,0))),"")</f>
        <v/>
      </c>
      <c r="I70" s="1108" t="str">
        <f>IFERROR(IF(INDEX('Disaggregation1B_Import-Export'!J$8:J$239,MATCH($B70,'Disaggregation1B_Import-Export'!$C$8:$C$239,0))="","",INDEX('Disaggregation1B_Import-Export'!J$8:J$239,MATCH($B70,'Disaggregation1B_Import-Export'!$C$8:$C$239,0))),"")</f>
        <v/>
      </c>
      <c r="J70" s="1028" t="str">
        <f>IFERROR(IF(INDEX('Disaggregation1B_Import-Export'!K$8:K$239,MATCH($B70,'Disaggregation1B_Import-Export'!$C$8:$C$239,0))="","",INDEX('Disaggregation1B_Import-Export'!K$8:K$239,MATCH($B70,'Disaggregation1B_Import-Export'!$C$8:$C$239,0))),"")</f>
        <v/>
      </c>
      <c r="K70" s="1028" t="str">
        <f>IFERROR(IF(INDEX('Disaggregation1B_Import-Export'!L$8:L$239,MATCH($B70,'Disaggregation1B_Import-Export'!$C$8:$C$239,0))="","",INDEX('Disaggregation1B_Import-Export'!L$8:L$239,MATCH($B70,'Disaggregation1B_Import-Export'!$C$8:$C$239,0))),"")</f>
        <v/>
      </c>
      <c r="L70" s="1028" t="str">
        <f>IFERROR(IF(INDEX('Disaggregation1B_Import-Export'!AQ$8:AQ$239,MATCH($B70,'Disaggregation1B_Import-Export'!$C$8:$C$239,0))="","",INDEX('Disaggregation1B_Import-Export'!AQ$8:AQ$239,MATCH($B70,'Disaggregation1B_Import-Export'!$C$8:$C$239,0))),"")</f>
        <v/>
      </c>
      <c r="M70" s="1064"/>
      <c r="N70" s="1064"/>
      <c r="O70" s="1109" t="str">
        <f t="shared" si="6"/>
        <v/>
      </c>
      <c r="P70" s="1065"/>
      <c r="Q70" s="1065"/>
      <c r="R70" s="1066"/>
      <c r="S70" s="1064"/>
      <c r="T70" s="1064"/>
      <c r="U70" s="1109" t="str">
        <f t="shared" si="7"/>
        <v/>
      </c>
      <c r="V70" s="1065"/>
      <c r="W70" s="1065"/>
      <c r="X70" s="1066"/>
      <c r="Y70" s="1110"/>
      <c r="Z70" s="1110"/>
      <c r="AA70" s="1111" t="str">
        <f t="shared" si="8"/>
        <v/>
      </c>
      <c r="AB70" s="1112"/>
      <c r="AC70" s="1113"/>
    </row>
    <row r="71" spans="1:29" x14ac:dyDescent="0.2">
      <c r="A71" s="648">
        <f t="shared" si="0"/>
        <v>61</v>
      </c>
      <c r="B71" s="648" t="str">
        <f t="shared" si="5"/>
        <v>Coverage61</v>
      </c>
      <c r="C71" s="1027" t="str">
        <f>IFERROR(INDEX('Disaggregation1B_Import-Export'!D$8:D$239,MATCH($B71,'Disaggregation1B_Import-Export'!$C$8:$C$239,0)),"")</f>
        <v/>
      </c>
      <c r="D71" s="1028" t="str">
        <f>IFERROR(INDEX('Disaggregation1B_Import-Export'!AF$8:AF$256,MATCH($B71,'Disaggregation1B_Import-Export'!$C$8:$C$256,0)),"")</f>
        <v/>
      </c>
      <c r="E71" s="1028" t="str">
        <f>IFERROR(IF(INDEX('Disaggregation1B_Import-Export'!AG$8:AG$239,MATCH($B71,'Disaggregation1B_Import-Export'!$C$8:$C$239,0))="","",INDEX('Disaggregation1B_Import-Export'!AG$8:AG$239,MATCH($B71,'Disaggregation1B_Import-Export'!$C$8:$C$239,0))),"")</f>
        <v/>
      </c>
      <c r="F71" s="1028" t="str">
        <f>IFERROR(IF(INDEX('Disaggregation1B_Import-Export'!AH$8:AH$239,MATCH($B71,'Disaggregation1B_Import-Export'!$C$8:$C$239,0))="","",INDEX('Disaggregation1B_Import-Export'!AH$8:AH$239,MATCH($B71,'Disaggregation1B_Import-Export'!$C$8:$C$239,0))),"")</f>
        <v/>
      </c>
      <c r="G71" s="1107" t="str">
        <f>IFERROR(IF(INDEX('Disaggregation1B_Import-Export'!H$8:H$239,MATCH($B71,'Disaggregation1B_Import-Export'!$C$8:$C$239,0))="","",INDEX('Disaggregation1B_Import-Export'!H$8:H$239,MATCH($B71,'Disaggregation1B_Import-Export'!$C$8:$C$239,0))),"")</f>
        <v/>
      </c>
      <c r="H71" s="1107" t="str">
        <f>IFERROR(IF(INDEX('Disaggregation1B_Import-Export'!I$8:I$239,MATCH($B71,'Disaggregation1B_Import-Export'!$C$8:$C$239,0))="","",INDEX('Disaggregation1B_Import-Export'!I$8:I$239,MATCH($B71,'Disaggregation1B_Import-Export'!$C$8:$C$239,0))),"")</f>
        <v/>
      </c>
      <c r="I71" s="1108" t="str">
        <f>IFERROR(IF(INDEX('Disaggregation1B_Import-Export'!J$8:J$239,MATCH($B71,'Disaggregation1B_Import-Export'!$C$8:$C$239,0))="","",INDEX('Disaggregation1B_Import-Export'!J$8:J$239,MATCH($B71,'Disaggregation1B_Import-Export'!$C$8:$C$239,0))),"")</f>
        <v/>
      </c>
      <c r="J71" s="1028" t="str">
        <f>IFERROR(IF(INDEX('Disaggregation1B_Import-Export'!K$8:K$239,MATCH($B71,'Disaggregation1B_Import-Export'!$C$8:$C$239,0))="","",INDEX('Disaggregation1B_Import-Export'!K$8:K$239,MATCH($B71,'Disaggregation1B_Import-Export'!$C$8:$C$239,0))),"")</f>
        <v/>
      </c>
      <c r="K71" s="1028" t="str">
        <f>IFERROR(IF(INDEX('Disaggregation1B_Import-Export'!L$8:L$239,MATCH($B71,'Disaggregation1B_Import-Export'!$C$8:$C$239,0))="","",INDEX('Disaggregation1B_Import-Export'!L$8:L$239,MATCH($B71,'Disaggregation1B_Import-Export'!$C$8:$C$239,0))),"")</f>
        <v/>
      </c>
      <c r="L71" s="1028" t="str">
        <f>IFERROR(IF(INDEX('Disaggregation1B_Import-Export'!AQ$8:AQ$239,MATCH($B71,'Disaggregation1B_Import-Export'!$C$8:$C$239,0))="","",INDEX('Disaggregation1B_Import-Export'!AQ$8:AQ$239,MATCH($B71,'Disaggregation1B_Import-Export'!$C$8:$C$239,0))),"")</f>
        <v/>
      </c>
      <c r="M71" s="1064"/>
      <c r="N71" s="1064"/>
      <c r="O71" s="1109" t="str">
        <f t="shared" si="6"/>
        <v/>
      </c>
      <c r="P71" s="1065"/>
      <c r="Q71" s="1065"/>
      <c r="R71" s="1066"/>
      <c r="S71" s="1064"/>
      <c r="T71" s="1064"/>
      <c r="U71" s="1109" t="str">
        <f t="shared" si="7"/>
        <v/>
      </c>
      <c r="V71" s="1065"/>
      <c r="W71" s="1065"/>
      <c r="X71" s="1066"/>
      <c r="Y71" s="1110"/>
      <c r="Z71" s="1110"/>
      <c r="AA71" s="1111" t="str">
        <f t="shared" si="8"/>
        <v/>
      </c>
      <c r="AB71" s="1112"/>
      <c r="AC71" s="1113"/>
    </row>
    <row r="72" spans="1:29" x14ac:dyDescent="0.2">
      <c r="A72" s="648">
        <f t="shared" si="0"/>
        <v>62</v>
      </c>
      <c r="B72" s="648" t="str">
        <f t="shared" si="5"/>
        <v>Coverage62</v>
      </c>
      <c r="C72" s="1027" t="str">
        <f>IFERROR(INDEX('Disaggregation1B_Import-Export'!D$8:D$239,MATCH($B72,'Disaggregation1B_Import-Export'!$C$8:$C$239,0)),"")</f>
        <v/>
      </c>
      <c r="D72" s="1028" t="str">
        <f>IFERROR(INDEX('Disaggregation1B_Import-Export'!AF$8:AF$256,MATCH($B72,'Disaggregation1B_Import-Export'!$C$8:$C$256,0)),"")</f>
        <v/>
      </c>
      <c r="E72" s="1028" t="str">
        <f>IFERROR(IF(INDEX('Disaggregation1B_Import-Export'!AG$8:AG$239,MATCH($B72,'Disaggregation1B_Import-Export'!$C$8:$C$239,0))="","",INDEX('Disaggregation1B_Import-Export'!AG$8:AG$239,MATCH($B72,'Disaggregation1B_Import-Export'!$C$8:$C$239,0))),"")</f>
        <v/>
      </c>
      <c r="F72" s="1028" t="str">
        <f>IFERROR(IF(INDEX('Disaggregation1B_Import-Export'!AH$8:AH$239,MATCH($B72,'Disaggregation1B_Import-Export'!$C$8:$C$239,0))="","",INDEX('Disaggregation1B_Import-Export'!AH$8:AH$239,MATCH($B72,'Disaggregation1B_Import-Export'!$C$8:$C$239,0))),"")</f>
        <v/>
      </c>
      <c r="G72" s="1107" t="str">
        <f>IFERROR(IF(INDEX('Disaggregation1B_Import-Export'!H$8:H$239,MATCH($B72,'Disaggregation1B_Import-Export'!$C$8:$C$239,0))="","",INDEX('Disaggregation1B_Import-Export'!H$8:H$239,MATCH($B72,'Disaggregation1B_Import-Export'!$C$8:$C$239,0))),"")</f>
        <v/>
      </c>
      <c r="H72" s="1107" t="str">
        <f>IFERROR(IF(INDEX('Disaggregation1B_Import-Export'!I$8:I$239,MATCH($B72,'Disaggregation1B_Import-Export'!$C$8:$C$239,0))="","",INDEX('Disaggregation1B_Import-Export'!I$8:I$239,MATCH($B72,'Disaggregation1B_Import-Export'!$C$8:$C$239,0))),"")</f>
        <v/>
      </c>
      <c r="I72" s="1108" t="str">
        <f>IFERROR(IF(INDEX('Disaggregation1B_Import-Export'!J$8:J$239,MATCH($B72,'Disaggregation1B_Import-Export'!$C$8:$C$239,0))="","",INDEX('Disaggregation1B_Import-Export'!J$8:J$239,MATCH($B72,'Disaggregation1B_Import-Export'!$C$8:$C$239,0))),"")</f>
        <v/>
      </c>
      <c r="J72" s="1028" t="str">
        <f>IFERROR(IF(INDEX('Disaggregation1B_Import-Export'!K$8:K$239,MATCH($B72,'Disaggregation1B_Import-Export'!$C$8:$C$239,0))="","",INDEX('Disaggregation1B_Import-Export'!K$8:K$239,MATCH($B72,'Disaggregation1B_Import-Export'!$C$8:$C$239,0))),"")</f>
        <v/>
      </c>
      <c r="K72" s="1028" t="str">
        <f>IFERROR(IF(INDEX('Disaggregation1B_Import-Export'!L$8:L$239,MATCH($B72,'Disaggregation1B_Import-Export'!$C$8:$C$239,0))="","",INDEX('Disaggregation1B_Import-Export'!L$8:L$239,MATCH($B72,'Disaggregation1B_Import-Export'!$C$8:$C$239,0))),"")</f>
        <v/>
      </c>
      <c r="L72" s="1028" t="str">
        <f>IFERROR(IF(INDEX('Disaggregation1B_Import-Export'!AQ$8:AQ$239,MATCH($B72,'Disaggregation1B_Import-Export'!$C$8:$C$239,0))="","",INDEX('Disaggregation1B_Import-Export'!AQ$8:AQ$239,MATCH($B72,'Disaggregation1B_Import-Export'!$C$8:$C$239,0))),"")</f>
        <v/>
      </c>
      <c r="M72" s="1064"/>
      <c r="N72" s="1064"/>
      <c r="O72" s="1109" t="str">
        <f t="shared" si="6"/>
        <v/>
      </c>
      <c r="P72" s="1065"/>
      <c r="Q72" s="1065"/>
      <c r="R72" s="1066"/>
      <c r="S72" s="1064"/>
      <c r="T72" s="1064"/>
      <c r="U72" s="1109" t="str">
        <f t="shared" si="7"/>
        <v/>
      </c>
      <c r="V72" s="1065"/>
      <c r="W72" s="1065"/>
      <c r="X72" s="1066"/>
      <c r="Y72" s="1110"/>
      <c r="Z72" s="1110"/>
      <c r="AA72" s="1111" t="str">
        <f t="shared" si="8"/>
        <v/>
      </c>
      <c r="AB72" s="1112"/>
      <c r="AC72" s="1113"/>
    </row>
    <row r="73" spans="1:29" x14ac:dyDescent="0.2">
      <c r="A73" s="648">
        <f t="shared" si="0"/>
        <v>63</v>
      </c>
      <c r="B73" s="648" t="str">
        <f t="shared" si="5"/>
        <v>Coverage63</v>
      </c>
      <c r="C73" s="1027" t="str">
        <f>IFERROR(INDEX('Disaggregation1B_Import-Export'!D$8:D$239,MATCH($B73,'Disaggregation1B_Import-Export'!$C$8:$C$239,0)),"")</f>
        <v/>
      </c>
      <c r="D73" s="1028" t="str">
        <f>IFERROR(INDEX('Disaggregation1B_Import-Export'!AF$8:AF$256,MATCH($B73,'Disaggregation1B_Import-Export'!$C$8:$C$256,0)),"")</f>
        <v/>
      </c>
      <c r="E73" s="1028" t="str">
        <f>IFERROR(IF(INDEX('Disaggregation1B_Import-Export'!AG$8:AG$239,MATCH($B73,'Disaggregation1B_Import-Export'!$C$8:$C$239,0))="","",INDEX('Disaggregation1B_Import-Export'!AG$8:AG$239,MATCH($B73,'Disaggregation1B_Import-Export'!$C$8:$C$239,0))),"")</f>
        <v/>
      </c>
      <c r="F73" s="1028" t="str">
        <f>IFERROR(IF(INDEX('Disaggregation1B_Import-Export'!AH$8:AH$239,MATCH($B73,'Disaggregation1B_Import-Export'!$C$8:$C$239,0))="","",INDEX('Disaggregation1B_Import-Export'!AH$8:AH$239,MATCH($B73,'Disaggregation1B_Import-Export'!$C$8:$C$239,0))),"")</f>
        <v/>
      </c>
      <c r="G73" s="1107" t="str">
        <f>IFERROR(IF(INDEX('Disaggregation1B_Import-Export'!H$8:H$239,MATCH($B73,'Disaggregation1B_Import-Export'!$C$8:$C$239,0))="","",INDEX('Disaggregation1B_Import-Export'!H$8:H$239,MATCH($B73,'Disaggregation1B_Import-Export'!$C$8:$C$239,0))),"")</f>
        <v/>
      </c>
      <c r="H73" s="1107" t="str">
        <f>IFERROR(IF(INDEX('Disaggregation1B_Import-Export'!I$8:I$239,MATCH($B73,'Disaggregation1B_Import-Export'!$C$8:$C$239,0))="","",INDEX('Disaggregation1B_Import-Export'!I$8:I$239,MATCH($B73,'Disaggregation1B_Import-Export'!$C$8:$C$239,0))),"")</f>
        <v/>
      </c>
      <c r="I73" s="1108" t="str">
        <f>IFERROR(IF(INDEX('Disaggregation1B_Import-Export'!J$8:J$239,MATCH($B73,'Disaggregation1B_Import-Export'!$C$8:$C$239,0))="","",INDEX('Disaggregation1B_Import-Export'!J$8:J$239,MATCH($B73,'Disaggregation1B_Import-Export'!$C$8:$C$239,0))),"")</f>
        <v/>
      </c>
      <c r="J73" s="1028" t="str">
        <f>IFERROR(IF(INDEX('Disaggregation1B_Import-Export'!K$8:K$239,MATCH($B73,'Disaggregation1B_Import-Export'!$C$8:$C$239,0))="","",INDEX('Disaggregation1B_Import-Export'!K$8:K$239,MATCH($B73,'Disaggregation1B_Import-Export'!$C$8:$C$239,0))),"")</f>
        <v/>
      </c>
      <c r="K73" s="1028" t="str">
        <f>IFERROR(IF(INDEX('Disaggregation1B_Import-Export'!L$8:L$239,MATCH($B73,'Disaggregation1B_Import-Export'!$C$8:$C$239,0))="","",INDEX('Disaggregation1B_Import-Export'!L$8:L$239,MATCH($B73,'Disaggregation1B_Import-Export'!$C$8:$C$239,0))),"")</f>
        <v/>
      </c>
      <c r="L73" s="1028" t="str">
        <f>IFERROR(IF(INDEX('Disaggregation1B_Import-Export'!AQ$8:AQ$239,MATCH($B73,'Disaggregation1B_Import-Export'!$C$8:$C$239,0))="","",INDEX('Disaggregation1B_Import-Export'!AQ$8:AQ$239,MATCH($B73,'Disaggregation1B_Import-Export'!$C$8:$C$239,0))),"")</f>
        <v/>
      </c>
      <c r="M73" s="1064"/>
      <c r="N73" s="1064"/>
      <c r="O73" s="1109" t="str">
        <f t="shared" si="6"/>
        <v/>
      </c>
      <c r="P73" s="1065"/>
      <c r="Q73" s="1065"/>
      <c r="R73" s="1066"/>
      <c r="S73" s="1064"/>
      <c r="T73" s="1064"/>
      <c r="U73" s="1109" t="str">
        <f t="shared" si="7"/>
        <v/>
      </c>
      <c r="V73" s="1065"/>
      <c r="W73" s="1065"/>
      <c r="X73" s="1066"/>
      <c r="Y73" s="1110"/>
      <c r="Z73" s="1110"/>
      <c r="AA73" s="1111" t="str">
        <f t="shared" si="8"/>
        <v/>
      </c>
      <c r="AB73" s="1112"/>
      <c r="AC73" s="1113"/>
    </row>
    <row r="74" spans="1:29" x14ac:dyDescent="0.2">
      <c r="A74" s="648">
        <f t="shared" si="0"/>
        <v>64</v>
      </c>
      <c r="B74" s="648" t="str">
        <f t="shared" si="5"/>
        <v>Coverage64</v>
      </c>
      <c r="C74" s="1027" t="str">
        <f>IFERROR(INDEX('Disaggregation1B_Import-Export'!D$8:D$239,MATCH($B74,'Disaggregation1B_Import-Export'!$C$8:$C$239,0)),"")</f>
        <v/>
      </c>
      <c r="D74" s="1028" t="str">
        <f>IFERROR(INDEX('Disaggregation1B_Import-Export'!AF$8:AF$256,MATCH($B74,'Disaggregation1B_Import-Export'!$C$8:$C$256,0)),"")</f>
        <v/>
      </c>
      <c r="E74" s="1028" t="str">
        <f>IFERROR(IF(INDEX('Disaggregation1B_Import-Export'!AG$8:AG$239,MATCH($B74,'Disaggregation1B_Import-Export'!$C$8:$C$239,0))="","",INDEX('Disaggregation1B_Import-Export'!AG$8:AG$239,MATCH($B74,'Disaggregation1B_Import-Export'!$C$8:$C$239,0))),"")</f>
        <v/>
      </c>
      <c r="F74" s="1028" t="str">
        <f>IFERROR(IF(INDEX('Disaggregation1B_Import-Export'!AH$8:AH$239,MATCH($B74,'Disaggregation1B_Import-Export'!$C$8:$C$239,0))="","",INDEX('Disaggregation1B_Import-Export'!AH$8:AH$239,MATCH($B74,'Disaggregation1B_Import-Export'!$C$8:$C$239,0))),"")</f>
        <v/>
      </c>
      <c r="G74" s="1107" t="str">
        <f>IFERROR(IF(INDEX('Disaggregation1B_Import-Export'!H$8:H$239,MATCH($B74,'Disaggregation1B_Import-Export'!$C$8:$C$239,0))="","",INDEX('Disaggregation1B_Import-Export'!H$8:H$239,MATCH($B74,'Disaggregation1B_Import-Export'!$C$8:$C$239,0))),"")</f>
        <v/>
      </c>
      <c r="H74" s="1107" t="str">
        <f>IFERROR(IF(INDEX('Disaggregation1B_Import-Export'!I$8:I$239,MATCH($B74,'Disaggregation1B_Import-Export'!$C$8:$C$239,0))="","",INDEX('Disaggregation1B_Import-Export'!I$8:I$239,MATCH($B74,'Disaggregation1B_Import-Export'!$C$8:$C$239,0))),"")</f>
        <v/>
      </c>
      <c r="I74" s="1108" t="str">
        <f>IFERROR(IF(INDEX('Disaggregation1B_Import-Export'!J$8:J$239,MATCH($B74,'Disaggregation1B_Import-Export'!$C$8:$C$239,0))="","",INDEX('Disaggregation1B_Import-Export'!J$8:J$239,MATCH($B74,'Disaggregation1B_Import-Export'!$C$8:$C$239,0))),"")</f>
        <v/>
      </c>
      <c r="J74" s="1028" t="str">
        <f>IFERROR(IF(INDEX('Disaggregation1B_Import-Export'!K$8:K$239,MATCH($B74,'Disaggregation1B_Import-Export'!$C$8:$C$239,0))="","",INDEX('Disaggregation1B_Import-Export'!K$8:K$239,MATCH($B74,'Disaggregation1B_Import-Export'!$C$8:$C$239,0))),"")</f>
        <v/>
      </c>
      <c r="K74" s="1028" t="str">
        <f>IFERROR(IF(INDEX('Disaggregation1B_Import-Export'!L$8:L$239,MATCH($B74,'Disaggregation1B_Import-Export'!$C$8:$C$239,0))="","",INDEX('Disaggregation1B_Import-Export'!L$8:L$239,MATCH($B74,'Disaggregation1B_Import-Export'!$C$8:$C$239,0))),"")</f>
        <v/>
      </c>
      <c r="L74" s="1028" t="str">
        <f>IFERROR(IF(INDEX('Disaggregation1B_Import-Export'!AQ$8:AQ$239,MATCH($B74,'Disaggregation1B_Import-Export'!$C$8:$C$239,0))="","",INDEX('Disaggregation1B_Import-Export'!AQ$8:AQ$239,MATCH($B74,'Disaggregation1B_Import-Export'!$C$8:$C$239,0))),"")</f>
        <v/>
      </c>
      <c r="M74" s="1064"/>
      <c r="N74" s="1064"/>
      <c r="O74" s="1109" t="str">
        <f t="shared" si="6"/>
        <v/>
      </c>
      <c r="P74" s="1065"/>
      <c r="Q74" s="1065"/>
      <c r="R74" s="1066"/>
      <c r="S74" s="1064"/>
      <c r="T74" s="1064"/>
      <c r="U74" s="1109" t="str">
        <f t="shared" si="7"/>
        <v/>
      </c>
      <c r="V74" s="1065"/>
      <c r="W74" s="1065"/>
      <c r="X74" s="1066"/>
      <c r="Y74" s="1110"/>
      <c r="Z74" s="1110"/>
      <c r="AA74" s="1111" t="str">
        <f t="shared" si="8"/>
        <v/>
      </c>
      <c r="AB74" s="1112"/>
      <c r="AC74" s="1113"/>
    </row>
    <row r="75" spans="1:29" x14ac:dyDescent="0.2">
      <c r="A75" s="648">
        <f t="shared" si="0"/>
        <v>65</v>
      </c>
      <c r="B75" s="648" t="str">
        <f t="shared" si="5"/>
        <v>Coverage65</v>
      </c>
      <c r="C75" s="1027" t="str">
        <f>IFERROR(INDEX('Disaggregation1B_Import-Export'!D$8:D$239,MATCH($B75,'Disaggregation1B_Import-Export'!$C$8:$C$239,0)),"")</f>
        <v/>
      </c>
      <c r="D75" s="1028" t="str">
        <f>IFERROR(INDEX('Disaggregation1B_Import-Export'!AF$8:AF$256,MATCH($B75,'Disaggregation1B_Import-Export'!$C$8:$C$256,0)),"")</f>
        <v/>
      </c>
      <c r="E75" s="1028" t="str">
        <f>IFERROR(IF(INDEX('Disaggregation1B_Import-Export'!AG$8:AG$239,MATCH($B75,'Disaggregation1B_Import-Export'!$C$8:$C$239,0))="","",INDEX('Disaggregation1B_Import-Export'!AG$8:AG$239,MATCH($B75,'Disaggregation1B_Import-Export'!$C$8:$C$239,0))),"")</f>
        <v/>
      </c>
      <c r="F75" s="1028" t="str">
        <f>IFERROR(IF(INDEX('Disaggregation1B_Import-Export'!AH$8:AH$239,MATCH($B75,'Disaggregation1B_Import-Export'!$C$8:$C$239,0))="","",INDEX('Disaggregation1B_Import-Export'!AH$8:AH$239,MATCH($B75,'Disaggregation1B_Import-Export'!$C$8:$C$239,0))),"")</f>
        <v/>
      </c>
      <c r="G75" s="1107" t="str">
        <f>IFERROR(IF(INDEX('Disaggregation1B_Import-Export'!H$8:H$239,MATCH($B75,'Disaggregation1B_Import-Export'!$C$8:$C$239,0))="","",INDEX('Disaggregation1B_Import-Export'!H$8:H$239,MATCH($B75,'Disaggregation1B_Import-Export'!$C$8:$C$239,0))),"")</f>
        <v/>
      </c>
      <c r="H75" s="1107" t="str">
        <f>IFERROR(IF(INDEX('Disaggregation1B_Import-Export'!I$8:I$239,MATCH($B75,'Disaggregation1B_Import-Export'!$C$8:$C$239,0))="","",INDEX('Disaggregation1B_Import-Export'!I$8:I$239,MATCH($B75,'Disaggregation1B_Import-Export'!$C$8:$C$239,0))),"")</f>
        <v/>
      </c>
      <c r="I75" s="1108" t="str">
        <f>IFERROR(IF(INDEX('Disaggregation1B_Import-Export'!J$8:J$239,MATCH($B75,'Disaggregation1B_Import-Export'!$C$8:$C$239,0))="","",INDEX('Disaggregation1B_Import-Export'!J$8:J$239,MATCH($B75,'Disaggregation1B_Import-Export'!$C$8:$C$239,0))),"")</f>
        <v/>
      </c>
      <c r="J75" s="1028" t="str">
        <f>IFERROR(IF(INDEX('Disaggregation1B_Import-Export'!K$8:K$239,MATCH($B75,'Disaggregation1B_Import-Export'!$C$8:$C$239,0))="","",INDEX('Disaggregation1B_Import-Export'!K$8:K$239,MATCH($B75,'Disaggregation1B_Import-Export'!$C$8:$C$239,0))),"")</f>
        <v/>
      </c>
      <c r="K75" s="1028" t="str">
        <f>IFERROR(IF(INDEX('Disaggregation1B_Import-Export'!L$8:L$239,MATCH($B75,'Disaggregation1B_Import-Export'!$C$8:$C$239,0))="","",INDEX('Disaggregation1B_Import-Export'!L$8:L$239,MATCH($B75,'Disaggregation1B_Import-Export'!$C$8:$C$239,0))),"")</f>
        <v/>
      </c>
      <c r="L75" s="1028" t="str">
        <f>IFERROR(IF(INDEX('Disaggregation1B_Import-Export'!AQ$8:AQ$239,MATCH($B75,'Disaggregation1B_Import-Export'!$C$8:$C$239,0))="","",INDEX('Disaggregation1B_Import-Export'!AQ$8:AQ$239,MATCH($B75,'Disaggregation1B_Import-Export'!$C$8:$C$239,0))),"")</f>
        <v/>
      </c>
      <c r="M75" s="1064"/>
      <c r="N75" s="1064"/>
      <c r="O75" s="1109" t="str">
        <f t="shared" si="6"/>
        <v/>
      </c>
      <c r="P75" s="1065"/>
      <c r="Q75" s="1065"/>
      <c r="R75" s="1066"/>
      <c r="S75" s="1064"/>
      <c r="T75" s="1064"/>
      <c r="U75" s="1109" t="str">
        <f t="shared" si="7"/>
        <v/>
      </c>
      <c r="V75" s="1065"/>
      <c r="W75" s="1065"/>
      <c r="X75" s="1066"/>
      <c r="Y75" s="1110"/>
      <c r="Z75" s="1110"/>
      <c r="AA75" s="1111" t="str">
        <f t="shared" si="8"/>
        <v/>
      </c>
      <c r="AB75" s="1112"/>
      <c r="AC75" s="1113"/>
    </row>
    <row r="76" spans="1:29" x14ac:dyDescent="0.2">
      <c r="A76" s="648">
        <f t="shared" ref="A76:A139" si="9">A75+1</f>
        <v>66</v>
      </c>
      <c r="B76" s="648" t="str">
        <f t="shared" si="5"/>
        <v>Coverage66</v>
      </c>
      <c r="C76" s="1027" t="str">
        <f>IFERROR(INDEX('Disaggregation1B_Import-Export'!D$8:D$239,MATCH($B76,'Disaggregation1B_Import-Export'!$C$8:$C$239,0)),"")</f>
        <v/>
      </c>
      <c r="D76" s="1028" t="str">
        <f>IFERROR(INDEX('Disaggregation1B_Import-Export'!AF$8:AF$256,MATCH($B76,'Disaggregation1B_Import-Export'!$C$8:$C$256,0)),"")</f>
        <v/>
      </c>
      <c r="E76" s="1028" t="str">
        <f>IFERROR(IF(INDEX('Disaggregation1B_Import-Export'!AG$8:AG$239,MATCH($B76,'Disaggregation1B_Import-Export'!$C$8:$C$239,0))="","",INDEX('Disaggregation1B_Import-Export'!AG$8:AG$239,MATCH($B76,'Disaggregation1B_Import-Export'!$C$8:$C$239,0))),"")</f>
        <v/>
      </c>
      <c r="F76" s="1028" t="str">
        <f>IFERROR(IF(INDEX('Disaggregation1B_Import-Export'!AH$8:AH$239,MATCH($B76,'Disaggregation1B_Import-Export'!$C$8:$C$239,0))="","",INDEX('Disaggregation1B_Import-Export'!AH$8:AH$239,MATCH($B76,'Disaggregation1B_Import-Export'!$C$8:$C$239,0))),"")</f>
        <v/>
      </c>
      <c r="G76" s="1107" t="str">
        <f>IFERROR(IF(INDEX('Disaggregation1B_Import-Export'!H$8:H$239,MATCH($B76,'Disaggregation1B_Import-Export'!$C$8:$C$239,0))="","",INDEX('Disaggregation1B_Import-Export'!H$8:H$239,MATCH($B76,'Disaggregation1B_Import-Export'!$C$8:$C$239,0))),"")</f>
        <v/>
      </c>
      <c r="H76" s="1107" t="str">
        <f>IFERROR(IF(INDEX('Disaggregation1B_Import-Export'!I$8:I$239,MATCH($B76,'Disaggregation1B_Import-Export'!$C$8:$C$239,0))="","",INDEX('Disaggregation1B_Import-Export'!I$8:I$239,MATCH($B76,'Disaggregation1B_Import-Export'!$C$8:$C$239,0))),"")</f>
        <v/>
      </c>
      <c r="I76" s="1108" t="str">
        <f>IFERROR(IF(INDEX('Disaggregation1B_Import-Export'!J$8:J$239,MATCH($B76,'Disaggregation1B_Import-Export'!$C$8:$C$239,0))="","",INDEX('Disaggregation1B_Import-Export'!J$8:J$239,MATCH($B76,'Disaggregation1B_Import-Export'!$C$8:$C$239,0))),"")</f>
        <v/>
      </c>
      <c r="J76" s="1028" t="str">
        <f>IFERROR(IF(INDEX('Disaggregation1B_Import-Export'!K$8:K$239,MATCH($B76,'Disaggregation1B_Import-Export'!$C$8:$C$239,0))="","",INDEX('Disaggregation1B_Import-Export'!K$8:K$239,MATCH($B76,'Disaggregation1B_Import-Export'!$C$8:$C$239,0))),"")</f>
        <v/>
      </c>
      <c r="K76" s="1028" t="str">
        <f>IFERROR(IF(INDEX('Disaggregation1B_Import-Export'!L$8:L$239,MATCH($B76,'Disaggregation1B_Import-Export'!$C$8:$C$239,0))="","",INDEX('Disaggregation1B_Import-Export'!L$8:L$239,MATCH($B76,'Disaggregation1B_Import-Export'!$C$8:$C$239,0))),"")</f>
        <v/>
      </c>
      <c r="L76" s="1028" t="str">
        <f>IFERROR(IF(INDEX('Disaggregation1B_Import-Export'!AQ$8:AQ$239,MATCH($B76,'Disaggregation1B_Import-Export'!$C$8:$C$239,0))="","",INDEX('Disaggregation1B_Import-Export'!AQ$8:AQ$239,MATCH($B76,'Disaggregation1B_Import-Export'!$C$8:$C$239,0))),"")</f>
        <v/>
      </c>
      <c r="M76" s="1064"/>
      <c r="N76" s="1064"/>
      <c r="O76" s="1109" t="str">
        <f t="shared" si="6"/>
        <v/>
      </c>
      <c r="P76" s="1065"/>
      <c r="Q76" s="1065"/>
      <c r="R76" s="1066"/>
      <c r="S76" s="1064"/>
      <c r="T76" s="1064"/>
      <c r="U76" s="1109" t="str">
        <f t="shared" si="7"/>
        <v/>
      </c>
      <c r="V76" s="1065"/>
      <c r="W76" s="1065"/>
      <c r="X76" s="1066"/>
      <c r="Y76" s="1110"/>
      <c r="Z76" s="1110"/>
      <c r="AA76" s="1111" t="str">
        <f t="shared" si="8"/>
        <v/>
      </c>
      <c r="AB76" s="1112"/>
      <c r="AC76" s="1113"/>
    </row>
    <row r="77" spans="1:29" x14ac:dyDescent="0.2">
      <c r="A77" s="648">
        <f t="shared" si="9"/>
        <v>67</v>
      </c>
      <c r="B77" s="648" t="str">
        <f t="shared" si="5"/>
        <v>Coverage67</v>
      </c>
      <c r="C77" s="1027" t="str">
        <f>IFERROR(INDEX('Disaggregation1B_Import-Export'!D$8:D$239,MATCH($B77,'Disaggregation1B_Import-Export'!$C$8:$C$239,0)),"")</f>
        <v/>
      </c>
      <c r="D77" s="1028" t="str">
        <f>IFERROR(INDEX('Disaggregation1B_Import-Export'!AF$8:AF$256,MATCH($B77,'Disaggregation1B_Import-Export'!$C$8:$C$256,0)),"")</f>
        <v/>
      </c>
      <c r="E77" s="1028" t="str">
        <f>IFERROR(IF(INDEX('Disaggregation1B_Import-Export'!AG$8:AG$239,MATCH($B77,'Disaggregation1B_Import-Export'!$C$8:$C$239,0))="","",INDEX('Disaggregation1B_Import-Export'!AG$8:AG$239,MATCH($B77,'Disaggregation1B_Import-Export'!$C$8:$C$239,0))),"")</f>
        <v/>
      </c>
      <c r="F77" s="1028" t="str">
        <f>IFERROR(IF(INDEX('Disaggregation1B_Import-Export'!AH$8:AH$239,MATCH($B77,'Disaggregation1B_Import-Export'!$C$8:$C$239,0))="","",INDEX('Disaggregation1B_Import-Export'!AH$8:AH$239,MATCH($B77,'Disaggregation1B_Import-Export'!$C$8:$C$239,0))),"")</f>
        <v/>
      </c>
      <c r="G77" s="1107" t="str">
        <f>IFERROR(IF(INDEX('Disaggregation1B_Import-Export'!H$8:H$239,MATCH($B77,'Disaggregation1B_Import-Export'!$C$8:$C$239,0))="","",INDEX('Disaggregation1B_Import-Export'!H$8:H$239,MATCH($B77,'Disaggregation1B_Import-Export'!$C$8:$C$239,0))),"")</f>
        <v/>
      </c>
      <c r="H77" s="1107" t="str">
        <f>IFERROR(IF(INDEX('Disaggregation1B_Import-Export'!I$8:I$239,MATCH($B77,'Disaggregation1B_Import-Export'!$C$8:$C$239,0))="","",INDEX('Disaggregation1B_Import-Export'!I$8:I$239,MATCH($B77,'Disaggregation1B_Import-Export'!$C$8:$C$239,0))),"")</f>
        <v/>
      </c>
      <c r="I77" s="1108" t="str">
        <f>IFERROR(IF(INDEX('Disaggregation1B_Import-Export'!J$8:J$239,MATCH($B77,'Disaggregation1B_Import-Export'!$C$8:$C$239,0))="","",INDEX('Disaggregation1B_Import-Export'!J$8:J$239,MATCH($B77,'Disaggregation1B_Import-Export'!$C$8:$C$239,0))),"")</f>
        <v/>
      </c>
      <c r="J77" s="1028" t="str">
        <f>IFERROR(IF(INDEX('Disaggregation1B_Import-Export'!K$8:K$239,MATCH($B77,'Disaggregation1B_Import-Export'!$C$8:$C$239,0))="","",INDEX('Disaggregation1B_Import-Export'!K$8:K$239,MATCH($B77,'Disaggregation1B_Import-Export'!$C$8:$C$239,0))),"")</f>
        <v/>
      </c>
      <c r="K77" s="1028" t="str">
        <f>IFERROR(IF(INDEX('Disaggregation1B_Import-Export'!L$8:L$239,MATCH($B77,'Disaggregation1B_Import-Export'!$C$8:$C$239,0))="","",INDEX('Disaggregation1B_Import-Export'!L$8:L$239,MATCH($B77,'Disaggregation1B_Import-Export'!$C$8:$C$239,0))),"")</f>
        <v/>
      </c>
      <c r="L77" s="1028" t="str">
        <f>IFERROR(IF(INDEX('Disaggregation1B_Import-Export'!AQ$8:AQ$239,MATCH($B77,'Disaggregation1B_Import-Export'!$C$8:$C$239,0))="","",INDEX('Disaggregation1B_Import-Export'!AQ$8:AQ$239,MATCH($B77,'Disaggregation1B_Import-Export'!$C$8:$C$239,0))),"")</f>
        <v/>
      </c>
      <c r="M77" s="1064"/>
      <c r="N77" s="1064"/>
      <c r="O77" s="1109" t="str">
        <f t="shared" si="6"/>
        <v/>
      </c>
      <c r="P77" s="1065"/>
      <c r="Q77" s="1065"/>
      <c r="R77" s="1066"/>
      <c r="S77" s="1064"/>
      <c r="T77" s="1064"/>
      <c r="U77" s="1109" t="str">
        <f t="shared" si="7"/>
        <v/>
      </c>
      <c r="V77" s="1065"/>
      <c r="W77" s="1065"/>
      <c r="X77" s="1066"/>
      <c r="Y77" s="1110"/>
      <c r="Z77" s="1110"/>
      <c r="AA77" s="1111" t="str">
        <f t="shared" si="8"/>
        <v/>
      </c>
      <c r="AB77" s="1112"/>
      <c r="AC77" s="1113"/>
    </row>
    <row r="78" spans="1:29" x14ac:dyDescent="0.2">
      <c r="A78" s="648">
        <f t="shared" si="9"/>
        <v>68</v>
      </c>
      <c r="B78" s="648" t="str">
        <f t="shared" si="5"/>
        <v>Coverage68</v>
      </c>
      <c r="C78" s="1027" t="str">
        <f>IFERROR(INDEX('Disaggregation1B_Import-Export'!D$8:D$239,MATCH($B78,'Disaggregation1B_Import-Export'!$C$8:$C$239,0)),"")</f>
        <v/>
      </c>
      <c r="D78" s="1028" t="str">
        <f>IFERROR(INDEX('Disaggregation1B_Import-Export'!AF$8:AF$256,MATCH($B78,'Disaggregation1B_Import-Export'!$C$8:$C$256,0)),"")</f>
        <v/>
      </c>
      <c r="E78" s="1028" t="str">
        <f>IFERROR(IF(INDEX('Disaggregation1B_Import-Export'!AG$8:AG$239,MATCH($B78,'Disaggregation1B_Import-Export'!$C$8:$C$239,0))="","",INDEX('Disaggregation1B_Import-Export'!AG$8:AG$239,MATCH($B78,'Disaggregation1B_Import-Export'!$C$8:$C$239,0))),"")</f>
        <v/>
      </c>
      <c r="F78" s="1028" t="str">
        <f>IFERROR(IF(INDEX('Disaggregation1B_Import-Export'!AH$8:AH$239,MATCH($B78,'Disaggregation1B_Import-Export'!$C$8:$C$239,0))="","",INDEX('Disaggregation1B_Import-Export'!AH$8:AH$239,MATCH($B78,'Disaggregation1B_Import-Export'!$C$8:$C$239,0))),"")</f>
        <v/>
      </c>
      <c r="G78" s="1107" t="str">
        <f>IFERROR(IF(INDEX('Disaggregation1B_Import-Export'!H$8:H$239,MATCH($B78,'Disaggregation1B_Import-Export'!$C$8:$C$239,0))="","",INDEX('Disaggregation1B_Import-Export'!H$8:H$239,MATCH($B78,'Disaggregation1B_Import-Export'!$C$8:$C$239,0))),"")</f>
        <v/>
      </c>
      <c r="H78" s="1107" t="str">
        <f>IFERROR(IF(INDEX('Disaggregation1B_Import-Export'!I$8:I$239,MATCH($B78,'Disaggregation1B_Import-Export'!$C$8:$C$239,0))="","",INDEX('Disaggregation1B_Import-Export'!I$8:I$239,MATCH($B78,'Disaggregation1B_Import-Export'!$C$8:$C$239,0))),"")</f>
        <v/>
      </c>
      <c r="I78" s="1108" t="str">
        <f>IFERROR(IF(INDEX('Disaggregation1B_Import-Export'!J$8:J$239,MATCH($B78,'Disaggregation1B_Import-Export'!$C$8:$C$239,0))="","",INDEX('Disaggregation1B_Import-Export'!J$8:J$239,MATCH($B78,'Disaggregation1B_Import-Export'!$C$8:$C$239,0))),"")</f>
        <v/>
      </c>
      <c r="J78" s="1028" t="str">
        <f>IFERROR(IF(INDEX('Disaggregation1B_Import-Export'!K$8:K$239,MATCH($B78,'Disaggregation1B_Import-Export'!$C$8:$C$239,0))="","",INDEX('Disaggregation1B_Import-Export'!K$8:K$239,MATCH($B78,'Disaggregation1B_Import-Export'!$C$8:$C$239,0))),"")</f>
        <v/>
      </c>
      <c r="K78" s="1028" t="str">
        <f>IFERROR(IF(INDEX('Disaggregation1B_Import-Export'!L$8:L$239,MATCH($B78,'Disaggregation1B_Import-Export'!$C$8:$C$239,0))="","",INDEX('Disaggregation1B_Import-Export'!L$8:L$239,MATCH($B78,'Disaggregation1B_Import-Export'!$C$8:$C$239,0))),"")</f>
        <v/>
      </c>
      <c r="L78" s="1028" t="str">
        <f>IFERROR(IF(INDEX('Disaggregation1B_Import-Export'!AQ$8:AQ$239,MATCH($B78,'Disaggregation1B_Import-Export'!$C$8:$C$239,0))="","",INDEX('Disaggregation1B_Import-Export'!AQ$8:AQ$239,MATCH($B78,'Disaggregation1B_Import-Export'!$C$8:$C$239,0))),"")</f>
        <v/>
      </c>
      <c r="M78" s="1064"/>
      <c r="N78" s="1064"/>
      <c r="O78" s="1109" t="str">
        <f t="shared" si="6"/>
        <v/>
      </c>
      <c r="P78" s="1065"/>
      <c r="Q78" s="1065"/>
      <c r="R78" s="1066"/>
      <c r="S78" s="1064"/>
      <c r="T78" s="1064"/>
      <c r="U78" s="1109" t="str">
        <f t="shared" si="7"/>
        <v/>
      </c>
      <c r="V78" s="1065"/>
      <c r="W78" s="1065"/>
      <c r="X78" s="1066"/>
      <c r="Y78" s="1110"/>
      <c r="Z78" s="1110"/>
      <c r="AA78" s="1111" t="str">
        <f t="shared" si="8"/>
        <v/>
      </c>
      <c r="AB78" s="1112"/>
      <c r="AC78" s="1113"/>
    </row>
    <row r="79" spans="1:29" x14ac:dyDescent="0.2">
      <c r="A79" s="648">
        <f t="shared" si="9"/>
        <v>69</v>
      </c>
      <c r="B79" s="648" t="str">
        <f t="shared" si="5"/>
        <v>Coverage69</v>
      </c>
      <c r="C79" s="1027" t="str">
        <f>IFERROR(INDEX('Disaggregation1B_Import-Export'!D$8:D$239,MATCH($B79,'Disaggregation1B_Import-Export'!$C$8:$C$239,0)),"")</f>
        <v/>
      </c>
      <c r="D79" s="1028" t="str">
        <f>IFERROR(INDEX('Disaggregation1B_Import-Export'!AF$8:AF$256,MATCH($B79,'Disaggregation1B_Import-Export'!$C$8:$C$256,0)),"")</f>
        <v/>
      </c>
      <c r="E79" s="1028" t="str">
        <f>IFERROR(IF(INDEX('Disaggregation1B_Import-Export'!AG$8:AG$239,MATCH($B79,'Disaggregation1B_Import-Export'!$C$8:$C$239,0))="","",INDEX('Disaggregation1B_Import-Export'!AG$8:AG$239,MATCH($B79,'Disaggregation1B_Import-Export'!$C$8:$C$239,0))),"")</f>
        <v/>
      </c>
      <c r="F79" s="1028" t="str">
        <f>IFERROR(IF(INDEX('Disaggregation1B_Import-Export'!AH$8:AH$239,MATCH($B79,'Disaggregation1B_Import-Export'!$C$8:$C$239,0))="","",INDEX('Disaggregation1B_Import-Export'!AH$8:AH$239,MATCH($B79,'Disaggregation1B_Import-Export'!$C$8:$C$239,0))),"")</f>
        <v/>
      </c>
      <c r="G79" s="1107" t="str">
        <f>IFERROR(IF(INDEX('Disaggregation1B_Import-Export'!H$8:H$239,MATCH($B79,'Disaggregation1B_Import-Export'!$C$8:$C$239,0))="","",INDEX('Disaggregation1B_Import-Export'!H$8:H$239,MATCH($B79,'Disaggregation1B_Import-Export'!$C$8:$C$239,0))),"")</f>
        <v/>
      </c>
      <c r="H79" s="1107" t="str">
        <f>IFERROR(IF(INDEX('Disaggregation1B_Import-Export'!I$8:I$239,MATCH($B79,'Disaggregation1B_Import-Export'!$C$8:$C$239,0))="","",INDEX('Disaggregation1B_Import-Export'!I$8:I$239,MATCH($B79,'Disaggregation1B_Import-Export'!$C$8:$C$239,0))),"")</f>
        <v/>
      </c>
      <c r="I79" s="1108" t="str">
        <f>IFERROR(IF(INDEX('Disaggregation1B_Import-Export'!J$8:J$239,MATCH($B79,'Disaggregation1B_Import-Export'!$C$8:$C$239,0))="","",INDEX('Disaggregation1B_Import-Export'!J$8:J$239,MATCH($B79,'Disaggregation1B_Import-Export'!$C$8:$C$239,0))),"")</f>
        <v/>
      </c>
      <c r="J79" s="1028" t="str">
        <f>IFERROR(IF(INDEX('Disaggregation1B_Import-Export'!K$8:K$239,MATCH($B79,'Disaggregation1B_Import-Export'!$C$8:$C$239,0))="","",INDEX('Disaggregation1B_Import-Export'!K$8:K$239,MATCH($B79,'Disaggregation1B_Import-Export'!$C$8:$C$239,0))),"")</f>
        <v/>
      </c>
      <c r="K79" s="1028" t="str">
        <f>IFERROR(IF(INDEX('Disaggregation1B_Import-Export'!L$8:L$239,MATCH($B79,'Disaggregation1B_Import-Export'!$C$8:$C$239,0))="","",INDEX('Disaggregation1B_Import-Export'!L$8:L$239,MATCH($B79,'Disaggregation1B_Import-Export'!$C$8:$C$239,0))),"")</f>
        <v/>
      </c>
      <c r="L79" s="1028" t="str">
        <f>IFERROR(IF(INDEX('Disaggregation1B_Import-Export'!AQ$8:AQ$239,MATCH($B79,'Disaggregation1B_Import-Export'!$C$8:$C$239,0))="","",INDEX('Disaggregation1B_Import-Export'!AQ$8:AQ$239,MATCH($B79,'Disaggregation1B_Import-Export'!$C$8:$C$239,0))),"")</f>
        <v/>
      </c>
      <c r="M79" s="1064"/>
      <c r="N79" s="1064"/>
      <c r="O79" s="1109" t="str">
        <f t="shared" si="6"/>
        <v/>
      </c>
      <c r="P79" s="1065"/>
      <c r="Q79" s="1065"/>
      <c r="R79" s="1066"/>
      <c r="S79" s="1064"/>
      <c r="T79" s="1064"/>
      <c r="U79" s="1109" t="str">
        <f t="shared" si="7"/>
        <v/>
      </c>
      <c r="V79" s="1065"/>
      <c r="W79" s="1065"/>
      <c r="X79" s="1066"/>
      <c r="Y79" s="1110"/>
      <c r="Z79" s="1110"/>
      <c r="AA79" s="1111" t="str">
        <f t="shared" si="8"/>
        <v/>
      </c>
      <c r="AB79" s="1112"/>
      <c r="AC79" s="1113"/>
    </row>
    <row r="80" spans="1:29" x14ac:dyDescent="0.2">
      <c r="A80" s="648">
        <f t="shared" si="9"/>
        <v>70</v>
      </c>
      <c r="B80" s="648" t="str">
        <f t="shared" si="5"/>
        <v>Coverage70</v>
      </c>
      <c r="C80" s="1027" t="str">
        <f>IFERROR(INDEX('Disaggregation1B_Import-Export'!D$8:D$239,MATCH($B80,'Disaggregation1B_Import-Export'!$C$8:$C$239,0)),"")</f>
        <v/>
      </c>
      <c r="D80" s="1028" t="str">
        <f>IFERROR(INDEX('Disaggregation1B_Import-Export'!AF$8:AF$256,MATCH($B80,'Disaggregation1B_Import-Export'!$C$8:$C$256,0)),"")</f>
        <v/>
      </c>
      <c r="E80" s="1028" t="str">
        <f>IFERROR(IF(INDEX('Disaggregation1B_Import-Export'!AG$8:AG$239,MATCH($B80,'Disaggregation1B_Import-Export'!$C$8:$C$239,0))="","",INDEX('Disaggregation1B_Import-Export'!AG$8:AG$239,MATCH($B80,'Disaggregation1B_Import-Export'!$C$8:$C$239,0))),"")</f>
        <v/>
      </c>
      <c r="F80" s="1028" t="str">
        <f>IFERROR(IF(INDEX('Disaggregation1B_Import-Export'!AH$8:AH$239,MATCH($B80,'Disaggregation1B_Import-Export'!$C$8:$C$239,0))="","",INDEX('Disaggregation1B_Import-Export'!AH$8:AH$239,MATCH($B80,'Disaggregation1B_Import-Export'!$C$8:$C$239,0))),"")</f>
        <v/>
      </c>
      <c r="G80" s="1107" t="str">
        <f>IFERROR(IF(INDEX('Disaggregation1B_Import-Export'!H$8:H$239,MATCH($B80,'Disaggregation1B_Import-Export'!$C$8:$C$239,0))="","",INDEX('Disaggregation1B_Import-Export'!H$8:H$239,MATCH($B80,'Disaggregation1B_Import-Export'!$C$8:$C$239,0))),"")</f>
        <v/>
      </c>
      <c r="H80" s="1107" t="str">
        <f>IFERROR(IF(INDEX('Disaggregation1B_Import-Export'!I$8:I$239,MATCH($B80,'Disaggregation1B_Import-Export'!$C$8:$C$239,0))="","",INDEX('Disaggregation1B_Import-Export'!I$8:I$239,MATCH($B80,'Disaggregation1B_Import-Export'!$C$8:$C$239,0))),"")</f>
        <v/>
      </c>
      <c r="I80" s="1108" t="str">
        <f>IFERROR(IF(INDEX('Disaggregation1B_Import-Export'!J$8:J$239,MATCH($B80,'Disaggregation1B_Import-Export'!$C$8:$C$239,0))="","",INDEX('Disaggregation1B_Import-Export'!J$8:J$239,MATCH($B80,'Disaggregation1B_Import-Export'!$C$8:$C$239,0))),"")</f>
        <v/>
      </c>
      <c r="J80" s="1028" t="str">
        <f>IFERROR(IF(INDEX('Disaggregation1B_Import-Export'!K$8:K$239,MATCH($B80,'Disaggregation1B_Import-Export'!$C$8:$C$239,0))="","",INDEX('Disaggregation1B_Import-Export'!K$8:K$239,MATCH($B80,'Disaggregation1B_Import-Export'!$C$8:$C$239,0))),"")</f>
        <v/>
      </c>
      <c r="K80" s="1028" t="str">
        <f>IFERROR(IF(INDEX('Disaggregation1B_Import-Export'!L$8:L$239,MATCH($B80,'Disaggregation1B_Import-Export'!$C$8:$C$239,0))="","",INDEX('Disaggregation1B_Import-Export'!L$8:L$239,MATCH($B80,'Disaggregation1B_Import-Export'!$C$8:$C$239,0))),"")</f>
        <v/>
      </c>
      <c r="L80" s="1028" t="str">
        <f>IFERROR(IF(INDEX('Disaggregation1B_Import-Export'!AQ$8:AQ$239,MATCH($B80,'Disaggregation1B_Import-Export'!$C$8:$C$239,0))="","",INDEX('Disaggregation1B_Import-Export'!AQ$8:AQ$239,MATCH($B80,'Disaggregation1B_Import-Export'!$C$8:$C$239,0))),"")</f>
        <v/>
      </c>
      <c r="M80" s="1064"/>
      <c r="N80" s="1064"/>
      <c r="O80" s="1109" t="str">
        <f t="shared" si="6"/>
        <v/>
      </c>
      <c r="P80" s="1065"/>
      <c r="Q80" s="1065"/>
      <c r="R80" s="1066"/>
      <c r="S80" s="1064"/>
      <c r="T80" s="1064"/>
      <c r="U80" s="1109" t="str">
        <f t="shared" si="7"/>
        <v/>
      </c>
      <c r="V80" s="1065"/>
      <c r="W80" s="1065"/>
      <c r="X80" s="1066"/>
      <c r="Y80" s="1110"/>
      <c r="Z80" s="1110"/>
      <c r="AA80" s="1111" t="str">
        <f t="shared" si="8"/>
        <v/>
      </c>
      <c r="AB80" s="1112"/>
      <c r="AC80" s="1113"/>
    </row>
    <row r="81" spans="1:29" x14ac:dyDescent="0.2">
      <c r="A81" s="648">
        <f t="shared" si="9"/>
        <v>71</v>
      </c>
      <c r="B81" s="648" t="str">
        <f t="shared" si="5"/>
        <v>Coverage71</v>
      </c>
      <c r="C81" s="1027" t="str">
        <f>IFERROR(INDEX('Disaggregation1B_Import-Export'!D$8:D$239,MATCH($B81,'Disaggregation1B_Import-Export'!$C$8:$C$239,0)),"")</f>
        <v/>
      </c>
      <c r="D81" s="1028" t="str">
        <f>IFERROR(INDEX('Disaggregation1B_Import-Export'!AF$8:AF$256,MATCH($B81,'Disaggregation1B_Import-Export'!$C$8:$C$256,0)),"")</f>
        <v/>
      </c>
      <c r="E81" s="1028" t="str">
        <f>IFERROR(IF(INDEX('Disaggregation1B_Import-Export'!AG$8:AG$239,MATCH($B81,'Disaggregation1B_Import-Export'!$C$8:$C$239,0))="","",INDEX('Disaggregation1B_Import-Export'!AG$8:AG$239,MATCH($B81,'Disaggregation1B_Import-Export'!$C$8:$C$239,0))),"")</f>
        <v/>
      </c>
      <c r="F81" s="1028" t="str">
        <f>IFERROR(IF(INDEX('Disaggregation1B_Import-Export'!AH$8:AH$239,MATCH($B81,'Disaggregation1B_Import-Export'!$C$8:$C$239,0))="","",INDEX('Disaggregation1B_Import-Export'!AH$8:AH$239,MATCH($B81,'Disaggregation1B_Import-Export'!$C$8:$C$239,0))),"")</f>
        <v/>
      </c>
      <c r="G81" s="1107" t="str">
        <f>IFERROR(IF(INDEX('Disaggregation1B_Import-Export'!H$8:H$239,MATCH($B81,'Disaggregation1B_Import-Export'!$C$8:$C$239,0))="","",INDEX('Disaggregation1B_Import-Export'!H$8:H$239,MATCH($B81,'Disaggregation1B_Import-Export'!$C$8:$C$239,0))),"")</f>
        <v/>
      </c>
      <c r="H81" s="1107" t="str">
        <f>IFERROR(IF(INDEX('Disaggregation1B_Import-Export'!I$8:I$239,MATCH($B81,'Disaggregation1B_Import-Export'!$C$8:$C$239,0))="","",INDEX('Disaggregation1B_Import-Export'!I$8:I$239,MATCH($B81,'Disaggregation1B_Import-Export'!$C$8:$C$239,0))),"")</f>
        <v/>
      </c>
      <c r="I81" s="1108" t="str">
        <f>IFERROR(IF(INDEX('Disaggregation1B_Import-Export'!J$8:J$239,MATCH($B81,'Disaggregation1B_Import-Export'!$C$8:$C$239,0))="","",INDEX('Disaggregation1B_Import-Export'!J$8:J$239,MATCH($B81,'Disaggregation1B_Import-Export'!$C$8:$C$239,0))),"")</f>
        <v/>
      </c>
      <c r="J81" s="1028" t="str">
        <f>IFERROR(IF(INDEX('Disaggregation1B_Import-Export'!K$8:K$239,MATCH($B81,'Disaggregation1B_Import-Export'!$C$8:$C$239,0))="","",INDEX('Disaggregation1B_Import-Export'!K$8:K$239,MATCH($B81,'Disaggregation1B_Import-Export'!$C$8:$C$239,0))),"")</f>
        <v/>
      </c>
      <c r="K81" s="1028" t="str">
        <f>IFERROR(IF(INDEX('Disaggregation1B_Import-Export'!L$8:L$239,MATCH($B81,'Disaggregation1B_Import-Export'!$C$8:$C$239,0))="","",INDEX('Disaggregation1B_Import-Export'!L$8:L$239,MATCH($B81,'Disaggregation1B_Import-Export'!$C$8:$C$239,0))),"")</f>
        <v/>
      </c>
      <c r="L81" s="1028" t="str">
        <f>IFERROR(IF(INDEX('Disaggregation1B_Import-Export'!AQ$8:AQ$239,MATCH($B81,'Disaggregation1B_Import-Export'!$C$8:$C$239,0))="","",INDEX('Disaggregation1B_Import-Export'!AQ$8:AQ$239,MATCH($B81,'Disaggregation1B_Import-Export'!$C$8:$C$239,0))),"")</f>
        <v/>
      </c>
      <c r="M81" s="1064"/>
      <c r="N81" s="1064"/>
      <c r="O81" s="1109" t="str">
        <f t="shared" si="6"/>
        <v/>
      </c>
      <c r="P81" s="1065"/>
      <c r="Q81" s="1065"/>
      <c r="R81" s="1066"/>
      <c r="S81" s="1064"/>
      <c r="T81" s="1064"/>
      <c r="U81" s="1109" t="str">
        <f t="shared" si="7"/>
        <v/>
      </c>
      <c r="V81" s="1065"/>
      <c r="W81" s="1065"/>
      <c r="X81" s="1066"/>
      <c r="Y81" s="1110"/>
      <c r="Z81" s="1110"/>
      <c r="AA81" s="1111" t="str">
        <f t="shared" si="8"/>
        <v/>
      </c>
      <c r="AB81" s="1112"/>
      <c r="AC81" s="1113"/>
    </row>
    <row r="82" spans="1:29" x14ac:dyDescent="0.2">
      <c r="A82" s="648">
        <f t="shared" si="9"/>
        <v>72</v>
      </c>
      <c r="B82" s="648" t="str">
        <f t="shared" si="5"/>
        <v>Coverage72</v>
      </c>
      <c r="C82" s="1027" t="str">
        <f>IFERROR(INDEX('Disaggregation1B_Import-Export'!D$8:D$239,MATCH($B82,'Disaggregation1B_Import-Export'!$C$8:$C$239,0)),"")</f>
        <v/>
      </c>
      <c r="D82" s="1028" t="str">
        <f>IFERROR(INDEX('Disaggregation1B_Import-Export'!AF$8:AF$256,MATCH($B82,'Disaggregation1B_Import-Export'!$C$8:$C$256,0)),"")</f>
        <v/>
      </c>
      <c r="E82" s="1028" t="str">
        <f>IFERROR(IF(INDEX('Disaggregation1B_Import-Export'!AG$8:AG$239,MATCH($B82,'Disaggregation1B_Import-Export'!$C$8:$C$239,0))="","",INDEX('Disaggregation1B_Import-Export'!AG$8:AG$239,MATCH($B82,'Disaggregation1B_Import-Export'!$C$8:$C$239,0))),"")</f>
        <v/>
      </c>
      <c r="F82" s="1028" t="str">
        <f>IFERROR(IF(INDEX('Disaggregation1B_Import-Export'!AH$8:AH$239,MATCH($B82,'Disaggregation1B_Import-Export'!$C$8:$C$239,0))="","",INDEX('Disaggregation1B_Import-Export'!AH$8:AH$239,MATCH($B82,'Disaggregation1B_Import-Export'!$C$8:$C$239,0))),"")</f>
        <v/>
      </c>
      <c r="G82" s="1107" t="str">
        <f>IFERROR(IF(INDEX('Disaggregation1B_Import-Export'!H$8:H$239,MATCH($B82,'Disaggregation1B_Import-Export'!$C$8:$C$239,0))="","",INDEX('Disaggregation1B_Import-Export'!H$8:H$239,MATCH($B82,'Disaggregation1B_Import-Export'!$C$8:$C$239,0))),"")</f>
        <v/>
      </c>
      <c r="H82" s="1107" t="str">
        <f>IFERROR(IF(INDEX('Disaggregation1B_Import-Export'!I$8:I$239,MATCH($B82,'Disaggregation1B_Import-Export'!$C$8:$C$239,0))="","",INDEX('Disaggregation1B_Import-Export'!I$8:I$239,MATCH($B82,'Disaggregation1B_Import-Export'!$C$8:$C$239,0))),"")</f>
        <v/>
      </c>
      <c r="I82" s="1108" t="str">
        <f>IFERROR(IF(INDEX('Disaggregation1B_Import-Export'!J$8:J$239,MATCH($B82,'Disaggregation1B_Import-Export'!$C$8:$C$239,0))="","",INDEX('Disaggregation1B_Import-Export'!J$8:J$239,MATCH($B82,'Disaggregation1B_Import-Export'!$C$8:$C$239,0))),"")</f>
        <v/>
      </c>
      <c r="J82" s="1028" t="str">
        <f>IFERROR(IF(INDEX('Disaggregation1B_Import-Export'!K$8:K$239,MATCH($B82,'Disaggregation1B_Import-Export'!$C$8:$C$239,0))="","",INDEX('Disaggregation1B_Import-Export'!K$8:K$239,MATCH($B82,'Disaggregation1B_Import-Export'!$C$8:$C$239,0))),"")</f>
        <v/>
      </c>
      <c r="K82" s="1028" t="str">
        <f>IFERROR(IF(INDEX('Disaggregation1B_Import-Export'!L$8:L$239,MATCH($B82,'Disaggregation1B_Import-Export'!$C$8:$C$239,0))="","",INDEX('Disaggregation1B_Import-Export'!L$8:L$239,MATCH($B82,'Disaggregation1B_Import-Export'!$C$8:$C$239,0))),"")</f>
        <v/>
      </c>
      <c r="L82" s="1028" t="str">
        <f>IFERROR(IF(INDEX('Disaggregation1B_Import-Export'!AQ$8:AQ$239,MATCH($B82,'Disaggregation1B_Import-Export'!$C$8:$C$239,0))="","",INDEX('Disaggregation1B_Import-Export'!AQ$8:AQ$239,MATCH($B82,'Disaggregation1B_Import-Export'!$C$8:$C$239,0))),"")</f>
        <v/>
      </c>
      <c r="M82" s="1064"/>
      <c r="N82" s="1064"/>
      <c r="O82" s="1109" t="str">
        <f t="shared" si="6"/>
        <v/>
      </c>
      <c r="P82" s="1065"/>
      <c r="Q82" s="1065"/>
      <c r="R82" s="1066"/>
      <c r="S82" s="1064"/>
      <c r="T82" s="1064"/>
      <c r="U82" s="1109" t="str">
        <f t="shared" si="7"/>
        <v/>
      </c>
      <c r="V82" s="1065"/>
      <c r="W82" s="1065"/>
      <c r="X82" s="1066"/>
      <c r="Y82" s="1110"/>
      <c r="Z82" s="1110"/>
      <c r="AA82" s="1111" t="str">
        <f t="shared" si="8"/>
        <v/>
      </c>
      <c r="AB82" s="1112"/>
      <c r="AC82" s="1113"/>
    </row>
    <row r="83" spans="1:29" x14ac:dyDescent="0.2">
      <c r="A83" s="648">
        <f t="shared" si="9"/>
        <v>73</v>
      </c>
      <c r="B83" s="648" t="str">
        <f t="shared" si="5"/>
        <v>Coverage73</v>
      </c>
      <c r="C83" s="1027" t="str">
        <f>IFERROR(INDEX('Disaggregation1B_Import-Export'!D$8:D$239,MATCH($B83,'Disaggregation1B_Import-Export'!$C$8:$C$239,0)),"")</f>
        <v/>
      </c>
      <c r="D83" s="1028" t="str">
        <f>IFERROR(INDEX('Disaggregation1B_Import-Export'!AF$8:AF$256,MATCH($B83,'Disaggregation1B_Import-Export'!$C$8:$C$256,0)),"")</f>
        <v/>
      </c>
      <c r="E83" s="1028" t="str">
        <f>IFERROR(IF(INDEX('Disaggregation1B_Import-Export'!AG$8:AG$239,MATCH($B83,'Disaggregation1B_Import-Export'!$C$8:$C$239,0))="","",INDEX('Disaggregation1B_Import-Export'!AG$8:AG$239,MATCH($B83,'Disaggregation1B_Import-Export'!$C$8:$C$239,0))),"")</f>
        <v/>
      </c>
      <c r="F83" s="1028" t="str">
        <f>IFERROR(IF(INDEX('Disaggregation1B_Import-Export'!AH$8:AH$239,MATCH($B83,'Disaggregation1B_Import-Export'!$C$8:$C$239,0))="","",INDEX('Disaggregation1B_Import-Export'!AH$8:AH$239,MATCH($B83,'Disaggregation1B_Import-Export'!$C$8:$C$239,0))),"")</f>
        <v/>
      </c>
      <c r="G83" s="1107" t="str">
        <f>IFERROR(IF(INDEX('Disaggregation1B_Import-Export'!H$8:H$239,MATCH($B83,'Disaggregation1B_Import-Export'!$C$8:$C$239,0))="","",INDEX('Disaggregation1B_Import-Export'!H$8:H$239,MATCH($B83,'Disaggregation1B_Import-Export'!$C$8:$C$239,0))),"")</f>
        <v/>
      </c>
      <c r="H83" s="1107" t="str">
        <f>IFERROR(IF(INDEX('Disaggregation1B_Import-Export'!I$8:I$239,MATCH($B83,'Disaggregation1B_Import-Export'!$C$8:$C$239,0))="","",INDEX('Disaggregation1B_Import-Export'!I$8:I$239,MATCH($B83,'Disaggregation1B_Import-Export'!$C$8:$C$239,0))),"")</f>
        <v/>
      </c>
      <c r="I83" s="1108" t="str">
        <f>IFERROR(IF(INDEX('Disaggregation1B_Import-Export'!J$8:J$239,MATCH($B83,'Disaggregation1B_Import-Export'!$C$8:$C$239,0))="","",INDEX('Disaggregation1B_Import-Export'!J$8:J$239,MATCH($B83,'Disaggregation1B_Import-Export'!$C$8:$C$239,0))),"")</f>
        <v/>
      </c>
      <c r="J83" s="1028" t="str">
        <f>IFERROR(IF(INDEX('Disaggregation1B_Import-Export'!K$8:K$239,MATCH($B83,'Disaggregation1B_Import-Export'!$C$8:$C$239,0))="","",INDEX('Disaggregation1B_Import-Export'!K$8:K$239,MATCH($B83,'Disaggregation1B_Import-Export'!$C$8:$C$239,0))),"")</f>
        <v/>
      </c>
      <c r="K83" s="1028" t="str">
        <f>IFERROR(IF(INDEX('Disaggregation1B_Import-Export'!L$8:L$239,MATCH($B83,'Disaggregation1B_Import-Export'!$C$8:$C$239,0))="","",INDEX('Disaggregation1B_Import-Export'!L$8:L$239,MATCH($B83,'Disaggregation1B_Import-Export'!$C$8:$C$239,0))),"")</f>
        <v/>
      </c>
      <c r="L83" s="1028" t="str">
        <f>IFERROR(IF(INDEX('Disaggregation1B_Import-Export'!AQ$8:AQ$239,MATCH($B83,'Disaggregation1B_Import-Export'!$C$8:$C$239,0))="","",INDEX('Disaggregation1B_Import-Export'!AQ$8:AQ$239,MATCH($B83,'Disaggregation1B_Import-Export'!$C$8:$C$239,0))),"")</f>
        <v/>
      </c>
      <c r="M83" s="1064"/>
      <c r="N83" s="1064"/>
      <c r="O83" s="1109" t="str">
        <f t="shared" si="6"/>
        <v/>
      </c>
      <c r="P83" s="1065"/>
      <c r="Q83" s="1065"/>
      <c r="R83" s="1066"/>
      <c r="S83" s="1064"/>
      <c r="T83" s="1064"/>
      <c r="U83" s="1109" t="str">
        <f t="shared" si="7"/>
        <v/>
      </c>
      <c r="V83" s="1065"/>
      <c r="W83" s="1065"/>
      <c r="X83" s="1066"/>
      <c r="Y83" s="1110"/>
      <c r="Z83" s="1110"/>
      <c r="AA83" s="1111" t="str">
        <f t="shared" si="8"/>
        <v/>
      </c>
      <c r="AB83" s="1112"/>
      <c r="AC83" s="1113"/>
    </row>
    <row r="84" spans="1:29" x14ac:dyDescent="0.2">
      <c r="A84" s="648">
        <f t="shared" si="9"/>
        <v>74</v>
      </c>
      <c r="B84" s="648" t="str">
        <f t="shared" si="5"/>
        <v>Coverage74</v>
      </c>
      <c r="C84" s="1027" t="str">
        <f>IFERROR(INDEX('Disaggregation1B_Import-Export'!D$8:D$239,MATCH($B84,'Disaggregation1B_Import-Export'!$C$8:$C$239,0)),"")</f>
        <v/>
      </c>
      <c r="D84" s="1028" t="str">
        <f>IFERROR(INDEX('Disaggregation1B_Import-Export'!AF$8:AF$256,MATCH($B84,'Disaggregation1B_Import-Export'!$C$8:$C$256,0)),"")</f>
        <v/>
      </c>
      <c r="E84" s="1028" t="str">
        <f>IFERROR(IF(INDEX('Disaggregation1B_Import-Export'!AG$8:AG$239,MATCH($B84,'Disaggregation1B_Import-Export'!$C$8:$C$239,0))="","",INDEX('Disaggregation1B_Import-Export'!AG$8:AG$239,MATCH($B84,'Disaggregation1B_Import-Export'!$C$8:$C$239,0))),"")</f>
        <v/>
      </c>
      <c r="F84" s="1028" t="str">
        <f>IFERROR(IF(INDEX('Disaggregation1B_Import-Export'!AH$8:AH$239,MATCH($B84,'Disaggregation1B_Import-Export'!$C$8:$C$239,0))="","",INDEX('Disaggregation1B_Import-Export'!AH$8:AH$239,MATCH($B84,'Disaggregation1B_Import-Export'!$C$8:$C$239,0))),"")</f>
        <v/>
      </c>
      <c r="G84" s="1107" t="str">
        <f>IFERROR(IF(INDEX('Disaggregation1B_Import-Export'!H$8:H$239,MATCH($B84,'Disaggregation1B_Import-Export'!$C$8:$C$239,0))="","",INDEX('Disaggregation1B_Import-Export'!H$8:H$239,MATCH($B84,'Disaggregation1B_Import-Export'!$C$8:$C$239,0))),"")</f>
        <v/>
      </c>
      <c r="H84" s="1107" t="str">
        <f>IFERROR(IF(INDEX('Disaggregation1B_Import-Export'!I$8:I$239,MATCH($B84,'Disaggregation1B_Import-Export'!$C$8:$C$239,0))="","",INDEX('Disaggregation1B_Import-Export'!I$8:I$239,MATCH($B84,'Disaggregation1B_Import-Export'!$C$8:$C$239,0))),"")</f>
        <v/>
      </c>
      <c r="I84" s="1108" t="str">
        <f>IFERROR(IF(INDEX('Disaggregation1B_Import-Export'!J$8:J$239,MATCH($B84,'Disaggregation1B_Import-Export'!$C$8:$C$239,0))="","",INDEX('Disaggregation1B_Import-Export'!J$8:J$239,MATCH($B84,'Disaggregation1B_Import-Export'!$C$8:$C$239,0))),"")</f>
        <v/>
      </c>
      <c r="J84" s="1028" t="str">
        <f>IFERROR(IF(INDEX('Disaggregation1B_Import-Export'!K$8:K$239,MATCH($B84,'Disaggregation1B_Import-Export'!$C$8:$C$239,0))="","",INDEX('Disaggregation1B_Import-Export'!K$8:K$239,MATCH($B84,'Disaggregation1B_Import-Export'!$C$8:$C$239,0))),"")</f>
        <v/>
      </c>
      <c r="K84" s="1028" t="str">
        <f>IFERROR(IF(INDEX('Disaggregation1B_Import-Export'!L$8:L$239,MATCH($B84,'Disaggregation1B_Import-Export'!$C$8:$C$239,0))="","",INDEX('Disaggregation1B_Import-Export'!L$8:L$239,MATCH($B84,'Disaggregation1B_Import-Export'!$C$8:$C$239,0))),"")</f>
        <v/>
      </c>
      <c r="L84" s="1028" t="str">
        <f>IFERROR(IF(INDEX('Disaggregation1B_Import-Export'!AQ$8:AQ$239,MATCH($B84,'Disaggregation1B_Import-Export'!$C$8:$C$239,0))="","",INDEX('Disaggregation1B_Import-Export'!AQ$8:AQ$239,MATCH($B84,'Disaggregation1B_Import-Export'!$C$8:$C$239,0))),"")</f>
        <v/>
      </c>
      <c r="M84" s="1064"/>
      <c r="N84" s="1064"/>
      <c r="O84" s="1109" t="str">
        <f t="shared" si="6"/>
        <v/>
      </c>
      <c r="P84" s="1065"/>
      <c r="Q84" s="1065"/>
      <c r="R84" s="1066"/>
      <c r="S84" s="1064"/>
      <c r="T84" s="1064"/>
      <c r="U84" s="1109" t="str">
        <f t="shared" si="7"/>
        <v/>
      </c>
      <c r="V84" s="1065"/>
      <c r="W84" s="1065"/>
      <c r="X84" s="1066"/>
      <c r="Y84" s="1110"/>
      <c r="Z84" s="1110"/>
      <c r="AA84" s="1111" t="str">
        <f t="shared" si="8"/>
        <v/>
      </c>
      <c r="AB84" s="1112"/>
      <c r="AC84" s="1113"/>
    </row>
    <row r="85" spans="1:29" x14ac:dyDescent="0.2">
      <c r="A85" s="648">
        <f t="shared" si="9"/>
        <v>75</v>
      </c>
      <c r="B85" s="648" t="str">
        <f t="shared" si="5"/>
        <v>Coverage75</v>
      </c>
      <c r="C85" s="1027" t="str">
        <f>IFERROR(INDEX('Disaggregation1B_Import-Export'!D$8:D$239,MATCH($B85,'Disaggregation1B_Import-Export'!$C$8:$C$239,0)),"")</f>
        <v/>
      </c>
      <c r="D85" s="1028" t="str">
        <f>IFERROR(INDEX('Disaggregation1B_Import-Export'!AF$8:AF$256,MATCH($B85,'Disaggregation1B_Import-Export'!$C$8:$C$256,0)),"")</f>
        <v/>
      </c>
      <c r="E85" s="1028" t="str">
        <f>IFERROR(IF(INDEX('Disaggregation1B_Import-Export'!AG$8:AG$239,MATCH($B85,'Disaggregation1B_Import-Export'!$C$8:$C$239,0))="","",INDEX('Disaggregation1B_Import-Export'!AG$8:AG$239,MATCH($B85,'Disaggregation1B_Import-Export'!$C$8:$C$239,0))),"")</f>
        <v/>
      </c>
      <c r="F85" s="1028" t="str">
        <f>IFERROR(IF(INDEX('Disaggregation1B_Import-Export'!AH$8:AH$239,MATCH($B85,'Disaggregation1B_Import-Export'!$C$8:$C$239,0))="","",INDEX('Disaggregation1B_Import-Export'!AH$8:AH$239,MATCH($B85,'Disaggregation1B_Import-Export'!$C$8:$C$239,0))),"")</f>
        <v/>
      </c>
      <c r="G85" s="1107" t="str">
        <f>IFERROR(IF(INDEX('Disaggregation1B_Import-Export'!H$8:H$239,MATCH($B85,'Disaggregation1B_Import-Export'!$C$8:$C$239,0))="","",INDEX('Disaggregation1B_Import-Export'!H$8:H$239,MATCH($B85,'Disaggregation1B_Import-Export'!$C$8:$C$239,0))),"")</f>
        <v/>
      </c>
      <c r="H85" s="1107" t="str">
        <f>IFERROR(IF(INDEX('Disaggregation1B_Import-Export'!I$8:I$239,MATCH($B85,'Disaggregation1B_Import-Export'!$C$8:$C$239,0))="","",INDEX('Disaggregation1B_Import-Export'!I$8:I$239,MATCH($B85,'Disaggregation1B_Import-Export'!$C$8:$C$239,0))),"")</f>
        <v/>
      </c>
      <c r="I85" s="1108" t="str">
        <f>IFERROR(IF(INDEX('Disaggregation1B_Import-Export'!J$8:J$239,MATCH($B85,'Disaggregation1B_Import-Export'!$C$8:$C$239,0))="","",INDEX('Disaggregation1B_Import-Export'!J$8:J$239,MATCH($B85,'Disaggregation1B_Import-Export'!$C$8:$C$239,0))),"")</f>
        <v/>
      </c>
      <c r="J85" s="1028" t="str">
        <f>IFERROR(IF(INDEX('Disaggregation1B_Import-Export'!K$8:K$239,MATCH($B85,'Disaggregation1B_Import-Export'!$C$8:$C$239,0))="","",INDEX('Disaggregation1B_Import-Export'!K$8:K$239,MATCH($B85,'Disaggregation1B_Import-Export'!$C$8:$C$239,0))),"")</f>
        <v/>
      </c>
      <c r="K85" s="1028" t="str">
        <f>IFERROR(IF(INDEX('Disaggregation1B_Import-Export'!L$8:L$239,MATCH($B85,'Disaggregation1B_Import-Export'!$C$8:$C$239,0))="","",INDEX('Disaggregation1B_Import-Export'!L$8:L$239,MATCH($B85,'Disaggregation1B_Import-Export'!$C$8:$C$239,0))),"")</f>
        <v/>
      </c>
      <c r="L85" s="1028" t="str">
        <f>IFERROR(IF(INDEX('Disaggregation1B_Import-Export'!AQ$8:AQ$239,MATCH($B85,'Disaggregation1B_Import-Export'!$C$8:$C$239,0))="","",INDEX('Disaggregation1B_Import-Export'!AQ$8:AQ$239,MATCH($B85,'Disaggregation1B_Import-Export'!$C$8:$C$239,0))),"")</f>
        <v/>
      </c>
      <c r="M85" s="1064"/>
      <c r="N85" s="1064"/>
      <c r="O85" s="1109" t="str">
        <f t="shared" si="6"/>
        <v/>
      </c>
      <c r="P85" s="1065"/>
      <c r="Q85" s="1065"/>
      <c r="R85" s="1066"/>
      <c r="S85" s="1064"/>
      <c r="T85" s="1064"/>
      <c r="U85" s="1109" t="str">
        <f t="shared" si="7"/>
        <v/>
      </c>
      <c r="V85" s="1065"/>
      <c r="W85" s="1065"/>
      <c r="X85" s="1066"/>
      <c r="Y85" s="1110"/>
      <c r="Z85" s="1110"/>
      <c r="AA85" s="1111" t="str">
        <f t="shared" si="8"/>
        <v/>
      </c>
      <c r="AB85" s="1112"/>
      <c r="AC85" s="1113"/>
    </row>
    <row r="86" spans="1:29" x14ac:dyDescent="0.2">
      <c r="A86" s="648">
        <f t="shared" si="9"/>
        <v>76</v>
      </c>
      <c r="B86" s="648" t="str">
        <f t="shared" si="5"/>
        <v>Coverage76</v>
      </c>
      <c r="C86" s="1027" t="str">
        <f>IFERROR(INDEX('Disaggregation1B_Import-Export'!D$8:D$239,MATCH($B86,'Disaggregation1B_Import-Export'!$C$8:$C$239,0)),"")</f>
        <v/>
      </c>
      <c r="D86" s="1028" t="str">
        <f>IFERROR(INDEX('Disaggregation1B_Import-Export'!AF$8:AF$256,MATCH($B86,'Disaggregation1B_Import-Export'!$C$8:$C$256,0)),"")</f>
        <v/>
      </c>
      <c r="E86" s="1028" t="str">
        <f>IFERROR(IF(INDEX('Disaggregation1B_Import-Export'!AG$8:AG$239,MATCH($B86,'Disaggregation1B_Import-Export'!$C$8:$C$239,0))="","",INDEX('Disaggregation1B_Import-Export'!AG$8:AG$239,MATCH($B86,'Disaggregation1B_Import-Export'!$C$8:$C$239,0))),"")</f>
        <v/>
      </c>
      <c r="F86" s="1028" t="str">
        <f>IFERROR(IF(INDEX('Disaggregation1B_Import-Export'!AH$8:AH$239,MATCH($B86,'Disaggregation1B_Import-Export'!$C$8:$C$239,0))="","",INDEX('Disaggregation1B_Import-Export'!AH$8:AH$239,MATCH($B86,'Disaggregation1B_Import-Export'!$C$8:$C$239,0))),"")</f>
        <v/>
      </c>
      <c r="G86" s="1107" t="str">
        <f>IFERROR(IF(INDEX('Disaggregation1B_Import-Export'!H$8:H$239,MATCH($B86,'Disaggregation1B_Import-Export'!$C$8:$C$239,0))="","",INDEX('Disaggregation1B_Import-Export'!H$8:H$239,MATCH($B86,'Disaggregation1B_Import-Export'!$C$8:$C$239,0))),"")</f>
        <v/>
      </c>
      <c r="H86" s="1107" t="str">
        <f>IFERROR(IF(INDEX('Disaggregation1B_Import-Export'!I$8:I$239,MATCH($B86,'Disaggregation1B_Import-Export'!$C$8:$C$239,0))="","",INDEX('Disaggregation1B_Import-Export'!I$8:I$239,MATCH($B86,'Disaggregation1B_Import-Export'!$C$8:$C$239,0))),"")</f>
        <v/>
      </c>
      <c r="I86" s="1108" t="str">
        <f>IFERROR(IF(INDEX('Disaggregation1B_Import-Export'!J$8:J$239,MATCH($B86,'Disaggregation1B_Import-Export'!$C$8:$C$239,0))="","",INDEX('Disaggregation1B_Import-Export'!J$8:J$239,MATCH($B86,'Disaggregation1B_Import-Export'!$C$8:$C$239,0))),"")</f>
        <v/>
      </c>
      <c r="J86" s="1028" t="str">
        <f>IFERROR(IF(INDEX('Disaggregation1B_Import-Export'!K$8:K$239,MATCH($B86,'Disaggregation1B_Import-Export'!$C$8:$C$239,0))="","",INDEX('Disaggregation1B_Import-Export'!K$8:K$239,MATCH($B86,'Disaggregation1B_Import-Export'!$C$8:$C$239,0))),"")</f>
        <v/>
      </c>
      <c r="K86" s="1028" t="str">
        <f>IFERROR(IF(INDEX('Disaggregation1B_Import-Export'!L$8:L$239,MATCH($B86,'Disaggregation1B_Import-Export'!$C$8:$C$239,0))="","",INDEX('Disaggregation1B_Import-Export'!L$8:L$239,MATCH($B86,'Disaggregation1B_Import-Export'!$C$8:$C$239,0))),"")</f>
        <v/>
      </c>
      <c r="L86" s="1028" t="str">
        <f>IFERROR(IF(INDEX('Disaggregation1B_Import-Export'!AQ$8:AQ$239,MATCH($B86,'Disaggregation1B_Import-Export'!$C$8:$C$239,0))="","",INDEX('Disaggregation1B_Import-Export'!AQ$8:AQ$239,MATCH($B86,'Disaggregation1B_Import-Export'!$C$8:$C$239,0))),"")</f>
        <v/>
      </c>
      <c r="M86" s="1064"/>
      <c r="N86" s="1064"/>
      <c r="O86" s="1109" t="str">
        <f t="shared" si="6"/>
        <v/>
      </c>
      <c r="P86" s="1065"/>
      <c r="Q86" s="1065"/>
      <c r="R86" s="1066"/>
      <c r="S86" s="1064"/>
      <c r="T86" s="1064"/>
      <c r="U86" s="1109" t="str">
        <f t="shared" si="7"/>
        <v/>
      </c>
      <c r="V86" s="1065"/>
      <c r="W86" s="1065"/>
      <c r="X86" s="1066"/>
      <c r="Y86" s="1110"/>
      <c r="Z86" s="1110"/>
      <c r="AA86" s="1111" t="str">
        <f t="shared" si="8"/>
        <v/>
      </c>
      <c r="AB86" s="1112"/>
      <c r="AC86" s="1113"/>
    </row>
    <row r="87" spans="1:29" x14ac:dyDescent="0.2">
      <c r="A87" s="648">
        <f t="shared" si="9"/>
        <v>77</v>
      </c>
      <c r="B87" s="648" t="str">
        <f t="shared" si="5"/>
        <v>Coverage77</v>
      </c>
      <c r="C87" s="1027" t="str">
        <f>IFERROR(INDEX('Disaggregation1B_Import-Export'!D$8:D$239,MATCH($B87,'Disaggregation1B_Import-Export'!$C$8:$C$239,0)),"")</f>
        <v/>
      </c>
      <c r="D87" s="1028" t="str">
        <f>IFERROR(INDEX('Disaggregation1B_Import-Export'!AF$8:AF$256,MATCH($B87,'Disaggregation1B_Import-Export'!$C$8:$C$256,0)),"")</f>
        <v/>
      </c>
      <c r="E87" s="1028" t="str">
        <f>IFERROR(IF(INDEX('Disaggregation1B_Import-Export'!AG$8:AG$239,MATCH($B87,'Disaggregation1B_Import-Export'!$C$8:$C$239,0))="","",INDEX('Disaggregation1B_Import-Export'!AG$8:AG$239,MATCH($B87,'Disaggregation1B_Import-Export'!$C$8:$C$239,0))),"")</f>
        <v/>
      </c>
      <c r="F87" s="1028" t="str">
        <f>IFERROR(IF(INDEX('Disaggregation1B_Import-Export'!AH$8:AH$239,MATCH($B87,'Disaggregation1B_Import-Export'!$C$8:$C$239,0))="","",INDEX('Disaggregation1B_Import-Export'!AH$8:AH$239,MATCH($B87,'Disaggregation1B_Import-Export'!$C$8:$C$239,0))),"")</f>
        <v/>
      </c>
      <c r="G87" s="1107" t="str">
        <f>IFERROR(IF(INDEX('Disaggregation1B_Import-Export'!H$8:H$239,MATCH($B87,'Disaggregation1B_Import-Export'!$C$8:$C$239,0))="","",INDEX('Disaggregation1B_Import-Export'!H$8:H$239,MATCH($B87,'Disaggregation1B_Import-Export'!$C$8:$C$239,0))),"")</f>
        <v/>
      </c>
      <c r="H87" s="1107" t="str">
        <f>IFERROR(IF(INDEX('Disaggregation1B_Import-Export'!I$8:I$239,MATCH($B87,'Disaggregation1B_Import-Export'!$C$8:$C$239,0))="","",INDEX('Disaggregation1B_Import-Export'!I$8:I$239,MATCH($B87,'Disaggregation1B_Import-Export'!$C$8:$C$239,0))),"")</f>
        <v/>
      </c>
      <c r="I87" s="1108" t="str">
        <f>IFERROR(IF(INDEX('Disaggregation1B_Import-Export'!J$8:J$239,MATCH($B87,'Disaggregation1B_Import-Export'!$C$8:$C$239,0))="","",INDEX('Disaggregation1B_Import-Export'!J$8:J$239,MATCH($B87,'Disaggregation1B_Import-Export'!$C$8:$C$239,0))),"")</f>
        <v/>
      </c>
      <c r="J87" s="1028" t="str">
        <f>IFERROR(IF(INDEX('Disaggregation1B_Import-Export'!K$8:K$239,MATCH($B87,'Disaggregation1B_Import-Export'!$C$8:$C$239,0))="","",INDEX('Disaggregation1B_Import-Export'!K$8:K$239,MATCH($B87,'Disaggregation1B_Import-Export'!$C$8:$C$239,0))),"")</f>
        <v/>
      </c>
      <c r="K87" s="1028" t="str">
        <f>IFERROR(IF(INDEX('Disaggregation1B_Import-Export'!L$8:L$239,MATCH($B87,'Disaggregation1B_Import-Export'!$C$8:$C$239,0))="","",INDEX('Disaggregation1B_Import-Export'!L$8:L$239,MATCH($B87,'Disaggregation1B_Import-Export'!$C$8:$C$239,0))),"")</f>
        <v/>
      </c>
      <c r="L87" s="1028" t="str">
        <f>IFERROR(IF(INDEX('Disaggregation1B_Import-Export'!AQ$8:AQ$239,MATCH($B87,'Disaggregation1B_Import-Export'!$C$8:$C$239,0))="","",INDEX('Disaggregation1B_Import-Export'!AQ$8:AQ$239,MATCH($B87,'Disaggregation1B_Import-Export'!$C$8:$C$239,0))),"")</f>
        <v/>
      </c>
      <c r="M87" s="1064"/>
      <c r="N87" s="1064"/>
      <c r="O87" s="1109" t="str">
        <f t="shared" si="6"/>
        <v/>
      </c>
      <c r="P87" s="1065"/>
      <c r="Q87" s="1065"/>
      <c r="R87" s="1066"/>
      <c r="S87" s="1064"/>
      <c r="T87" s="1064"/>
      <c r="U87" s="1109" t="str">
        <f t="shared" si="7"/>
        <v/>
      </c>
      <c r="V87" s="1065"/>
      <c r="W87" s="1065"/>
      <c r="X87" s="1066"/>
      <c r="Y87" s="1110"/>
      <c r="Z87" s="1110"/>
      <c r="AA87" s="1111" t="str">
        <f t="shared" si="8"/>
        <v/>
      </c>
      <c r="AB87" s="1112"/>
      <c r="AC87" s="1113"/>
    </row>
    <row r="88" spans="1:29" x14ac:dyDescent="0.2">
      <c r="A88" s="648">
        <f t="shared" si="9"/>
        <v>78</v>
      </c>
      <c r="B88" s="648" t="str">
        <f t="shared" si="5"/>
        <v>Coverage78</v>
      </c>
      <c r="C88" s="1027" t="str">
        <f>IFERROR(INDEX('Disaggregation1B_Import-Export'!D$8:D$239,MATCH($B88,'Disaggregation1B_Import-Export'!$C$8:$C$239,0)),"")</f>
        <v/>
      </c>
      <c r="D88" s="1028" t="str">
        <f>IFERROR(INDEX('Disaggregation1B_Import-Export'!AF$8:AF$256,MATCH($B88,'Disaggregation1B_Import-Export'!$C$8:$C$256,0)),"")</f>
        <v/>
      </c>
      <c r="E88" s="1028" t="str">
        <f>IFERROR(IF(INDEX('Disaggregation1B_Import-Export'!AG$8:AG$239,MATCH($B88,'Disaggregation1B_Import-Export'!$C$8:$C$239,0))="","",INDEX('Disaggregation1B_Import-Export'!AG$8:AG$239,MATCH($B88,'Disaggregation1B_Import-Export'!$C$8:$C$239,0))),"")</f>
        <v/>
      </c>
      <c r="F88" s="1028" t="str">
        <f>IFERROR(IF(INDEX('Disaggregation1B_Import-Export'!AH$8:AH$239,MATCH($B88,'Disaggregation1B_Import-Export'!$C$8:$C$239,0))="","",INDEX('Disaggregation1B_Import-Export'!AH$8:AH$239,MATCH($B88,'Disaggregation1B_Import-Export'!$C$8:$C$239,0))),"")</f>
        <v/>
      </c>
      <c r="G88" s="1107" t="str">
        <f>IFERROR(IF(INDEX('Disaggregation1B_Import-Export'!H$8:H$239,MATCH($B88,'Disaggregation1B_Import-Export'!$C$8:$C$239,0))="","",INDEX('Disaggregation1B_Import-Export'!H$8:H$239,MATCH($B88,'Disaggregation1B_Import-Export'!$C$8:$C$239,0))),"")</f>
        <v/>
      </c>
      <c r="H88" s="1107" t="str">
        <f>IFERROR(IF(INDEX('Disaggregation1B_Import-Export'!I$8:I$239,MATCH($B88,'Disaggregation1B_Import-Export'!$C$8:$C$239,0))="","",INDEX('Disaggregation1B_Import-Export'!I$8:I$239,MATCH($B88,'Disaggregation1B_Import-Export'!$C$8:$C$239,0))),"")</f>
        <v/>
      </c>
      <c r="I88" s="1108" t="str">
        <f>IFERROR(IF(INDEX('Disaggregation1B_Import-Export'!J$8:J$239,MATCH($B88,'Disaggregation1B_Import-Export'!$C$8:$C$239,0))="","",INDEX('Disaggregation1B_Import-Export'!J$8:J$239,MATCH($B88,'Disaggregation1B_Import-Export'!$C$8:$C$239,0))),"")</f>
        <v/>
      </c>
      <c r="J88" s="1028" t="str">
        <f>IFERROR(IF(INDEX('Disaggregation1B_Import-Export'!K$8:K$239,MATCH($B88,'Disaggregation1B_Import-Export'!$C$8:$C$239,0))="","",INDEX('Disaggregation1B_Import-Export'!K$8:K$239,MATCH($B88,'Disaggregation1B_Import-Export'!$C$8:$C$239,0))),"")</f>
        <v/>
      </c>
      <c r="K88" s="1028" t="str">
        <f>IFERROR(IF(INDEX('Disaggregation1B_Import-Export'!L$8:L$239,MATCH($B88,'Disaggregation1B_Import-Export'!$C$8:$C$239,0))="","",INDEX('Disaggregation1B_Import-Export'!L$8:L$239,MATCH($B88,'Disaggregation1B_Import-Export'!$C$8:$C$239,0))),"")</f>
        <v/>
      </c>
      <c r="L88" s="1028" t="str">
        <f>IFERROR(IF(INDEX('Disaggregation1B_Import-Export'!AQ$8:AQ$239,MATCH($B88,'Disaggregation1B_Import-Export'!$C$8:$C$239,0))="","",INDEX('Disaggregation1B_Import-Export'!AQ$8:AQ$239,MATCH($B88,'Disaggregation1B_Import-Export'!$C$8:$C$239,0))),"")</f>
        <v/>
      </c>
      <c r="M88" s="1064"/>
      <c r="N88" s="1064"/>
      <c r="O88" s="1109" t="str">
        <f t="shared" si="6"/>
        <v/>
      </c>
      <c r="P88" s="1065"/>
      <c r="Q88" s="1065"/>
      <c r="R88" s="1066"/>
      <c r="S88" s="1064"/>
      <c r="T88" s="1064"/>
      <c r="U88" s="1109" t="str">
        <f t="shared" si="7"/>
        <v/>
      </c>
      <c r="V88" s="1065"/>
      <c r="W88" s="1065"/>
      <c r="X88" s="1066"/>
      <c r="Y88" s="1110"/>
      <c r="Z88" s="1110"/>
      <c r="AA88" s="1111" t="str">
        <f t="shared" si="8"/>
        <v/>
      </c>
      <c r="AB88" s="1112"/>
      <c r="AC88" s="1113"/>
    </row>
    <row r="89" spans="1:29" x14ac:dyDescent="0.2">
      <c r="A89" s="648">
        <f t="shared" si="9"/>
        <v>79</v>
      </c>
      <c r="B89" s="648" t="str">
        <f t="shared" si="5"/>
        <v>Coverage79</v>
      </c>
      <c r="C89" s="1027" t="str">
        <f>IFERROR(INDEX('Disaggregation1B_Import-Export'!D$8:D$239,MATCH($B89,'Disaggregation1B_Import-Export'!$C$8:$C$239,0)),"")</f>
        <v/>
      </c>
      <c r="D89" s="1028" t="str">
        <f>IFERROR(INDEX('Disaggregation1B_Import-Export'!AF$8:AF$256,MATCH($B89,'Disaggregation1B_Import-Export'!$C$8:$C$256,0)),"")</f>
        <v/>
      </c>
      <c r="E89" s="1028" t="str">
        <f>IFERROR(IF(INDEX('Disaggregation1B_Import-Export'!AG$8:AG$239,MATCH($B89,'Disaggregation1B_Import-Export'!$C$8:$C$239,0))="","",INDEX('Disaggregation1B_Import-Export'!AG$8:AG$239,MATCH($B89,'Disaggregation1B_Import-Export'!$C$8:$C$239,0))),"")</f>
        <v/>
      </c>
      <c r="F89" s="1028" t="str">
        <f>IFERROR(IF(INDEX('Disaggregation1B_Import-Export'!AH$8:AH$239,MATCH($B89,'Disaggregation1B_Import-Export'!$C$8:$C$239,0))="","",INDEX('Disaggregation1B_Import-Export'!AH$8:AH$239,MATCH($B89,'Disaggregation1B_Import-Export'!$C$8:$C$239,0))),"")</f>
        <v/>
      </c>
      <c r="G89" s="1107" t="str">
        <f>IFERROR(IF(INDEX('Disaggregation1B_Import-Export'!H$8:H$239,MATCH($B89,'Disaggregation1B_Import-Export'!$C$8:$C$239,0))="","",INDEX('Disaggregation1B_Import-Export'!H$8:H$239,MATCH($B89,'Disaggregation1B_Import-Export'!$C$8:$C$239,0))),"")</f>
        <v/>
      </c>
      <c r="H89" s="1107" t="str">
        <f>IFERROR(IF(INDEX('Disaggregation1B_Import-Export'!I$8:I$239,MATCH($B89,'Disaggregation1B_Import-Export'!$C$8:$C$239,0))="","",INDEX('Disaggregation1B_Import-Export'!I$8:I$239,MATCH($B89,'Disaggregation1B_Import-Export'!$C$8:$C$239,0))),"")</f>
        <v/>
      </c>
      <c r="I89" s="1108" t="str">
        <f>IFERROR(IF(INDEX('Disaggregation1B_Import-Export'!J$8:J$239,MATCH($B89,'Disaggregation1B_Import-Export'!$C$8:$C$239,0))="","",INDEX('Disaggregation1B_Import-Export'!J$8:J$239,MATCH($B89,'Disaggregation1B_Import-Export'!$C$8:$C$239,0))),"")</f>
        <v/>
      </c>
      <c r="J89" s="1028" t="str">
        <f>IFERROR(IF(INDEX('Disaggregation1B_Import-Export'!K$8:K$239,MATCH($B89,'Disaggregation1B_Import-Export'!$C$8:$C$239,0))="","",INDEX('Disaggregation1B_Import-Export'!K$8:K$239,MATCH($B89,'Disaggregation1B_Import-Export'!$C$8:$C$239,0))),"")</f>
        <v/>
      </c>
      <c r="K89" s="1028" t="str">
        <f>IFERROR(IF(INDEX('Disaggregation1B_Import-Export'!L$8:L$239,MATCH($B89,'Disaggregation1B_Import-Export'!$C$8:$C$239,0))="","",INDEX('Disaggregation1B_Import-Export'!L$8:L$239,MATCH($B89,'Disaggregation1B_Import-Export'!$C$8:$C$239,0))),"")</f>
        <v/>
      </c>
      <c r="L89" s="1028" t="str">
        <f>IFERROR(IF(INDEX('Disaggregation1B_Import-Export'!AQ$8:AQ$239,MATCH($B89,'Disaggregation1B_Import-Export'!$C$8:$C$239,0))="","",INDEX('Disaggregation1B_Import-Export'!AQ$8:AQ$239,MATCH($B89,'Disaggregation1B_Import-Export'!$C$8:$C$239,0))),"")</f>
        <v/>
      </c>
      <c r="M89" s="1064"/>
      <c r="N89" s="1064"/>
      <c r="O89" s="1109" t="str">
        <f t="shared" si="6"/>
        <v/>
      </c>
      <c r="P89" s="1065"/>
      <c r="Q89" s="1065"/>
      <c r="R89" s="1066"/>
      <c r="S89" s="1064"/>
      <c r="T89" s="1064"/>
      <c r="U89" s="1109" t="str">
        <f t="shared" si="7"/>
        <v/>
      </c>
      <c r="V89" s="1065"/>
      <c r="W89" s="1065"/>
      <c r="X89" s="1066"/>
      <c r="Y89" s="1110"/>
      <c r="Z89" s="1110"/>
      <c r="AA89" s="1111" t="str">
        <f t="shared" si="8"/>
        <v/>
      </c>
      <c r="AB89" s="1112"/>
      <c r="AC89" s="1113"/>
    </row>
    <row r="90" spans="1:29" x14ac:dyDescent="0.2">
      <c r="A90" s="648">
        <f t="shared" si="9"/>
        <v>80</v>
      </c>
      <c r="B90" s="648" t="str">
        <f t="shared" si="5"/>
        <v>Coverage80</v>
      </c>
      <c r="C90" s="1027" t="str">
        <f>IFERROR(INDEX('Disaggregation1B_Import-Export'!D$8:D$239,MATCH($B90,'Disaggregation1B_Import-Export'!$C$8:$C$239,0)),"")</f>
        <v/>
      </c>
      <c r="D90" s="1028" t="str">
        <f>IFERROR(INDEX('Disaggregation1B_Import-Export'!AF$8:AF$256,MATCH($B90,'Disaggregation1B_Import-Export'!$C$8:$C$256,0)),"")</f>
        <v/>
      </c>
      <c r="E90" s="1028" t="str">
        <f>IFERROR(IF(INDEX('Disaggregation1B_Import-Export'!AG$8:AG$239,MATCH($B90,'Disaggregation1B_Import-Export'!$C$8:$C$239,0))="","",INDEX('Disaggregation1B_Import-Export'!AG$8:AG$239,MATCH($B90,'Disaggregation1B_Import-Export'!$C$8:$C$239,0))),"")</f>
        <v/>
      </c>
      <c r="F90" s="1028" t="str">
        <f>IFERROR(IF(INDEX('Disaggregation1B_Import-Export'!AH$8:AH$239,MATCH($B90,'Disaggregation1B_Import-Export'!$C$8:$C$239,0))="","",INDEX('Disaggregation1B_Import-Export'!AH$8:AH$239,MATCH($B90,'Disaggregation1B_Import-Export'!$C$8:$C$239,0))),"")</f>
        <v/>
      </c>
      <c r="G90" s="1107" t="str">
        <f>IFERROR(IF(INDEX('Disaggregation1B_Import-Export'!H$8:H$239,MATCH($B90,'Disaggregation1B_Import-Export'!$C$8:$C$239,0))="","",INDEX('Disaggregation1B_Import-Export'!H$8:H$239,MATCH($B90,'Disaggregation1B_Import-Export'!$C$8:$C$239,0))),"")</f>
        <v/>
      </c>
      <c r="H90" s="1107" t="str">
        <f>IFERROR(IF(INDEX('Disaggregation1B_Import-Export'!I$8:I$239,MATCH($B90,'Disaggregation1B_Import-Export'!$C$8:$C$239,0))="","",INDEX('Disaggregation1B_Import-Export'!I$8:I$239,MATCH($B90,'Disaggregation1B_Import-Export'!$C$8:$C$239,0))),"")</f>
        <v/>
      </c>
      <c r="I90" s="1108" t="str">
        <f>IFERROR(IF(INDEX('Disaggregation1B_Import-Export'!J$8:J$239,MATCH($B90,'Disaggregation1B_Import-Export'!$C$8:$C$239,0))="","",INDEX('Disaggregation1B_Import-Export'!J$8:J$239,MATCH($B90,'Disaggregation1B_Import-Export'!$C$8:$C$239,0))),"")</f>
        <v/>
      </c>
      <c r="J90" s="1028" t="str">
        <f>IFERROR(IF(INDEX('Disaggregation1B_Import-Export'!K$8:K$239,MATCH($B90,'Disaggregation1B_Import-Export'!$C$8:$C$239,0))="","",INDEX('Disaggregation1B_Import-Export'!K$8:K$239,MATCH($B90,'Disaggregation1B_Import-Export'!$C$8:$C$239,0))),"")</f>
        <v/>
      </c>
      <c r="K90" s="1028" t="str">
        <f>IFERROR(IF(INDEX('Disaggregation1B_Import-Export'!L$8:L$239,MATCH($B90,'Disaggregation1B_Import-Export'!$C$8:$C$239,0))="","",INDEX('Disaggregation1B_Import-Export'!L$8:L$239,MATCH($B90,'Disaggregation1B_Import-Export'!$C$8:$C$239,0))),"")</f>
        <v/>
      </c>
      <c r="L90" s="1028" t="str">
        <f>IFERROR(IF(INDEX('Disaggregation1B_Import-Export'!AQ$8:AQ$239,MATCH($B90,'Disaggregation1B_Import-Export'!$C$8:$C$239,0))="","",INDEX('Disaggregation1B_Import-Export'!AQ$8:AQ$239,MATCH($B90,'Disaggregation1B_Import-Export'!$C$8:$C$239,0))),"")</f>
        <v/>
      </c>
      <c r="M90" s="1064"/>
      <c r="N90" s="1064"/>
      <c r="O90" s="1109" t="str">
        <f t="shared" si="6"/>
        <v/>
      </c>
      <c r="P90" s="1065"/>
      <c r="Q90" s="1065"/>
      <c r="R90" s="1066"/>
      <c r="S90" s="1064"/>
      <c r="T90" s="1064"/>
      <c r="U90" s="1109" t="str">
        <f t="shared" si="7"/>
        <v/>
      </c>
      <c r="V90" s="1065"/>
      <c r="W90" s="1065"/>
      <c r="X90" s="1066"/>
      <c r="Y90" s="1110"/>
      <c r="Z90" s="1110"/>
      <c r="AA90" s="1111" t="str">
        <f t="shared" si="8"/>
        <v/>
      </c>
      <c r="AB90" s="1112"/>
      <c r="AC90" s="1113"/>
    </row>
    <row r="91" spans="1:29" x14ac:dyDescent="0.2">
      <c r="A91" s="648">
        <f t="shared" si="9"/>
        <v>81</v>
      </c>
      <c r="B91" s="648" t="str">
        <f t="shared" si="5"/>
        <v>Coverage81</v>
      </c>
      <c r="C91" s="1027" t="str">
        <f>IFERROR(INDEX('Disaggregation1B_Import-Export'!D$8:D$239,MATCH($B91,'Disaggregation1B_Import-Export'!$C$8:$C$239,0)),"")</f>
        <v/>
      </c>
      <c r="D91" s="1028" t="str">
        <f>IFERROR(INDEX('Disaggregation1B_Import-Export'!AF$8:AF$256,MATCH($B91,'Disaggregation1B_Import-Export'!$C$8:$C$256,0)),"")</f>
        <v/>
      </c>
      <c r="E91" s="1028" t="str">
        <f>IFERROR(IF(INDEX('Disaggregation1B_Import-Export'!AG$8:AG$239,MATCH($B91,'Disaggregation1B_Import-Export'!$C$8:$C$239,0))="","",INDEX('Disaggregation1B_Import-Export'!AG$8:AG$239,MATCH($B91,'Disaggregation1B_Import-Export'!$C$8:$C$239,0))),"")</f>
        <v/>
      </c>
      <c r="F91" s="1028" t="str">
        <f>IFERROR(IF(INDEX('Disaggregation1B_Import-Export'!AH$8:AH$239,MATCH($B91,'Disaggregation1B_Import-Export'!$C$8:$C$239,0))="","",INDEX('Disaggregation1B_Import-Export'!AH$8:AH$239,MATCH($B91,'Disaggregation1B_Import-Export'!$C$8:$C$239,0))),"")</f>
        <v/>
      </c>
      <c r="G91" s="1107" t="str">
        <f>IFERROR(IF(INDEX('Disaggregation1B_Import-Export'!H$8:H$239,MATCH($B91,'Disaggregation1B_Import-Export'!$C$8:$C$239,0))="","",INDEX('Disaggregation1B_Import-Export'!H$8:H$239,MATCH($B91,'Disaggregation1B_Import-Export'!$C$8:$C$239,0))),"")</f>
        <v/>
      </c>
      <c r="H91" s="1107" t="str">
        <f>IFERROR(IF(INDEX('Disaggregation1B_Import-Export'!I$8:I$239,MATCH($B91,'Disaggregation1B_Import-Export'!$C$8:$C$239,0))="","",INDEX('Disaggregation1B_Import-Export'!I$8:I$239,MATCH($B91,'Disaggregation1B_Import-Export'!$C$8:$C$239,0))),"")</f>
        <v/>
      </c>
      <c r="I91" s="1108" t="str">
        <f>IFERROR(IF(INDEX('Disaggregation1B_Import-Export'!J$8:J$239,MATCH($B91,'Disaggregation1B_Import-Export'!$C$8:$C$239,0))="","",INDEX('Disaggregation1B_Import-Export'!J$8:J$239,MATCH($B91,'Disaggregation1B_Import-Export'!$C$8:$C$239,0))),"")</f>
        <v/>
      </c>
      <c r="J91" s="1028" t="str">
        <f>IFERROR(IF(INDEX('Disaggregation1B_Import-Export'!K$8:K$239,MATCH($B91,'Disaggregation1B_Import-Export'!$C$8:$C$239,0))="","",INDEX('Disaggregation1B_Import-Export'!K$8:K$239,MATCH($B91,'Disaggregation1B_Import-Export'!$C$8:$C$239,0))),"")</f>
        <v/>
      </c>
      <c r="K91" s="1028" t="str">
        <f>IFERROR(IF(INDEX('Disaggregation1B_Import-Export'!L$8:L$239,MATCH($B91,'Disaggregation1B_Import-Export'!$C$8:$C$239,0))="","",INDEX('Disaggregation1B_Import-Export'!L$8:L$239,MATCH($B91,'Disaggregation1B_Import-Export'!$C$8:$C$239,0))),"")</f>
        <v/>
      </c>
      <c r="L91" s="1028" t="str">
        <f>IFERROR(IF(INDEX('Disaggregation1B_Import-Export'!AQ$8:AQ$239,MATCH($B91,'Disaggregation1B_Import-Export'!$C$8:$C$239,0))="","",INDEX('Disaggregation1B_Import-Export'!AQ$8:AQ$239,MATCH($B91,'Disaggregation1B_Import-Export'!$C$8:$C$239,0))),"")</f>
        <v/>
      </c>
      <c r="M91" s="1064"/>
      <c r="N91" s="1064"/>
      <c r="O91" s="1109" t="str">
        <f t="shared" si="6"/>
        <v/>
      </c>
      <c r="P91" s="1065"/>
      <c r="Q91" s="1065"/>
      <c r="R91" s="1066"/>
      <c r="S91" s="1064"/>
      <c r="T91" s="1064"/>
      <c r="U91" s="1109" t="str">
        <f t="shared" si="7"/>
        <v/>
      </c>
      <c r="V91" s="1065"/>
      <c r="W91" s="1065"/>
      <c r="X91" s="1066"/>
      <c r="Y91" s="1110"/>
      <c r="Z91" s="1110"/>
      <c r="AA91" s="1111" t="str">
        <f t="shared" si="8"/>
        <v/>
      </c>
      <c r="AB91" s="1112"/>
      <c r="AC91" s="1113"/>
    </row>
    <row r="92" spans="1:29" x14ac:dyDescent="0.2">
      <c r="A92" s="648">
        <f t="shared" si="9"/>
        <v>82</v>
      </c>
      <c r="B92" s="648" t="str">
        <f t="shared" si="5"/>
        <v>Coverage82</v>
      </c>
      <c r="C92" s="1027" t="str">
        <f>IFERROR(INDEX('Disaggregation1B_Import-Export'!D$8:D$239,MATCH($B92,'Disaggregation1B_Import-Export'!$C$8:$C$239,0)),"")</f>
        <v/>
      </c>
      <c r="D92" s="1028" t="str">
        <f>IFERROR(INDEX('Disaggregation1B_Import-Export'!AF$8:AF$256,MATCH($B92,'Disaggregation1B_Import-Export'!$C$8:$C$256,0)),"")</f>
        <v/>
      </c>
      <c r="E92" s="1028" t="str">
        <f>IFERROR(IF(INDEX('Disaggregation1B_Import-Export'!AG$8:AG$239,MATCH($B92,'Disaggregation1B_Import-Export'!$C$8:$C$239,0))="","",INDEX('Disaggregation1B_Import-Export'!AG$8:AG$239,MATCH($B92,'Disaggregation1B_Import-Export'!$C$8:$C$239,0))),"")</f>
        <v/>
      </c>
      <c r="F92" s="1028" t="str">
        <f>IFERROR(IF(INDEX('Disaggregation1B_Import-Export'!AH$8:AH$239,MATCH($B92,'Disaggregation1B_Import-Export'!$C$8:$C$239,0))="","",INDEX('Disaggregation1B_Import-Export'!AH$8:AH$239,MATCH($B92,'Disaggregation1B_Import-Export'!$C$8:$C$239,0))),"")</f>
        <v/>
      </c>
      <c r="G92" s="1107" t="str">
        <f>IFERROR(IF(INDEX('Disaggregation1B_Import-Export'!H$8:H$239,MATCH($B92,'Disaggregation1B_Import-Export'!$C$8:$C$239,0))="","",INDEX('Disaggregation1B_Import-Export'!H$8:H$239,MATCH($B92,'Disaggregation1B_Import-Export'!$C$8:$C$239,0))),"")</f>
        <v/>
      </c>
      <c r="H92" s="1107" t="str">
        <f>IFERROR(IF(INDEX('Disaggregation1B_Import-Export'!I$8:I$239,MATCH($B92,'Disaggregation1B_Import-Export'!$C$8:$C$239,0))="","",INDEX('Disaggregation1B_Import-Export'!I$8:I$239,MATCH($B92,'Disaggregation1B_Import-Export'!$C$8:$C$239,0))),"")</f>
        <v/>
      </c>
      <c r="I92" s="1108" t="str">
        <f>IFERROR(IF(INDEX('Disaggregation1B_Import-Export'!J$8:J$239,MATCH($B92,'Disaggregation1B_Import-Export'!$C$8:$C$239,0))="","",INDEX('Disaggregation1B_Import-Export'!J$8:J$239,MATCH($B92,'Disaggregation1B_Import-Export'!$C$8:$C$239,0))),"")</f>
        <v/>
      </c>
      <c r="J92" s="1028" t="str">
        <f>IFERROR(IF(INDEX('Disaggregation1B_Import-Export'!K$8:K$239,MATCH($B92,'Disaggregation1B_Import-Export'!$C$8:$C$239,0))="","",INDEX('Disaggregation1B_Import-Export'!K$8:K$239,MATCH($B92,'Disaggregation1B_Import-Export'!$C$8:$C$239,0))),"")</f>
        <v/>
      </c>
      <c r="K92" s="1028" t="str">
        <f>IFERROR(IF(INDEX('Disaggregation1B_Import-Export'!L$8:L$239,MATCH($B92,'Disaggregation1B_Import-Export'!$C$8:$C$239,0))="","",INDEX('Disaggregation1B_Import-Export'!L$8:L$239,MATCH($B92,'Disaggregation1B_Import-Export'!$C$8:$C$239,0))),"")</f>
        <v/>
      </c>
      <c r="L92" s="1028" t="str">
        <f>IFERROR(IF(INDEX('Disaggregation1B_Import-Export'!AQ$8:AQ$239,MATCH($B92,'Disaggregation1B_Import-Export'!$C$8:$C$239,0))="","",INDEX('Disaggregation1B_Import-Export'!AQ$8:AQ$239,MATCH($B92,'Disaggregation1B_Import-Export'!$C$8:$C$239,0))),"")</f>
        <v/>
      </c>
      <c r="M92" s="1064"/>
      <c r="N92" s="1064"/>
      <c r="O92" s="1109" t="str">
        <f t="shared" si="6"/>
        <v/>
      </c>
      <c r="P92" s="1065"/>
      <c r="Q92" s="1065"/>
      <c r="R92" s="1066"/>
      <c r="S92" s="1064"/>
      <c r="T92" s="1064"/>
      <c r="U92" s="1109" t="str">
        <f t="shared" si="7"/>
        <v/>
      </c>
      <c r="V92" s="1065"/>
      <c r="W92" s="1065"/>
      <c r="X92" s="1066"/>
      <c r="Y92" s="1110"/>
      <c r="Z92" s="1110"/>
      <c r="AA92" s="1111" t="str">
        <f t="shared" si="8"/>
        <v/>
      </c>
      <c r="AB92" s="1112"/>
      <c r="AC92" s="1113"/>
    </row>
    <row r="93" spans="1:29" x14ac:dyDescent="0.2">
      <c r="A93" s="648">
        <f t="shared" si="9"/>
        <v>83</v>
      </c>
      <c r="B93" s="648" t="str">
        <f t="shared" si="5"/>
        <v>Coverage83</v>
      </c>
      <c r="C93" s="1027" t="str">
        <f>IFERROR(INDEX('Disaggregation1B_Import-Export'!D$8:D$239,MATCH($B93,'Disaggregation1B_Import-Export'!$C$8:$C$239,0)),"")</f>
        <v/>
      </c>
      <c r="D93" s="1028" t="str">
        <f>IFERROR(INDEX('Disaggregation1B_Import-Export'!AF$8:AF$256,MATCH($B93,'Disaggregation1B_Import-Export'!$C$8:$C$256,0)),"")</f>
        <v/>
      </c>
      <c r="E93" s="1028" t="str">
        <f>IFERROR(IF(INDEX('Disaggregation1B_Import-Export'!AG$8:AG$239,MATCH($B93,'Disaggregation1B_Import-Export'!$C$8:$C$239,0))="","",INDEX('Disaggregation1B_Import-Export'!AG$8:AG$239,MATCH($B93,'Disaggregation1B_Import-Export'!$C$8:$C$239,0))),"")</f>
        <v/>
      </c>
      <c r="F93" s="1028" t="str">
        <f>IFERROR(IF(INDEX('Disaggregation1B_Import-Export'!AH$8:AH$239,MATCH($B93,'Disaggregation1B_Import-Export'!$C$8:$C$239,0))="","",INDEX('Disaggregation1B_Import-Export'!AH$8:AH$239,MATCH($B93,'Disaggregation1B_Import-Export'!$C$8:$C$239,0))),"")</f>
        <v/>
      </c>
      <c r="G93" s="1107" t="str">
        <f>IFERROR(IF(INDEX('Disaggregation1B_Import-Export'!H$8:H$239,MATCH($B93,'Disaggregation1B_Import-Export'!$C$8:$C$239,0))="","",INDEX('Disaggregation1B_Import-Export'!H$8:H$239,MATCH($B93,'Disaggregation1B_Import-Export'!$C$8:$C$239,0))),"")</f>
        <v/>
      </c>
      <c r="H93" s="1107" t="str">
        <f>IFERROR(IF(INDEX('Disaggregation1B_Import-Export'!I$8:I$239,MATCH($B93,'Disaggregation1B_Import-Export'!$C$8:$C$239,0))="","",INDEX('Disaggregation1B_Import-Export'!I$8:I$239,MATCH($B93,'Disaggregation1B_Import-Export'!$C$8:$C$239,0))),"")</f>
        <v/>
      </c>
      <c r="I93" s="1108" t="str">
        <f>IFERROR(IF(INDEX('Disaggregation1B_Import-Export'!J$8:J$239,MATCH($B93,'Disaggregation1B_Import-Export'!$C$8:$C$239,0))="","",INDEX('Disaggregation1B_Import-Export'!J$8:J$239,MATCH($B93,'Disaggregation1B_Import-Export'!$C$8:$C$239,0))),"")</f>
        <v/>
      </c>
      <c r="J93" s="1028" t="str">
        <f>IFERROR(IF(INDEX('Disaggregation1B_Import-Export'!K$8:K$239,MATCH($B93,'Disaggregation1B_Import-Export'!$C$8:$C$239,0))="","",INDEX('Disaggregation1B_Import-Export'!K$8:K$239,MATCH($B93,'Disaggregation1B_Import-Export'!$C$8:$C$239,0))),"")</f>
        <v/>
      </c>
      <c r="K93" s="1028" t="str">
        <f>IFERROR(IF(INDEX('Disaggregation1B_Import-Export'!L$8:L$239,MATCH($B93,'Disaggregation1B_Import-Export'!$C$8:$C$239,0))="","",INDEX('Disaggregation1B_Import-Export'!L$8:L$239,MATCH($B93,'Disaggregation1B_Import-Export'!$C$8:$C$239,0))),"")</f>
        <v/>
      </c>
      <c r="L93" s="1028" t="str">
        <f>IFERROR(IF(INDEX('Disaggregation1B_Import-Export'!AQ$8:AQ$239,MATCH($B93,'Disaggregation1B_Import-Export'!$C$8:$C$239,0))="","",INDEX('Disaggregation1B_Import-Export'!AQ$8:AQ$239,MATCH($B93,'Disaggregation1B_Import-Export'!$C$8:$C$239,0))),"")</f>
        <v/>
      </c>
      <c r="M93" s="1064"/>
      <c r="N93" s="1064"/>
      <c r="O93" s="1109" t="str">
        <f t="shared" si="6"/>
        <v/>
      </c>
      <c r="P93" s="1065"/>
      <c r="Q93" s="1065"/>
      <c r="R93" s="1066"/>
      <c r="S93" s="1064"/>
      <c r="T93" s="1064"/>
      <c r="U93" s="1109" t="str">
        <f t="shared" si="7"/>
        <v/>
      </c>
      <c r="V93" s="1065"/>
      <c r="W93" s="1065"/>
      <c r="X93" s="1066"/>
      <c r="Y93" s="1110"/>
      <c r="Z93" s="1110"/>
      <c r="AA93" s="1111" t="str">
        <f t="shared" si="8"/>
        <v/>
      </c>
      <c r="AB93" s="1112"/>
      <c r="AC93" s="1113"/>
    </row>
    <row r="94" spans="1:29" x14ac:dyDescent="0.2">
      <c r="A94" s="648">
        <f t="shared" si="9"/>
        <v>84</v>
      </c>
      <c r="B94" s="648" t="str">
        <f t="shared" si="5"/>
        <v>Coverage84</v>
      </c>
      <c r="C94" s="1027" t="str">
        <f>IFERROR(INDEX('Disaggregation1B_Import-Export'!D$8:D$239,MATCH($B94,'Disaggregation1B_Import-Export'!$C$8:$C$239,0)),"")</f>
        <v/>
      </c>
      <c r="D94" s="1028" t="str">
        <f>IFERROR(INDEX('Disaggregation1B_Import-Export'!AF$8:AF$256,MATCH($B94,'Disaggregation1B_Import-Export'!$C$8:$C$256,0)),"")</f>
        <v/>
      </c>
      <c r="E94" s="1028" t="str">
        <f>IFERROR(IF(INDEX('Disaggregation1B_Import-Export'!AG$8:AG$239,MATCH($B94,'Disaggregation1B_Import-Export'!$C$8:$C$239,0))="","",INDEX('Disaggregation1B_Import-Export'!AG$8:AG$239,MATCH($B94,'Disaggregation1B_Import-Export'!$C$8:$C$239,0))),"")</f>
        <v/>
      </c>
      <c r="F94" s="1028" t="str">
        <f>IFERROR(IF(INDEX('Disaggregation1B_Import-Export'!AH$8:AH$239,MATCH($B94,'Disaggregation1B_Import-Export'!$C$8:$C$239,0))="","",INDEX('Disaggregation1B_Import-Export'!AH$8:AH$239,MATCH($B94,'Disaggregation1B_Import-Export'!$C$8:$C$239,0))),"")</f>
        <v/>
      </c>
      <c r="G94" s="1107" t="str">
        <f>IFERROR(IF(INDEX('Disaggregation1B_Import-Export'!H$8:H$239,MATCH($B94,'Disaggregation1B_Import-Export'!$C$8:$C$239,0))="","",INDEX('Disaggregation1B_Import-Export'!H$8:H$239,MATCH($B94,'Disaggregation1B_Import-Export'!$C$8:$C$239,0))),"")</f>
        <v/>
      </c>
      <c r="H94" s="1107" t="str">
        <f>IFERROR(IF(INDEX('Disaggregation1B_Import-Export'!I$8:I$239,MATCH($B94,'Disaggregation1B_Import-Export'!$C$8:$C$239,0))="","",INDEX('Disaggregation1B_Import-Export'!I$8:I$239,MATCH($B94,'Disaggregation1B_Import-Export'!$C$8:$C$239,0))),"")</f>
        <v/>
      </c>
      <c r="I94" s="1108" t="str">
        <f>IFERROR(IF(INDEX('Disaggregation1B_Import-Export'!J$8:J$239,MATCH($B94,'Disaggregation1B_Import-Export'!$C$8:$C$239,0))="","",INDEX('Disaggregation1B_Import-Export'!J$8:J$239,MATCH($B94,'Disaggregation1B_Import-Export'!$C$8:$C$239,0))),"")</f>
        <v/>
      </c>
      <c r="J94" s="1028" t="str">
        <f>IFERROR(IF(INDEX('Disaggregation1B_Import-Export'!K$8:K$239,MATCH($B94,'Disaggregation1B_Import-Export'!$C$8:$C$239,0))="","",INDEX('Disaggregation1B_Import-Export'!K$8:K$239,MATCH($B94,'Disaggregation1B_Import-Export'!$C$8:$C$239,0))),"")</f>
        <v/>
      </c>
      <c r="K94" s="1028" t="str">
        <f>IFERROR(IF(INDEX('Disaggregation1B_Import-Export'!L$8:L$239,MATCH($B94,'Disaggregation1B_Import-Export'!$C$8:$C$239,0))="","",INDEX('Disaggregation1B_Import-Export'!L$8:L$239,MATCH($B94,'Disaggregation1B_Import-Export'!$C$8:$C$239,0))),"")</f>
        <v/>
      </c>
      <c r="L94" s="1028" t="str">
        <f>IFERROR(IF(INDEX('Disaggregation1B_Import-Export'!AQ$8:AQ$239,MATCH($B94,'Disaggregation1B_Import-Export'!$C$8:$C$239,0))="","",INDEX('Disaggregation1B_Import-Export'!AQ$8:AQ$239,MATCH($B94,'Disaggregation1B_Import-Export'!$C$8:$C$239,0))),"")</f>
        <v/>
      </c>
      <c r="M94" s="1064"/>
      <c r="N94" s="1064"/>
      <c r="O94" s="1109" t="str">
        <f t="shared" si="6"/>
        <v/>
      </c>
      <c r="P94" s="1065"/>
      <c r="Q94" s="1065"/>
      <c r="R94" s="1066"/>
      <c r="S94" s="1064"/>
      <c r="T94" s="1064"/>
      <c r="U94" s="1109" t="str">
        <f t="shared" si="7"/>
        <v/>
      </c>
      <c r="V94" s="1065"/>
      <c r="W94" s="1065"/>
      <c r="X94" s="1066"/>
      <c r="Y94" s="1110"/>
      <c r="Z94" s="1110"/>
      <c r="AA94" s="1111" t="str">
        <f t="shared" si="8"/>
        <v/>
      </c>
      <c r="AB94" s="1112"/>
      <c r="AC94" s="1113"/>
    </row>
    <row r="95" spans="1:29" x14ac:dyDescent="0.2">
      <c r="A95" s="648">
        <f t="shared" si="9"/>
        <v>85</v>
      </c>
      <c r="B95" s="648" t="str">
        <f t="shared" si="5"/>
        <v>Coverage85</v>
      </c>
      <c r="C95" s="1027" t="str">
        <f>IFERROR(INDEX('Disaggregation1B_Import-Export'!D$8:D$239,MATCH($B95,'Disaggregation1B_Import-Export'!$C$8:$C$239,0)),"")</f>
        <v/>
      </c>
      <c r="D95" s="1028" t="str">
        <f>IFERROR(INDEX('Disaggregation1B_Import-Export'!AF$8:AF$256,MATCH($B95,'Disaggregation1B_Import-Export'!$C$8:$C$256,0)),"")</f>
        <v/>
      </c>
      <c r="E95" s="1028" t="str">
        <f>IFERROR(IF(INDEX('Disaggregation1B_Import-Export'!AG$8:AG$239,MATCH($B95,'Disaggregation1B_Import-Export'!$C$8:$C$239,0))="","",INDEX('Disaggregation1B_Import-Export'!AG$8:AG$239,MATCH($B95,'Disaggregation1B_Import-Export'!$C$8:$C$239,0))),"")</f>
        <v/>
      </c>
      <c r="F95" s="1028" t="str">
        <f>IFERROR(IF(INDEX('Disaggregation1B_Import-Export'!AH$8:AH$239,MATCH($B95,'Disaggregation1B_Import-Export'!$C$8:$C$239,0))="","",INDEX('Disaggregation1B_Import-Export'!AH$8:AH$239,MATCH($B95,'Disaggregation1B_Import-Export'!$C$8:$C$239,0))),"")</f>
        <v/>
      </c>
      <c r="G95" s="1107" t="str">
        <f>IFERROR(IF(INDEX('Disaggregation1B_Import-Export'!H$8:H$239,MATCH($B95,'Disaggregation1B_Import-Export'!$C$8:$C$239,0))="","",INDEX('Disaggregation1B_Import-Export'!H$8:H$239,MATCH($B95,'Disaggregation1B_Import-Export'!$C$8:$C$239,0))),"")</f>
        <v/>
      </c>
      <c r="H95" s="1107" t="str">
        <f>IFERROR(IF(INDEX('Disaggregation1B_Import-Export'!I$8:I$239,MATCH($B95,'Disaggregation1B_Import-Export'!$C$8:$C$239,0))="","",INDEX('Disaggregation1B_Import-Export'!I$8:I$239,MATCH($B95,'Disaggregation1B_Import-Export'!$C$8:$C$239,0))),"")</f>
        <v/>
      </c>
      <c r="I95" s="1108" t="str">
        <f>IFERROR(IF(INDEX('Disaggregation1B_Import-Export'!J$8:J$239,MATCH($B95,'Disaggregation1B_Import-Export'!$C$8:$C$239,0))="","",INDEX('Disaggregation1B_Import-Export'!J$8:J$239,MATCH($B95,'Disaggregation1B_Import-Export'!$C$8:$C$239,0))),"")</f>
        <v/>
      </c>
      <c r="J95" s="1028" t="str">
        <f>IFERROR(IF(INDEX('Disaggregation1B_Import-Export'!K$8:K$239,MATCH($B95,'Disaggregation1B_Import-Export'!$C$8:$C$239,0))="","",INDEX('Disaggregation1B_Import-Export'!K$8:K$239,MATCH($B95,'Disaggregation1B_Import-Export'!$C$8:$C$239,0))),"")</f>
        <v/>
      </c>
      <c r="K95" s="1028" t="str">
        <f>IFERROR(IF(INDEX('Disaggregation1B_Import-Export'!L$8:L$239,MATCH($B95,'Disaggregation1B_Import-Export'!$C$8:$C$239,0))="","",INDEX('Disaggregation1B_Import-Export'!L$8:L$239,MATCH($B95,'Disaggregation1B_Import-Export'!$C$8:$C$239,0))),"")</f>
        <v/>
      </c>
      <c r="L95" s="1028" t="str">
        <f>IFERROR(IF(INDEX('Disaggregation1B_Import-Export'!AQ$8:AQ$239,MATCH($B95,'Disaggregation1B_Import-Export'!$C$8:$C$239,0))="","",INDEX('Disaggregation1B_Import-Export'!AQ$8:AQ$239,MATCH($B95,'Disaggregation1B_Import-Export'!$C$8:$C$239,0))),"")</f>
        <v/>
      </c>
      <c r="M95" s="1064"/>
      <c r="N95" s="1064"/>
      <c r="O95" s="1109" t="str">
        <f t="shared" si="6"/>
        <v/>
      </c>
      <c r="P95" s="1065"/>
      <c r="Q95" s="1065"/>
      <c r="R95" s="1066"/>
      <c r="S95" s="1064"/>
      <c r="T95" s="1064"/>
      <c r="U95" s="1109" t="str">
        <f t="shared" si="7"/>
        <v/>
      </c>
      <c r="V95" s="1065"/>
      <c r="W95" s="1065"/>
      <c r="X95" s="1066"/>
      <c r="Y95" s="1110"/>
      <c r="Z95" s="1110"/>
      <c r="AA95" s="1111" t="str">
        <f t="shared" si="8"/>
        <v/>
      </c>
      <c r="AB95" s="1112"/>
      <c r="AC95" s="1113"/>
    </row>
    <row r="96" spans="1:29" x14ac:dyDescent="0.2">
      <c r="A96" s="648">
        <f t="shared" si="9"/>
        <v>86</v>
      </c>
      <c r="B96" s="648" t="str">
        <f t="shared" si="5"/>
        <v>Coverage86</v>
      </c>
      <c r="C96" s="1027" t="str">
        <f>IFERROR(INDEX('Disaggregation1B_Import-Export'!D$8:D$239,MATCH($B96,'Disaggregation1B_Import-Export'!$C$8:$C$239,0)),"")</f>
        <v/>
      </c>
      <c r="D96" s="1028" t="str">
        <f>IFERROR(INDEX('Disaggregation1B_Import-Export'!AF$8:AF$256,MATCH($B96,'Disaggregation1B_Import-Export'!$C$8:$C$256,0)),"")</f>
        <v/>
      </c>
      <c r="E96" s="1028" t="str">
        <f>IFERROR(IF(INDEX('Disaggregation1B_Import-Export'!AG$8:AG$239,MATCH($B96,'Disaggregation1B_Import-Export'!$C$8:$C$239,0))="","",INDEX('Disaggregation1B_Import-Export'!AG$8:AG$239,MATCH($B96,'Disaggregation1B_Import-Export'!$C$8:$C$239,0))),"")</f>
        <v/>
      </c>
      <c r="F96" s="1028" t="str">
        <f>IFERROR(IF(INDEX('Disaggregation1B_Import-Export'!AH$8:AH$239,MATCH($B96,'Disaggregation1B_Import-Export'!$C$8:$C$239,0))="","",INDEX('Disaggregation1B_Import-Export'!AH$8:AH$239,MATCH($B96,'Disaggregation1B_Import-Export'!$C$8:$C$239,0))),"")</f>
        <v/>
      </c>
      <c r="G96" s="1107" t="str">
        <f>IFERROR(IF(INDEX('Disaggregation1B_Import-Export'!H$8:H$239,MATCH($B96,'Disaggregation1B_Import-Export'!$C$8:$C$239,0))="","",INDEX('Disaggregation1B_Import-Export'!H$8:H$239,MATCH($B96,'Disaggregation1B_Import-Export'!$C$8:$C$239,0))),"")</f>
        <v/>
      </c>
      <c r="H96" s="1107" t="str">
        <f>IFERROR(IF(INDEX('Disaggregation1B_Import-Export'!I$8:I$239,MATCH($B96,'Disaggregation1B_Import-Export'!$C$8:$C$239,0))="","",INDEX('Disaggregation1B_Import-Export'!I$8:I$239,MATCH($B96,'Disaggregation1B_Import-Export'!$C$8:$C$239,0))),"")</f>
        <v/>
      </c>
      <c r="I96" s="1108" t="str">
        <f>IFERROR(IF(INDEX('Disaggregation1B_Import-Export'!J$8:J$239,MATCH($B96,'Disaggregation1B_Import-Export'!$C$8:$C$239,0))="","",INDEX('Disaggregation1B_Import-Export'!J$8:J$239,MATCH($B96,'Disaggregation1B_Import-Export'!$C$8:$C$239,0))),"")</f>
        <v/>
      </c>
      <c r="J96" s="1028" t="str">
        <f>IFERROR(IF(INDEX('Disaggregation1B_Import-Export'!K$8:K$239,MATCH($B96,'Disaggregation1B_Import-Export'!$C$8:$C$239,0))="","",INDEX('Disaggregation1B_Import-Export'!K$8:K$239,MATCH($B96,'Disaggregation1B_Import-Export'!$C$8:$C$239,0))),"")</f>
        <v/>
      </c>
      <c r="K96" s="1028" t="str">
        <f>IFERROR(IF(INDEX('Disaggregation1B_Import-Export'!L$8:L$239,MATCH($B96,'Disaggregation1B_Import-Export'!$C$8:$C$239,0))="","",INDEX('Disaggregation1B_Import-Export'!L$8:L$239,MATCH($B96,'Disaggregation1B_Import-Export'!$C$8:$C$239,0))),"")</f>
        <v/>
      </c>
      <c r="L96" s="1028" t="str">
        <f>IFERROR(IF(INDEX('Disaggregation1B_Import-Export'!AQ$8:AQ$239,MATCH($B96,'Disaggregation1B_Import-Export'!$C$8:$C$239,0))="","",INDEX('Disaggregation1B_Import-Export'!AQ$8:AQ$239,MATCH($B96,'Disaggregation1B_Import-Export'!$C$8:$C$239,0))),"")</f>
        <v/>
      </c>
      <c r="M96" s="1064"/>
      <c r="N96" s="1064"/>
      <c r="O96" s="1109" t="str">
        <f t="shared" si="6"/>
        <v/>
      </c>
      <c r="P96" s="1065"/>
      <c r="Q96" s="1065"/>
      <c r="R96" s="1066"/>
      <c r="S96" s="1064"/>
      <c r="T96" s="1064"/>
      <c r="U96" s="1109" t="str">
        <f t="shared" si="7"/>
        <v/>
      </c>
      <c r="V96" s="1065"/>
      <c r="W96" s="1065"/>
      <c r="X96" s="1066"/>
      <c r="Y96" s="1110"/>
      <c r="Z96" s="1110"/>
      <c r="AA96" s="1111" t="str">
        <f t="shared" si="8"/>
        <v/>
      </c>
      <c r="AB96" s="1112"/>
      <c r="AC96" s="1113"/>
    </row>
    <row r="97" spans="1:29" x14ac:dyDescent="0.2">
      <c r="A97" s="648">
        <f t="shared" si="9"/>
        <v>87</v>
      </c>
      <c r="B97" s="648" t="str">
        <f t="shared" si="5"/>
        <v>Coverage87</v>
      </c>
      <c r="C97" s="1027" t="str">
        <f>IFERROR(INDEX('Disaggregation1B_Import-Export'!D$8:D$239,MATCH($B97,'Disaggregation1B_Import-Export'!$C$8:$C$239,0)),"")</f>
        <v/>
      </c>
      <c r="D97" s="1028" t="str">
        <f>IFERROR(INDEX('Disaggregation1B_Import-Export'!AF$8:AF$256,MATCH($B97,'Disaggregation1B_Import-Export'!$C$8:$C$256,0)),"")</f>
        <v/>
      </c>
      <c r="E97" s="1028" t="str">
        <f>IFERROR(IF(INDEX('Disaggregation1B_Import-Export'!AG$8:AG$239,MATCH($B97,'Disaggregation1B_Import-Export'!$C$8:$C$239,0))="","",INDEX('Disaggregation1B_Import-Export'!AG$8:AG$239,MATCH($B97,'Disaggregation1B_Import-Export'!$C$8:$C$239,0))),"")</f>
        <v/>
      </c>
      <c r="F97" s="1028" t="str">
        <f>IFERROR(IF(INDEX('Disaggregation1B_Import-Export'!AH$8:AH$239,MATCH($B97,'Disaggregation1B_Import-Export'!$C$8:$C$239,0))="","",INDEX('Disaggregation1B_Import-Export'!AH$8:AH$239,MATCH($B97,'Disaggregation1B_Import-Export'!$C$8:$C$239,0))),"")</f>
        <v/>
      </c>
      <c r="G97" s="1107" t="str">
        <f>IFERROR(IF(INDEX('Disaggregation1B_Import-Export'!H$8:H$239,MATCH($B97,'Disaggregation1B_Import-Export'!$C$8:$C$239,0))="","",INDEX('Disaggregation1B_Import-Export'!H$8:H$239,MATCH($B97,'Disaggregation1B_Import-Export'!$C$8:$C$239,0))),"")</f>
        <v/>
      </c>
      <c r="H97" s="1107" t="str">
        <f>IFERROR(IF(INDEX('Disaggregation1B_Import-Export'!I$8:I$239,MATCH($B97,'Disaggregation1B_Import-Export'!$C$8:$C$239,0))="","",INDEX('Disaggregation1B_Import-Export'!I$8:I$239,MATCH($B97,'Disaggregation1B_Import-Export'!$C$8:$C$239,0))),"")</f>
        <v/>
      </c>
      <c r="I97" s="1108" t="str">
        <f>IFERROR(IF(INDEX('Disaggregation1B_Import-Export'!J$8:J$239,MATCH($B97,'Disaggregation1B_Import-Export'!$C$8:$C$239,0))="","",INDEX('Disaggregation1B_Import-Export'!J$8:J$239,MATCH($B97,'Disaggregation1B_Import-Export'!$C$8:$C$239,0))),"")</f>
        <v/>
      </c>
      <c r="J97" s="1028" t="str">
        <f>IFERROR(IF(INDEX('Disaggregation1B_Import-Export'!K$8:K$239,MATCH($B97,'Disaggregation1B_Import-Export'!$C$8:$C$239,0))="","",INDEX('Disaggregation1B_Import-Export'!K$8:K$239,MATCH($B97,'Disaggregation1B_Import-Export'!$C$8:$C$239,0))),"")</f>
        <v/>
      </c>
      <c r="K97" s="1028" t="str">
        <f>IFERROR(IF(INDEX('Disaggregation1B_Import-Export'!L$8:L$239,MATCH($B97,'Disaggregation1B_Import-Export'!$C$8:$C$239,0))="","",INDEX('Disaggregation1B_Import-Export'!L$8:L$239,MATCH($B97,'Disaggregation1B_Import-Export'!$C$8:$C$239,0))),"")</f>
        <v/>
      </c>
      <c r="L97" s="1028" t="str">
        <f>IFERROR(IF(INDEX('Disaggregation1B_Import-Export'!AQ$8:AQ$239,MATCH($B97,'Disaggregation1B_Import-Export'!$C$8:$C$239,0))="","",INDEX('Disaggregation1B_Import-Export'!AQ$8:AQ$239,MATCH($B97,'Disaggregation1B_Import-Export'!$C$8:$C$239,0))),"")</f>
        <v/>
      </c>
      <c r="M97" s="1064"/>
      <c r="N97" s="1064"/>
      <c r="O97" s="1109" t="str">
        <f t="shared" si="6"/>
        <v/>
      </c>
      <c r="P97" s="1065"/>
      <c r="Q97" s="1065"/>
      <c r="R97" s="1066"/>
      <c r="S97" s="1064"/>
      <c r="T97" s="1064"/>
      <c r="U97" s="1109" t="str">
        <f t="shared" si="7"/>
        <v/>
      </c>
      <c r="V97" s="1065"/>
      <c r="W97" s="1065"/>
      <c r="X97" s="1066"/>
      <c r="Y97" s="1110"/>
      <c r="Z97" s="1110"/>
      <c r="AA97" s="1111" t="str">
        <f t="shared" si="8"/>
        <v/>
      </c>
      <c r="AB97" s="1112"/>
      <c r="AC97" s="1113"/>
    </row>
    <row r="98" spans="1:29" x14ac:dyDescent="0.2">
      <c r="A98" s="648">
        <f t="shared" si="9"/>
        <v>88</v>
      </c>
      <c r="B98" s="648" t="str">
        <f t="shared" si="5"/>
        <v>Coverage88</v>
      </c>
      <c r="C98" s="1027" t="str">
        <f>IFERROR(INDEX('Disaggregation1B_Import-Export'!D$8:D$239,MATCH($B98,'Disaggregation1B_Import-Export'!$C$8:$C$239,0)),"")</f>
        <v/>
      </c>
      <c r="D98" s="1028" t="str">
        <f>IFERROR(INDEX('Disaggregation1B_Import-Export'!AF$8:AF$256,MATCH($B98,'Disaggregation1B_Import-Export'!$C$8:$C$256,0)),"")</f>
        <v/>
      </c>
      <c r="E98" s="1028" t="str">
        <f>IFERROR(IF(INDEX('Disaggregation1B_Import-Export'!AG$8:AG$239,MATCH($B98,'Disaggregation1B_Import-Export'!$C$8:$C$239,0))="","",INDEX('Disaggregation1B_Import-Export'!AG$8:AG$239,MATCH($B98,'Disaggregation1B_Import-Export'!$C$8:$C$239,0))),"")</f>
        <v/>
      </c>
      <c r="F98" s="1028" t="str">
        <f>IFERROR(IF(INDEX('Disaggregation1B_Import-Export'!AH$8:AH$239,MATCH($B98,'Disaggregation1B_Import-Export'!$C$8:$C$239,0))="","",INDEX('Disaggregation1B_Import-Export'!AH$8:AH$239,MATCH($B98,'Disaggregation1B_Import-Export'!$C$8:$C$239,0))),"")</f>
        <v/>
      </c>
      <c r="G98" s="1107" t="str">
        <f>IFERROR(IF(INDEX('Disaggregation1B_Import-Export'!H$8:H$239,MATCH($B98,'Disaggregation1B_Import-Export'!$C$8:$C$239,0))="","",INDEX('Disaggregation1B_Import-Export'!H$8:H$239,MATCH($B98,'Disaggregation1B_Import-Export'!$C$8:$C$239,0))),"")</f>
        <v/>
      </c>
      <c r="H98" s="1107" t="str">
        <f>IFERROR(IF(INDEX('Disaggregation1B_Import-Export'!I$8:I$239,MATCH($B98,'Disaggregation1B_Import-Export'!$C$8:$C$239,0))="","",INDEX('Disaggregation1B_Import-Export'!I$8:I$239,MATCH($B98,'Disaggregation1B_Import-Export'!$C$8:$C$239,0))),"")</f>
        <v/>
      </c>
      <c r="I98" s="1108" t="str">
        <f>IFERROR(IF(INDEX('Disaggregation1B_Import-Export'!J$8:J$239,MATCH($B98,'Disaggregation1B_Import-Export'!$C$8:$C$239,0))="","",INDEX('Disaggregation1B_Import-Export'!J$8:J$239,MATCH($B98,'Disaggregation1B_Import-Export'!$C$8:$C$239,0))),"")</f>
        <v/>
      </c>
      <c r="J98" s="1028" t="str">
        <f>IFERROR(IF(INDEX('Disaggregation1B_Import-Export'!K$8:K$239,MATCH($B98,'Disaggregation1B_Import-Export'!$C$8:$C$239,0))="","",INDEX('Disaggregation1B_Import-Export'!K$8:K$239,MATCH($B98,'Disaggregation1B_Import-Export'!$C$8:$C$239,0))),"")</f>
        <v/>
      </c>
      <c r="K98" s="1028" t="str">
        <f>IFERROR(IF(INDEX('Disaggregation1B_Import-Export'!L$8:L$239,MATCH($B98,'Disaggregation1B_Import-Export'!$C$8:$C$239,0))="","",INDEX('Disaggregation1B_Import-Export'!L$8:L$239,MATCH($B98,'Disaggregation1B_Import-Export'!$C$8:$C$239,0))),"")</f>
        <v/>
      </c>
      <c r="L98" s="1028" t="str">
        <f>IFERROR(IF(INDEX('Disaggregation1B_Import-Export'!AQ$8:AQ$239,MATCH($B98,'Disaggregation1B_Import-Export'!$C$8:$C$239,0))="","",INDEX('Disaggregation1B_Import-Export'!AQ$8:AQ$239,MATCH($B98,'Disaggregation1B_Import-Export'!$C$8:$C$239,0))),"")</f>
        <v/>
      </c>
      <c r="M98" s="1064"/>
      <c r="N98" s="1064"/>
      <c r="O98" s="1109" t="str">
        <f t="shared" si="6"/>
        <v/>
      </c>
      <c r="P98" s="1065"/>
      <c r="Q98" s="1065"/>
      <c r="R98" s="1066"/>
      <c r="S98" s="1064"/>
      <c r="T98" s="1064"/>
      <c r="U98" s="1109" t="str">
        <f t="shared" si="7"/>
        <v/>
      </c>
      <c r="V98" s="1065"/>
      <c r="W98" s="1065"/>
      <c r="X98" s="1066"/>
      <c r="Y98" s="1110"/>
      <c r="Z98" s="1110"/>
      <c r="AA98" s="1111" t="str">
        <f t="shared" si="8"/>
        <v/>
      </c>
      <c r="AB98" s="1112"/>
      <c r="AC98" s="1113"/>
    </row>
    <row r="99" spans="1:29" x14ac:dyDescent="0.2">
      <c r="A99" s="648">
        <f t="shared" si="9"/>
        <v>89</v>
      </c>
      <c r="B99" s="648" t="str">
        <f t="shared" si="5"/>
        <v>Coverage89</v>
      </c>
      <c r="C99" s="1027" t="str">
        <f>IFERROR(INDEX('Disaggregation1B_Import-Export'!D$8:D$239,MATCH($B99,'Disaggregation1B_Import-Export'!$C$8:$C$239,0)),"")</f>
        <v/>
      </c>
      <c r="D99" s="1028" t="str">
        <f>IFERROR(INDEX('Disaggregation1B_Import-Export'!AF$8:AF$256,MATCH($B99,'Disaggregation1B_Import-Export'!$C$8:$C$256,0)),"")</f>
        <v/>
      </c>
      <c r="E99" s="1028" t="str">
        <f>IFERROR(IF(INDEX('Disaggregation1B_Import-Export'!AG$8:AG$239,MATCH($B99,'Disaggregation1B_Import-Export'!$C$8:$C$239,0))="","",INDEX('Disaggregation1B_Import-Export'!AG$8:AG$239,MATCH($B99,'Disaggregation1B_Import-Export'!$C$8:$C$239,0))),"")</f>
        <v/>
      </c>
      <c r="F99" s="1028" t="str">
        <f>IFERROR(IF(INDEX('Disaggregation1B_Import-Export'!AH$8:AH$239,MATCH($B99,'Disaggregation1B_Import-Export'!$C$8:$C$239,0))="","",INDEX('Disaggregation1B_Import-Export'!AH$8:AH$239,MATCH($B99,'Disaggregation1B_Import-Export'!$C$8:$C$239,0))),"")</f>
        <v/>
      </c>
      <c r="G99" s="1107" t="str">
        <f>IFERROR(IF(INDEX('Disaggregation1B_Import-Export'!H$8:H$239,MATCH($B99,'Disaggregation1B_Import-Export'!$C$8:$C$239,0))="","",INDEX('Disaggregation1B_Import-Export'!H$8:H$239,MATCH($B99,'Disaggregation1B_Import-Export'!$C$8:$C$239,0))),"")</f>
        <v/>
      </c>
      <c r="H99" s="1107" t="str">
        <f>IFERROR(IF(INDEX('Disaggregation1B_Import-Export'!I$8:I$239,MATCH($B99,'Disaggregation1B_Import-Export'!$C$8:$C$239,0))="","",INDEX('Disaggregation1B_Import-Export'!I$8:I$239,MATCH($B99,'Disaggregation1B_Import-Export'!$C$8:$C$239,0))),"")</f>
        <v/>
      </c>
      <c r="I99" s="1108" t="str">
        <f>IFERROR(IF(INDEX('Disaggregation1B_Import-Export'!J$8:J$239,MATCH($B99,'Disaggregation1B_Import-Export'!$C$8:$C$239,0))="","",INDEX('Disaggregation1B_Import-Export'!J$8:J$239,MATCH($B99,'Disaggregation1B_Import-Export'!$C$8:$C$239,0))),"")</f>
        <v/>
      </c>
      <c r="J99" s="1028" t="str">
        <f>IFERROR(IF(INDEX('Disaggregation1B_Import-Export'!K$8:K$239,MATCH($B99,'Disaggregation1B_Import-Export'!$C$8:$C$239,0))="","",INDEX('Disaggregation1B_Import-Export'!K$8:K$239,MATCH($B99,'Disaggregation1B_Import-Export'!$C$8:$C$239,0))),"")</f>
        <v/>
      </c>
      <c r="K99" s="1028" t="str">
        <f>IFERROR(IF(INDEX('Disaggregation1B_Import-Export'!L$8:L$239,MATCH($B99,'Disaggregation1B_Import-Export'!$C$8:$C$239,0))="","",INDEX('Disaggregation1B_Import-Export'!L$8:L$239,MATCH($B99,'Disaggregation1B_Import-Export'!$C$8:$C$239,0))),"")</f>
        <v/>
      </c>
      <c r="L99" s="1028" t="str">
        <f>IFERROR(IF(INDEX('Disaggregation1B_Import-Export'!AQ$8:AQ$239,MATCH($B99,'Disaggregation1B_Import-Export'!$C$8:$C$239,0))="","",INDEX('Disaggregation1B_Import-Export'!AQ$8:AQ$239,MATCH($B99,'Disaggregation1B_Import-Export'!$C$8:$C$239,0))),"")</f>
        <v/>
      </c>
      <c r="M99" s="1064"/>
      <c r="N99" s="1064"/>
      <c r="O99" s="1109" t="str">
        <f t="shared" si="6"/>
        <v/>
      </c>
      <c r="P99" s="1065"/>
      <c r="Q99" s="1065"/>
      <c r="R99" s="1066"/>
      <c r="S99" s="1064"/>
      <c r="T99" s="1064"/>
      <c r="U99" s="1109" t="str">
        <f t="shared" si="7"/>
        <v/>
      </c>
      <c r="V99" s="1065"/>
      <c r="W99" s="1065"/>
      <c r="X99" s="1066"/>
      <c r="Y99" s="1110"/>
      <c r="Z99" s="1110"/>
      <c r="AA99" s="1111" t="str">
        <f t="shared" si="8"/>
        <v/>
      </c>
      <c r="AB99" s="1112"/>
      <c r="AC99" s="1113"/>
    </row>
    <row r="100" spans="1:29" x14ac:dyDescent="0.2">
      <c r="A100" s="648">
        <f t="shared" si="9"/>
        <v>90</v>
      </c>
      <c r="B100" s="648" t="str">
        <f t="shared" si="5"/>
        <v>Coverage90</v>
      </c>
      <c r="C100" s="1027" t="str">
        <f>IFERROR(INDEX('Disaggregation1B_Import-Export'!D$8:D$239,MATCH($B100,'Disaggregation1B_Import-Export'!$C$8:$C$239,0)),"")</f>
        <v/>
      </c>
      <c r="D100" s="1028" t="str">
        <f>IFERROR(INDEX('Disaggregation1B_Import-Export'!AF$8:AF$256,MATCH($B100,'Disaggregation1B_Import-Export'!$C$8:$C$256,0)),"")</f>
        <v/>
      </c>
      <c r="E100" s="1028" t="str">
        <f>IFERROR(IF(INDEX('Disaggregation1B_Import-Export'!AG$8:AG$239,MATCH($B100,'Disaggregation1B_Import-Export'!$C$8:$C$239,0))="","",INDEX('Disaggregation1B_Import-Export'!AG$8:AG$239,MATCH($B100,'Disaggregation1B_Import-Export'!$C$8:$C$239,0))),"")</f>
        <v/>
      </c>
      <c r="F100" s="1028" t="str">
        <f>IFERROR(IF(INDEX('Disaggregation1B_Import-Export'!AH$8:AH$239,MATCH($B100,'Disaggregation1B_Import-Export'!$C$8:$C$239,0))="","",INDEX('Disaggregation1B_Import-Export'!AH$8:AH$239,MATCH($B100,'Disaggregation1B_Import-Export'!$C$8:$C$239,0))),"")</f>
        <v/>
      </c>
      <c r="G100" s="1107" t="str">
        <f>IFERROR(IF(INDEX('Disaggregation1B_Import-Export'!H$8:H$239,MATCH($B100,'Disaggregation1B_Import-Export'!$C$8:$C$239,0))="","",INDEX('Disaggregation1B_Import-Export'!H$8:H$239,MATCH($B100,'Disaggregation1B_Import-Export'!$C$8:$C$239,0))),"")</f>
        <v/>
      </c>
      <c r="H100" s="1107" t="str">
        <f>IFERROR(IF(INDEX('Disaggregation1B_Import-Export'!I$8:I$239,MATCH($B100,'Disaggregation1B_Import-Export'!$C$8:$C$239,0))="","",INDEX('Disaggregation1B_Import-Export'!I$8:I$239,MATCH($B100,'Disaggregation1B_Import-Export'!$C$8:$C$239,0))),"")</f>
        <v/>
      </c>
      <c r="I100" s="1108" t="str">
        <f>IFERROR(IF(INDEX('Disaggregation1B_Import-Export'!J$8:J$239,MATCH($B100,'Disaggregation1B_Import-Export'!$C$8:$C$239,0))="","",INDEX('Disaggregation1B_Import-Export'!J$8:J$239,MATCH($B100,'Disaggregation1B_Import-Export'!$C$8:$C$239,0))),"")</f>
        <v/>
      </c>
      <c r="J100" s="1028" t="str">
        <f>IFERROR(IF(INDEX('Disaggregation1B_Import-Export'!K$8:K$239,MATCH($B100,'Disaggregation1B_Import-Export'!$C$8:$C$239,0))="","",INDEX('Disaggregation1B_Import-Export'!K$8:K$239,MATCH($B100,'Disaggregation1B_Import-Export'!$C$8:$C$239,0))),"")</f>
        <v/>
      </c>
      <c r="K100" s="1028" t="str">
        <f>IFERROR(IF(INDEX('Disaggregation1B_Import-Export'!L$8:L$239,MATCH($B100,'Disaggregation1B_Import-Export'!$C$8:$C$239,0))="","",INDEX('Disaggregation1B_Import-Export'!L$8:L$239,MATCH($B100,'Disaggregation1B_Import-Export'!$C$8:$C$239,0))),"")</f>
        <v/>
      </c>
      <c r="L100" s="1028" t="str">
        <f>IFERROR(IF(INDEX('Disaggregation1B_Import-Export'!AQ$8:AQ$239,MATCH($B100,'Disaggregation1B_Import-Export'!$C$8:$C$239,0))="","",INDEX('Disaggregation1B_Import-Export'!AQ$8:AQ$239,MATCH($B100,'Disaggregation1B_Import-Export'!$C$8:$C$239,0))),"")</f>
        <v/>
      </c>
      <c r="M100" s="1064"/>
      <c r="N100" s="1064"/>
      <c r="O100" s="1109" t="str">
        <f t="shared" si="6"/>
        <v/>
      </c>
      <c r="P100" s="1065"/>
      <c r="Q100" s="1065"/>
      <c r="R100" s="1066"/>
      <c r="S100" s="1064"/>
      <c r="T100" s="1064"/>
      <c r="U100" s="1109" t="str">
        <f t="shared" si="7"/>
        <v/>
      </c>
      <c r="V100" s="1065"/>
      <c r="W100" s="1065"/>
      <c r="X100" s="1066"/>
      <c r="Y100" s="1110"/>
      <c r="Z100" s="1110"/>
      <c r="AA100" s="1111" t="str">
        <f t="shared" si="8"/>
        <v/>
      </c>
      <c r="AB100" s="1112"/>
      <c r="AC100" s="1113"/>
    </row>
    <row r="101" spans="1:29" x14ac:dyDescent="0.2">
      <c r="A101" s="648">
        <f t="shared" si="9"/>
        <v>91</v>
      </c>
      <c r="B101" s="648" t="str">
        <f t="shared" si="5"/>
        <v>Coverage91</v>
      </c>
      <c r="C101" s="1027" t="str">
        <f>IFERROR(INDEX('Disaggregation1B_Import-Export'!D$8:D$239,MATCH($B101,'Disaggregation1B_Import-Export'!$C$8:$C$239,0)),"")</f>
        <v/>
      </c>
      <c r="D101" s="1028" t="str">
        <f>IFERROR(INDEX('Disaggregation1B_Import-Export'!AF$8:AF$256,MATCH($B101,'Disaggregation1B_Import-Export'!$C$8:$C$256,0)),"")</f>
        <v/>
      </c>
      <c r="E101" s="1028" t="str">
        <f>IFERROR(IF(INDEX('Disaggregation1B_Import-Export'!AG$8:AG$239,MATCH($B101,'Disaggregation1B_Import-Export'!$C$8:$C$239,0))="","",INDEX('Disaggregation1B_Import-Export'!AG$8:AG$239,MATCH($B101,'Disaggregation1B_Import-Export'!$C$8:$C$239,0))),"")</f>
        <v/>
      </c>
      <c r="F101" s="1028" t="str">
        <f>IFERROR(IF(INDEX('Disaggregation1B_Import-Export'!AH$8:AH$239,MATCH($B101,'Disaggregation1B_Import-Export'!$C$8:$C$239,0))="","",INDEX('Disaggregation1B_Import-Export'!AH$8:AH$239,MATCH($B101,'Disaggregation1B_Import-Export'!$C$8:$C$239,0))),"")</f>
        <v/>
      </c>
      <c r="G101" s="1107" t="str">
        <f>IFERROR(IF(INDEX('Disaggregation1B_Import-Export'!H$8:H$239,MATCH($B101,'Disaggregation1B_Import-Export'!$C$8:$C$239,0))="","",INDEX('Disaggregation1B_Import-Export'!H$8:H$239,MATCH($B101,'Disaggregation1B_Import-Export'!$C$8:$C$239,0))),"")</f>
        <v/>
      </c>
      <c r="H101" s="1107" t="str">
        <f>IFERROR(IF(INDEX('Disaggregation1B_Import-Export'!I$8:I$239,MATCH($B101,'Disaggregation1B_Import-Export'!$C$8:$C$239,0))="","",INDEX('Disaggregation1B_Import-Export'!I$8:I$239,MATCH($B101,'Disaggregation1B_Import-Export'!$C$8:$C$239,0))),"")</f>
        <v/>
      </c>
      <c r="I101" s="1108" t="str">
        <f>IFERROR(IF(INDEX('Disaggregation1B_Import-Export'!J$8:J$239,MATCH($B101,'Disaggregation1B_Import-Export'!$C$8:$C$239,0))="","",INDEX('Disaggregation1B_Import-Export'!J$8:J$239,MATCH($B101,'Disaggregation1B_Import-Export'!$C$8:$C$239,0))),"")</f>
        <v/>
      </c>
      <c r="J101" s="1028" t="str">
        <f>IFERROR(IF(INDEX('Disaggregation1B_Import-Export'!K$8:K$239,MATCH($B101,'Disaggregation1B_Import-Export'!$C$8:$C$239,0))="","",INDEX('Disaggregation1B_Import-Export'!K$8:K$239,MATCH($B101,'Disaggregation1B_Import-Export'!$C$8:$C$239,0))),"")</f>
        <v/>
      </c>
      <c r="K101" s="1028" t="str">
        <f>IFERROR(IF(INDEX('Disaggregation1B_Import-Export'!L$8:L$239,MATCH($B101,'Disaggregation1B_Import-Export'!$C$8:$C$239,0))="","",INDEX('Disaggregation1B_Import-Export'!L$8:L$239,MATCH($B101,'Disaggregation1B_Import-Export'!$C$8:$C$239,0))),"")</f>
        <v/>
      </c>
      <c r="L101" s="1028" t="str">
        <f>IFERROR(IF(INDEX('Disaggregation1B_Import-Export'!AQ$8:AQ$239,MATCH($B101,'Disaggregation1B_Import-Export'!$C$8:$C$239,0))="","",INDEX('Disaggregation1B_Import-Export'!AQ$8:AQ$239,MATCH($B101,'Disaggregation1B_Import-Export'!$C$8:$C$239,0))),"")</f>
        <v/>
      </c>
      <c r="M101" s="1064"/>
      <c r="N101" s="1064"/>
      <c r="O101" s="1109" t="str">
        <f t="shared" si="6"/>
        <v/>
      </c>
      <c r="P101" s="1065"/>
      <c r="Q101" s="1065"/>
      <c r="R101" s="1066"/>
      <c r="S101" s="1064"/>
      <c r="T101" s="1064"/>
      <c r="U101" s="1109" t="str">
        <f t="shared" si="7"/>
        <v/>
      </c>
      <c r="V101" s="1065"/>
      <c r="W101" s="1065"/>
      <c r="X101" s="1066"/>
      <c r="Y101" s="1110"/>
      <c r="Z101" s="1110"/>
      <c r="AA101" s="1111" t="str">
        <f t="shared" si="8"/>
        <v/>
      </c>
      <c r="AB101" s="1112"/>
      <c r="AC101" s="1113"/>
    </row>
    <row r="102" spans="1:29" x14ac:dyDescent="0.2">
      <c r="A102" s="648">
        <f t="shared" si="9"/>
        <v>92</v>
      </c>
      <c r="B102" s="648" t="str">
        <f t="shared" si="5"/>
        <v>Coverage92</v>
      </c>
      <c r="C102" s="1027" t="str">
        <f>IFERROR(INDEX('Disaggregation1B_Import-Export'!D$8:D$239,MATCH($B102,'Disaggregation1B_Import-Export'!$C$8:$C$239,0)),"")</f>
        <v/>
      </c>
      <c r="D102" s="1028" t="str">
        <f>IFERROR(INDEX('Disaggregation1B_Import-Export'!AF$8:AF$256,MATCH($B102,'Disaggregation1B_Import-Export'!$C$8:$C$256,0)),"")</f>
        <v/>
      </c>
      <c r="E102" s="1028" t="str">
        <f>IFERROR(IF(INDEX('Disaggregation1B_Import-Export'!AG$8:AG$239,MATCH($B102,'Disaggregation1B_Import-Export'!$C$8:$C$239,0))="","",INDEX('Disaggregation1B_Import-Export'!AG$8:AG$239,MATCH($B102,'Disaggregation1B_Import-Export'!$C$8:$C$239,0))),"")</f>
        <v/>
      </c>
      <c r="F102" s="1028" t="str">
        <f>IFERROR(IF(INDEX('Disaggregation1B_Import-Export'!AH$8:AH$239,MATCH($B102,'Disaggregation1B_Import-Export'!$C$8:$C$239,0))="","",INDEX('Disaggregation1B_Import-Export'!AH$8:AH$239,MATCH($B102,'Disaggregation1B_Import-Export'!$C$8:$C$239,0))),"")</f>
        <v/>
      </c>
      <c r="G102" s="1107" t="str">
        <f>IFERROR(IF(INDEX('Disaggregation1B_Import-Export'!H$8:H$239,MATCH($B102,'Disaggregation1B_Import-Export'!$C$8:$C$239,0))="","",INDEX('Disaggregation1B_Import-Export'!H$8:H$239,MATCH($B102,'Disaggregation1B_Import-Export'!$C$8:$C$239,0))),"")</f>
        <v/>
      </c>
      <c r="H102" s="1107" t="str">
        <f>IFERROR(IF(INDEX('Disaggregation1B_Import-Export'!I$8:I$239,MATCH($B102,'Disaggregation1B_Import-Export'!$C$8:$C$239,0))="","",INDEX('Disaggregation1B_Import-Export'!I$8:I$239,MATCH($B102,'Disaggregation1B_Import-Export'!$C$8:$C$239,0))),"")</f>
        <v/>
      </c>
      <c r="I102" s="1108" t="str">
        <f>IFERROR(IF(INDEX('Disaggregation1B_Import-Export'!J$8:J$239,MATCH($B102,'Disaggregation1B_Import-Export'!$C$8:$C$239,0))="","",INDEX('Disaggregation1B_Import-Export'!J$8:J$239,MATCH($B102,'Disaggregation1B_Import-Export'!$C$8:$C$239,0))),"")</f>
        <v/>
      </c>
      <c r="J102" s="1028" t="str">
        <f>IFERROR(IF(INDEX('Disaggregation1B_Import-Export'!K$8:K$239,MATCH($B102,'Disaggregation1B_Import-Export'!$C$8:$C$239,0))="","",INDEX('Disaggregation1B_Import-Export'!K$8:K$239,MATCH($B102,'Disaggregation1B_Import-Export'!$C$8:$C$239,0))),"")</f>
        <v/>
      </c>
      <c r="K102" s="1028" t="str">
        <f>IFERROR(IF(INDEX('Disaggregation1B_Import-Export'!L$8:L$239,MATCH($B102,'Disaggregation1B_Import-Export'!$C$8:$C$239,0))="","",INDEX('Disaggregation1B_Import-Export'!L$8:L$239,MATCH($B102,'Disaggregation1B_Import-Export'!$C$8:$C$239,0))),"")</f>
        <v/>
      </c>
      <c r="L102" s="1028" t="str">
        <f>IFERROR(IF(INDEX('Disaggregation1B_Import-Export'!AQ$8:AQ$239,MATCH($B102,'Disaggregation1B_Import-Export'!$C$8:$C$239,0))="","",INDEX('Disaggregation1B_Import-Export'!AQ$8:AQ$239,MATCH($B102,'Disaggregation1B_Import-Export'!$C$8:$C$239,0))),"")</f>
        <v/>
      </c>
      <c r="M102" s="1064"/>
      <c r="N102" s="1064"/>
      <c r="O102" s="1109" t="str">
        <f t="shared" si="6"/>
        <v/>
      </c>
      <c r="P102" s="1065"/>
      <c r="Q102" s="1065"/>
      <c r="R102" s="1066"/>
      <c r="S102" s="1064"/>
      <c r="T102" s="1064"/>
      <c r="U102" s="1109" t="str">
        <f t="shared" si="7"/>
        <v/>
      </c>
      <c r="V102" s="1065"/>
      <c r="W102" s="1065"/>
      <c r="X102" s="1066"/>
      <c r="Y102" s="1110"/>
      <c r="Z102" s="1110"/>
      <c r="AA102" s="1111" t="str">
        <f t="shared" si="8"/>
        <v/>
      </c>
      <c r="AB102" s="1112"/>
      <c r="AC102" s="1113"/>
    </row>
    <row r="103" spans="1:29" x14ac:dyDescent="0.2">
      <c r="A103" s="648">
        <f t="shared" si="9"/>
        <v>93</v>
      </c>
      <c r="B103" s="648" t="str">
        <f t="shared" si="5"/>
        <v>Coverage93</v>
      </c>
      <c r="C103" s="1027" t="str">
        <f>IFERROR(INDEX('Disaggregation1B_Import-Export'!D$8:D$239,MATCH($B103,'Disaggregation1B_Import-Export'!$C$8:$C$239,0)),"")</f>
        <v/>
      </c>
      <c r="D103" s="1028" t="str">
        <f>IFERROR(INDEX('Disaggregation1B_Import-Export'!AF$8:AF$256,MATCH($B103,'Disaggregation1B_Import-Export'!$C$8:$C$256,0)),"")</f>
        <v/>
      </c>
      <c r="E103" s="1028" t="str">
        <f>IFERROR(IF(INDEX('Disaggregation1B_Import-Export'!AG$8:AG$239,MATCH($B103,'Disaggregation1B_Import-Export'!$C$8:$C$239,0))="","",INDEX('Disaggregation1B_Import-Export'!AG$8:AG$239,MATCH($B103,'Disaggregation1B_Import-Export'!$C$8:$C$239,0))),"")</f>
        <v/>
      </c>
      <c r="F103" s="1028" t="str">
        <f>IFERROR(IF(INDEX('Disaggregation1B_Import-Export'!AH$8:AH$239,MATCH($B103,'Disaggregation1B_Import-Export'!$C$8:$C$239,0))="","",INDEX('Disaggregation1B_Import-Export'!AH$8:AH$239,MATCH($B103,'Disaggregation1B_Import-Export'!$C$8:$C$239,0))),"")</f>
        <v/>
      </c>
      <c r="G103" s="1107" t="str">
        <f>IFERROR(IF(INDEX('Disaggregation1B_Import-Export'!H$8:H$239,MATCH($B103,'Disaggregation1B_Import-Export'!$C$8:$C$239,0))="","",INDEX('Disaggregation1B_Import-Export'!H$8:H$239,MATCH($B103,'Disaggregation1B_Import-Export'!$C$8:$C$239,0))),"")</f>
        <v/>
      </c>
      <c r="H103" s="1107" t="str">
        <f>IFERROR(IF(INDEX('Disaggregation1B_Import-Export'!I$8:I$239,MATCH($B103,'Disaggregation1B_Import-Export'!$C$8:$C$239,0))="","",INDEX('Disaggregation1B_Import-Export'!I$8:I$239,MATCH($B103,'Disaggregation1B_Import-Export'!$C$8:$C$239,0))),"")</f>
        <v/>
      </c>
      <c r="I103" s="1108" t="str">
        <f>IFERROR(IF(INDEX('Disaggregation1B_Import-Export'!J$8:J$239,MATCH($B103,'Disaggregation1B_Import-Export'!$C$8:$C$239,0))="","",INDEX('Disaggregation1B_Import-Export'!J$8:J$239,MATCH($B103,'Disaggregation1B_Import-Export'!$C$8:$C$239,0))),"")</f>
        <v/>
      </c>
      <c r="J103" s="1028" t="str">
        <f>IFERROR(IF(INDEX('Disaggregation1B_Import-Export'!K$8:K$239,MATCH($B103,'Disaggregation1B_Import-Export'!$C$8:$C$239,0))="","",INDEX('Disaggregation1B_Import-Export'!K$8:K$239,MATCH($B103,'Disaggregation1B_Import-Export'!$C$8:$C$239,0))),"")</f>
        <v/>
      </c>
      <c r="K103" s="1028" t="str">
        <f>IFERROR(IF(INDEX('Disaggregation1B_Import-Export'!L$8:L$239,MATCH($B103,'Disaggregation1B_Import-Export'!$C$8:$C$239,0))="","",INDEX('Disaggregation1B_Import-Export'!L$8:L$239,MATCH($B103,'Disaggregation1B_Import-Export'!$C$8:$C$239,0))),"")</f>
        <v/>
      </c>
      <c r="L103" s="1028" t="str">
        <f>IFERROR(IF(INDEX('Disaggregation1B_Import-Export'!AQ$8:AQ$239,MATCH($B103,'Disaggregation1B_Import-Export'!$C$8:$C$239,0))="","",INDEX('Disaggregation1B_Import-Export'!AQ$8:AQ$239,MATCH($B103,'Disaggregation1B_Import-Export'!$C$8:$C$239,0))),"")</f>
        <v/>
      </c>
      <c r="M103" s="1064"/>
      <c r="N103" s="1064"/>
      <c r="O103" s="1109" t="str">
        <f t="shared" si="6"/>
        <v/>
      </c>
      <c r="P103" s="1065"/>
      <c r="Q103" s="1065"/>
      <c r="R103" s="1066"/>
      <c r="S103" s="1064"/>
      <c r="T103" s="1064"/>
      <c r="U103" s="1109" t="str">
        <f t="shared" si="7"/>
        <v/>
      </c>
      <c r="V103" s="1065"/>
      <c r="W103" s="1065"/>
      <c r="X103" s="1066"/>
      <c r="Y103" s="1110"/>
      <c r="Z103" s="1110"/>
      <c r="AA103" s="1111" t="str">
        <f t="shared" si="8"/>
        <v/>
      </c>
      <c r="AB103" s="1112"/>
      <c r="AC103" s="1113"/>
    </row>
    <row r="104" spans="1:29" x14ac:dyDescent="0.2">
      <c r="A104" s="648">
        <f t="shared" si="9"/>
        <v>94</v>
      </c>
      <c r="B104" s="648" t="str">
        <f t="shared" si="5"/>
        <v>Coverage94</v>
      </c>
      <c r="C104" s="1027" t="str">
        <f>IFERROR(INDEX('Disaggregation1B_Import-Export'!D$8:D$239,MATCH($B104,'Disaggregation1B_Import-Export'!$C$8:$C$239,0)),"")</f>
        <v/>
      </c>
      <c r="D104" s="1028" t="str">
        <f>IFERROR(INDEX('Disaggregation1B_Import-Export'!AF$8:AF$256,MATCH($B104,'Disaggregation1B_Import-Export'!$C$8:$C$256,0)),"")</f>
        <v/>
      </c>
      <c r="E104" s="1028" t="str">
        <f>IFERROR(IF(INDEX('Disaggregation1B_Import-Export'!AG$8:AG$239,MATCH($B104,'Disaggregation1B_Import-Export'!$C$8:$C$239,0))="","",INDEX('Disaggregation1B_Import-Export'!AG$8:AG$239,MATCH($B104,'Disaggregation1B_Import-Export'!$C$8:$C$239,0))),"")</f>
        <v/>
      </c>
      <c r="F104" s="1028" t="str">
        <f>IFERROR(IF(INDEX('Disaggregation1B_Import-Export'!AH$8:AH$239,MATCH($B104,'Disaggregation1B_Import-Export'!$C$8:$C$239,0))="","",INDEX('Disaggregation1B_Import-Export'!AH$8:AH$239,MATCH($B104,'Disaggregation1B_Import-Export'!$C$8:$C$239,0))),"")</f>
        <v/>
      </c>
      <c r="G104" s="1107" t="str">
        <f>IFERROR(IF(INDEX('Disaggregation1B_Import-Export'!H$8:H$239,MATCH($B104,'Disaggregation1B_Import-Export'!$C$8:$C$239,0))="","",INDEX('Disaggregation1B_Import-Export'!H$8:H$239,MATCH($B104,'Disaggregation1B_Import-Export'!$C$8:$C$239,0))),"")</f>
        <v/>
      </c>
      <c r="H104" s="1107" t="str">
        <f>IFERROR(IF(INDEX('Disaggregation1B_Import-Export'!I$8:I$239,MATCH($B104,'Disaggregation1B_Import-Export'!$C$8:$C$239,0))="","",INDEX('Disaggregation1B_Import-Export'!I$8:I$239,MATCH($B104,'Disaggregation1B_Import-Export'!$C$8:$C$239,0))),"")</f>
        <v/>
      </c>
      <c r="I104" s="1108" t="str">
        <f>IFERROR(IF(INDEX('Disaggregation1B_Import-Export'!J$8:J$239,MATCH($B104,'Disaggregation1B_Import-Export'!$C$8:$C$239,0))="","",INDEX('Disaggregation1B_Import-Export'!J$8:J$239,MATCH($B104,'Disaggregation1B_Import-Export'!$C$8:$C$239,0))),"")</f>
        <v/>
      </c>
      <c r="J104" s="1028" t="str">
        <f>IFERROR(IF(INDEX('Disaggregation1B_Import-Export'!K$8:K$239,MATCH($B104,'Disaggregation1B_Import-Export'!$C$8:$C$239,0))="","",INDEX('Disaggregation1B_Import-Export'!K$8:K$239,MATCH($B104,'Disaggregation1B_Import-Export'!$C$8:$C$239,0))),"")</f>
        <v/>
      </c>
      <c r="K104" s="1028" t="str">
        <f>IFERROR(IF(INDEX('Disaggregation1B_Import-Export'!L$8:L$239,MATCH($B104,'Disaggregation1B_Import-Export'!$C$8:$C$239,0))="","",INDEX('Disaggregation1B_Import-Export'!L$8:L$239,MATCH($B104,'Disaggregation1B_Import-Export'!$C$8:$C$239,0))),"")</f>
        <v/>
      </c>
      <c r="L104" s="1028" t="str">
        <f>IFERROR(IF(INDEX('Disaggregation1B_Import-Export'!AQ$8:AQ$239,MATCH($B104,'Disaggregation1B_Import-Export'!$C$8:$C$239,0))="","",INDEX('Disaggregation1B_Import-Export'!AQ$8:AQ$239,MATCH($B104,'Disaggregation1B_Import-Export'!$C$8:$C$239,0))),"")</f>
        <v/>
      </c>
      <c r="M104" s="1064"/>
      <c r="N104" s="1064"/>
      <c r="O104" s="1109" t="str">
        <f t="shared" si="6"/>
        <v/>
      </c>
      <c r="P104" s="1065"/>
      <c r="Q104" s="1065"/>
      <c r="R104" s="1066"/>
      <c r="S104" s="1064"/>
      <c r="T104" s="1064"/>
      <c r="U104" s="1109" t="str">
        <f t="shared" si="7"/>
        <v/>
      </c>
      <c r="V104" s="1065"/>
      <c r="W104" s="1065"/>
      <c r="X104" s="1066"/>
      <c r="Y104" s="1110"/>
      <c r="Z104" s="1110"/>
      <c r="AA104" s="1111" t="str">
        <f t="shared" si="8"/>
        <v/>
      </c>
      <c r="AB104" s="1112"/>
      <c r="AC104" s="1113"/>
    </row>
    <row r="105" spans="1:29" x14ac:dyDescent="0.2">
      <c r="A105" s="648">
        <f t="shared" si="9"/>
        <v>95</v>
      </c>
      <c r="B105" s="648" t="str">
        <f t="shared" si="5"/>
        <v>Coverage95</v>
      </c>
      <c r="C105" s="1027" t="str">
        <f>IFERROR(INDEX('Disaggregation1B_Import-Export'!D$8:D$239,MATCH($B105,'Disaggregation1B_Import-Export'!$C$8:$C$239,0)),"")</f>
        <v/>
      </c>
      <c r="D105" s="1028" t="str">
        <f>IFERROR(INDEX('Disaggregation1B_Import-Export'!AF$8:AF$256,MATCH($B105,'Disaggregation1B_Import-Export'!$C$8:$C$256,0)),"")</f>
        <v/>
      </c>
      <c r="E105" s="1028" t="str">
        <f>IFERROR(IF(INDEX('Disaggregation1B_Import-Export'!AG$8:AG$239,MATCH($B105,'Disaggregation1B_Import-Export'!$C$8:$C$239,0))="","",INDEX('Disaggregation1B_Import-Export'!AG$8:AG$239,MATCH($B105,'Disaggregation1B_Import-Export'!$C$8:$C$239,0))),"")</f>
        <v/>
      </c>
      <c r="F105" s="1028" t="str">
        <f>IFERROR(IF(INDEX('Disaggregation1B_Import-Export'!AH$8:AH$239,MATCH($B105,'Disaggregation1B_Import-Export'!$C$8:$C$239,0))="","",INDEX('Disaggregation1B_Import-Export'!AH$8:AH$239,MATCH($B105,'Disaggregation1B_Import-Export'!$C$8:$C$239,0))),"")</f>
        <v/>
      </c>
      <c r="G105" s="1107" t="str">
        <f>IFERROR(IF(INDEX('Disaggregation1B_Import-Export'!H$8:H$239,MATCH($B105,'Disaggregation1B_Import-Export'!$C$8:$C$239,0))="","",INDEX('Disaggregation1B_Import-Export'!H$8:H$239,MATCH($B105,'Disaggregation1B_Import-Export'!$C$8:$C$239,0))),"")</f>
        <v/>
      </c>
      <c r="H105" s="1107" t="str">
        <f>IFERROR(IF(INDEX('Disaggregation1B_Import-Export'!I$8:I$239,MATCH($B105,'Disaggregation1B_Import-Export'!$C$8:$C$239,0))="","",INDEX('Disaggregation1B_Import-Export'!I$8:I$239,MATCH($B105,'Disaggregation1B_Import-Export'!$C$8:$C$239,0))),"")</f>
        <v/>
      </c>
      <c r="I105" s="1108" t="str">
        <f>IFERROR(IF(INDEX('Disaggregation1B_Import-Export'!J$8:J$239,MATCH($B105,'Disaggregation1B_Import-Export'!$C$8:$C$239,0))="","",INDEX('Disaggregation1B_Import-Export'!J$8:J$239,MATCH($B105,'Disaggregation1B_Import-Export'!$C$8:$C$239,0))),"")</f>
        <v/>
      </c>
      <c r="J105" s="1028" t="str">
        <f>IFERROR(IF(INDEX('Disaggregation1B_Import-Export'!K$8:K$239,MATCH($B105,'Disaggregation1B_Import-Export'!$C$8:$C$239,0))="","",INDEX('Disaggregation1B_Import-Export'!K$8:K$239,MATCH($B105,'Disaggregation1B_Import-Export'!$C$8:$C$239,0))),"")</f>
        <v/>
      </c>
      <c r="K105" s="1028" t="str">
        <f>IFERROR(IF(INDEX('Disaggregation1B_Import-Export'!L$8:L$239,MATCH($B105,'Disaggregation1B_Import-Export'!$C$8:$C$239,0))="","",INDEX('Disaggregation1B_Import-Export'!L$8:L$239,MATCH($B105,'Disaggregation1B_Import-Export'!$C$8:$C$239,0))),"")</f>
        <v/>
      </c>
      <c r="L105" s="1028" t="str">
        <f>IFERROR(IF(INDEX('Disaggregation1B_Import-Export'!AQ$8:AQ$239,MATCH($B105,'Disaggregation1B_Import-Export'!$C$8:$C$239,0))="","",INDEX('Disaggregation1B_Import-Export'!AQ$8:AQ$239,MATCH($B105,'Disaggregation1B_Import-Export'!$C$8:$C$239,0))),"")</f>
        <v/>
      </c>
      <c r="M105" s="1064"/>
      <c r="N105" s="1064"/>
      <c r="O105" s="1109" t="str">
        <f t="shared" si="6"/>
        <v/>
      </c>
      <c r="P105" s="1065"/>
      <c r="Q105" s="1065"/>
      <c r="R105" s="1066"/>
      <c r="S105" s="1064"/>
      <c r="T105" s="1064"/>
      <c r="U105" s="1109" t="str">
        <f t="shared" si="7"/>
        <v/>
      </c>
      <c r="V105" s="1065"/>
      <c r="W105" s="1065"/>
      <c r="X105" s="1066"/>
      <c r="Y105" s="1110"/>
      <c r="Z105" s="1110"/>
      <c r="AA105" s="1111" t="str">
        <f t="shared" si="8"/>
        <v/>
      </c>
      <c r="AB105" s="1112"/>
      <c r="AC105" s="1113"/>
    </row>
    <row r="106" spans="1:29" x14ac:dyDescent="0.2">
      <c r="A106" s="648">
        <f t="shared" si="9"/>
        <v>96</v>
      </c>
      <c r="B106" s="648" t="str">
        <f t="shared" si="5"/>
        <v>Coverage96</v>
      </c>
      <c r="C106" s="1027" t="str">
        <f>IFERROR(INDEX('Disaggregation1B_Import-Export'!D$8:D$239,MATCH($B106,'Disaggregation1B_Import-Export'!$C$8:$C$239,0)),"")</f>
        <v/>
      </c>
      <c r="D106" s="1028" t="str">
        <f>IFERROR(INDEX('Disaggregation1B_Import-Export'!AF$8:AF$256,MATCH($B106,'Disaggregation1B_Import-Export'!$C$8:$C$256,0)),"")</f>
        <v/>
      </c>
      <c r="E106" s="1028" t="str">
        <f>IFERROR(IF(INDEX('Disaggregation1B_Import-Export'!AG$8:AG$239,MATCH($B106,'Disaggregation1B_Import-Export'!$C$8:$C$239,0))="","",INDEX('Disaggregation1B_Import-Export'!AG$8:AG$239,MATCH($B106,'Disaggregation1B_Import-Export'!$C$8:$C$239,0))),"")</f>
        <v/>
      </c>
      <c r="F106" s="1028" t="str">
        <f>IFERROR(IF(INDEX('Disaggregation1B_Import-Export'!AH$8:AH$239,MATCH($B106,'Disaggregation1B_Import-Export'!$C$8:$C$239,0))="","",INDEX('Disaggregation1B_Import-Export'!AH$8:AH$239,MATCH($B106,'Disaggregation1B_Import-Export'!$C$8:$C$239,0))),"")</f>
        <v/>
      </c>
      <c r="G106" s="1107" t="str">
        <f>IFERROR(IF(INDEX('Disaggregation1B_Import-Export'!H$8:H$239,MATCH($B106,'Disaggregation1B_Import-Export'!$C$8:$C$239,0))="","",INDEX('Disaggregation1B_Import-Export'!H$8:H$239,MATCH($B106,'Disaggregation1B_Import-Export'!$C$8:$C$239,0))),"")</f>
        <v/>
      </c>
      <c r="H106" s="1107" t="str">
        <f>IFERROR(IF(INDEX('Disaggregation1B_Import-Export'!I$8:I$239,MATCH($B106,'Disaggregation1B_Import-Export'!$C$8:$C$239,0))="","",INDEX('Disaggregation1B_Import-Export'!I$8:I$239,MATCH($B106,'Disaggregation1B_Import-Export'!$C$8:$C$239,0))),"")</f>
        <v/>
      </c>
      <c r="I106" s="1108" t="str">
        <f>IFERROR(IF(INDEX('Disaggregation1B_Import-Export'!J$8:J$239,MATCH($B106,'Disaggregation1B_Import-Export'!$C$8:$C$239,0))="","",INDEX('Disaggregation1B_Import-Export'!J$8:J$239,MATCH($B106,'Disaggregation1B_Import-Export'!$C$8:$C$239,0))),"")</f>
        <v/>
      </c>
      <c r="J106" s="1028" t="str">
        <f>IFERROR(IF(INDEX('Disaggregation1B_Import-Export'!K$8:K$239,MATCH($B106,'Disaggregation1B_Import-Export'!$C$8:$C$239,0))="","",INDEX('Disaggregation1B_Import-Export'!K$8:K$239,MATCH($B106,'Disaggregation1B_Import-Export'!$C$8:$C$239,0))),"")</f>
        <v/>
      </c>
      <c r="K106" s="1028" t="str">
        <f>IFERROR(IF(INDEX('Disaggregation1B_Import-Export'!L$8:L$239,MATCH($B106,'Disaggregation1B_Import-Export'!$C$8:$C$239,0))="","",INDEX('Disaggregation1B_Import-Export'!L$8:L$239,MATCH($B106,'Disaggregation1B_Import-Export'!$C$8:$C$239,0))),"")</f>
        <v/>
      </c>
      <c r="L106" s="1028" t="str">
        <f>IFERROR(IF(INDEX('Disaggregation1B_Import-Export'!AQ$8:AQ$239,MATCH($B106,'Disaggregation1B_Import-Export'!$C$8:$C$239,0))="","",INDEX('Disaggregation1B_Import-Export'!AQ$8:AQ$239,MATCH($B106,'Disaggregation1B_Import-Export'!$C$8:$C$239,0))),"")</f>
        <v/>
      </c>
      <c r="M106" s="1064"/>
      <c r="N106" s="1064"/>
      <c r="O106" s="1109" t="str">
        <f t="shared" si="6"/>
        <v/>
      </c>
      <c r="P106" s="1065"/>
      <c r="Q106" s="1065"/>
      <c r="R106" s="1066"/>
      <c r="S106" s="1064"/>
      <c r="T106" s="1064"/>
      <c r="U106" s="1109" t="str">
        <f t="shared" si="7"/>
        <v/>
      </c>
      <c r="V106" s="1065"/>
      <c r="W106" s="1065"/>
      <c r="X106" s="1066"/>
      <c r="Y106" s="1110"/>
      <c r="Z106" s="1110"/>
      <c r="AA106" s="1111" t="str">
        <f t="shared" si="8"/>
        <v/>
      </c>
      <c r="AB106" s="1112"/>
      <c r="AC106" s="1113"/>
    </row>
    <row r="107" spans="1:29" x14ac:dyDescent="0.2">
      <c r="A107" s="648">
        <f t="shared" si="9"/>
        <v>97</v>
      </c>
      <c r="B107" s="648" t="str">
        <f t="shared" si="5"/>
        <v>Coverage97</v>
      </c>
      <c r="C107" s="1027" t="str">
        <f>IFERROR(INDEX('Disaggregation1B_Import-Export'!D$8:D$239,MATCH($B107,'Disaggregation1B_Import-Export'!$C$8:$C$239,0)),"")</f>
        <v/>
      </c>
      <c r="D107" s="1028" t="str">
        <f>IFERROR(INDEX('Disaggregation1B_Import-Export'!AF$8:AF$256,MATCH($B107,'Disaggregation1B_Import-Export'!$C$8:$C$256,0)),"")</f>
        <v/>
      </c>
      <c r="E107" s="1028" t="str">
        <f>IFERROR(IF(INDEX('Disaggregation1B_Import-Export'!AG$8:AG$239,MATCH($B107,'Disaggregation1B_Import-Export'!$C$8:$C$239,0))="","",INDEX('Disaggregation1B_Import-Export'!AG$8:AG$239,MATCH($B107,'Disaggregation1B_Import-Export'!$C$8:$C$239,0))),"")</f>
        <v/>
      </c>
      <c r="F107" s="1028" t="str">
        <f>IFERROR(IF(INDEX('Disaggregation1B_Import-Export'!AH$8:AH$239,MATCH($B107,'Disaggregation1B_Import-Export'!$C$8:$C$239,0))="","",INDEX('Disaggregation1B_Import-Export'!AH$8:AH$239,MATCH($B107,'Disaggregation1B_Import-Export'!$C$8:$C$239,0))),"")</f>
        <v/>
      </c>
      <c r="G107" s="1107" t="str">
        <f>IFERROR(IF(INDEX('Disaggregation1B_Import-Export'!H$8:H$239,MATCH($B107,'Disaggregation1B_Import-Export'!$C$8:$C$239,0))="","",INDEX('Disaggregation1B_Import-Export'!H$8:H$239,MATCH($B107,'Disaggregation1B_Import-Export'!$C$8:$C$239,0))),"")</f>
        <v/>
      </c>
      <c r="H107" s="1107" t="str">
        <f>IFERROR(IF(INDEX('Disaggregation1B_Import-Export'!I$8:I$239,MATCH($B107,'Disaggregation1B_Import-Export'!$C$8:$C$239,0))="","",INDEX('Disaggregation1B_Import-Export'!I$8:I$239,MATCH($B107,'Disaggregation1B_Import-Export'!$C$8:$C$239,0))),"")</f>
        <v/>
      </c>
      <c r="I107" s="1108" t="str">
        <f>IFERROR(IF(INDEX('Disaggregation1B_Import-Export'!J$8:J$239,MATCH($B107,'Disaggregation1B_Import-Export'!$C$8:$C$239,0))="","",INDEX('Disaggregation1B_Import-Export'!J$8:J$239,MATCH($B107,'Disaggregation1B_Import-Export'!$C$8:$C$239,0))),"")</f>
        <v/>
      </c>
      <c r="J107" s="1028" t="str">
        <f>IFERROR(IF(INDEX('Disaggregation1B_Import-Export'!K$8:K$239,MATCH($B107,'Disaggregation1B_Import-Export'!$C$8:$C$239,0))="","",INDEX('Disaggregation1B_Import-Export'!K$8:K$239,MATCH($B107,'Disaggregation1B_Import-Export'!$C$8:$C$239,0))),"")</f>
        <v/>
      </c>
      <c r="K107" s="1028" t="str">
        <f>IFERROR(IF(INDEX('Disaggregation1B_Import-Export'!L$8:L$239,MATCH($B107,'Disaggregation1B_Import-Export'!$C$8:$C$239,0))="","",INDEX('Disaggregation1B_Import-Export'!L$8:L$239,MATCH($B107,'Disaggregation1B_Import-Export'!$C$8:$C$239,0))),"")</f>
        <v/>
      </c>
      <c r="L107" s="1028" t="str">
        <f>IFERROR(IF(INDEX('Disaggregation1B_Import-Export'!AQ$8:AQ$239,MATCH($B107,'Disaggregation1B_Import-Export'!$C$8:$C$239,0))="","",INDEX('Disaggregation1B_Import-Export'!AQ$8:AQ$239,MATCH($B107,'Disaggregation1B_Import-Export'!$C$8:$C$239,0))),"")</f>
        <v/>
      </c>
      <c r="M107" s="1064"/>
      <c r="N107" s="1064"/>
      <c r="O107" s="1109" t="str">
        <f t="shared" si="6"/>
        <v/>
      </c>
      <c r="P107" s="1065"/>
      <c r="Q107" s="1065"/>
      <c r="R107" s="1066"/>
      <c r="S107" s="1064"/>
      <c r="T107" s="1064"/>
      <c r="U107" s="1109" t="str">
        <f t="shared" si="7"/>
        <v/>
      </c>
      <c r="V107" s="1065"/>
      <c r="W107" s="1065"/>
      <c r="X107" s="1066"/>
      <c r="Y107" s="1110"/>
      <c r="Z107" s="1110"/>
      <c r="AA107" s="1111" t="str">
        <f t="shared" si="8"/>
        <v/>
      </c>
      <c r="AB107" s="1112"/>
      <c r="AC107" s="1113"/>
    </row>
    <row r="108" spans="1:29" x14ac:dyDescent="0.2">
      <c r="A108" s="648">
        <f t="shared" si="9"/>
        <v>98</v>
      </c>
      <c r="B108" s="648" t="str">
        <f t="shared" si="5"/>
        <v>Coverage98</v>
      </c>
      <c r="C108" s="1027" t="str">
        <f>IFERROR(INDEX('Disaggregation1B_Import-Export'!D$8:D$239,MATCH($B108,'Disaggregation1B_Import-Export'!$C$8:$C$239,0)),"")</f>
        <v/>
      </c>
      <c r="D108" s="1028" t="str">
        <f>IFERROR(INDEX('Disaggregation1B_Import-Export'!AF$8:AF$256,MATCH($B108,'Disaggregation1B_Import-Export'!$C$8:$C$256,0)),"")</f>
        <v/>
      </c>
      <c r="E108" s="1028" t="str">
        <f>IFERROR(IF(INDEX('Disaggregation1B_Import-Export'!AG$8:AG$239,MATCH($B108,'Disaggregation1B_Import-Export'!$C$8:$C$239,0))="","",INDEX('Disaggregation1B_Import-Export'!AG$8:AG$239,MATCH($B108,'Disaggregation1B_Import-Export'!$C$8:$C$239,0))),"")</f>
        <v/>
      </c>
      <c r="F108" s="1028" t="str">
        <f>IFERROR(IF(INDEX('Disaggregation1B_Import-Export'!AH$8:AH$239,MATCH($B108,'Disaggregation1B_Import-Export'!$C$8:$C$239,0))="","",INDEX('Disaggregation1B_Import-Export'!AH$8:AH$239,MATCH($B108,'Disaggregation1B_Import-Export'!$C$8:$C$239,0))),"")</f>
        <v/>
      </c>
      <c r="G108" s="1107" t="str">
        <f>IFERROR(IF(INDEX('Disaggregation1B_Import-Export'!H$8:H$239,MATCH($B108,'Disaggregation1B_Import-Export'!$C$8:$C$239,0))="","",INDEX('Disaggregation1B_Import-Export'!H$8:H$239,MATCH($B108,'Disaggregation1B_Import-Export'!$C$8:$C$239,0))),"")</f>
        <v/>
      </c>
      <c r="H108" s="1107" t="str">
        <f>IFERROR(IF(INDEX('Disaggregation1B_Import-Export'!I$8:I$239,MATCH($B108,'Disaggregation1B_Import-Export'!$C$8:$C$239,0))="","",INDEX('Disaggregation1B_Import-Export'!I$8:I$239,MATCH($B108,'Disaggregation1B_Import-Export'!$C$8:$C$239,0))),"")</f>
        <v/>
      </c>
      <c r="I108" s="1108" t="str">
        <f>IFERROR(IF(INDEX('Disaggregation1B_Import-Export'!J$8:J$239,MATCH($B108,'Disaggregation1B_Import-Export'!$C$8:$C$239,0))="","",INDEX('Disaggregation1B_Import-Export'!J$8:J$239,MATCH($B108,'Disaggregation1B_Import-Export'!$C$8:$C$239,0))),"")</f>
        <v/>
      </c>
      <c r="J108" s="1028" t="str">
        <f>IFERROR(IF(INDEX('Disaggregation1B_Import-Export'!K$8:K$239,MATCH($B108,'Disaggregation1B_Import-Export'!$C$8:$C$239,0))="","",INDEX('Disaggregation1B_Import-Export'!K$8:K$239,MATCH($B108,'Disaggregation1B_Import-Export'!$C$8:$C$239,0))),"")</f>
        <v/>
      </c>
      <c r="K108" s="1028" t="str">
        <f>IFERROR(IF(INDEX('Disaggregation1B_Import-Export'!L$8:L$239,MATCH($B108,'Disaggregation1B_Import-Export'!$C$8:$C$239,0))="","",INDEX('Disaggregation1B_Import-Export'!L$8:L$239,MATCH($B108,'Disaggregation1B_Import-Export'!$C$8:$C$239,0))),"")</f>
        <v/>
      </c>
      <c r="L108" s="1028" t="str">
        <f>IFERROR(IF(INDEX('Disaggregation1B_Import-Export'!AQ$8:AQ$239,MATCH($B108,'Disaggregation1B_Import-Export'!$C$8:$C$239,0))="","",INDEX('Disaggregation1B_Import-Export'!AQ$8:AQ$239,MATCH($B108,'Disaggregation1B_Import-Export'!$C$8:$C$239,0))),"")</f>
        <v/>
      </c>
      <c r="M108" s="1064"/>
      <c r="N108" s="1064"/>
      <c r="O108" s="1109" t="str">
        <f t="shared" si="6"/>
        <v/>
      </c>
      <c r="P108" s="1065"/>
      <c r="Q108" s="1065"/>
      <c r="R108" s="1066"/>
      <c r="S108" s="1064"/>
      <c r="T108" s="1064"/>
      <c r="U108" s="1109" t="str">
        <f t="shared" si="7"/>
        <v/>
      </c>
      <c r="V108" s="1065"/>
      <c r="W108" s="1065"/>
      <c r="X108" s="1066"/>
      <c r="Y108" s="1110"/>
      <c r="Z108" s="1110"/>
      <c r="AA108" s="1111" t="str">
        <f t="shared" si="8"/>
        <v/>
      </c>
      <c r="AB108" s="1112"/>
      <c r="AC108" s="1113"/>
    </row>
    <row r="109" spans="1:29" x14ac:dyDescent="0.2">
      <c r="A109" s="648">
        <f t="shared" si="9"/>
        <v>99</v>
      </c>
      <c r="B109" s="648" t="str">
        <f t="shared" si="5"/>
        <v>Coverage99</v>
      </c>
      <c r="C109" s="1027" t="str">
        <f>IFERROR(INDEX('Disaggregation1B_Import-Export'!D$8:D$239,MATCH($B109,'Disaggregation1B_Import-Export'!$C$8:$C$239,0)),"")</f>
        <v/>
      </c>
      <c r="D109" s="1028" t="str">
        <f>IFERROR(INDEX('Disaggregation1B_Import-Export'!AF$8:AF$256,MATCH($B109,'Disaggregation1B_Import-Export'!$C$8:$C$256,0)),"")</f>
        <v/>
      </c>
      <c r="E109" s="1028" t="str">
        <f>IFERROR(IF(INDEX('Disaggregation1B_Import-Export'!AG$8:AG$239,MATCH($B109,'Disaggregation1B_Import-Export'!$C$8:$C$239,0))="","",INDEX('Disaggregation1B_Import-Export'!AG$8:AG$239,MATCH($B109,'Disaggregation1B_Import-Export'!$C$8:$C$239,0))),"")</f>
        <v/>
      </c>
      <c r="F109" s="1028" t="str">
        <f>IFERROR(IF(INDEX('Disaggregation1B_Import-Export'!AH$8:AH$239,MATCH($B109,'Disaggregation1B_Import-Export'!$C$8:$C$239,0))="","",INDEX('Disaggregation1B_Import-Export'!AH$8:AH$239,MATCH($B109,'Disaggregation1B_Import-Export'!$C$8:$C$239,0))),"")</f>
        <v/>
      </c>
      <c r="G109" s="1107" t="str">
        <f>IFERROR(IF(INDEX('Disaggregation1B_Import-Export'!H$8:H$239,MATCH($B109,'Disaggregation1B_Import-Export'!$C$8:$C$239,0))="","",INDEX('Disaggregation1B_Import-Export'!H$8:H$239,MATCH($B109,'Disaggregation1B_Import-Export'!$C$8:$C$239,0))),"")</f>
        <v/>
      </c>
      <c r="H109" s="1107" t="str">
        <f>IFERROR(IF(INDEX('Disaggregation1B_Import-Export'!I$8:I$239,MATCH($B109,'Disaggregation1B_Import-Export'!$C$8:$C$239,0))="","",INDEX('Disaggregation1B_Import-Export'!I$8:I$239,MATCH($B109,'Disaggregation1B_Import-Export'!$C$8:$C$239,0))),"")</f>
        <v/>
      </c>
      <c r="I109" s="1108" t="str">
        <f>IFERROR(IF(INDEX('Disaggregation1B_Import-Export'!J$8:J$239,MATCH($B109,'Disaggregation1B_Import-Export'!$C$8:$C$239,0))="","",INDEX('Disaggregation1B_Import-Export'!J$8:J$239,MATCH($B109,'Disaggregation1B_Import-Export'!$C$8:$C$239,0))),"")</f>
        <v/>
      </c>
      <c r="J109" s="1028" t="str">
        <f>IFERROR(IF(INDEX('Disaggregation1B_Import-Export'!K$8:K$239,MATCH($B109,'Disaggregation1B_Import-Export'!$C$8:$C$239,0))="","",INDEX('Disaggregation1B_Import-Export'!K$8:K$239,MATCH($B109,'Disaggregation1B_Import-Export'!$C$8:$C$239,0))),"")</f>
        <v/>
      </c>
      <c r="K109" s="1028" t="str">
        <f>IFERROR(IF(INDEX('Disaggregation1B_Import-Export'!L$8:L$239,MATCH($B109,'Disaggregation1B_Import-Export'!$C$8:$C$239,0))="","",INDEX('Disaggregation1B_Import-Export'!L$8:L$239,MATCH($B109,'Disaggregation1B_Import-Export'!$C$8:$C$239,0))),"")</f>
        <v/>
      </c>
      <c r="L109" s="1028" t="str">
        <f>IFERROR(IF(INDEX('Disaggregation1B_Import-Export'!AQ$8:AQ$239,MATCH($B109,'Disaggregation1B_Import-Export'!$C$8:$C$239,0))="","",INDEX('Disaggregation1B_Import-Export'!AQ$8:AQ$239,MATCH($B109,'Disaggregation1B_Import-Export'!$C$8:$C$239,0))),"")</f>
        <v/>
      </c>
      <c r="M109" s="1064"/>
      <c r="N109" s="1064"/>
      <c r="O109" s="1109" t="str">
        <f t="shared" si="6"/>
        <v/>
      </c>
      <c r="P109" s="1065"/>
      <c r="Q109" s="1065"/>
      <c r="R109" s="1066"/>
      <c r="S109" s="1064"/>
      <c r="T109" s="1064"/>
      <c r="U109" s="1109" t="str">
        <f t="shared" si="7"/>
        <v/>
      </c>
      <c r="V109" s="1065"/>
      <c r="W109" s="1065"/>
      <c r="X109" s="1066"/>
      <c r="Y109" s="1110"/>
      <c r="Z109" s="1110"/>
      <c r="AA109" s="1111" t="str">
        <f t="shared" si="8"/>
        <v/>
      </c>
      <c r="AB109" s="1112"/>
      <c r="AC109" s="1113"/>
    </row>
    <row r="110" spans="1:29" x14ac:dyDescent="0.2">
      <c r="A110" s="648">
        <f t="shared" si="9"/>
        <v>100</v>
      </c>
      <c r="B110" s="648" t="str">
        <f t="shared" si="5"/>
        <v>Coverage100</v>
      </c>
      <c r="C110" s="1027" t="str">
        <f>IFERROR(INDEX('Disaggregation1B_Import-Export'!D$8:D$239,MATCH($B110,'Disaggregation1B_Import-Export'!$C$8:$C$239,0)),"")</f>
        <v/>
      </c>
      <c r="D110" s="1028" t="str">
        <f>IFERROR(INDEX('Disaggregation1B_Import-Export'!AF$8:AF$256,MATCH($B110,'Disaggregation1B_Import-Export'!$C$8:$C$256,0)),"")</f>
        <v/>
      </c>
      <c r="E110" s="1028" t="str">
        <f>IFERROR(IF(INDEX('Disaggregation1B_Import-Export'!AG$8:AG$239,MATCH($B110,'Disaggregation1B_Import-Export'!$C$8:$C$239,0))="","",INDEX('Disaggregation1B_Import-Export'!AG$8:AG$239,MATCH($B110,'Disaggregation1B_Import-Export'!$C$8:$C$239,0))),"")</f>
        <v/>
      </c>
      <c r="F110" s="1028" t="str">
        <f>IFERROR(IF(INDEX('Disaggregation1B_Import-Export'!AH$8:AH$239,MATCH($B110,'Disaggregation1B_Import-Export'!$C$8:$C$239,0))="","",INDEX('Disaggregation1B_Import-Export'!AH$8:AH$239,MATCH($B110,'Disaggregation1B_Import-Export'!$C$8:$C$239,0))),"")</f>
        <v/>
      </c>
      <c r="G110" s="1107" t="str">
        <f>IFERROR(IF(INDEX('Disaggregation1B_Import-Export'!H$8:H$239,MATCH($B110,'Disaggregation1B_Import-Export'!$C$8:$C$239,0))="","",INDEX('Disaggregation1B_Import-Export'!H$8:H$239,MATCH($B110,'Disaggregation1B_Import-Export'!$C$8:$C$239,0))),"")</f>
        <v/>
      </c>
      <c r="H110" s="1107" t="str">
        <f>IFERROR(IF(INDEX('Disaggregation1B_Import-Export'!I$8:I$239,MATCH($B110,'Disaggregation1B_Import-Export'!$C$8:$C$239,0))="","",INDEX('Disaggregation1B_Import-Export'!I$8:I$239,MATCH($B110,'Disaggregation1B_Import-Export'!$C$8:$C$239,0))),"")</f>
        <v/>
      </c>
      <c r="I110" s="1108" t="str">
        <f>IFERROR(IF(INDEX('Disaggregation1B_Import-Export'!J$8:J$239,MATCH($B110,'Disaggregation1B_Import-Export'!$C$8:$C$239,0))="","",INDEX('Disaggregation1B_Import-Export'!J$8:J$239,MATCH($B110,'Disaggregation1B_Import-Export'!$C$8:$C$239,0))),"")</f>
        <v/>
      </c>
      <c r="J110" s="1028" t="str">
        <f>IFERROR(IF(INDEX('Disaggregation1B_Import-Export'!K$8:K$239,MATCH($B110,'Disaggregation1B_Import-Export'!$C$8:$C$239,0))="","",INDEX('Disaggregation1B_Import-Export'!K$8:K$239,MATCH($B110,'Disaggregation1B_Import-Export'!$C$8:$C$239,0))),"")</f>
        <v/>
      </c>
      <c r="K110" s="1028" t="str">
        <f>IFERROR(IF(INDEX('Disaggregation1B_Import-Export'!L$8:L$239,MATCH($B110,'Disaggregation1B_Import-Export'!$C$8:$C$239,0))="","",INDEX('Disaggregation1B_Import-Export'!L$8:L$239,MATCH($B110,'Disaggregation1B_Import-Export'!$C$8:$C$239,0))),"")</f>
        <v/>
      </c>
      <c r="L110" s="1028" t="str">
        <f>IFERROR(IF(INDEX('Disaggregation1B_Import-Export'!AQ$8:AQ$239,MATCH($B110,'Disaggregation1B_Import-Export'!$C$8:$C$239,0))="","",INDEX('Disaggregation1B_Import-Export'!AQ$8:AQ$239,MATCH($B110,'Disaggregation1B_Import-Export'!$C$8:$C$239,0))),"")</f>
        <v/>
      </c>
      <c r="M110" s="1064"/>
      <c r="N110" s="1064"/>
      <c r="O110" s="1109" t="str">
        <f t="shared" si="6"/>
        <v/>
      </c>
      <c r="P110" s="1065"/>
      <c r="Q110" s="1065"/>
      <c r="R110" s="1066"/>
      <c r="S110" s="1064"/>
      <c r="T110" s="1064"/>
      <c r="U110" s="1109" t="str">
        <f t="shared" si="7"/>
        <v/>
      </c>
      <c r="V110" s="1065"/>
      <c r="W110" s="1065"/>
      <c r="X110" s="1066"/>
      <c r="Y110" s="1110"/>
      <c r="Z110" s="1110"/>
      <c r="AA110" s="1111" t="str">
        <f t="shared" si="8"/>
        <v/>
      </c>
      <c r="AB110" s="1112"/>
      <c r="AC110" s="1113"/>
    </row>
    <row r="111" spans="1:29" x14ac:dyDescent="0.2">
      <c r="A111" s="648">
        <f t="shared" si="9"/>
        <v>101</v>
      </c>
      <c r="B111" s="648" t="str">
        <f t="shared" si="5"/>
        <v>Coverage101</v>
      </c>
      <c r="C111" s="1027" t="str">
        <f>IFERROR(INDEX('Disaggregation1B_Import-Export'!D$8:D$239,MATCH($B111,'Disaggregation1B_Import-Export'!$C$8:$C$239,0)),"")</f>
        <v/>
      </c>
      <c r="D111" s="1028" t="str">
        <f>IFERROR(INDEX('Disaggregation1B_Import-Export'!AF$8:AF$256,MATCH($B111,'Disaggregation1B_Import-Export'!$C$8:$C$256,0)),"")</f>
        <v/>
      </c>
      <c r="E111" s="1028" t="str">
        <f>IFERROR(IF(INDEX('Disaggregation1B_Import-Export'!AG$8:AG$239,MATCH($B111,'Disaggregation1B_Import-Export'!$C$8:$C$239,0))="","",INDEX('Disaggregation1B_Import-Export'!AG$8:AG$239,MATCH($B111,'Disaggregation1B_Import-Export'!$C$8:$C$239,0))),"")</f>
        <v/>
      </c>
      <c r="F111" s="1028" t="str">
        <f>IFERROR(IF(INDEX('Disaggregation1B_Import-Export'!AH$8:AH$239,MATCH($B111,'Disaggregation1B_Import-Export'!$C$8:$C$239,0))="","",INDEX('Disaggregation1B_Import-Export'!AH$8:AH$239,MATCH($B111,'Disaggregation1B_Import-Export'!$C$8:$C$239,0))),"")</f>
        <v/>
      </c>
      <c r="G111" s="1107" t="str">
        <f>IFERROR(IF(INDEX('Disaggregation1B_Import-Export'!H$8:H$239,MATCH($B111,'Disaggregation1B_Import-Export'!$C$8:$C$239,0))="","",INDEX('Disaggregation1B_Import-Export'!H$8:H$239,MATCH($B111,'Disaggregation1B_Import-Export'!$C$8:$C$239,0))),"")</f>
        <v/>
      </c>
      <c r="H111" s="1107" t="str">
        <f>IFERROR(IF(INDEX('Disaggregation1B_Import-Export'!I$8:I$239,MATCH($B111,'Disaggregation1B_Import-Export'!$C$8:$C$239,0))="","",INDEX('Disaggregation1B_Import-Export'!I$8:I$239,MATCH($B111,'Disaggregation1B_Import-Export'!$C$8:$C$239,0))),"")</f>
        <v/>
      </c>
      <c r="I111" s="1108" t="str">
        <f>IFERROR(IF(INDEX('Disaggregation1B_Import-Export'!J$8:J$239,MATCH($B111,'Disaggregation1B_Import-Export'!$C$8:$C$239,0))="","",INDEX('Disaggregation1B_Import-Export'!J$8:J$239,MATCH($B111,'Disaggregation1B_Import-Export'!$C$8:$C$239,0))),"")</f>
        <v/>
      </c>
      <c r="J111" s="1028" t="str">
        <f>IFERROR(IF(INDEX('Disaggregation1B_Import-Export'!K$8:K$239,MATCH($B111,'Disaggregation1B_Import-Export'!$C$8:$C$239,0))="","",INDEX('Disaggregation1B_Import-Export'!K$8:K$239,MATCH($B111,'Disaggregation1B_Import-Export'!$C$8:$C$239,0))),"")</f>
        <v/>
      </c>
      <c r="K111" s="1028" t="str">
        <f>IFERROR(IF(INDEX('Disaggregation1B_Import-Export'!L$8:L$239,MATCH($B111,'Disaggregation1B_Import-Export'!$C$8:$C$239,0))="","",INDEX('Disaggregation1B_Import-Export'!L$8:L$239,MATCH($B111,'Disaggregation1B_Import-Export'!$C$8:$C$239,0))),"")</f>
        <v/>
      </c>
      <c r="L111" s="1028" t="str">
        <f>IFERROR(IF(INDEX('Disaggregation1B_Import-Export'!AQ$8:AQ$239,MATCH($B111,'Disaggregation1B_Import-Export'!$C$8:$C$239,0))="","",INDEX('Disaggregation1B_Import-Export'!AQ$8:AQ$239,MATCH($B111,'Disaggregation1B_Import-Export'!$C$8:$C$239,0))),"")</f>
        <v/>
      </c>
      <c r="M111" s="1064"/>
      <c r="N111" s="1064"/>
      <c r="O111" s="1109" t="str">
        <f t="shared" si="6"/>
        <v/>
      </c>
      <c r="P111" s="1065"/>
      <c r="Q111" s="1065"/>
      <c r="R111" s="1066"/>
      <c r="S111" s="1064"/>
      <c r="T111" s="1064"/>
      <c r="U111" s="1109" t="str">
        <f t="shared" si="7"/>
        <v/>
      </c>
      <c r="V111" s="1065"/>
      <c r="W111" s="1065"/>
      <c r="X111" s="1066"/>
      <c r="Y111" s="1110"/>
      <c r="Z111" s="1110"/>
      <c r="AA111" s="1111" t="str">
        <f t="shared" si="8"/>
        <v/>
      </c>
      <c r="AB111" s="1112"/>
      <c r="AC111" s="1113"/>
    </row>
    <row r="112" spans="1:29" x14ac:dyDescent="0.2">
      <c r="A112" s="648">
        <f t="shared" si="9"/>
        <v>102</v>
      </c>
      <c r="B112" s="648" t="str">
        <f t="shared" si="5"/>
        <v>Coverage102</v>
      </c>
      <c r="C112" s="1027" t="str">
        <f>IFERROR(INDEX('Disaggregation1B_Import-Export'!D$8:D$239,MATCH($B112,'Disaggregation1B_Import-Export'!$C$8:$C$239,0)),"")</f>
        <v/>
      </c>
      <c r="D112" s="1028" t="str">
        <f>IFERROR(INDEX('Disaggregation1B_Import-Export'!AF$8:AF$256,MATCH($B112,'Disaggregation1B_Import-Export'!$C$8:$C$256,0)),"")</f>
        <v/>
      </c>
      <c r="E112" s="1028" t="str">
        <f>IFERROR(IF(INDEX('Disaggregation1B_Import-Export'!AG$8:AG$239,MATCH($B112,'Disaggregation1B_Import-Export'!$C$8:$C$239,0))="","",INDEX('Disaggregation1B_Import-Export'!AG$8:AG$239,MATCH($B112,'Disaggregation1B_Import-Export'!$C$8:$C$239,0))),"")</f>
        <v/>
      </c>
      <c r="F112" s="1028" t="str">
        <f>IFERROR(IF(INDEX('Disaggregation1B_Import-Export'!AH$8:AH$239,MATCH($B112,'Disaggregation1B_Import-Export'!$C$8:$C$239,0))="","",INDEX('Disaggregation1B_Import-Export'!AH$8:AH$239,MATCH($B112,'Disaggregation1B_Import-Export'!$C$8:$C$239,0))),"")</f>
        <v/>
      </c>
      <c r="G112" s="1107" t="str">
        <f>IFERROR(IF(INDEX('Disaggregation1B_Import-Export'!H$8:H$239,MATCH($B112,'Disaggregation1B_Import-Export'!$C$8:$C$239,0))="","",INDEX('Disaggregation1B_Import-Export'!H$8:H$239,MATCH($B112,'Disaggregation1B_Import-Export'!$C$8:$C$239,0))),"")</f>
        <v/>
      </c>
      <c r="H112" s="1107" t="str">
        <f>IFERROR(IF(INDEX('Disaggregation1B_Import-Export'!I$8:I$239,MATCH($B112,'Disaggregation1B_Import-Export'!$C$8:$C$239,0))="","",INDEX('Disaggregation1B_Import-Export'!I$8:I$239,MATCH($B112,'Disaggregation1B_Import-Export'!$C$8:$C$239,0))),"")</f>
        <v/>
      </c>
      <c r="I112" s="1108" t="str">
        <f>IFERROR(IF(INDEX('Disaggregation1B_Import-Export'!J$8:J$239,MATCH($B112,'Disaggregation1B_Import-Export'!$C$8:$C$239,0))="","",INDEX('Disaggregation1B_Import-Export'!J$8:J$239,MATCH($B112,'Disaggregation1B_Import-Export'!$C$8:$C$239,0))),"")</f>
        <v/>
      </c>
      <c r="J112" s="1028" t="str">
        <f>IFERROR(IF(INDEX('Disaggregation1B_Import-Export'!K$8:K$239,MATCH($B112,'Disaggregation1B_Import-Export'!$C$8:$C$239,0))="","",INDEX('Disaggregation1B_Import-Export'!K$8:K$239,MATCH($B112,'Disaggregation1B_Import-Export'!$C$8:$C$239,0))),"")</f>
        <v/>
      </c>
      <c r="K112" s="1028" t="str">
        <f>IFERROR(IF(INDEX('Disaggregation1B_Import-Export'!L$8:L$239,MATCH($B112,'Disaggregation1B_Import-Export'!$C$8:$C$239,0))="","",INDEX('Disaggregation1B_Import-Export'!L$8:L$239,MATCH($B112,'Disaggregation1B_Import-Export'!$C$8:$C$239,0))),"")</f>
        <v/>
      </c>
      <c r="L112" s="1028" t="str">
        <f>IFERROR(IF(INDEX('Disaggregation1B_Import-Export'!AQ$8:AQ$239,MATCH($B112,'Disaggregation1B_Import-Export'!$C$8:$C$239,0))="","",INDEX('Disaggregation1B_Import-Export'!AQ$8:AQ$239,MATCH($B112,'Disaggregation1B_Import-Export'!$C$8:$C$239,0))),"")</f>
        <v/>
      </c>
      <c r="M112" s="1064"/>
      <c r="N112" s="1064"/>
      <c r="O112" s="1109" t="str">
        <f t="shared" si="6"/>
        <v/>
      </c>
      <c r="P112" s="1065"/>
      <c r="Q112" s="1065"/>
      <c r="R112" s="1066"/>
      <c r="S112" s="1064"/>
      <c r="T112" s="1064"/>
      <c r="U112" s="1109" t="str">
        <f t="shared" si="7"/>
        <v/>
      </c>
      <c r="V112" s="1065"/>
      <c r="W112" s="1065"/>
      <c r="X112" s="1066"/>
      <c r="Y112" s="1110"/>
      <c r="Z112" s="1110"/>
      <c r="AA112" s="1111" t="str">
        <f t="shared" si="8"/>
        <v/>
      </c>
      <c r="AB112" s="1112"/>
      <c r="AC112" s="1113"/>
    </row>
    <row r="113" spans="1:29" x14ac:dyDescent="0.2">
      <c r="A113" s="648">
        <f t="shared" si="9"/>
        <v>103</v>
      </c>
      <c r="B113" s="648" t="str">
        <f t="shared" si="5"/>
        <v>Coverage103</v>
      </c>
      <c r="C113" s="1027" t="str">
        <f>IFERROR(INDEX('Disaggregation1B_Import-Export'!D$8:D$239,MATCH($B113,'Disaggregation1B_Import-Export'!$C$8:$C$239,0)),"")</f>
        <v/>
      </c>
      <c r="D113" s="1028" t="str">
        <f>IFERROR(INDEX('Disaggregation1B_Import-Export'!AF$8:AF$256,MATCH($B113,'Disaggregation1B_Import-Export'!$C$8:$C$256,0)),"")</f>
        <v/>
      </c>
      <c r="E113" s="1028" t="str">
        <f>IFERROR(IF(INDEX('Disaggregation1B_Import-Export'!AG$8:AG$239,MATCH($B113,'Disaggregation1B_Import-Export'!$C$8:$C$239,0))="","",INDEX('Disaggregation1B_Import-Export'!AG$8:AG$239,MATCH($B113,'Disaggregation1B_Import-Export'!$C$8:$C$239,0))),"")</f>
        <v/>
      </c>
      <c r="F113" s="1028" t="str">
        <f>IFERROR(IF(INDEX('Disaggregation1B_Import-Export'!AH$8:AH$239,MATCH($B113,'Disaggregation1B_Import-Export'!$C$8:$C$239,0))="","",INDEX('Disaggregation1B_Import-Export'!AH$8:AH$239,MATCH($B113,'Disaggregation1B_Import-Export'!$C$8:$C$239,0))),"")</f>
        <v/>
      </c>
      <c r="G113" s="1107" t="str">
        <f>IFERROR(IF(INDEX('Disaggregation1B_Import-Export'!H$8:H$239,MATCH($B113,'Disaggregation1B_Import-Export'!$C$8:$C$239,0))="","",INDEX('Disaggregation1B_Import-Export'!H$8:H$239,MATCH($B113,'Disaggregation1B_Import-Export'!$C$8:$C$239,0))),"")</f>
        <v/>
      </c>
      <c r="H113" s="1107" t="str">
        <f>IFERROR(IF(INDEX('Disaggregation1B_Import-Export'!I$8:I$239,MATCH($B113,'Disaggregation1B_Import-Export'!$C$8:$C$239,0))="","",INDEX('Disaggregation1B_Import-Export'!I$8:I$239,MATCH($B113,'Disaggregation1B_Import-Export'!$C$8:$C$239,0))),"")</f>
        <v/>
      </c>
      <c r="I113" s="1108" t="str">
        <f>IFERROR(IF(INDEX('Disaggregation1B_Import-Export'!J$8:J$239,MATCH($B113,'Disaggregation1B_Import-Export'!$C$8:$C$239,0))="","",INDEX('Disaggregation1B_Import-Export'!J$8:J$239,MATCH($B113,'Disaggregation1B_Import-Export'!$C$8:$C$239,0))),"")</f>
        <v/>
      </c>
      <c r="J113" s="1028" t="str">
        <f>IFERROR(IF(INDEX('Disaggregation1B_Import-Export'!K$8:K$239,MATCH($B113,'Disaggregation1B_Import-Export'!$C$8:$C$239,0))="","",INDEX('Disaggregation1B_Import-Export'!K$8:K$239,MATCH($B113,'Disaggregation1B_Import-Export'!$C$8:$C$239,0))),"")</f>
        <v/>
      </c>
      <c r="K113" s="1028" t="str">
        <f>IFERROR(IF(INDEX('Disaggregation1B_Import-Export'!L$8:L$239,MATCH($B113,'Disaggregation1B_Import-Export'!$C$8:$C$239,0))="","",INDEX('Disaggregation1B_Import-Export'!L$8:L$239,MATCH($B113,'Disaggregation1B_Import-Export'!$C$8:$C$239,0))),"")</f>
        <v/>
      </c>
      <c r="L113" s="1028" t="str">
        <f>IFERROR(IF(INDEX('Disaggregation1B_Import-Export'!AQ$8:AQ$239,MATCH($B113,'Disaggregation1B_Import-Export'!$C$8:$C$239,0))="","",INDEX('Disaggregation1B_Import-Export'!AQ$8:AQ$239,MATCH($B113,'Disaggregation1B_Import-Export'!$C$8:$C$239,0))),"")</f>
        <v/>
      </c>
      <c r="M113" s="1064"/>
      <c r="N113" s="1064"/>
      <c r="O113" s="1109" t="str">
        <f t="shared" si="6"/>
        <v/>
      </c>
      <c r="P113" s="1065"/>
      <c r="Q113" s="1065"/>
      <c r="R113" s="1066"/>
      <c r="S113" s="1064"/>
      <c r="T113" s="1064"/>
      <c r="U113" s="1109" t="str">
        <f t="shared" si="7"/>
        <v/>
      </c>
      <c r="V113" s="1065"/>
      <c r="W113" s="1065"/>
      <c r="X113" s="1066"/>
      <c r="Y113" s="1110"/>
      <c r="Z113" s="1110"/>
      <c r="AA113" s="1111" t="str">
        <f t="shared" si="8"/>
        <v/>
      </c>
      <c r="AB113" s="1112"/>
      <c r="AC113" s="1113"/>
    </row>
    <row r="114" spans="1:29" x14ac:dyDescent="0.2">
      <c r="A114" s="648">
        <f t="shared" si="9"/>
        <v>104</v>
      </c>
      <c r="B114" s="648" t="str">
        <f t="shared" ref="B114:B150" si="10">"Coverage"&amp;A114</f>
        <v>Coverage104</v>
      </c>
      <c r="C114" s="1027" t="str">
        <f>IFERROR(INDEX('Disaggregation1B_Import-Export'!D$8:D$239,MATCH($B114,'Disaggregation1B_Import-Export'!$C$8:$C$239,0)),"")</f>
        <v/>
      </c>
      <c r="D114" s="1028" t="str">
        <f>IFERROR(INDEX('Disaggregation1B_Import-Export'!AF$8:AF$256,MATCH($B114,'Disaggregation1B_Import-Export'!$C$8:$C$256,0)),"")</f>
        <v/>
      </c>
      <c r="E114" s="1028" t="str">
        <f>IFERROR(IF(INDEX('Disaggregation1B_Import-Export'!AG$8:AG$239,MATCH($B114,'Disaggregation1B_Import-Export'!$C$8:$C$239,0))="","",INDEX('Disaggregation1B_Import-Export'!AG$8:AG$239,MATCH($B114,'Disaggregation1B_Import-Export'!$C$8:$C$239,0))),"")</f>
        <v/>
      </c>
      <c r="F114" s="1028" t="str">
        <f>IFERROR(IF(INDEX('Disaggregation1B_Import-Export'!AH$8:AH$239,MATCH($B114,'Disaggregation1B_Import-Export'!$C$8:$C$239,0))="","",INDEX('Disaggregation1B_Import-Export'!AH$8:AH$239,MATCH($B114,'Disaggregation1B_Import-Export'!$C$8:$C$239,0))),"")</f>
        <v/>
      </c>
      <c r="G114" s="1107" t="str">
        <f>IFERROR(IF(INDEX('Disaggregation1B_Import-Export'!H$8:H$239,MATCH($B114,'Disaggregation1B_Import-Export'!$C$8:$C$239,0))="","",INDEX('Disaggregation1B_Import-Export'!H$8:H$239,MATCH($B114,'Disaggregation1B_Import-Export'!$C$8:$C$239,0))),"")</f>
        <v/>
      </c>
      <c r="H114" s="1107" t="str">
        <f>IFERROR(IF(INDEX('Disaggregation1B_Import-Export'!I$8:I$239,MATCH($B114,'Disaggregation1B_Import-Export'!$C$8:$C$239,0))="","",INDEX('Disaggregation1B_Import-Export'!I$8:I$239,MATCH($B114,'Disaggregation1B_Import-Export'!$C$8:$C$239,0))),"")</f>
        <v/>
      </c>
      <c r="I114" s="1108" t="str">
        <f>IFERROR(IF(INDEX('Disaggregation1B_Import-Export'!J$8:J$239,MATCH($B114,'Disaggregation1B_Import-Export'!$C$8:$C$239,0))="","",INDEX('Disaggregation1B_Import-Export'!J$8:J$239,MATCH($B114,'Disaggregation1B_Import-Export'!$C$8:$C$239,0))),"")</f>
        <v/>
      </c>
      <c r="J114" s="1028" t="str">
        <f>IFERROR(IF(INDEX('Disaggregation1B_Import-Export'!K$8:K$239,MATCH($B114,'Disaggregation1B_Import-Export'!$C$8:$C$239,0))="","",INDEX('Disaggregation1B_Import-Export'!K$8:K$239,MATCH($B114,'Disaggregation1B_Import-Export'!$C$8:$C$239,0))),"")</f>
        <v/>
      </c>
      <c r="K114" s="1028" t="str">
        <f>IFERROR(IF(INDEX('Disaggregation1B_Import-Export'!L$8:L$239,MATCH($B114,'Disaggregation1B_Import-Export'!$C$8:$C$239,0))="","",INDEX('Disaggregation1B_Import-Export'!L$8:L$239,MATCH($B114,'Disaggregation1B_Import-Export'!$C$8:$C$239,0))),"")</f>
        <v/>
      </c>
      <c r="L114" s="1028" t="str">
        <f>IFERROR(IF(INDEX('Disaggregation1B_Import-Export'!AQ$8:AQ$239,MATCH($B114,'Disaggregation1B_Import-Export'!$C$8:$C$239,0))="","",INDEX('Disaggregation1B_Import-Export'!AQ$8:AQ$239,MATCH($B114,'Disaggregation1B_Import-Export'!$C$8:$C$239,0))),"")</f>
        <v/>
      </c>
      <c r="M114" s="1064"/>
      <c r="N114" s="1064"/>
      <c r="O114" s="1109" t="str">
        <f t="shared" ref="O114:O150" si="11">IFERROR((M114/N114)*100,"")</f>
        <v/>
      </c>
      <c r="P114" s="1065"/>
      <c r="Q114" s="1065"/>
      <c r="R114" s="1066"/>
      <c r="S114" s="1064"/>
      <c r="T114" s="1064"/>
      <c r="U114" s="1109" t="str">
        <f t="shared" ref="U114:U150" si="12">IFERROR((S114/T114)*100,"")</f>
        <v/>
      </c>
      <c r="V114" s="1065"/>
      <c r="W114" s="1065"/>
      <c r="X114" s="1066"/>
      <c r="Y114" s="1110"/>
      <c r="Z114" s="1110"/>
      <c r="AA114" s="1111" t="str">
        <f t="shared" ref="AA114:AA150" si="13">IFERROR(Y114/Z114,"")</f>
        <v/>
      </c>
      <c r="AB114" s="1112"/>
      <c r="AC114" s="1113"/>
    </row>
    <row r="115" spans="1:29" x14ac:dyDescent="0.2">
      <c r="A115" s="648">
        <f t="shared" si="9"/>
        <v>105</v>
      </c>
      <c r="B115" s="648" t="str">
        <f t="shared" si="10"/>
        <v>Coverage105</v>
      </c>
      <c r="C115" s="1027" t="str">
        <f>IFERROR(INDEX('Disaggregation1B_Import-Export'!D$8:D$239,MATCH($B115,'Disaggregation1B_Import-Export'!$C$8:$C$239,0)),"")</f>
        <v/>
      </c>
      <c r="D115" s="1028" t="str">
        <f>IFERROR(INDEX('Disaggregation1B_Import-Export'!AF$8:AF$256,MATCH($B115,'Disaggregation1B_Import-Export'!$C$8:$C$256,0)),"")</f>
        <v/>
      </c>
      <c r="E115" s="1028" t="str">
        <f>IFERROR(IF(INDEX('Disaggregation1B_Import-Export'!AG$8:AG$239,MATCH($B115,'Disaggregation1B_Import-Export'!$C$8:$C$239,0))="","",INDEX('Disaggregation1B_Import-Export'!AG$8:AG$239,MATCH($B115,'Disaggregation1B_Import-Export'!$C$8:$C$239,0))),"")</f>
        <v/>
      </c>
      <c r="F115" s="1028" t="str">
        <f>IFERROR(IF(INDEX('Disaggregation1B_Import-Export'!AH$8:AH$239,MATCH($B115,'Disaggregation1B_Import-Export'!$C$8:$C$239,0))="","",INDEX('Disaggregation1B_Import-Export'!AH$8:AH$239,MATCH($B115,'Disaggregation1B_Import-Export'!$C$8:$C$239,0))),"")</f>
        <v/>
      </c>
      <c r="G115" s="1107" t="str">
        <f>IFERROR(IF(INDEX('Disaggregation1B_Import-Export'!H$8:H$239,MATCH($B115,'Disaggregation1B_Import-Export'!$C$8:$C$239,0))="","",INDEX('Disaggregation1B_Import-Export'!H$8:H$239,MATCH($B115,'Disaggregation1B_Import-Export'!$C$8:$C$239,0))),"")</f>
        <v/>
      </c>
      <c r="H115" s="1107" t="str">
        <f>IFERROR(IF(INDEX('Disaggregation1B_Import-Export'!I$8:I$239,MATCH($B115,'Disaggregation1B_Import-Export'!$C$8:$C$239,0))="","",INDEX('Disaggregation1B_Import-Export'!I$8:I$239,MATCH($B115,'Disaggregation1B_Import-Export'!$C$8:$C$239,0))),"")</f>
        <v/>
      </c>
      <c r="I115" s="1108" t="str">
        <f>IFERROR(IF(INDEX('Disaggregation1B_Import-Export'!J$8:J$239,MATCH($B115,'Disaggregation1B_Import-Export'!$C$8:$C$239,0))="","",INDEX('Disaggregation1B_Import-Export'!J$8:J$239,MATCH($B115,'Disaggregation1B_Import-Export'!$C$8:$C$239,0))),"")</f>
        <v/>
      </c>
      <c r="J115" s="1028" t="str">
        <f>IFERROR(IF(INDEX('Disaggregation1B_Import-Export'!K$8:K$239,MATCH($B115,'Disaggregation1B_Import-Export'!$C$8:$C$239,0))="","",INDEX('Disaggregation1B_Import-Export'!K$8:K$239,MATCH($B115,'Disaggregation1B_Import-Export'!$C$8:$C$239,0))),"")</f>
        <v/>
      </c>
      <c r="K115" s="1028" t="str">
        <f>IFERROR(IF(INDEX('Disaggregation1B_Import-Export'!L$8:L$239,MATCH($B115,'Disaggregation1B_Import-Export'!$C$8:$C$239,0))="","",INDEX('Disaggregation1B_Import-Export'!L$8:L$239,MATCH($B115,'Disaggregation1B_Import-Export'!$C$8:$C$239,0))),"")</f>
        <v/>
      </c>
      <c r="L115" s="1028" t="str">
        <f>IFERROR(IF(INDEX('Disaggregation1B_Import-Export'!AQ$8:AQ$239,MATCH($B115,'Disaggregation1B_Import-Export'!$C$8:$C$239,0))="","",INDEX('Disaggregation1B_Import-Export'!AQ$8:AQ$239,MATCH($B115,'Disaggregation1B_Import-Export'!$C$8:$C$239,0))),"")</f>
        <v/>
      </c>
      <c r="M115" s="1064"/>
      <c r="N115" s="1064"/>
      <c r="O115" s="1109" t="str">
        <f t="shared" si="11"/>
        <v/>
      </c>
      <c r="P115" s="1065"/>
      <c r="Q115" s="1065"/>
      <c r="R115" s="1066"/>
      <c r="S115" s="1064"/>
      <c r="T115" s="1064"/>
      <c r="U115" s="1109" t="str">
        <f t="shared" si="12"/>
        <v/>
      </c>
      <c r="V115" s="1065"/>
      <c r="W115" s="1065"/>
      <c r="X115" s="1066"/>
      <c r="Y115" s="1110"/>
      <c r="Z115" s="1110"/>
      <c r="AA115" s="1111" t="str">
        <f t="shared" si="13"/>
        <v/>
      </c>
      <c r="AB115" s="1112"/>
      <c r="AC115" s="1113"/>
    </row>
    <row r="116" spans="1:29" x14ac:dyDescent="0.2">
      <c r="A116" s="648">
        <f t="shared" si="9"/>
        <v>106</v>
      </c>
      <c r="B116" s="648" t="str">
        <f t="shared" si="10"/>
        <v>Coverage106</v>
      </c>
      <c r="C116" s="1027" t="str">
        <f>IFERROR(INDEX('Disaggregation1B_Import-Export'!D$8:D$239,MATCH($B116,'Disaggregation1B_Import-Export'!$C$8:$C$239,0)),"")</f>
        <v/>
      </c>
      <c r="D116" s="1028" t="str">
        <f>IFERROR(INDEX('Disaggregation1B_Import-Export'!AF$8:AF$256,MATCH($B116,'Disaggregation1B_Import-Export'!$C$8:$C$256,0)),"")</f>
        <v/>
      </c>
      <c r="E116" s="1028" t="str">
        <f>IFERROR(IF(INDEX('Disaggregation1B_Import-Export'!AG$8:AG$239,MATCH($B116,'Disaggregation1B_Import-Export'!$C$8:$C$239,0))="","",INDEX('Disaggregation1B_Import-Export'!AG$8:AG$239,MATCH($B116,'Disaggregation1B_Import-Export'!$C$8:$C$239,0))),"")</f>
        <v/>
      </c>
      <c r="F116" s="1028" t="str">
        <f>IFERROR(IF(INDEX('Disaggregation1B_Import-Export'!AH$8:AH$239,MATCH($B116,'Disaggregation1B_Import-Export'!$C$8:$C$239,0))="","",INDEX('Disaggregation1B_Import-Export'!AH$8:AH$239,MATCH($B116,'Disaggregation1B_Import-Export'!$C$8:$C$239,0))),"")</f>
        <v/>
      </c>
      <c r="G116" s="1107" t="str">
        <f>IFERROR(IF(INDEX('Disaggregation1B_Import-Export'!H$8:H$239,MATCH($B116,'Disaggregation1B_Import-Export'!$C$8:$C$239,0))="","",INDEX('Disaggregation1B_Import-Export'!H$8:H$239,MATCH($B116,'Disaggregation1B_Import-Export'!$C$8:$C$239,0))),"")</f>
        <v/>
      </c>
      <c r="H116" s="1107" t="str">
        <f>IFERROR(IF(INDEX('Disaggregation1B_Import-Export'!I$8:I$239,MATCH($B116,'Disaggregation1B_Import-Export'!$C$8:$C$239,0))="","",INDEX('Disaggregation1B_Import-Export'!I$8:I$239,MATCH($B116,'Disaggregation1B_Import-Export'!$C$8:$C$239,0))),"")</f>
        <v/>
      </c>
      <c r="I116" s="1108" t="str">
        <f>IFERROR(IF(INDEX('Disaggregation1B_Import-Export'!J$8:J$239,MATCH($B116,'Disaggregation1B_Import-Export'!$C$8:$C$239,0))="","",INDEX('Disaggregation1B_Import-Export'!J$8:J$239,MATCH($B116,'Disaggregation1B_Import-Export'!$C$8:$C$239,0))),"")</f>
        <v/>
      </c>
      <c r="J116" s="1028" t="str">
        <f>IFERROR(IF(INDEX('Disaggregation1B_Import-Export'!K$8:K$239,MATCH($B116,'Disaggregation1B_Import-Export'!$C$8:$C$239,0))="","",INDEX('Disaggregation1B_Import-Export'!K$8:K$239,MATCH($B116,'Disaggregation1B_Import-Export'!$C$8:$C$239,0))),"")</f>
        <v/>
      </c>
      <c r="K116" s="1028" t="str">
        <f>IFERROR(IF(INDEX('Disaggregation1B_Import-Export'!L$8:L$239,MATCH($B116,'Disaggregation1B_Import-Export'!$C$8:$C$239,0))="","",INDEX('Disaggregation1B_Import-Export'!L$8:L$239,MATCH($B116,'Disaggregation1B_Import-Export'!$C$8:$C$239,0))),"")</f>
        <v/>
      </c>
      <c r="L116" s="1028" t="str">
        <f>IFERROR(IF(INDEX('Disaggregation1B_Import-Export'!AQ$8:AQ$239,MATCH($B116,'Disaggregation1B_Import-Export'!$C$8:$C$239,0))="","",INDEX('Disaggregation1B_Import-Export'!AQ$8:AQ$239,MATCH($B116,'Disaggregation1B_Import-Export'!$C$8:$C$239,0))),"")</f>
        <v/>
      </c>
      <c r="M116" s="1064"/>
      <c r="N116" s="1064"/>
      <c r="O116" s="1109" t="str">
        <f t="shared" si="11"/>
        <v/>
      </c>
      <c r="P116" s="1065"/>
      <c r="Q116" s="1065"/>
      <c r="R116" s="1066"/>
      <c r="S116" s="1064"/>
      <c r="T116" s="1064"/>
      <c r="U116" s="1109" t="str">
        <f t="shared" si="12"/>
        <v/>
      </c>
      <c r="V116" s="1065"/>
      <c r="W116" s="1065"/>
      <c r="X116" s="1066"/>
      <c r="Y116" s="1110"/>
      <c r="Z116" s="1110"/>
      <c r="AA116" s="1111" t="str">
        <f t="shared" si="13"/>
        <v/>
      </c>
      <c r="AB116" s="1112"/>
      <c r="AC116" s="1113"/>
    </row>
    <row r="117" spans="1:29" x14ac:dyDescent="0.2">
      <c r="A117" s="648">
        <f t="shared" si="9"/>
        <v>107</v>
      </c>
      <c r="B117" s="648" t="str">
        <f t="shared" si="10"/>
        <v>Coverage107</v>
      </c>
      <c r="C117" s="1027" t="str">
        <f>IFERROR(INDEX('Disaggregation1B_Import-Export'!D$8:D$239,MATCH($B117,'Disaggregation1B_Import-Export'!$C$8:$C$239,0)),"")</f>
        <v/>
      </c>
      <c r="D117" s="1028" t="str">
        <f>IFERROR(INDEX('Disaggregation1B_Import-Export'!AF$8:AF$256,MATCH($B117,'Disaggregation1B_Import-Export'!$C$8:$C$256,0)),"")</f>
        <v/>
      </c>
      <c r="E117" s="1028" t="str">
        <f>IFERROR(IF(INDEX('Disaggregation1B_Import-Export'!AG$8:AG$239,MATCH($B117,'Disaggregation1B_Import-Export'!$C$8:$C$239,0))="","",INDEX('Disaggregation1B_Import-Export'!AG$8:AG$239,MATCH($B117,'Disaggregation1B_Import-Export'!$C$8:$C$239,0))),"")</f>
        <v/>
      </c>
      <c r="F117" s="1028" t="str">
        <f>IFERROR(IF(INDEX('Disaggregation1B_Import-Export'!AH$8:AH$239,MATCH($B117,'Disaggregation1B_Import-Export'!$C$8:$C$239,0))="","",INDEX('Disaggregation1B_Import-Export'!AH$8:AH$239,MATCH($B117,'Disaggregation1B_Import-Export'!$C$8:$C$239,0))),"")</f>
        <v/>
      </c>
      <c r="G117" s="1107" t="str">
        <f>IFERROR(IF(INDEX('Disaggregation1B_Import-Export'!H$8:H$239,MATCH($B117,'Disaggregation1B_Import-Export'!$C$8:$C$239,0))="","",INDEX('Disaggregation1B_Import-Export'!H$8:H$239,MATCH($B117,'Disaggregation1B_Import-Export'!$C$8:$C$239,0))),"")</f>
        <v/>
      </c>
      <c r="H117" s="1107" t="str">
        <f>IFERROR(IF(INDEX('Disaggregation1B_Import-Export'!I$8:I$239,MATCH($B117,'Disaggregation1B_Import-Export'!$C$8:$C$239,0))="","",INDEX('Disaggregation1B_Import-Export'!I$8:I$239,MATCH($B117,'Disaggregation1B_Import-Export'!$C$8:$C$239,0))),"")</f>
        <v/>
      </c>
      <c r="I117" s="1108" t="str">
        <f>IFERROR(IF(INDEX('Disaggregation1B_Import-Export'!J$8:J$239,MATCH($B117,'Disaggregation1B_Import-Export'!$C$8:$C$239,0))="","",INDEX('Disaggregation1B_Import-Export'!J$8:J$239,MATCH($B117,'Disaggregation1B_Import-Export'!$C$8:$C$239,0))),"")</f>
        <v/>
      </c>
      <c r="J117" s="1028" t="str">
        <f>IFERROR(IF(INDEX('Disaggregation1B_Import-Export'!K$8:K$239,MATCH($B117,'Disaggregation1B_Import-Export'!$C$8:$C$239,0))="","",INDEX('Disaggregation1B_Import-Export'!K$8:K$239,MATCH($B117,'Disaggregation1B_Import-Export'!$C$8:$C$239,0))),"")</f>
        <v/>
      </c>
      <c r="K117" s="1028" t="str">
        <f>IFERROR(IF(INDEX('Disaggregation1B_Import-Export'!L$8:L$239,MATCH($B117,'Disaggregation1B_Import-Export'!$C$8:$C$239,0))="","",INDEX('Disaggregation1B_Import-Export'!L$8:L$239,MATCH($B117,'Disaggregation1B_Import-Export'!$C$8:$C$239,0))),"")</f>
        <v/>
      </c>
      <c r="L117" s="1028" t="str">
        <f>IFERROR(IF(INDEX('Disaggregation1B_Import-Export'!AQ$8:AQ$239,MATCH($B117,'Disaggregation1B_Import-Export'!$C$8:$C$239,0))="","",INDEX('Disaggregation1B_Import-Export'!AQ$8:AQ$239,MATCH($B117,'Disaggregation1B_Import-Export'!$C$8:$C$239,0))),"")</f>
        <v/>
      </c>
      <c r="M117" s="1064"/>
      <c r="N117" s="1064"/>
      <c r="O117" s="1109" t="str">
        <f t="shared" si="11"/>
        <v/>
      </c>
      <c r="P117" s="1065"/>
      <c r="Q117" s="1065"/>
      <c r="R117" s="1066"/>
      <c r="S117" s="1064"/>
      <c r="T117" s="1064"/>
      <c r="U117" s="1109" t="str">
        <f t="shared" si="12"/>
        <v/>
      </c>
      <c r="V117" s="1065"/>
      <c r="W117" s="1065"/>
      <c r="X117" s="1066"/>
      <c r="Y117" s="1110"/>
      <c r="Z117" s="1110"/>
      <c r="AA117" s="1111" t="str">
        <f t="shared" si="13"/>
        <v/>
      </c>
      <c r="AB117" s="1112"/>
      <c r="AC117" s="1113"/>
    </row>
    <row r="118" spans="1:29" x14ac:dyDescent="0.2">
      <c r="A118" s="648">
        <f t="shared" si="9"/>
        <v>108</v>
      </c>
      <c r="B118" s="648" t="str">
        <f t="shared" si="10"/>
        <v>Coverage108</v>
      </c>
      <c r="C118" s="1027" t="str">
        <f>IFERROR(INDEX('Disaggregation1B_Import-Export'!D$8:D$239,MATCH($B118,'Disaggregation1B_Import-Export'!$C$8:$C$239,0)),"")</f>
        <v/>
      </c>
      <c r="D118" s="1028" t="str">
        <f>IFERROR(INDEX('Disaggregation1B_Import-Export'!AF$8:AF$256,MATCH($B118,'Disaggregation1B_Import-Export'!$C$8:$C$256,0)),"")</f>
        <v/>
      </c>
      <c r="E118" s="1028" t="str">
        <f>IFERROR(IF(INDEX('Disaggregation1B_Import-Export'!AG$8:AG$239,MATCH($B118,'Disaggregation1B_Import-Export'!$C$8:$C$239,0))="","",INDEX('Disaggregation1B_Import-Export'!AG$8:AG$239,MATCH($B118,'Disaggregation1B_Import-Export'!$C$8:$C$239,0))),"")</f>
        <v/>
      </c>
      <c r="F118" s="1028" t="str">
        <f>IFERROR(IF(INDEX('Disaggregation1B_Import-Export'!AH$8:AH$239,MATCH($B118,'Disaggregation1B_Import-Export'!$C$8:$C$239,0))="","",INDEX('Disaggregation1B_Import-Export'!AH$8:AH$239,MATCH($B118,'Disaggregation1B_Import-Export'!$C$8:$C$239,0))),"")</f>
        <v/>
      </c>
      <c r="G118" s="1107" t="str">
        <f>IFERROR(IF(INDEX('Disaggregation1B_Import-Export'!H$8:H$239,MATCH($B118,'Disaggregation1B_Import-Export'!$C$8:$C$239,0))="","",INDEX('Disaggregation1B_Import-Export'!H$8:H$239,MATCH($B118,'Disaggregation1B_Import-Export'!$C$8:$C$239,0))),"")</f>
        <v/>
      </c>
      <c r="H118" s="1107" t="str">
        <f>IFERROR(IF(INDEX('Disaggregation1B_Import-Export'!I$8:I$239,MATCH($B118,'Disaggregation1B_Import-Export'!$C$8:$C$239,0))="","",INDEX('Disaggregation1B_Import-Export'!I$8:I$239,MATCH($B118,'Disaggregation1B_Import-Export'!$C$8:$C$239,0))),"")</f>
        <v/>
      </c>
      <c r="I118" s="1108" t="str">
        <f>IFERROR(IF(INDEX('Disaggregation1B_Import-Export'!J$8:J$239,MATCH($B118,'Disaggregation1B_Import-Export'!$C$8:$C$239,0))="","",INDEX('Disaggregation1B_Import-Export'!J$8:J$239,MATCH($B118,'Disaggregation1B_Import-Export'!$C$8:$C$239,0))),"")</f>
        <v/>
      </c>
      <c r="J118" s="1028" t="str">
        <f>IFERROR(IF(INDEX('Disaggregation1B_Import-Export'!K$8:K$239,MATCH($B118,'Disaggregation1B_Import-Export'!$C$8:$C$239,0))="","",INDEX('Disaggregation1B_Import-Export'!K$8:K$239,MATCH($B118,'Disaggregation1B_Import-Export'!$C$8:$C$239,0))),"")</f>
        <v/>
      </c>
      <c r="K118" s="1028" t="str">
        <f>IFERROR(IF(INDEX('Disaggregation1B_Import-Export'!L$8:L$239,MATCH($B118,'Disaggregation1B_Import-Export'!$C$8:$C$239,0))="","",INDEX('Disaggregation1B_Import-Export'!L$8:L$239,MATCH($B118,'Disaggregation1B_Import-Export'!$C$8:$C$239,0))),"")</f>
        <v/>
      </c>
      <c r="L118" s="1028" t="str">
        <f>IFERROR(IF(INDEX('Disaggregation1B_Import-Export'!AQ$8:AQ$239,MATCH($B118,'Disaggregation1B_Import-Export'!$C$8:$C$239,0))="","",INDEX('Disaggregation1B_Import-Export'!AQ$8:AQ$239,MATCH($B118,'Disaggregation1B_Import-Export'!$C$8:$C$239,0))),"")</f>
        <v/>
      </c>
      <c r="M118" s="1064"/>
      <c r="N118" s="1064"/>
      <c r="O118" s="1109" t="str">
        <f t="shared" si="11"/>
        <v/>
      </c>
      <c r="P118" s="1065"/>
      <c r="Q118" s="1065"/>
      <c r="R118" s="1066"/>
      <c r="S118" s="1064"/>
      <c r="T118" s="1064"/>
      <c r="U118" s="1109" t="str">
        <f t="shared" si="12"/>
        <v/>
      </c>
      <c r="V118" s="1065"/>
      <c r="W118" s="1065"/>
      <c r="X118" s="1066"/>
      <c r="Y118" s="1110"/>
      <c r="Z118" s="1110"/>
      <c r="AA118" s="1111" t="str">
        <f t="shared" si="13"/>
        <v/>
      </c>
      <c r="AB118" s="1112"/>
      <c r="AC118" s="1113"/>
    </row>
    <row r="119" spans="1:29" x14ac:dyDescent="0.2">
      <c r="A119" s="648">
        <f t="shared" si="9"/>
        <v>109</v>
      </c>
      <c r="B119" s="648" t="str">
        <f t="shared" si="10"/>
        <v>Coverage109</v>
      </c>
      <c r="C119" s="1027" t="str">
        <f>IFERROR(INDEX('Disaggregation1B_Import-Export'!D$8:D$239,MATCH($B119,'Disaggregation1B_Import-Export'!$C$8:$C$239,0)),"")</f>
        <v/>
      </c>
      <c r="D119" s="1028" t="str">
        <f>IFERROR(INDEX('Disaggregation1B_Import-Export'!AF$8:AF$256,MATCH($B119,'Disaggregation1B_Import-Export'!$C$8:$C$256,0)),"")</f>
        <v/>
      </c>
      <c r="E119" s="1028" t="str">
        <f>IFERROR(IF(INDEX('Disaggregation1B_Import-Export'!AG$8:AG$239,MATCH($B119,'Disaggregation1B_Import-Export'!$C$8:$C$239,0))="","",INDEX('Disaggregation1B_Import-Export'!AG$8:AG$239,MATCH($B119,'Disaggregation1B_Import-Export'!$C$8:$C$239,0))),"")</f>
        <v/>
      </c>
      <c r="F119" s="1028" t="str">
        <f>IFERROR(IF(INDEX('Disaggregation1B_Import-Export'!AH$8:AH$239,MATCH($B119,'Disaggregation1B_Import-Export'!$C$8:$C$239,0))="","",INDEX('Disaggregation1B_Import-Export'!AH$8:AH$239,MATCH($B119,'Disaggregation1B_Import-Export'!$C$8:$C$239,0))),"")</f>
        <v/>
      </c>
      <c r="G119" s="1107" t="str">
        <f>IFERROR(IF(INDEX('Disaggregation1B_Import-Export'!H$8:H$239,MATCH($B119,'Disaggregation1B_Import-Export'!$C$8:$C$239,0))="","",INDEX('Disaggregation1B_Import-Export'!H$8:H$239,MATCH($B119,'Disaggregation1B_Import-Export'!$C$8:$C$239,0))),"")</f>
        <v/>
      </c>
      <c r="H119" s="1107" t="str">
        <f>IFERROR(IF(INDEX('Disaggregation1B_Import-Export'!I$8:I$239,MATCH($B119,'Disaggregation1B_Import-Export'!$C$8:$C$239,0))="","",INDEX('Disaggregation1B_Import-Export'!I$8:I$239,MATCH($B119,'Disaggregation1B_Import-Export'!$C$8:$C$239,0))),"")</f>
        <v/>
      </c>
      <c r="I119" s="1108" t="str">
        <f>IFERROR(IF(INDEX('Disaggregation1B_Import-Export'!J$8:J$239,MATCH($B119,'Disaggregation1B_Import-Export'!$C$8:$C$239,0))="","",INDEX('Disaggregation1B_Import-Export'!J$8:J$239,MATCH($B119,'Disaggregation1B_Import-Export'!$C$8:$C$239,0))),"")</f>
        <v/>
      </c>
      <c r="J119" s="1028" t="str">
        <f>IFERROR(IF(INDEX('Disaggregation1B_Import-Export'!K$8:K$239,MATCH($B119,'Disaggregation1B_Import-Export'!$C$8:$C$239,0))="","",INDEX('Disaggregation1B_Import-Export'!K$8:K$239,MATCH($B119,'Disaggregation1B_Import-Export'!$C$8:$C$239,0))),"")</f>
        <v/>
      </c>
      <c r="K119" s="1028" t="str">
        <f>IFERROR(IF(INDEX('Disaggregation1B_Import-Export'!L$8:L$239,MATCH($B119,'Disaggregation1B_Import-Export'!$C$8:$C$239,0))="","",INDEX('Disaggregation1B_Import-Export'!L$8:L$239,MATCH($B119,'Disaggregation1B_Import-Export'!$C$8:$C$239,0))),"")</f>
        <v/>
      </c>
      <c r="L119" s="1028" t="str">
        <f>IFERROR(IF(INDEX('Disaggregation1B_Import-Export'!AQ$8:AQ$239,MATCH($B119,'Disaggregation1B_Import-Export'!$C$8:$C$239,0))="","",INDEX('Disaggregation1B_Import-Export'!AQ$8:AQ$239,MATCH($B119,'Disaggregation1B_Import-Export'!$C$8:$C$239,0))),"")</f>
        <v/>
      </c>
      <c r="M119" s="1064"/>
      <c r="N119" s="1064"/>
      <c r="O119" s="1109" t="str">
        <f t="shared" si="11"/>
        <v/>
      </c>
      <c r="P119" s="1065"/>
      <c r="Q119" s="1065"/>
      <c r="R119" s="1066"/>
      <c r="S119" s="1064"/>
      <c r="T119" s="1064"/>
      <c r="U119" s="1109" t="str">
        <f t="shared" si="12"/>
        <v/>
      </c>
      <c r="V119" s="1065"/>
      <c r="W119" s="1065"/>
      <c r="X119" s="1066"/>
      <c r="Y119" s="1110"/>
      <c r="Z119" s="1110"/>
      <c r="AA119" s="1111" t="str">
        <f t="shared" si="13"/>
        <v/>
      </c>
      <c r="AB119" s="1112"/>
      <c r="AC119" s="1113"/>
    </row>
    <row r="120" spans="1:29" x14ac:dyDescent="0.2">
      <c r="A120" s="648">
        <f t="shared" si="9"/>
        <v>110</v>
      </c>
      <c r="B120" s="648" t="str">
        <f t="shared" si="10"/>
        <v>Coverage110</v>
      </c>
      <c r="C120" s="1027" t="str">
        <f>IFERROR(INDEX('Disaggregation1B_Import-Export'!D$8:D$239,MATCH($B120,'Disaggregation1B_Import-Export'!$C$8:$C$239,0)),"")</f>
        <v/>
      </c>
      <c r="D120" s="1028" t="str">
        <f>IFERROR(INDEX('Disaggregation1B_Import-Export'!AF$8:AF$256,MATCH($B120,'Disaggregation1B_Import-Export'!$C$8:$C$256,0)),"")</f>
        <v/>
      </c>
      <c r="E120" s="1028" t="str">
        <f>IFERROR(IF(INDEX('Disaggregation1B_Import-Export'!AG$8:AG$239,MATCH($B120,'Disaggregation1B_Import-Export'!$C$8:$C$239,0))="","",INDEX('Disaggregation1B_Import-Export'!AG$8:AG$239,MATCH($B120,'Disaggregation1B_Import-Export'!$C$8:$C$239,0))),"")</f>
        <v/>
      </c>
      <c r="F120" s="1028" t="str">
        <f>IFERROR(IF(INDEX('Disaggregation1B_Import-Export'!AH$8:AH$239,MATCH($B120,'Disaggregation1B_Import-Export'!$C$8:$C$239,0))="","",INDEX('Disaggregation1B_Import-Export'!AH$8:AH$239,MATCH($B120,'Disaggregation1B_Import-Export'!$C$8:$C$239,0))),"")</f>
        <v/>
      </c>
      <c r="G120" s="1107" t="str">
        <f>IFERROR(IF(INDEX('Disaggregation1B_Import-Export'!H$8:H$239,MATCH($B120,'Disaggregation1B_Import-Export'!$C$8:$C$239,0))="","",INDEX('Disaggregation1B_Import-Export'!H$8:H$239,MATCH($B120,'Disaggregation1B_Import-Export'!$C$8:$C$239,0))),"")</f>
        <v/>
      </c>
      <c r="H120" s="1107" t="str">
        <f>IFERROR(IF(INDEX('Disaggregation1B_Import-Export'!I$8:I$239,MATCH($B120,'Disaggregation1B_Import-Export'!$C$8:$C$239,0))="","",INDEX('Disaggregation1B_Import-Export'!I$8:I$239,MATCH($B120,'Disaggregation1B_Import-Export'!$C$8:$C$239,0))),"")</f>
        <v/>
      </c>
      <c r="I120" s="1108" t="str">
        <f>IFERROR(IF(INDEX('Disaggregation1B_Import-Export'!J$8:J$239,MATCH($B120,'Disaggregation1B_Import-Export'!$C$8:$C$239,0))="","",INDEX('Disaggregation1B_Import-Export'!J$8:J$239,MATCH($B120,'Disaggregation1B_Import-Export'!$C$8:$C$239,0))),"")</f>
        <v/>
      </c>
      <c r="J120" s="1028" t="str">
        <f>IFERROR(IF(INDEX('Disaggregation1B_Import-Export'!K$8:K$239,MATCH($B120,'Disaggregation1B_Import-Export'!$C$8:$C$239,0))="","",INDEX('Disaggregation1B_Import-Export'!K$8:K$239,MATCH($B120,'Disaggregation1B_Import-Export'!$C$8:$C$239,0))),"")</f>
        <v/>
      </c>
      <c r="K120" s="1028" t="str">
        <f>IFERROR(IF(INDEX('Disaggregation1B_Import-Export'!L$8:L$239,MATCH($B120,'Disaggregation1B_Import-Export'!$C$8:$C$239,0))="","",INDEX('Disaggregation1B_Import-Export'!L$8:L$239,MATCH($B120,'Disaggregation1B_Import-Export'!$C$8:$C$239,0))),"")</f>
        <v/>
      </c>
      <c r="L120" s="1028" t="str">
        <f>IFERROR(IF(INDEX('Disaggregation1B_Import-Export'!AQ$8:AQ$239,MATCH($B120,'Disaggregation1B_Import-Export'!$C$8:$C$239,0))="","",INDEX('Disaggregation1B_Import-Export'!AQ$8:AQ$239,MATCH($B120,'Disaggregation1B_Import-Export'!$C$8:$C$239,0))),"")</f>
        <v/>
      </c>
      <c r="M120" s="1064"/>
      <c r="N120" s="1064"/>
      <c r="O120" s="1109" t="str">
        <f t="shared" si="11"/>
        <v/>
      </c>
      <c r="P120" s="1065"/>
      <c r="Q120" s="1065"/>
      <c r="R120" s="1066"/>
      <c r="S120" s="1064"/>
      <c r="T120" s="1064"/>
      <c r="U120" s="1109" t="str">
        <f t="shared" si="12"/>
        <v/>
      </c>
      <c r="V120" s="1065"/>
      <c r="W120" s="1065"/>
      <c r="X120" s="1066"/>
      <c r="Y120" s="1110"/>
      <c r="Z120" s="1110"/>
      <c r="AA120" s="1111" t="str">
        <f t="shared" si="13"/>
        <v/>
      </c>
      <c r="AB120" s="1112"/>
      <c r="AC120" s="1113"/>
    </row>
    <row r="121" spans="1:29" x14ac:dyDescent="0.2">
      <c r="A121" s="648">
        <f t="shared" si="9"/>
        <v>111</v>
      </c>
      <c r="B121" s="648" t="str">
        <f t="shared" si="10"/>
        <v>Coverage111</v>
      </c>
      <c r="C121" s="1027" t="str">
        <f>IFERROR(INDEX('Disaggregation1B_Import-Export'!D$8:D$239,MATCH($B121,'Disaggregation1B_Import-Export'!$C$8:$C$239,0)),"")</f>
        <v/>
      </c>
      <c r="D121" s="1028" t="str">
        <f>IFERROR(INDEX('Disaggregation1B_Import-Export'!AF$8:AF$256,MATCH($B121,'Disaggregation1B_Import-Export'!$C$8:$C$256,0)),"")</f>
        <v/>
      </c>
      <c r="E121" s="1028" t="str">
        <f>IFERROR(IF(INDEX('Disaggregation1B_Import-Export'!AG$8:AG$239,MATCH($B121,'Disaggregation1B_Import-Export'!$C$8:$C$239,0))="","",INDEX('Disaggregation1B_Import-Export'!AG$8:AG$239,MATCH($B121,'Disaggregation1B_Import-Export'!$C$8:$C$239,0))),"")</f>
        <v/>
      </c>
      <c r="F121" s="1028" t="str">
        <f>IFERROR(IF(INDEX('Disaggregation1B_Import-Export'!AH$8:AH$239,MATCH($B121,'Disaggregation1B_Import-Export'!$C$8:$C$239,0))="","",INDEX('Disaggregation1B_Import-Export'!AH$8:AH$239,MATCH($B121,'Disaggregation1B_Import-Export'!$C$8:$C$239,0))),"")</f>
        <v/>
      </c>
      <c r="G121" s="1107" t="str">
        <f>IFERROR(IF(INDEX('Disaggregation1B_Import-Export'!H$8:H$239,MATCH($B121,'Disaggregation1B_Import-Export'!$C$8:$C$239,0))="","",INDEX('Disaggregation1B_Import-Export'!H$8:H$239,MATCH($B121,'Disaggregation1B_Import-Export'!$C$8:$C$239,0))),"")</f>
        <v/>
      </c>
      <c r="H121" s="1107" t="str">
        <f>IFERROR(IF(INDEX('Disaggregation1B_Import-Export'!I$8:I$239,MATCH($B121,'Disaggregation1B_Import-Export'!$C$8:$C$239,0))="","",INDEX('Disaggregation1B_Import-Export'!I$8:I$239,MATCH($B121,'Disaggregation1B_Import-Export'!$C$8:$C$239,0))),"")</f>
        <v/>
      </c>
      <c r="I121" s="1108" t="str">
        <f>IFERROR(IF(INDEX('Disaggregation1B_Import-Export'!J$8:J$239,MATCH($B121,'Disaggregation1B_Import-Export'!$C$8:$C$239,0))="","",INDEX('Disaggregation1B_Import-Export'!J$8:J$239,MATCH($B121,'Disaggregation1B_Import-Export'!$C$8:$C$239,0))),"")</f>
        <v/>
      </c>
      <c r="J121" s="1028" t="str">
        <f>IFERROR(IF(INDEX('Disaggregation1B_Import-Export'!K$8:K$239,MATCH($B121,'Disaggregation1B_Import-Export'!$C$8:$C$239,0))="","",INDEX('Disaggregation1B_Import-Export'!K$8:K$239,MATCH($B121,'Disaggregation1B_Import-Export'!$C$8:$C$239,0))),"")</f>
        <v/>
      </c>
      <c r="K121" s="1028" t="str">
        <f>IFERROR(IF(INDEX('Disaggregation1B_Import-Export'!L$8:L$239,MATCH($B121,'Disaggregation1B_Import-Export'!$C$8:$C$239,0))="","",INDEX('Disaggregation1B_Import-Export'!L$8:L$239,MATCH($B121,'Disaggregation1B_Import-Export'!$C$8:$C$239,0))),"")</f>
        <v/>
      </c>
      <c r="L121" s="1028" t="str">
        <f>IFERROR(IF(INDEX('Disaggregation1B_Import-Export'!AQ$8:AQ$239,MATCH($B121,'Disaggregation1B_Import-Export'!$C$8:$C$239,0))="","",INDEX('Disaggregation1B_Import-Export'!AQ$8:AQ$239,MATCH($B121,'Disaggregation1B_Import-Export'!$C$8:$C$239,0))),"")</f>
        <v/>
      </c>
      <c r="M121" s="1064"/>
      <c r="N121" s="1064"/>
      <c r="O121" s="1109" t="str">
        <f t="shared" si="11"/>
        <v/>
      </c>
      <c r="P121" s="1065"/>
      <c r="Q121" s="1065"/>
      <c r="R121" s="1066"/>
      <c r="S121" s="1064"/>
      <c r="T121" s="1064"/>
      <c r="U121" s="1109" t="str">
        <f t="shared" si="12"/>
        <v/>
      </c>
      <c r="V121" s="1065"/>
      <c r="W121" s="1065"/>
      <c r="X121" s="1066"/>
      <c r="Y121" s="1110"/>
      <c r="Z121" s="1110"/>
      <c r="AA121" s="1111" t="str">
        <f t="shared" si="13"/>
        <v/>
      </c>
      <c r="AB121" s="1112"/>
      <c r="AC121" s="1113"/>
    </row>
    <row r="122" spans="1:29" x14ac:dyDescent="0.2">
      <c r="A122" s="648">
        <f t="shared" si="9"/>
        <v>112</v>
      </c>
      <c r="B122" s="648" t="str">
        <f t="shared" si="10"/>
        <v>Coverage112</v>
      </c>
      <c r="C122" s="1027" t="str">
        <f>IFERROR(INDEX('Disaggregation1B_Import-Export'!D$8:D$239,MATCH($B122,'Disaggregation1B_Import-Export'!$C$8:$C$239,0)),"")</f>
        <v/>
      </c>
      <c r="D122" s="1028" t="str">
        <f>IFERROR(INDEX('Disaggregation1B_Import-Export'!AF$8:AF$256,MATCH($B122,'Disaggregation1B_Import-Export'!$C$8:$C$256,0)),"")</f>
        <v/>
      </c>
      <c r="E122" s="1028" t="str">
        <f>IFERROR(IF(INDEX('Disaggregation1B_Import-Export'!AG$8:AG$239,MATCH($B122,'Disaggregation1B_Import-Export'!$C$8:$C$239,0))="","",INDEX('Disaggregation1B_Import-Export'!AG$8:AG$239,MATCH($B122,'Disaggregation1B_Import-Export'!$C$8:$C$239,0))),"")</f>
        <v/>
      </c>
      <c r="F122" s="1028" t="str">
        <f>IFERROR(IF(INDEX('Disaggregation1B_Import-Export'!AH$8:AH$239,MATCH($B122,'Disaggregation1B_Import-Export'!$C$8:$C$239,0))="","",INDEX('Disaggregation1B_Import-Export'!AH$8:AH$239,MATCH($B122,'Disaggregation1B_Import-Export'!$C$8:$C$239,0))),"")</f>
        <v/>
      </c>
      <c r="G122" s="1107" t="str">
        <f>IFERROR(IF(INDEX('Disaggregation1B_Import-Export'!H$8:H$239,MATCH($B122,'Disaggregation1B_Import-Export'!$C$8:$C$239,0))="","",INDEX('Disaggregation1B_Import-Export'!H$8:H$239,MATCH($B122,'Disaggregation1B_Import-Export'!$C$8:$C$239,0))),"")</f>
        <v/>
      </c>
      <c r="H122" s="1107" t="str">
        <f>IFERROR(IF(INDEX('Disaggregation1B_Import-Export'!I$8:I$239,MATCH($B122,'Disaggregation1B_Import-Export'!$C$8:$C$239,0))="","",INDEX('Disaggregation1B_Import-Export'!I$8:I$239,MATCH($B122,'Disaggregation1B_Import-Export'!$C$8:$C$239,0))),"")</f>
        <v/>
      </c>
      <c r="I122" s="1108" t="str">
        <f>IFERROR(IF(INDEX('Disaggregation1B_Import-Export'!J$8:J$239,MATCH($B122,'Disaggregation1B_Import-Export'!$C$8:$C$239,0))="","",INDEX('Disaggregation1B_Import-Export'!J$8:J$239,MATCH($B122,'Disaggregation1B_Import-Export'!$C$8:$C$239,0))),"")</f>
        <v/>
      </c>
      <c r="J122" s="1028" t="str">
        <f>IFERROR(IF(INDEX('Disaggregation1B_Import-Export'!K$8:K$239,MATCH($B122,'Disaggregation1B_Import-Export'!$C$8:$C$239,0))="","",INDEX('Disaggregation1B_Import-Export'!K$8:K$239,MATCH($B122,'Disaggregation1B_Import-Export'!$C$8:$C$239,0))),"")</f>
        <v/>
      </c>
      <c r="K122" s="1028" t="str">
        <f>IFERROR(IF(INDEX('Disaggregation1B_Import-Export'!L$8:L$239,MATCH($B122,'Disaggregation1B_Import-Export'!$C$8:$C$239,0))="","",INDEX('Disaggregation1B_Import-Export'!L$8:L$239,MATCH($B122,'Disaggregation1B_Import-Export'!$C$8:$C$239,0))),"")</f>
        <v/>
      </c>
      <c r="L122" s="1028" t="str">
        <f>IFERROR(IF(INDEX('Disaggregation1B_Import-Export'!AQ$8:AQ$239,MATCH($B122,'Disaggregation1B_Import-Export'!$C$8:$C$239,0))="","",INDEX('Disaggregation1B_Import-Export'!AQ$8:AQ$239,MATCH($B122,'Disaggregation1B_Import-Export'!$C$8:$C$239,0))),"")</f>
        <v/>
      </c>
      <c r="M122" s="1064"/>
      <c r="N122" s="1064"/>
      <c r="O122" s="1109" t="str">
        <f t="shared" si="11"/>
        <v/>
      </c>
      <c r="P122" s="1065"/>
      <c r="Q122" s="1065"/>
      <c r="R122" s="1066"/>
      <c r="S122" s="1064"/>
      <c r="T122" s="1064"/>
      <c r="U122" s="1109" t="str">
        <f t="shared" si="12"/>
        <v/>
      </c>
      <c r="V122" s="1065"/>
      <c r="W122" s="1065"/>
      <c r="X122" s="1066"/>
      <c r="Y122" s="1110"/>
      <c r="Z122" s="1110"/>
      <c r="AA122" s="1111" t="str">
        <f t="shared" si="13"/>
        <v/>
      </c>
      <c r="AB122" s="1112"/>
      <c r="AC122" s="1113"/>
    </row>
    <row r="123" spans="1:29" x14ac:dyDescent="0.2">
      <c r="A123" s="648">
        <f t="shared" si="9"/>
        <v>113</v>
      </c>
      <c r="B123" s="648" t="str">
        <f t="shared" si="10"/>
        <v>Coverage113</v>
      </c>
      <c r="C123" s="1027" t="str">
        <f>IFERROR(INDEX('Disaggregation1B_Import-Export'!D$8:D$239,MATCH($B123,'Disaggregation1B_Import-Export'!$C$8:$C$239,0)),"")</f>
        <v/>
      </c>
      <c r="D123" s="1028" t="str">
        <f>IFERROR(INDEX('Disaggregation1B_Import-Export'!AF$8:AF$256,MATCH($B123,'Disaggregation1B_Import-Export'!$C$8:$C$256,0)),"")</f>
        <v/>
      </c>
      <c r="E123" s="1028" t="str">
        <f>IFERROR(IF(INDEX('Disaggregation1B_Import-Export'!AG$8:AG$239,MATCH($B123,'Disaggregation1B_Import-Export'!$C$8:$C$239,0))="","",INDEX('Disaggregation1B_Import-Export'!AG$8:AG$239,MATCH($B123,'Disaggregation1B_Import-Export'!$C$8:$C$239,0))),"")</f>
        <v/>
      </c>
      <c r="F123" s="1028" t="str">
        <f>IFERROR(IF(INDEX('Disaggregation1B_Import-Export'!AH$8:AH$239,MATCH($B123,'Disaggregation1B_Import-Export'!$C$8:$C$239,0))="","",INDEX('Disaggregation1B_Import-Export'!AH$8:AH$239,MATCH($B123,'Disaggregation1B_Import-Export'!$C$8:$C$239,0))),"")</f>
        <v/>
      </c>
      <c r="G123" s="1107" t="str">
        <f>IFERROR(IF(INDEX('Disaggregation1B_Import-Export'!H$8:H$239,MATCH($B123,'Disaggregation1B_Import-Export'!$C$8:$C$239,0))="","",INDEX('Disaggregation1B_Import-Export'!H$8:H$239,MATCH($B123,'Disaggregation1B_Import-Export'!$C$8:$C$239,0))),"")</f>
        <v/>
      </c>
      <c r="H123" s="1107" t="str">
        <f>IFERROR(IF(INDEX('Disaggregation1B_Import-Export'!I$8:I$239,MATCH($B123,'Disaggregation1B_Import-Export'!$C$8:$C$239,0))="","",INDEX('Disaggregation1B_Import-Export'!I$8:I$239,MATCH($B123,'Disaggregation1B_Import-Export'!$C$8:$C$239,0))),"")</f>
        <v/>
      </c>
      <c r="I123" s="1108" t="str">
        <f>IFERROR(IF(INDEX('Disaggregation1B_Import-Export'!J$8:J$239,MATCH($B123,'Disaggregation1B_Import-Export'!$C$8:$C$239,0))="","",INDEX('Disaggregation1B_Import-Export'!J$8:J$239,MATCH($B123,'Disaggregation1B_Import-Export'!$C$8:$C$239,0))),"")</f>
        <v/>
      </c>
      <c r="J123" s="1028" t="str">
        <f>IFERROR(IF(INDEX('Disaggregation1B_Import-Export'!K$8:K$239,MATCH($B123,'Disaggregation1B_Import-Export'!$C$8:$C$239,0))="","",INDEX('Disaggregation1B_Import-Export'!K$8:K$239,MATCH($B123,'Disaggregation1B_Import-Export'!$C$8:$C$239,0))),"")</f>
        <v/>
      </c>
      <c r="K123" s="1028" t="str">
        <f>IFERROR(IF(INDEX('Disaggregation1B_Import-Export'!L$8:L$239,MATCH($B123,'Disaggregation1B_Import-Export'!$C$8:$C$239,0))="","",INDEX('Disaggregation1B_Import-Export'!L$8:L$239,MATCH($B123,'Disaggregation1B_Import-Export'!$C$8:$C$239,0))),"")</f>
        <v/>
      </c>
      <c r="L123" s="1028" t="str">
        <f>IFERROR(IF(INDEX('Disaggregation1B_Import-Export'!AQ$8:AQ$239,MATCH($B123,'Disaggregation1B_Import-Export'!$C$8:$C$239,0))="","",INDEX('Disaggregation1B_Import-Export'!AQ$8:AQ$239,MATCH($B123,'Disaggregation1B_Import-Export'!$C$8:$C$239,0))),"")</f>
        <v/>
      </c>
      <c r="M123" s="1064"/>
      <c r="N123" s="1064"/>
      <c r="O123" s="1109" t="str">
        <f t="shared" si="11"/>
        <v/>
      </c>
      <c r="P123" s="1065"/>
      <c r="Q123" s="1065"/>
      <c r="R123" s="1066"/>
      <c r="S123" s="1064"/>
      <c r="T123" s="1064"/>
      <c r="U123" s="1109" t="str">
        <f t="shared" si="12"/>
        <v/>
      </c>
      <c r="V123" s="1065"/>
      <c r="W123" s="1065"/>
      <c r="X123" s="1066"/>
      <c r="Y123" s="1110"/>
      <c r="Z123" s="1110"/>
      <c r="AA123" s="1111" t="str">
        <f t="shared" si="13"/>
        <v/>
      </c>
      <c r="AB123" s="1112"/>
      <c r="AC123" s="1113"/>
    </row>
    <row r="124" spans="1:29" x14ac:dyDescent="0.2">
      <c r="A124" s="648">
        <f t="shared" si="9"/>
        <v>114</v>
      </c>
      <c r="B124" s="648" t="str">
        <f t="shared" si="10"/>
        <v>Coverage114</v>
      </c>
      <c r="C124" s="1027" t="str">
        <f>IFERROR(INDEX('Disaggregation1B_Import-Export'!D$8:D$239,MATCH($B124,'Disaggregation1B_Import-Export'!$C$8:$C$239,0)),"")</f>
        <v/>
      </c>
      <c r="D124" s="1028" t="str">
        <f>IFERROR(INDEX('Disaggregation1B_Import-Export'!AF$8:AF$256,MATCH($B124,'Disaggregation1B_Import-Export'!$C$8:$C$256,0)),"")</f>
        <v/>
      </c>
      <c r="E124" s="1028" t="str">
        <f>IFERROR(IF(INDEX('Disaggregation1B_Import-Export'!AG$8:AG$239,MATCH($B124,'Disaggregation1B_Import-Export'!$C$8:$C$239,0))="","",INDEX('Disaggregation1B_Import-Export'!AG$8:AG$239,MATCH($B124,'Disaggregation1B_Import-Export'!$C$8:$C$239,0))),"")</f>
        <v/>
      </c>
      <c r="F124" s="1028" t="str">
        <f>IFERROR(IF(INDEX('Disaggregation1B_Import-Export'!AH$8:AH$239,MATCH($B124,'Disaggregation1B_Import-Export'!$C$8:$C$239,0))="","",INDEX('Disaggregation1B_Import-Export'!AH$8:AH$239,MATCH($B124,'Disaggregation1B_Import-Export'!$C$8:$C$239,0))),"")</f>
        <v/>
      </c>
      <c r="G124" s="1107" t="str">
        <f>IFERROR(IF(INDEX('Disaggregation1B_Import-Export'!H$8:H$239,MATCH($B124,'Disaggregation1B_Import-Export'!$C$8:$C$239,0))="","",INDEX('Disaggregation1B_Import-Export'!H$8:H$239,MATCH($B124,'Disaggregation1B_Import-Export'!$C$8:$C$239,0))),"")</f>
        <v/>
      </c>
      <c r="H124" s="1107" t="str">
        <f>IFERROR(IF(INDEX('Disaggregation1B_Import-Export'!I$8:I$239,MATCH($B124,'Disaggregation1B_Import-Export'!$C$8:$C$239,0))="","",INDEX('Disaggregation1B_Import-Export'!I$8:I$239,MATCH($B124,'Disaggregation1B_Import-Export'!$C$8:$C$239,0))),"")</f>
        <v/>
      </c>
      <c r="I124" s="1108" t="str">
        <f>IFERROR(IF(INDEX('Disaggregation1B_Import-Export'!J$8:J$239,MATCH($B124,'Disaggregation1B_Import-Export'!$C$8:$C$239,0))="","",INDEX('Disaggregation1B_Import-Export'!J$8:J$239,MATCH($B124,'Disaggregation1B_Import-Export'!$C$8:$C$239,0))),"")</f>
        <v/>
      </c>
      <c r="J124" s="1028" t="str">
        <f>IFERROR(IF(INDEX('Disaggregation1B_Import-Export'!K$8:K$239,MATCH($B124,'Disaggregation1B_Import-Export'!$C$8:$C$239,0))="","",INDEX('Disaggregation1B_Import-Export'!K$8:K$239,MATCH($B124,'Disaggregation1B_Import-Export'!$C$8:$C$239,0))),"")</f>
        <v/>
      </c>
      <c r="K124" s="1028" t="str">
        <f>IFERROR(IF(INDEX('Disaggregation1B_Import-Export'!L$8:L$239,MATCH($B124,'Disaggregation1B_Import-Export'!$C$8:$C$239,0))="","",INDEX('Disaggregation1B_Import-Export'!L$8:L$239,MATCH($B124,'Disaggregation1B_Import-Export'!$C$8:$C$239,0))),"")</f>
        <v/>
      </c>
      <c r="L124" s="1028" t="str">
        <f>IFERROR(IF(INDEX('Disaggregation1B_Import-Export'!AQ$8:AQ$239,MATCH($B124,'Disaggregation1B_Import-Export'!$C$8:$C$239,0))="","",INDEX('Disaggregation1B_Import-Export'!AQ$8:AQ$239,MATCH($B124,'Disaggregation1B_Import-Export'!$C$8:$C$239,0))),"")</f>
        <v/>
      </c>
      <c r="M124" s="1064"/>
      <c r="N124" s="1064"/>
      <c r="O124" s="1109" t="str">
        <f t="shared" si="11"/>
        <v/>
      </c>
      <c r="P124" s="1065"/>
      <c r="Q124" s="1065"/>
      <c r="R124" s="1066"/>
      <c r="S124" s="1064"/>
      <c r="T124" s="1064"/>
      <c r="U124" s="1109" t="str">
        <f t="shared" si="12"/>
        <v/>
      </c>
      <c r="V124" s="1065"/>
      <c r="W124" s="1065"/>
      <c r="X124" s="1066"/>
      <c r="Y124" s="1110"/>
      <c r="Z124" s="1110"/>
      <c r="AA124" s="1111" t="str">
        <f t="shared" si="13"/>
        <v/>
      </c>
      <c r="AB124" s="1112"/>
      <c r="AC124" s="1113"/>
    </row>
    <row r="125" spans="1:29" x14ac:dyDescent="0.2">
      <c r="A125" s="648">
        <f t="shared" si="9"/>
        <v>115</v>
      </c>
      <c r="B125" s="648" t="str">
        <f t="shared" si="10"/>
        <v>Coverage115</v>
      </c>
      <c r="C125" s="1027" t="str">
        <f>IFERROR(INDEX('Disaggregation1B_Import-Export'!D$8:D$239,MATCH($B125,'Disaggregation1B_Import-Export'!$C$8:$C$239,0)),"")</f>
        <v/>
      </c>
      <c r="D125" s="1028" t="str">
        <f>IFERROR(INDEX('Disaggregation1B_Import-Export'!AF$8:AF$256,MATCH($B125,'Disaggregation1B_Import-Export'!$C$8:$C$256,0)),"")</f>
        <v/>
      </c>
      <c r="E125" s="1028" t="str">
        <f>IFERROR(IF(INDEX('Disaggregation1B_Import-Export'!AG$8:AG$239,MATCH($B125,'Disaggregation1B_Import-Export'!$C$8:$C$239,0))="","",INDEX('Disaggregation1B_Import-Export'!AG$8:AG$239,MATCH($B125,'Disaggregation1B_Import-Export'!$C$8:$C$239,0))),"")</f>
        <v/>
      </c>
      <c r="F125" s="1028" t="str">
        <f>IFERROR(IF(INDEX('Disaggregation1B_Import-Export'!AH$8:AH$239,MATCH($B125,'Disaggregation1B_Import-Export'!$C$8:$C$239,0))="","",INDEX('Disaggregation1B_Import-Export'!AH$8:AH$239,MATCH($B125,'Disaggregation1B_Import-Export'!$C$8:$C$239,0))),"")</f>
        <v/>
      </c>
      <c r="G125" s="1107" t="str">
        <f>IFERROR(IF(INDEX('Disaggregation1B_Import-Export'!H$8:H$239,MATCH($B125,'Disaggregation1B_Import-Export'!$C$8:$C$239,0))="","",INDEX('Disaggregation1B_Import-Export'!H$8:H$239,MATCH($B125,'Disaggregation1B_Import-Export'!$C$8:$C$239,0))),"")</f>
        <v/>
      </c>
      <c r="H125" s="1107" t="str">
        <f>IFERROR(IF(INDEX('Disaggregation1B_Import-Export'!I$8:I$239,MATCH($B125,'Disaggregation1B_Import-Export'!$C$8:$C$239,0))="","",INDEX('Disaggregation1B_Import-Export'!I$8:I$239,MATCH($B125,'Disaggregation1B_Import-Export'!$C$8:$C$239,0))),"")</f>
        <v/>
      </c>
      <c r="I125" s="1108" t="str">
        <f>IFERROR(IF(INDEX('Disaggregation1B_Import-Export'!J$8:J$239,MATCH($B125,'Disaggregation1B_Import-Export'!$C$8:$C$239,0))="","",INDEX('Disaggregation1B_Import-Export'!J$8:J$239,MATCH($B125,'Disaggregation1B_Import-Export'!$C$8:$C$239,0))),"")</f>
        <v/>
      </c>
      <c r="J125" s="1028" t="str">
        <f>IFERROR(IF(INDEX('Disaggregation1B_Import-Export'!K$8:K$239,MATCH($B125,'Disaggregation1B_Import-Export'!$C$8:$C$239,0))="","",INDEX('Disaggregation1B_Import-Export'!K$8:K$239,MATCH($B125,'Disaggregation1B_Import-Export'!$C$8:$C$239,0))),"")</f>
        <v/>
      </c>
      <c r="K125" s="1028" t="str">
        <f>IFERROR(IF(INDEX('Disaggregation1B_Import-Export'!L$8:L$239,MATCH($B125,'Disaggregation1B_Import-Export'!$C$8:$C$239,0))="","",INDEX('Disaggregation1B_Import-Export'!L$8:L$239,MATCH($B125,'Disaggregation1B_Import-Export'!$C$8:$C$239,0))),"")</f>
        <v/>
      </c>
      <c r="L125" s="1028" t="str">
        <f>IFERROR(IF(INDEX('Disaggregation1B_Import-Export'!AQ$8:AQ$239,MATCH($B125,'Disaggregation1B_Import-Export'!$C$8:$C$239,0))="","",INDEX('Disaggregation1B_Import-Export'!AQ$8:AQ$239,MATCH($B125,'Disaggregation1B_Import-Export'!$C$8:$C$239,0))),"")</f>
        <v/>
      </c>
      <c r="M125" s="1064"/>
      <c r="N125" s="1064"/>
      <c r="O125" s="1109" t="str">
        <f t="shared" si="11"/>
        <v/>
      </c>
      <c r="P125" s="1065"/>
      <c r="Q125" s="1065"/>
      <c r="R125" s="1066"/>
      <c r="S125" s="1064"/>
      <c r="T125" s="1064"/>
      <c r="U125" s="1109" t="str">
        <f t="shared" si="12"/>
        <v/>
      </c>
      <c r="V125" s="1065"/>
      <c r="W125" s="1065"/>
      <c r="X125" s="1066"/>
      <c r="Y125" s="1110"/>
      <c r="Z125" s="1110"/>
      <c r="AA125" s="1111" t="str">
        <f t="shared" si="13"/>
        <v/>
      </c>
      <c r="AB125" s="1112"/>
      <c r="AC125" s="1113"/>
    </row>
    <row r="126" spans="1:29" x14ac:dyDescent="0.2">
      <c r="A126" s="648">
        <f t="shared" si="9"/>
        <v>116</v>
      </c>
      <c r="B126" s="648" t="str">
        <f t="shared" si="10"/>
        <v>Coverage116</v>
      </c>
      <c r="C126" s="1027" t="str">
        <f>IFERROR(INDEX('Disaggregation1B_Import-Export'!D$8:D$239,MATCH($B126,'Disaggregation1B_Import-Export'!$C$8:$C$239,0)),"")</f>
        <v/>
      </c>
      <c r="D126" s="1028" t="str">
        <f>IFERROR(INDEX('Disaggregation1B_Import-Export'!AF$8:AF$256,MATCH($B126,'Disaggregation1B_Import-Export'!$C$8:$C$256,0)),"")</f>
        <v/>
      </c>
      <c r="E126" s="1028" t="str">
        <f>IFERROR(IF(INDEX('Disaggregation1B_Import-Export'!AG$8:AG$239,MATCH($B126,'Disaggregation1B_Import-Export'!$C$8:$C$239,0))="","",INDEX('Disaggregation1B_Import-Export'!AG$8:AG$239,MATCH($B126,'Disaggregation1B_Import-Export'!$C$8:$C$239,0))),"")</f>
        <v/>
      </c>
      <c r="F126" s="1028" t="str">
        <f>IFERROR(IF(INDEX('Disaggregation1B_Import-Export'!AH$8:AH$239,MATCH($B126,'Disaggregation1B_Import-Export'!$C$8:$C$239,0))="","",INDEX('Disaggregation1B_Import-Export'!AH$8:AH$239,MATCH($B126,'Disaggregation1B_Import-Export'!$C$8:$C$239,0))),"")</f>
        <v/>
      </c>
      <c r="G126" s="1107" t="str">
        <f>IFERROR(IF(INDEX('Disaggregation1B_Import-Export'!H$8:H$239,MATCH($B126,'Disaggregation1B_Import-Export'!$C$8:$C$239,0))="","",INDEX('Disaggregation1B_Import-Export'!H$8:H$239,MATCH($B126,'Disaggregation1B_Import-Export'!$C$8:$C$239,0))),"")</f>
        <v/>
      </c>
      <c r="H126" s="1107" t="str">
        <f>IFERROR(IF(INDEX('Disaggregation1B_Import-Export'!I$8:I$239,MATCH($B126,'Disaggregation1B_Import-Export'!$C$8:$C$239,0))="","",INDEX('Disaggregation1B_Import-Export'!I$8:I$239,MATCH($B126,'Disaggregation1B_Import-Export'!$C$8:$C$239,0))),"")</f>
        <v/>
      </c>
      <c r="I126" s="1108" t="str">
        <f>IFERROR(IF(INDEX('Disaggregation1B_Import-Export'!J$8:J$239,MATCH($B126,'Disaggregation1B_Import-Export'!$C$8:$C$239,0))="","",INDEX('Disaggregation1B_Import-Export'!J$8:J$239,MATCH($B126,'Disaggregation1B_Import-Export'!$C$8:$C$239,0))),"")</f>
        <v/>
      </c>
      <c r="J126" s="1028" t="str">
        <f>IFERROR(IF(INDEX('Disaggregation1B_Import-Export'!K$8:K$239,MATCH($B126,'Disaggregation1B_Import-Export'!$C$8:$C$239,0))="","",INDEX('Disaggregation1B_Import-Export'!K$8:K$239,MATCH($B126,'Disaggregation1B_Import-Export'!$C$8:$C$239,0))),"")</f>
        <v/>
      </c>
      <c r="K126" s="1028" t="str">
        <f>IFERROR(IF(INDEX('Disaggregation1B_Import-Export'!L$8:L$239,MATCH($B126,'Disaggregation1B_Import-Export'!$C$8:$C$239,0))="","",INDEX('Disaggregation1B_Import-Export'!L$8:L$239,MATCH($B126,'Disaggregation1B_Import-Export'!$C$8:$C$239,0))),"")</f>
        <v/>
      </c>
      <c r="L126" s="1028" t="str">
        <f>IFERROR(IF(INDEX('Disaggregation1B_Import-Export'!AQ$8:AQ$239,MATCH($B126,'Disaggregation1B_Import-Export'!$C$8:$C$239,0))="","",INDEX('Disaggregation1B_Import-Export'!AQ$8:AQ$239,MATCH($B126,'Disaggregation1B_Import-Export'!$C$8:$C$239,0))),"")</f>
        <v/>
      </c>
      <c r="M126" s="1064"/>
      <c r="N126" s="1064"/>
      <c r="O126" s="1109" t="str">
        <f t="shared" si="11"/>
        <v/>
      </c>
      <c r="P126" s="1065"/>
      <c r="Q126" s="1065"/>
      <c r="R126" s="1066"/>
      <c r="S126" s="1064"/>
      <c r="T126" s="1064"/>
      <c r="U126" s="1109" t="str">
        <f t="shared" si="12"/>
        <v/>
      </c>
      <c r="V126" s="1065"/>
      <c r="W126" s="1065"/>
      <c r="X126" s="1066"/>
      <c r="Y126" s="1110"/>
      <c r="Z126" s="1110"/>
      <c r="AA126" s="1111" t="str">
        <f t="shared" si="13"/>
        <v/>
      </c>
      <c r="AB126" s="1112"/>
      <c r="AC126" s="1113"/>
    </row>
    <row r="127" spans="1:29" x14ac:dyDescent="0.2">
      <c r="A127" s="648">
        <f t="shared" si="9"/>
        <v>117</v>
      </c>
      <c r="B127" s="648" t="str">
        <f t="shared" si="10"/>
        <v>Coverage117</v>
      </c>
      <c r="C127" s="1027" t="str">
        <f>IFERROR(INDEX('Disaggregation1B_Import-Export'!D$8:D$239,MATCH($B127,'Disaggregation1B_Import-Export'!$C$8:$C$239,0)),"")</f>
        <v/>
      </c>
      <c r="D127" s="1028" t="str">
        <f>IFERROR(INDEX('Disaggregation1B_Import-Export'!AF$8:AF$256,MATCH($B127,'Disaggregation1B_Import-Export'!$C$8:$C$256,0)),"")</f>
        <v/>
      </c>
      <c r="E127" s="1028" t="str">
        <f>IFERROR(IF(INDEX('Disaggregation1B_Import-Export'!AG$8:AG$239,MATCH($B127,'Disaggregation1B_Import-Export'!$C$8:$C$239,0))="","",INDEX('Disaggregation1B_Import-Export'!AG$8:AG$239,MATCH($B127,'Disaggregation1B_Import-Export'!$C$8:$C$239,0))),"")</f>
        <v/>
      </c>
      <c r="F127" s="1028" t="str">
        <f>IFERROR(IF(INDEX('Disaggregation1B_Import-Export'!AH$8:AH$239,MATCH($B127,'Disaggregation1B_Import-Export'!$C$8:$C$239,0))="","",INDEX('Disaggregation1B_Import-Export'!AH$8:AH$239,MATCH($B127,'Disaggregation1B_Import-Export'!$C$8:$C$239,0))),"")</f>
        <v/>
      </c>
      <c r="G127" s="1107" t="str">
        <f>IFERROR(IF(INDEX('Disaggregation1B_Import-Export'!H$8:H$239,MATCH($B127,'Disaggregation1B_Import-Export'!$C$8:$C$239,0))="","",INDEX('Disaggregation1B_Import-Export'!H$8:H$239,MATCH($B127,'Disaggregation1B_Import-Export'!$C$8:$C$239,0))),"")</f>
        <v/>
      </c>
      <c r="H127" s="1107" t="str">
        <f>IFERROR(IF(INDEX('Disaggregation1B_Import-Export'!I$8:I$239,MATCH($B127,'Disaggregation1B_Import-Export'!$C$8:$C$239,0))="","",INDEX('Disaggregation1B_Import-Export'!I$8:I$239,MATCH($B127,'Disaggregation1B_Import-Export'!$C$8:$C$239,0))),"")</f>
        <v/>
      </c>
      <c r="I127" s="1108" t="str">
        <f>IFERROR(IF(INDEX('Disaggregation1B_Import-Export'!J$8:J$239,MATCH($B127,'Disaggregation1B_Import-Export'!$C$8:$C$239,0))="","",INDEX('Disaggregation1B_Import-Export'!J$8:J$239,MATCH($B127,'Disaggregation1B_Import-Export'!$C$8:$C$239,0))),"")</f>
        <v/>
      </c>
      <c r="J127" s="1028" t="str">
        <f>IFERROR(IF(INDEX('Disaggregation1B_Import-Export'!K$8:K$239,MATCH($B127,'Disaggregation1B_Import-Export'!$C$8:$C$239,0))="","",INDEX('Disaggregation1B_Import-Export'!K$8:K$239,MATCH($B127,'Disaggregation1B_Import-Export'!$C$8:$C$239,0))),"")</f>
        <v/>
      </c>
      <c r="K127" s="1028" t="str">
        <f>IFERROR(IF(INDEX('Disaggregation1B_Import-Export'!L$8:L$239,MATCH($B127,'Disaggregation1B_Import-Export'!$C$8:$C$239,0))="","",INDEX('Disaggregation1B_Import-Export'!L$8:L$239,MATCH($B127,'Disaggregation1B_Import-Export'!$C$8:$C$239,0))),"")</f>
        <v/>
      </c>
      <c r="L127" s="1028" t="str">
        <f>IFERROR(IF(INDEX('Disaggregation1B_Import-Export'!AQ$8:AQ$239,MATCH($B127,'Disaggregation1B_Import-Export'!$C$8:$C$239,0))="","",INDEX('Disaggregation1B_Import-Export'!AQ$8:AQ$239,MATCH($B127,'Disaggregation1B_Import-Export'!$C$8:$C$239,0))),"")</f>
        <v/>
      </c>
      <c r="M127" s="1064"/>
      <c r="N127" s="1064"/>
      <c r="O127" s="1109" t="str">
        <f t="shared" si="11"/>
        <v/>
      </c>
      <c r="P127" s="1065"/>
      <c r="Q127" s="1065"/>
      <c r="R127" s="1066"/>
      <c r="S127" s="1064"/>
      <c r="T127" s="1064"/>
      <c r="U127" s="1109" t="str">
        <f t="shared" si="12"/>
        <v/>
      </c>
      <c r="V127" s="1065"/>
      <c r="W127" s="1065"/>
      <c r="X127" s="1066"/>
      <c r="Y127" s="1110"/>
      <c r="Z127" s="1110"/>
      <c r="AA127" s="1111" t="str">
        <f t="shared" si="13"/>
        <v/>
      </c>
      <c r="AB127" s="1112"/>
      <c r="AC127" s="1113"/>
    </row>
    <row r="128" spans="1:29" x14ac:dyDescent="0.2">
      <c r="A128" s="648">
        <f t="shared" si="9"/>
        <v>118</v>
      </c>
      <c r="B128" s="648" t="str">
        <f t="shared" si="10"/>
        <v>Coverage118</v>
      </c>
      <c r="C128" s="1027" t="str">
        <f>IFERROR(INDEX('Disaggregation1B_Import-Export'!D$8:D$239,MATCH($B128,'Disaggregation1B_Import-Export'!$C$8:$C$239,0)),"")</f>
        <v/>
      </c>
      <c r="D128" s="1028" t="str">
        <f>IFERROR(INDEX('Disaggregation1B_Import-Export'!AF$8:AF$256,MATCH($B128,'Disaggregation1B_Import-Export'!$C$8:$C$256,0)),"")</f>
        <v/>
      </c>
      <c r="E128" s="1028" t="str">
        <f>IFERROR(IF(INDEX('Disaggregation1B_Import-Export'!AG$8:AG$239,MATCH($B128,'Disaggregation1B_Import-Export'!$C$8:$C$239,0))="","",INDEX('Disaggregation1B_Import-Export'!AG$8:AG$239,MATCH($B128,'Disaggregation1B_Import-Export'!$C$8:$C$239,0))),"")</f>
        <v/>
      </c>
      <c r="F128" s="1028" t="str">
        <f>IFERROR(IF(INDEX('Disaggregation1B_Import-Export'!AH$8:AH$239,MATCH($B128,'Disaggregation1B_Import-Export'!$C$8:$C$239,0))="","",INDEX('Disaggregation1B_Import-Export'!AH$8:AH$239,MATCH($B128,'Disaggregation1B_Import-Export'!$C$8:$C$239,0))),"")</f>
        <v/>
      </c>
      <c r="G128" s="1107" t="str">
        <f>IFERROR(IF(INDEX('Disaggregation1B_Import-Export'!H$8:H$239,MATCH($B128,'Disaggregation1B_Import-Export'!$C$8:$C$239,0))="","",INDEX('Disaggregation1B_Import-Export'!H$8:H$239,MATCH($B128,'Disaggregation1B_Import-Export'!$C$8:$C$239,0))),"")</f>
        <v/>
      </c>
      <c r="H128" s="1107" t="str">
        <f>IFERROR(IF(INDEX('Disaggregation1B_Import-Export'!I$8:I$239,MATCH($B128,'Disaggregation1B_Import-Export'!$C$8:$C$239,0))="","",INDEX('Disaggregation1B_Import-Export'!I$8:I$239,MATCH($B128,'Disaggregation1B_Import-Export'!$C$8:$C$239,0))),"")</f>
        <v/>
      </c>
      <c r="I128" s="1108" t="str">
        <f>IFERROR(IF(INDEX('Disaggregation1B_Import-Export'!J$8:J$239,MATCH($B128,'Disaggregation1B_Import-Export'!$C$8:$C$239,0))="","",INDEX('Disaggregation1B_Import-Export'!J$8:J$239,MATCH($B128,'Disaggregation1B_Import-Export'!$C$8:$C$239,0))),"")</f>
        <v/>
      </c>
      <c r="J128" s="1028" t="str">
        <f>IFERROR(IF(INDEX('Disaggregation1B_Import-Export'!K$8:K$239,MATCH($B128,'Disaggregation1B_Import-Export'!$C$8:$C$239,0))="","",INDEX('Disaggregation1B_Import-Export'!K$8:K$239,MATCH($B128,'Disaggregation1B_Import-Export'!$C$8:$C$239,0))),"")</f>
        <v/>
      </c>
      <c r="K128" s="1028" t="str">
        <f>IFERROR(IF(INDEX('Disaggregation1B_Import-Export'!L$8:L$239,MATCH($B128,'Disaggregation1B_Import-Export'!$C$8:$C$239,0))="","",INDEX('Disaggregation1B_Import-Export'!L$8:L$239,MATCH($B128,'Disaggregation1B_Import-Export'!$C$8:$C$239,0))),"")</f>
        <v/>
      </c>
      <c r="L128" s="1028" t="str">
        <f>IFERROR(IF(INDEX('Disaggregation1B_Import-Export'!AQ$8:AQ$239,MATCH($B128,'Disaggregation1B_Import-Export'!$C$8:$C$239,0))="","",INDEX('Disaggregation1B_Import-Export'!AQ$8:AQ$239,MATCH($B128,'Disaggregation1B_Import-Export'!$C$8:$C$239,0))),"")</f>
        <v/>
      </c>
      <c r="M128" s="1064"/>
      <c r="N128" s="1064"/>
      <c r="O128" s="1109" t="str">
        <f t="shared" si="11"/>
        <v/>
      </c>
      <c r="P128" s="1065"/>
      <c r="Q128" s="1065"/>
      <c r="R128" s="1066"/>
      <c r="S128" s="1064"/>
      <c r="T128" s="1064"/>
      <c r="U128" s="1109" t="str">
        <f t="shared" si="12"/>
        <v/>
      </c>
      <c r="V128" s="1065"/>
      <c r="W128" s="1065"/>
      <c r="X128" s="1066"/>
      <c r="Y128" s="1110"/>
      <c r="Z128" s="1110"/>
      <c r="AA128" s="1111" t="str">
        <f t="shared" si="13"/>
        <v/>
      </c>
      <c r="AB128" s="1112"/>
      <c r="AC128" s="1113"/>
    </row>
    <row r="129" spans="1:29" x14ac:dyDescent="0.2">
      <c r="A129" s="648">
        <f t="shared" si="9"/>
        <v>119</v>
      </c>
      <c r="B129" s="648" t="str">
        <f t="shared" si="10"/>
        <v>Coverage119</v>
      </c>
      <c r="C129" s="1027" t="str">
        <f>IFERROR(INDEX('Disaggregation1B_Import-Export'!D$8:D$239,MATCH($B129,'Disaggregation1B_Import-Export'!$C$8:$C$239,0)),"")</f>
        <v/>
      </c>
      <c r="D129" s="1028" t="str">
        <f>IFERROR(INDEX('Disaggregation1B_Import-Export'!AF$8:AF$256,MATCH($B129,'Disaggregation1B_Import-Export'!$C$8:$C$256,0)),"")</f>
        <v/>
      </c>
      <c r="E129" s="1028" t="str">
        <f>IFERROR(IF(INDEX('Disaggregation1B_Import-Export'!AG$8:AG$239,MATCH($B129,'Disaggregation1B_Import-Export'!$C$8:$C$239,0))="","",INDEX('Disaggregation1B_Import-Export'!AG$8:AG$239,MATCH($B129,'Disaggregation1B_Import-Export'!$C$8:$C$239,0))),"")</f>
        <v/>
      </c>
      <c r="F129" s="1028" t="str">
        <f>IFERROR(IF(INDEX('Disaggregation1B_Import-Export'!AH$8:AH$239,MATCH($B129,'Disaggregation1B_Import-Export'!$C$8:$C$239,0))="","",INDEX('Disaggregation1B_Import-Export'!AH$8:AH$239,MATCH($B129,'Disaggregation1B_Import-Export'!$C$8:$C$239,0))),"")</f>
        <v/>
      </c>
      <c r="G129" s="1107" t="str">
        <f>IFERROR(IF(INDEX('Disaggregation1B_Import-Export'!H$8:H$239,MATCH($B129,'Disaggregation1B_Import-Export'!$C$8:$C$239,0))="","",INDEX('Disaggregation1B_Import-Export'!H$8:H$239,MATCH($B129,'Disaggregation1B_Import-Export'!$C$8:$C$239,0))),"")</f>
        <v/>
      </c>
      <c r="H129" s="1107" t="str">
        <f>IFERROR(IF(INDEX('Disaggregation1B_Import-Export'!I$8:I$239,MATCH($B129,'Disaggregation1B_Import-Export'!$C$8:$C$239,0))="","",INDEX('Disaggregation1B_Import-Export'!I$8:I$239,MATCH($B129,'Disaggregation1B_Import-Export'!$C$8:$C$239,0))),"")</f>
        <v/>
      </c>
      <c r="I129" s="1108" t="str">
        <f>IFERROR(IF(INDEX('Disaggregation1B_Import-Export'!J$8:J$239,MATCH($B129,'Disaggregation1B_Import-Export'!$C$8:$C$239,0))="","",INDEX('Disaggregation1B_Import-Export'!J$8:J$239,MATCH($B129,'Disaggregation1B_Import-Export'!$C$8:$C$239,0))),"")</f>
        <v/>
      </c>
      <c r="J129" s="1028" t="str">
        <f>IFERROR(IF(INDEX('Disaggregation1B_Import-Export'!K$8:K$239,MATCH($B129,'Disaggregation1B_Import-Export'!$C$8:$C$239,0))="","",INDEX('Disaggregation1B_Import-Export'!K$8:K$239,MATCH($B129,'Disaggregation1B_Import-Export'!$C$8:$C$239,0))),"")</f>
        <v/>
      </c>
      <c r="K129" s="1028" t="str">
        <f>IFERROR(IF(INDEX('Disaggregation1B_Import-Export'!L$8:L$239,MATCH($B129,'Disaggregation1B_Import-Export'!$C$8:$C$239,0))="","",INDEX('Disaggregation1B_Import-Export'!L$8:L$239,MATCH($B129,'Disaggregation1B_Import-Export'!$C$8:$C$239,0))),"")</f>
        <v/>
      </c>
      <c r="L129" s="1028" t="str">
        <f>IFERROR(IF(INDEX('Disaggregation1B_Import-Export'!AQ$8:AQ$239,MATCH($B129,'Disaggregation1B_Import-Export'!$C$8:$C$239,0))="","",INDEX('Disaggregation1B_Import-Export'!AQ$8:AQ$239,MATCH($B129,'Disaggregation1B_Import-Export'!$C$8:$C$239,0))),"")</f>
        <v/>
      </c>
      <c r="M129" s="1064"/>
      <c r="N129" s="1064"/>
      <c r="O129" s="1109" t="str">
        <f t="shared" si="11"/>
        <v/>
      </c>
      <c r="P129" s="1065"/>
      <c r="Q129" s="1065"/>
      <c r="R129" s="1066"/>
      <c r="S129" s="1064"/>
      <c r="T129" s="1064"/>
      <c r="U129" s="1109" t="str">
        <f t="shared" si="12"/>
        <v/>
      </c>
      <c r="V129" s="1065"/>
      <c r="W129" s="1065"/>
      <c r="X129" s="1066"/>
      <c r="Y129" s="1110"/>
      <c r="Z129" s="1110"/>
      <c r="AA129" s="1111" t="str">
        <f t="shared" si="13"/>
        <v/>
      </c>
      <c r="AB129" s="1112"/>
      <c r="AC129" s="1113"/>
    </row>
    <row r="130" spans="1:29" x14ac:dyDescent="0.2">
      <c r="A130" s="648">
        <f t="shared" si="9"/>
        <v>120</v>
      </c>
      <c r="B130" s="648" t="str">
        <f t="shared" si="10"/>
        <v>Coverage120</v>
      </c>
      <c r="C130" s="1027" t="str">
        <f>IFERROR(INDEX('Disaggregation1B_Import-Export'!D$8:D$239,MATCH($B130,'Disaggregation1B_Import-Export'!$C$8:$C$239,0)),"")</f>
        <v/>
      </c>
      <c r="D130" s="1028" t="str">
        <f>IFERROR(INDEX('Disaggregation1B_Import-Export'!AF$8:AF$256,MATCH($B130,'Disaggregation1B_Import-Export'!$C$8:$C$256,0)),"")</f>
        <v/>
      </c>
      <c r="E130" s="1028" t="str">
        <f>IFERROR(IF(INDEX('Disaggregation1B_Import-Export'!AG$8:AG$239,MATCH($B130,'Disaggregation1B_Import-Export'!$C$8:$C$239,0))="","",INDEX('Disaggregation1B_Import-Export'!AG$8:AG$239,MATCH($B130,'Disaggregation1B_Import-Export'!$C$8:$C$239,0))),"")</f>
        <v/>
      </c>
      <c r="F130" s="1028" t="str">
        <f>IFERROR(IF(INDEX('Disaggregation1B_Import-Export'!AH$8:AH$239,MATCH($B130,'Disaggregation1B_Import-Export'!$C$8:$C$239,0))="","",INDEX('Disaggregation1B_Import-Export'!AH$8:AH$239,MATCH($B130,'Disaggregation1B_Import-Export'!$C$8:$C$239,0))),"")</f>
        <v/>
      </c>
      <c r="G130" s="1107" t="str">
        <f>IFERROR(IF(INDEX('Disaggregation1B_Import-Export'!H$8:H$239,MATCH($B130,'Disaggregation1B_Import-Export'!$C$8:$C$239,0))="","",INDEX('Disaggregation1B_Import-Export'!H$8:H$239,MATCH($B130,'Disaggregation1B_Import-Export'!$C$8:$C$239,0))),"")</f>
        <v/>
      </c>
      <c r="H130" s="1107" t="str">
        <f>IFERROR(IF(INDEX('Disaggregation1B_Import-Export'!I$8:I$239,MATCH($B130,'Disaggregation1B_Import-Export'!$C$8:$C$239,0))="","",INDEX('Disaggregation1B_Import-Export'!I$8:I$239,MATCH($B130,'Disaggregation1B_Import-Export'!$C$8:$C$239,0))),"")</f>
        <v/>
      </c>
      <c r="I130" s="1108" t="str">
        <f>IFERROR(IF(INDEX('Disaggregation1B_Import-Export'!J$8:J$239,MATCH($B130,'Disaggregation1B_Import-Export'!$C$8:$C$239,0))="","",INDEX('Disaggregation1B_Import-Export'!J$8:J$239,MATCH($B130,'Disaggregation1B_Import-Export'!$C$8:$C$239,0))),"")</f>
        <v/>
      </c>
      <c r="J130" s="1028" t="str">
        <f>IFERROR(IF(INDEX('Disaggregation1B_Import-Export'!K$8:K$239,MATCH($B130,'Disaggregation1B_Import-Export'!$C$8:$C$239,0))="","",INDEX('Disaggregation1B_Import-Export'!K$8:K$239,MATCH($B130,'Disaggregation1B_Import-Export'!$C$8:$C$239,0))),"")</f>
        <v/>
      </c>
      <c r="K130" s="1028" t="str">
        <f>IFERROR(IF(INDEX('Disaggregation1B_Import-Export'!L$8:L$239,MATCH($B130,'Disaggregation1B_Import-Export'!$C$8:$C$239,0))="","",INDEX('Disaggregation1B_Import-Export'!L$8:L$239,MATCH($B130,'Disaggregation1B_Import-Export'!$C$8:$C$239,0))),"")</f>
        <v/>
      </c>
      <c r="L130" s="1028" t="str">
        <f>IFERROR(IF(INDEX('Disaggregation1B_Import-Export'!AQ$8:AQ$239,MATCH($B130,'Disaggregation1B_Import-Export'!$C$8:$C$239,0))="","",INDEX('Disaggregation1B_Import-Export'!AQ$8:AQ$239,MATCH($B130,'Disaggregation1B_Import-Export'!$C$8:$C$239,0))),"")</f>
        <v/>
      </c>
      <c r="M130" s="1064"/>
      <c r="N130" s="1064"/>
      <c r="O130" s="1109" t="str">
        <f t="shared" si="11"/>
        <v/>
      </c>
      <c r="P130" s="1065"/>
      <c r="Q130" s="1065"/>
      <c r="R130" s="1066"/>
      <c r="S130" s="1064"/>
      <c r="T130" s="1064"/>
      <c r="U130" s="1109" t="str">
        <f t="shared" si="12"/>
        <v/>
      </c>
      <c r="V130" s="1065"/>
      <c r="W130" s="1065"/>
      <c r="X130" s="1066"/>
      <c r="Y130" s="1110"/>
      <c r="Z130" s="1110"/>
      <c r="AA130" s="1111" t="str">
        <f t="shared" si="13"/>
        <v/>
      </c>
      <c r="AB130" s="1112"/>
      <c r="AC130" s="1113"/>
    </row>
    <row r="131" spans="1:29" x14ac:dyDescent="0.2">
      <c r="A131" s="648">
        <f t="shared" si="9"/>
        <v>121</v>
      </c>
      <c r="B131" s="648" t="str">
        <f t="shared" si="10"/>
        <v>Coverage121</v>
      </c>
      <c r="C131" s="1027" t="str">
        <f>IFERROR(INDEX('Disaggregation1B_Import-Export'!D$8:D$239,MATCH($B131,'Disaggregation1B_Import-Export'!$C$8:$C$239,0)),"")</f>
        <v/>
      </c>
      <c r="D131" s="1028" t="str">
        <f>IFERROR(INDEX('Disaggregation1B_Import-Export'!AF$8:AF$256,MATCH($B131,'Disaggregation1B_Import-Export'!$C$8:$C$256,0)),"")</f>
        <v/>
      </c>
      <c r="E131" s="1028" t="str">
        <f>IFERROR(IF(INDEX('Disaggregation1B_Import-Export'!AG$8:AG$239,MATCH($B131,'Disaggregation1B_Import-Export'!$C$8:$C$239,0))="","",INDEX('Disaggregation1B_Import-Export'!AG$8:AG$239,MATCH($B131,'Disaggregation1B_Import-Export'!$C$8:$C$239,0))),"")</f>
        <v/>
      </c>
      <c r="F131" s="1028" t="str">
        <f>IFERROR(IF(INDEX('Disaggregation1B_Import-Export'!AH$8:AH$239,MATCH($B131,'Disaggregation1B_Import-Export'!$C$8:$C$239,0))="","",INDEX('Disaggregation1B_Import-Export'!AH$8:AH$239,MATCH($B131,'Disaggregation1B_Import-Export'!$C$8:$C$239,0))),"")</f>
        <v/>
      </c>
      <c r="G131" s="1107" t="str">
        <f>IFERROR(IF(INDEX('Disaggregation1B_Import-Export'!H$8:H$239,MATCH($B131,'Disaggregation1B_Import-Export'!$C$8:$C$239,0))="","",INDEX('Disaggregation1B_Import-Export'!H$8:H$239,MATCH($B131,'Disaggregation1B_Import-Export'!$C$8:$C$239,0))),"")</f>
        <v/>
      </c>
      <c r="H131" s="1107" t="str">
        <f>IFERROR(IF(INDEX('Disaggregation1B_Import-Export'!I$8:I$239,MATCH($B131,'Disaggregation1B_Import-Export'!$C$8:$C$239,0))="","",INDEX('Disaggregation1B_Import-Export'!I$8:I$239,MATCH($B131,'Disaggregation1B_Import-Export'!$C$8:$C$239,0))),"")</f>
        <v/>
      </c>
      <c r="I131" s="1108" t="str">
        <f>IFERROR(IF(INDEX('Disaggregation1B_Import-Export'!J$8:J$239,MATCH($B131,'Disaggregation1B_Import-Export'!$C$8:$C$239,0))="","",INDEX('Disaggregation1B_Import-Export'!J$8:J$239,MATCH($B131,'Disaggregation1B_Import-Export'!$C$8:$C$239,0))),"")</f>
        <v/>
      </c>
      <c r="J131" s="1028" t="str">
        <f>IFERROR(IF(INDEX('Disaggregation1B_Import-Export'!K$8:K$239,MATCH($B131,'Disaggregation1B_Import-Export'!$C$8:$C$239,0))="","",INDEX('Disaggregation1B_Import-Export'!K$8:K$239,MATCH($B131,'Disaggregation1B_Import-Export'!$C$8:$C$239,0))),"")</f>
        <v/>
      </c>
      <c r="K131" s="1028" t="str">
        <f>IFERROR(IF(INDEX('Disaggregation1B_Import-Export'!L$8:L$239,MATCH($B131,'Disaggregation1B_Import-Export'!$C$8:$C$239,0))="","",INDEX('Disaggregation1B_Import-Export'!L$8:L$239,MATCH($B131,'Disaggregation1B_Import-Export'!$C$8:$C$239,0))),"")</f>
        <v/>
      </c>
      <c r="L131" s="1028" t="str">
        <f>IFERROR(IF(INDEX('Disaggregation1B_Import-Export'!AQ$8:AQ$239,MATCH($B131,'Disaggregation1B_Import-Export'!$C$8:$C$239,0))="","",INDEX('Disaggregation1B_Import-Export'!AQ$8:AQ$239,MATCH($B131,'Disaggregation1B_Import-Export'!$C$8:$C$239,0))),"")</f>
        <v/>
      </c>
      <c r="M131" s="1064"/>
      <c r="N131" s="1064"/>
      <c r="O131" s="1109" t="str">
        <f t="shared" si="11"/>
        <v/>
      </c>
      <c r="P131" s="1065"/>
      <c r="Q131" s="1065"/>
      <c r="R131" s="1066"/>
      <c r="S131" s="1064"/>
      <c r="T131" s="1064"/>
      <c r="U131" s="1109" t="str">
        <f t="shared" si="12"/>
        <v/>
      </c>
      <c r="V131" s="1065"/>
      <c r="W131" s="1065"/>
      <c r="X131" s="1066"/>
      <c r="Y131" s="1110"/>
      <c r="Z131" s="1110"/>
      <c r="AA131" s="1111" t="str">
        <f t="shared" si="13"/>
        <v/>
      </c>
      <c r="AB131" s="1112"/>
      <c r="AC131" s="1113"/>
    </row>
    <row r="132" spans="1:29" x14ac:dyDescent="0.2">
      <c r="A132" s="648">
        <f t="shared" si="9"/>
        <v>122</v>
      </c>
      <c r="B132" s="648" t="str">
        <f t="shared" si="10"/>
        <v>Coverage122</v>
      </c>
      <c r="C132" s="1027" t="str">
        <f>IFERROR(INDEX('Disaggregation1B_Import-Export'!D$8:D$239,MATCH($B132,'Disaggregation1B_Import-Export'!$C$8:$C$239,0)),"")</f>
        <v/>
      </c>
      <c r="D132" s="1028" t="str">
        <f>IFERROR(INDEX('Disaggregation1B_Import-Export'!AF$8:AF$256,MATCH($B132,'Disaggregation1B_Import-Export'!$C$8:$C$256,0)),"")</f>
        <v/>
      </c>
      <c r="E132" s="1028" t="str">
        <f>IFERROR(IF(INDEX('Disaggregation1B_Import-Export'!AG$8:AG$239,MATCH($B132,'Disaggregation1B_Import-Export'!$C$8:$C$239,0))="","",INDEX('Disaggregation1B_Import-Export'!AG$8:AG$239,MATCH($B132,'Disaggregation1B_Import-Export'!$C$8:$C$239,0))),"")</f>
        <v/>
      </c>
      <c r="F132" s="1028" t="str">
        <f>IFERROR(IF(INDEX('Disaggregation1B_Import-Export'!AH$8:AH$239,MATCH($B132,'Disaggregation1B_Import-Export'!$C$8:$C$239,0))="","",INDEX('Disaggregation1B_Import-Export'!AH$8:AH$239,MATCH($B132,'Disaggregation1B_Import-Export'!$C$8:$C$239,0))),"")</f>
        <v/>
      </c>
      <c r="G132" s="1107" t="str">
        <f>IFERROR(IF(INDEX('Disaggregation1B_Import-Export'!H$8:H$239,MATCH($B132,'Disaggregation1B_Import-Export'!$C$8:$C$239,0))="","",INDEX('Disaggregation1B_Import-Export'!H$8:H$239,MATCH($B132,'Disaggregation1B_Import-Export'!$C$8:$C$239,0))),"")</f>
        <v/>
      </c>
      <c r="H132" s="1107" t="str">
        <f>IFERROR(IF(INDEX('Disaggregation1B_Import-Export'!I$8:I$239,MATCH($B132,'Disaggregation1B_Import-Export'!$C$8:$C$239,0))="","",INDEX('Disaggregation1B_Import-Export'!I$8:I$239,MATCH($B132,'Disaggregation1B_Import-Export'!$C$8:$C$239,0))),"")</f>
        <v/>
      </c>
      <c r="I132" s="1108" t="str">
        <f>IFERROR(IF(INDEX('Disaggregation1B_Import-Export'!J$8:J$239,MATCH($B132,'Disaggregation1B_Import-Export'!$C$8:$C$239,0))="","",INDEX('Disaggregation1B_Import-Export'!J$8:J$239,MATCH($B132,'Disaggregation1B_Import-Export'!$C$8:$C$239,0))),"")</f>
        <v/>
      </c>
      <c r="J132" s="1028" t="str">
        <f>IFERROR(IF(INDEX('Disaggregation1B_Import-Export'!K$8:K$239,MATCH($B132,'Disaggregation1B_Import-Export'!$C$8:$C$239,0))="","",INDEX('Disaggregation1B_Import-Export'!K$8:K$239,MATCH($B132,'Disaggregation1B_Import-Export'!$C$8:$C$239,0))),"")</f>
        <v/>
      </c>
      <c r="K132" s="1028" t="str">
        <f>IFERROR(IF(INDEX('Disaggregation1B_Import-Export'!L$8:L$239,MATCH($B132,'Disaggregation1B_Import-Export'!$C$8:$C$239,0))="","",INDEX('Disaggregation1B_Import-Export'!L$8:L$239,MATCH($B132,'Disaggregation1B_Import-Export'!$C$8:$C$239,0))),"")</f>
        <v/>
      </c>
      <c r="L132" s="1028" t="str">
        <f>IFERROR(IF(INDEX('Disaggregation1B_Import-Export'!AQ$8:AQ$239,MATCH($B132,'Disaggregation1B_Import-Export'!$C$8:$C$239,0))="","",INDEX('Disaggregation1B_Import-Export'!AQ$8:AQ$239,MATCH($B132,'Disaggregation1B_Import-Export'!$C$8:$C$239,0))),"")</f>
        <v/>
      </c>
      <c r="M132" s="1064"/>
      <c r="N132" s="1064"/>
      <c r="O132" s="1109" t="str">
        <f t="shared" si="11"/>
        <v/>
      </c>
      <c r="P132" s="1065"/>
      <c r="Q132" s="1065"/>
      <c r="R132" s="1066"/>
      <c r="S132" s="1064"/>
      <c r="T132" s="1064"/>
      <c r="U132" s="1109" t="str">
        <f t="shared" si="12"/>
        <v/>
      </c>
      <c r="V132" s="1065"/>
      <c r="W132" s="1065"/>
      <c r="X132" s="1066"/>
      <c r="Y132" s="1110"/>
      <c r="Z132" s="1110"/>
      <c r="AA132" s="1111" t="str">
        <f t="shared" si="13"/>
        <v/>
      </c>
      <c r="AB132" s="1112"/>
      <c r="AC132" s="1113"/>
    </row>
    <row r="133" spans="1:29" x14ac:dyDescent="0.2">
      <c r="A133" s="648">
        <f t="shared" si="9"/>
        <v>123</v>
      </c>
      <c r="B133" s="648" t="str">
        <f t="shared" si="10"/>
        <v>Coverage123</v>
      </c>
      <c r="C133" s="1027" t="str">
        <f>IFERROR(INDEX('Disaggregation1B_Import-Export'!D$8:D$239,MATCH($B133,'Disaggregation1B_Import-Export'!$C$8:$C$239,0)),"")</f>
        <v/>
      </c>
      <c r="D133" s="1028" t="str">
        <f>IFERROR(INDEX('Disaggregation1B_Import-Export'!AF$8:AF$256,MATCH($B133,'Disaggregation1B_Import-Export'!$C$8:$C$256,0)),"")</f>
        <v/>
      </c>
      <c r="E133" s="1028" t="str">
        <f>IFERROR(IF(INDEX('Disaggregation1B_Import-Export'!AG$8:AG$239,MATCH($B133,'Disaggregation1B_Import-Export'!$C$8:$C$239,0))="","",INDEX('Disaggregation1B_Import-Export'!AG$8:AG$239,MATCH($B133,'Disaggregation1B_Import-Export'!$C$8:$C$239,0))),"")</f>
        <v/>
      </c>
      <c r="F133" s="1028" t="str">
        <f>IFERROR(IF(INDEX('Disaggregation1B_Import-Export'!AH$8:AH$239,MATCH($B133,'Disaggregation1B_Import-Export'!$C$8:$C$239,0))="","",INDEX('Disaggregation1B_Import-Export'!AH$8:AH$239,MATCH($B133,'Disaggregation1B_Import-Export'!$C$8:$C$239,0))),"")</f>
        <v/>
      </c>
      <c r="G133" s="1107" t="str">
        <f>IFERROR(IF(INDEX('Disaggregation1B_Import-Export'!H$8:H$239,MATCH($B133,'Disaggregation1B_Import-Export'!$C$8:$C$239,0))="","",INDEX('Disaggregation1B_Import-Export'!H$8:H$239,MATCH($B133,'Disaggregation1B_Import-Export'!$C$8:$C$239,0))),"")</f>
        <v/>
      </c>
      <c r="H133" s="1107" t="str">
        <f>IFERROR(IF(INDEX('Disaggregation1B_Import-Export'!I$8:I$239,MATCH($B133,'Disaggregation1B_Import-Export'!$C$8:$C$239,0))="","",INDEX('Disaggregation1B_Import-Export'!I$8:I$239,MATCH($B133,'Disaggregation1B_Import-Export'!$C$8:$C$239,0))),"")</f>
        <v/>
      </c>
      <c r="I133" s="1108" t="str">
        <f>IFERROR(IF(INDEX('Disaggregation1B_Import-Export'!J$8:J$239,MATCH($B133,'Disaggregation1B_Import-Export'!$C$8:$C$239,0))="","",INDEX('Disaggregation1B_Import-Export'!J$8:J$239,MATCH($B133,'Disaggregation1B_Import-Export'!$C$8:$C$239,0))),"")</f>
        <v/>
      </c>
      <c r="J133" s="1028" t="str">
        <f>IFERROR(IF(INDEX('Disaggregation1B_Import-Export'!K$8:K$239,MATCH($B133,'Disaggregation1B_Import-Export'!$C$8:$C$239,0))="","",INDEX('Disaggregation1B_Import-Export'!K$8:K$239,MATCH($B133,'Disaggregation1B_Import-Export'!$C$8:$C$239,0))),"")</f>
        <v/>
      </c>
      <c r="K133" s="1028" t="str">
        <f>IFERROR(IF(INDEX('Disaggregation1B_Import-Export'!L$8:L$239,MATCH($B133,'Disaggregation1B_Import-Export'!$C$8:$C$239,0))="","",INDEX('Disaggregation1B_Import-Export'!L$8:L$239,MATCH($B133,'Disaggregation1B_Import-Export'!$C$8:$C$239,0))),"")</f>
        <v/>
      </c>
      <c r="L133" s="1028" t="str">
        <f>IFERROR(IF(INDEX('Disaggregation1B_Import-Export'!AQ$8:AQ$239,MATCH($B133,'Disaggregation1B_Import-Export'!$C$8:$C$239,0))="","",INDEX('Disaggregation1B_Import-Export'!AQ$8:AQ$239,MATCH($B133,'Disaggregation1B_Import-Export'!$C$8:$C$239,0))),"")</f>
        <v/>
      </c>
      <c r="M133" s="1064"/>
      <c r="N133" s="1064"/>
      <c r="O133" s="1109" t="str">
        <f t="shared" si="11"/>
        <v/>
      </c>
      <c r="P133" s="1065"/>
      <c r="Q133" s="1065"/>
      <c r="R133" s="1066"/>
      <c r="S133" s="1064"/>
      <c r="T133" s="1064"/>
      <c r="U133" s="1109" t="str">
        <f t="shared" si="12"/>
        <v/>
      </c>
      <c r="V133" s="1065"/>
      <c r="W133" s="1065"/>
      <c r="X133" s="1066"/>
      <c r="Y133" s="1110"/>
      <c r="Z133" s="1110"/>
      <c r="AA133" s="1111" t="str">
        <f t="shared" si="13"/>
        <v/>
      </c>
      <c r="AB133" s="1112"/>
      <c r="AC133" s="1113"/>
    </row>
    <row r="134" spans="1:29" x14ac:dyDescent="0.2">
      <c r="A134" s="648">
        <f t="shared" si="9"/>
        <v>124</v>
      </c>
      <c r="B134" s="648" t="str">
        <f t="shared" si="10"/>
        <v>Coverage124</v>
      </c>
      <c r="C134" s="1027" t="str">
        <f>IFERROR(INDEX('Disaggregation1B_Import-Export'!D$8:D$239,MATCH($B134,'Disaggregation1B_Import-Export'!$C$8:$C$239,0)),"")</f>
        <v/>
      </c>
      <c r="D134" s="1028" t="str">
        <f>IFERROR(INDEX('Disaggregation1B_Import-Export'!AF$8:AF$256,MATCH($B134,'Disaggregation1B_Import-Export'!$C$8:$C$256,0)),"")</f>
        <v/>
      </c>
      <c r="E134" s="1028" t="str">
        <f>IFERROR(IF(INDEX('Disaggregation1B_Import-Export'!AG$8:AG$239,MATCH($B134,'Disaggregation1B_Import-Export'!$C$8:$C$239,0))="","",INDEX('Disaggregation1B_Import-Export'!AG$8:AG$239,MATCH($B134,'Disaggregation1B_Import-Export'!$C$8:$C$239,0))),"")</f>
        <v/>
      </c>
      <c r="F134" s="1028" t="str">
        <f>IFERROR(IF(INDEX('Disaggregation1B_Import-Export'!AH$8:AH$239,MATCH($B134,'Disaggregation1B_Import-Export'!$C$8:$C$239,0))="","",INDEX('Disaggregation1B_Import-Export'!AH$8:AH$239,MATCH($B134,'Disaggregation1B_Import-Export'!$C$8:$C$239,0))),"")</f>
        <v/>
      </c>
      <c r="G134" s="1107" t="str">
        <f>IFERROR(IF(INDEX('Disaggregation1B_Import-Export'!H$8:H$239,MATCH($B134,'Disaggregation1B_Import-Export'!$C$8:$C$239,0))="","",INDEX('Disaggregation1B_Import-Export'!H$8:H$239,MATCH($B134,'Disaggregation1B_Import-Export'!$C$8:$C$239,0))),"")</f>
        <v/>
      </c>
      <c r="H134" s="1107" t="str">
        <f>IFERROR(IF(INDEX('Disaggregation1B_Import-Export'!I$8:I$239,MATCH($B134,'Disaggregation1B_Import-Export'!$C$8:$C$239,0))="","",INDEX('Disaggregation1B_Import-Export'!I$8:I$239,MATCH($B134,'Disaggregation1B_Import-Export'!$C$8:$C$239,0))),"")</f>
        <v/>
      </c>
      <c r="I134" s="1108" t="str">
        <f>IFERROR(IF(INDEX('Disaggregation1B_Import-Export'!J$8:J$239,MATCH($B134,'Disaggregation1B_Import-Export'!$C$8:$C$239,0))="","",INDEX('Disaggregation1B_Import-Export'!J$8:J$239,MATCH($B134,'Disaggregation1B_Import-Export'!$C$8:$C$239,0))),"")</f>
        <v/>
      </c>
      <c r="J134" s="1028" t="str">
        <f>IFERROR(IF(INDEX('Disaggregation1B_Import-Export'!K$8:K$239,MATCH($B134,'Disaggregation1B_Import-Export'!$C$8:$C$239,0))="","",INDEX('Disaggregation1B_Import-Export'!K$8:K$239,MATCH($B134,'Disaggregation1B_Import-Export'!$C$8:$C$239,0))),"")</f>
        <v/>
      </c>
      <c r="K134" s="1028" t="str">
        <f>IFERROR(IF(INDEX('Disaggregation1B_Import-Export'!L$8:L$239,MATCH($B134,'Disaggregation1B_Import-Export'!$C$8:$C$239,0))="","",INDEX('Disaggregation1B_Import-Export'!L$8:L$239,MATCH($B134,'Disaggregation1B_Import-Export'!$C$8:$C$239,0))),"")</f>
        <v/>
      </c>
      <c r="L134" s="1028" t="str">
        <f>IFERROR(IF(INDEX('Disaggregation1B_Import-Export'!AQ$8:AQ$239,MATCH($B134,'Disaggregation1B_Import-Export'!$C$8:$C$239,0))="","",INDEX('Disaggregation1B_Import-Export'!AQ$8:AQ$239,MATCH($B134,'Disaggregation1B_Import-Export'!$C$8:$C$239,0))),"")</f>
        <v/>
      </c>
      <c r="M134" s="1064"/>
      <c r="N134" s="1064"/>
      <c r="O134" s="1109" t="str">
        <f t="shared" si="11"/>
        <v/>
      </c>
      <c r="P134" s="1065"/>
      <c r="Q134" s="1065"/>
      <c r="R134" s="1066"/>
      <c r="S134" s="1064"/>
      <c r="T134" s="1064"/>
      <c r="U134" s="1109" t="str">
        <f t="shared" si="12"/>
        <v/>
      </c>
      <c r="V134" s="1065"/>
      <c r="W134" s="1065"/>
      <c r="X134" s="1066"/>
      <c r="Y134" s="1110"/>
      <c r="Z134" s="1110"/>
      <c r="AA134" s="1111" t="str">
        <f t="shared" si="13"/>
        <v/>
      </c>
      <c r="AB134" s="1112"/>
      <c r="AC134" s="1113"/>
    </row>
    <row r="135" spans="1:29" x14ac:dyDescent="0.2">
      <c r="A135" s="648">
        <f t="shared" si="9"/>
        <v>125</v>
      </c>
      <c r="B135" s="648" t="str">
        <f t="shared" si="10"/>
        <v>Coverage125</v>
      </c>
      <c r="C135" s="1027" t="str">
        <f>IFERROR(INDEX('Disaggregation1B_Import-Export'!D$8:D$239,MATCH($B135,'Disaggregation1B_Import-Export'!$C$8:$C$239,0)),"")</f>
        <v/>
      </c>
      <c r="D135" s="1028" t="str">
        <f>IFERROR(INDEX('Disaggregation1B_Import-Export'!AF$8:AF$256,MATCH($B135,'Disaggregation1B_Import-Export'!$C$8:$C$256,0)),"")</f>
        <v/>
      </c>
      <c r="E135" s="1028" t="str">
        <f>IFERROR(IF(INDEX('Disaggregation1B_Import-Export'!AG$8:AG$239,MATCH($B135,'Disaggregation1B_Import-Export'!$C$8:$C$239,0))="","",INDEX('Disaggregation1B_Import-Export'!AG$8:AG$239,MATCH($B135,'Disaggregation1B_Import-Export'!$C$8:$C$239,0))),"")</f>
        <v/>
      </c>
      <c r="F135" s="1028" t="str">
        <f>IFERROR(IF(INDEX('Disaggregation1B_Import-Export'!AH$8:AH$239,MATCH($B135,'Disaggregation1B_Import-Export'!$C$8:$C$239,0))="","",INDEX('Disaggregation1B_Import-Export'!AH$8:AH$239,MATCH($B135,'Disaggregation1B_Import-Export'!$C$8:$C$239,0))),"")</f>
        <v/>
      </c>
      <c r="G135" s="1107" t="str">
        <f>IFERROR(IF(INDEX('Disaggregation1B_Import-Export'!H$8:H$239,MATCH($B135,'Disaggregation1B_Import-Export'!$C$8:$C$239,0))="","",INDEX('Disaggregation1B_Import-Export'!H$8:H$239,MATCH($B135,'Disaggregation1B_Import-Export'!$C$8:$C$239,0))),"")</f>
        <v/>
      </c>
      <c r="H135" s="1107" t="str">
        <f>IFERROR(IF(INDEX('Disaggregation1B_Import-Export'!I$8:I$239,MATCH($B135,'Disaggregation1B_Import-Export'!$C$8:$C$239,0))="","",INDEX('Disaggregation1B_Import-Export'!I$8:I$239,MATCH($B135,'Disaggregation1B_Import-Export'!$C$8:$C$239,0))),"")</f>
        <v/>
      </c>
      <c r="I135" s="1108" t="str">
        <f>IFERROR(IF(INDEX('Disaggregation1B_Import-Export'!J$8:J$239,MATCH($B135,'Disaggregation1B_Import-Export'!$C$8:$C$239,0))="","",INDEX('Disaggregation1B_Import-Export'!J$8:J$239,MATCH($B135,'Disaggregation1B_Import-Export'!$C$8:$C$239,0))),"")</f>
        <v/>
      </c>
      <c r="J135" s="1028" t="str">
        <f>IFERROR(IF(INDEX('Disaggregation1B_Import-Export'!K$8:K$239,MATCH($B135,'Disaggregation1B_Import-Export'!$C$8:$C$239,0))="","",INDEX('Disaggregation1B_Import-Export'!K$8:K$239,MATCH($B135,'Disaggregation1B_Import-Export'!$C$8:$C$239,0))),"")</f>
        <v/>
      </c>
      <c r="K135" s="1028" t="str">
        <f>IFERROR(IF(INDEX('Disaggregation1B_Import-Export'!L$8:L$239,MATCH($B135,'Disaggregation1B_Import-Export'!$C$8:$C$239,0))="","",INDEX('Disaggregation1B_Import-Export'!L$8:L$239,MATCH($B135,'Disaggregation1B_Import-Export'!$C$8:$C$239,0))),"")</f>
        <v/>
      </c>
      <c r="L135" s="1028" t="str">
        <f>IFERROR(IF(INDEX('Disaggregation1B_Import-Export'!AQ$8:AQ$239,MATCH($B135,'Disaggregation1B_Import-Export'!$C$8:$C$239,0))="","",INDEX('Disaggregation1B_Import-Export'!AQ$8:AQ$239,MATCH($B135,'Disaggregation1B_Import-Export'!$C$8:$C$239,0))),"")</f>
        <v/>
      </c>
      <c r="M135" s="1064"/>
      <c r="N135" s="1064"/>
      <c r="O135" s="1109" t="str">
        <f t="shared" si="11"/>
        <v/>
      </c>
      <c r="P135" s="1065"/>
      <c r="Q135" s="1065"/>
      <c r="R135" s="1066"/>
      <c r="S135" s="1064"/>
      <c r="T135" s="1064"/>
      <c r="U135" s="1109" t="str">
        <f t="shared" si="12"/>
        <v/>
      </c>
      <c r="V135" s="1065"/>
      <c r="W135" s="1065"/>
      <c r="X135" s="1066"/>
      <c r="Y135" s="1110"/>
      <c r="Z135" s="1110"/>
      <c r="AA135" s="1111" t="str">
        <f t="shared" si="13"/>
        <v/>
      </c>
      <c r="AB135" s="1112"/>
      <c r="AC135" s="1113"/>
    </row>
    <row r="136" spans="1:29" x14ac:dyDescent="0.2">
      <c r="A136" s="648">
        <f t="shared" si="9"/>
        <v>126</v>
      </c>
      <c r="B136" s="648" t="str">
        <f t="shared" si="10"/>
        <v>Coverage126</v>
      </c>
      <c r="C136" s="1027" t="str">
        <f>IFERROR(INDEX('Disaggregation1B_Import-Export'!D$8:D$239,MATCH($B136,'Disaggregation1B_Import-Export'!$C$8:$C$239,0)),"")</f>
        <v/>
      </c>
      <c r="D136" s="1028" t="str">
        <f>IFERROR(INDEX('Disaggregation1B_Import-Export'!AF$8:AF$256,MATCH($B136,'Disaggregation1B_Import-Export'!$C$8:$C$256,0)),"")</f>
        <v/>
      </c>
      <c r="E136" s="1028" t="str">
        <f>IFERROR(IF(INDEX('Disaggregation1B_Import-Export'!AG$8:AG$239,MATCH($B136,'Disaggregation1B_Import-Export'!$C$8:$C$239,0))="","",INDEX('Disaggregation1B_Import-Export'!AG$8:AG$239,MATCH($B136,'Disaggregation1B_Import-Export'!$C$8:$C$239,0))),"")</f>
        <v/>
      </c>
      <c r="F136" s="1028" t="str">
        <f>IFERROR(IF(INDEX('Disaggregation1B_Import-Export'!AH$8:AH$239,MATCH($B136,'Disaggregation1B_Import-Export'!$C$8:$C$239,0))="","",INDEX('Disaggregation1B_Import-Export'!AH$8:AH$239,MATCH($B136,'Disaggregation1B_Import-Export'!$C$8:$C$239,0))),"")</f>
        <v/>
      </c>
      <c r="G136" s="1107" t="str">
        <f>IFERROR(IF(INDEX('Disaggregation1B_Import-Export'!H$8:H$239,MATCH($B136,'Disaggregation1B_Import-Export'!$C$8:$C$239,0))="","",INDEX('Disaggregation1B_Import-Export'!H$8:H$239,MATCH($B136,'Disaggregation1B_Import-Export'!$C$8:$C$239,0))),"")</f>
        <v/>
      </c>
      <c r="H136" s="1107" t="str">
        <f>IFERROR(IF(INDEX('Disaggregation1B_Import-Export'!I$8:I$239,MATCH($B136,'Disaggregation1B_Import-Export'!$C$8:$C$239,0))="","",INDEX('Disaggregation1B_Import-Export'!I$8:I$239,MATCH($B136,'Disaggregation1B_Import-Export'!$C$8:$C$239,0))),"")</f>
        <v/>
      </c>
      <c r="I136" s="1108" t="str">
        <f>IFERROR(IF(INDEX('Disaggregation1B_Import-Export'!J$8:J$239,MATCH($B136,'Disaggregation1B_Import-Export'!$C$8:$C$239,0))="","",INDEX('Disaggregation1B_Import-Export'!J$8:J$239,MATCH($B136,'Disaggregation1B_Import-Export'!$C$8:$C$239,0))),"")</f>
        <v/>
      </c>
      <c r="J136" s="1028" t="str">
        <f>IFERROR(IF(INDEX('Disaggregation1B_Import-Export'!K$8:K$239,MATCH($B136,'Disaggregation1B_Import-Export'!$C$8:$C$239,0))="","",INDEX('Disaggregation1B_Import-Export'!K$8:K$239,MATCH($B136,'Disaggregation1B_Import-Export'!$C$8:$C$239,0))),"")</f>
        <v/>
      </c>
      <c r="K136" s="1028" t="str">
        <f>IFERROR(IF(INDEX('Disaggregation1B_Import-Export'!L$8:L$239,MATCH($B136,'Disaggregation1B_Import-Export'!$C$8:$C$239,0))="","",INDEX('Disaggregation1B_Import-Export'!L$8:L$239,MATCH($B136,'Disaggregation1B_Import-Export'!$C$8:$C$239,0))),"")</f>
        <v/>
      </c>
      <c r="L136" s="1028" t="str">
        <f>IFERROR(IF(INDEX('Disaggregation1B_Import-Export'!AQ$8:AQ$239,MATCH($B136,'Disaggregation1B_Import-Export'!$C$8:$C$239,0))="","",INDEX('Disaggregation1B_Import-Export'!AQ$8:AQ$239,MATCH($B136,'Disaggregation1B_Import-Export'!$C$8:$C$239,0))),"")</f>
        <v/>
      </c>
      <c r="M136" s="1064"/>
      <c r="N136" s="1064"/>
      <c r="O136" s="1109" t="str">
        <f t="shared" si="11"/>
        <v/>
      </c>
      <c r="P136" s="1065"/>
      <c r="Q136" s="1065"/>
      <c r="R136" s="1066"/>
      <c r="S136" s="1064"/>
      <c r="T136" s="1064"/>
      <c r="U136" s="1109" t="str">
        <f t="shared" si="12"/>
        <v/>
      </c>
      <c r="V136" s="1065"/>
      <c r="W136" s="1065"/>
      <c r="X136" s="1066"/>
      <c r="Y136" s="1110"/>
      <c r="Z136" s="1110"/>
      <c r="AA136" s="1111" t="str">
        <f t="shared" si="13"/>
        <v/>
      </c>
      <c r="AB136" s="1112"/>
      <c r="AC136" s="1113"/>
    </row>
    <row r="137" spans="1:29" x14ac:dyDescent="0.2">
      <c r="A137" s="648">
        <f t="shared" si="9"/>
        <v>127</v>
      </c>
      <c r="B137" s="648" t="str">
        <f t="shared" si="10"/>
        <v>Coverage127</v>
      </c>
      <c r="C137" s="1027" t="str">
        <f>IFERROR(INDEX('Disaggregation1B_Import-Export'!D$8:D$239,MATCH($B137,'Disaggregation1B_Import-Export'!$C$8:$C$239,0)),"")</f>
        <v/>
      </c>
      <c r="D137" s="1028" t="str">
        <f>IFERROR(INDEX('Disaggregation1B_Import-Export'!AF$8:AF$256,MATCH($B137,'Disaggregation1B_Import-Export'!$C$8:$C$256,0)),"")</f>
        <v/>
      </c>
      <c r="E137" s="1028" t="str">
        <f>IFERROR(IF(INDEX('Disaggregation1B_Import-Export'!AG$8:AG$239,MATCH($B137,'Disaggregation1B_Import-Export'!$C$8:$C$239,0))="","",INDEX('Disaggregation1B_Import-Export'!AG$8:AG$239,MATCH($B137,'Disaggregation1B_Import-Export'!$C$8:$C$239,0))),"")</f>
        <v/>
      </c>
      <c r="F137" s="1028" t="str">
        <f>IFERROR(IF(INDEX('Disaggregation1B_Import-Export'!AH$8:AH$239,MATCH($B137,'Disaggregation1B_Import-Export'!$C$8:$C$239,0))="","",INDEX('Disaggregation1B_Import-Export'!AH$8:AH$239,MATCH($B137,'Disaggregation1B_Import-Export'!$C$8:$C$239,0))),"")</f>
        <v/>
      </c>
      <c r="G137" s="1107" t="str">
        <f>IFERROR(IF(INDEX('Disaggregation1B_Import-Export'!H$8:H$239,MATCH($B137,'Disaggregation1B_Import-Export'!$C$8:$C$239,0))="","",INDEX('Disaggregation1B_Import-Export'!H$8:H$239,MATCH($B137,'Disaggregation1B_Import-Export'!$C$8:$C$239,0))),"")</f>
        <v/>
      </c>
      <c r="H137" s="1107" t="str">
        <f>IFERROR(IF(INDEX('Disaggregation1B_Import-Export'!I$8:I$239,MATCH($B137,'Disaggregation1B_Import-Export'!$C$8:$C$239,0))="","",INDEX('Disaggregation1B_Import-Export'!I$8:I$239,MATCH($B137,'Disaggregation1B_Import-Export'!$C$8:$C$239,0))),"")</f>
        <v/>
      </c>
      <c r="I137" s="1108" t="str">
        <f>IFERROR(IF(INDEX('Disaggregation1B_Import-Export'!J$8:J$239,MATCH($B137,'Disaggregation1B_Import-Export'!$C$8:$C$239,0))="","",INDEX('Disaggregation1B_Import-Export'!J$8:J$239,MATCH($B137,'Disaggregation1B_Import-Export'!$C$8:$C$239,0))),"")</f>
        <v/>
      </c>
      <c r="J137" s="1028" t="str">
        <f>IFERROR(IF(INDEX('Disaggregation1B_Import-Export'!K$8:K$239,MATCH($B137,'Disaggregation1B_Import-Export'!$C$8:$C$239,0))="","",INDEX('Disaggregation1B_Import-Export'!K$8:K$239,MATCH($B137,'Disaggregation1B_Import-Export'!$C$8:$C$239,0))),"")</f>
        <v/>
      </c>
      <c r="K137" s="1028" t="str">
        <f>IFERROR(IF(INDEX('Disaggregation1B_Import-Export'!L$8:L$239,MATCH($B137,'Disaggregation1B_Import-Export'!$C$8:$C$239,0))="","",INDEX('Disaggregation1B_Import-Export'!L$8:L$239,MATCH($B137,'Disaggregation1B_Import-Export'!$C$8:$C$239,0))),"")</f>
        <v/>
      </c>
      <c r="L137" s="1028" t="str">
        <f>IFERROR(IF(INDEX('Disaggregation1B_Import-Export'!AQ$8:AQ$239,MATCH($B137,'Disaggregation1B_Import-Export'!$C$8:$C$239,0))="","",INDEX('Disaggregation1B_Import-Export'!AQ$8:AQ$239,MATCH($B137,'Disaggregation1B_Import-Export'!$C$8:$C$239,0))),"")</f>
        <v/>
      </c>
      <c r="M137" s="1064"/>
      <c r="N137" s="1064"/>
      <c r="O137" s="1109" t="str">
        <f t="shared" si="11"/>
        <v/>
      </c>
      <c r="P137" s="1065"/>
      <c r="Q137" s="1065"/>
      <c r="R137" s="1066"/>
      <c r="S137" s="1064"/>
      <c r="T137" s="1064"/>
      <c r="U137" s="1109" t="str">
        <f t="shared" si="12"/>
        <v/>
      </c>
      <c r="V137" s="1065"/>
      <c r="W137" s="1065"/>
      <c r="X137" s="1066"/>
      <c r="Y137" s="1110"/>
      <c r="Z137" s="1110"/>
      <c r="AA137" s="1111" t="str">
        <f t="shared" si="13"/>
        <v/>
      </c>
      <c r="AB137" s="1112"/>
      <c r="AC137" s="1113"/>
    </row>
    <row r="138" spans="1:29" x14ac:dyDescent="0.2">
      <c r="A138" s="648">
        <f t="shared" si="9"/>
        <v>128</v>
      </c>
      <c r="B138" s="648" t="str">
        <f t="shared" si="10"/>
        <v>Coverage128</v>
      </c>
      <c r="C138" s="1027" t="str">
        <f>IFERROR(INDEX('Disaggregation1B_Import-Export'!D$8:D$239,MATCH($B138,'Disaggregation1B_Import-Export'!$C$8:$C$239,0)),"")</f>
        <v/>
      </c>
      <c r="D138" s="1028" t="str">
        <f>IFERROR(INDEX('Disaggregation1B_Import-Export'!AF$8:AF$256,MATCH($B138,'Disaggregation1B_Import-Export'!$C$8:$C$256,0)),"")</f>
        <v/>
      </c>
      <c r="E138" s="1028" t="str">
        <f>IFERROR(IF(INDEX('Disaggregation1B_Import-Export'!AG$8:AG$239,MATCH($B138,'Disaggregation1B_Import-Export'!$C$8:$C$239,0))="","",INDEX('Disaggregation1B_Import-Export'!AG$8:AG$239,MATCH($B138,'Disaggregation1B_Import-Export'!$C$8:$C$239,0))),"")</f>
        <v/>
      </c>
      <c r="F138" s="1028" t="str">
        <f>IFERROR(IF(INDEX('Disaggregation1B_Import-Export'!AH$8:AH$239,MATCH($B138,'Disaggregation1B_Import-Export'!$C$8:$C$239,0))="","",INDEX('Disaggregation1B_Import-Export'!AH$8:AH$239,MATCH($B138,'Disaggregation1B_Import-Export'!$C$8:$C$239,0))),"")</f>
        <v/>
      </c>
      <c r="G138" s="1107" t="str">
        <f>IFERROR(IF(INDEX('Disaggregation1B_Import-Export'!H$8:H$239,MATCH($B138,'Disaggregation1B_Import-Export'!$C$8:$C$239,0))="","",INDEX('Disaggregation1B_Import-Export'!H$8:H$239,MATCH($B138,'Disaggregation1B_Import-Export'!$C$8:$C$239,0))),"")</f>
        <v/>
      </c>
      <c r="H138" s="1107" t="str">
        <f>IFERROR(IF(INDEX('Disaggregation1B_Import-Export'!I$8:I$239,MATCH($B138,'Disaggregation1B_Import-Export'!$C$8:$C$239,0))="","",INDEX('Disaggregation1B_Import-Export'!I$8:I$239,MATCH($B138,'Disaggregation1B_Import-Export'!$C$8:$C$239,0))),"")</f>
        <v/>
      </c>
      <c r="I138" s="1108" t="str">
        <f>IFERROR(IF(INDEX('Disaggregation1B_Import-Export'!J$8:J$239,MATCH($B138,'Disaggregation1B_Import-Export'!$C$8:$C$239,0))="","",INDEX('Disaggregation1B_Import-Export'!J$8:J$239,MATCH($B138,'Disaggregation1B_Import-Export'!$C$8:$C$239,0))),"")</f>
        <v/>
      </c>
      <c r="J138" s="1028" t="str">
        <f>IFERROR(IF(INDEX('Disaggregation1B_Import-Export'!K$8:K$239,MATCH($B138,'Disaggregation1B_Import-Export'!$C$8:$C$239,0))="","",INDEX('Disaggregation1B_Import-Export'!K$8:K$239,MATCH($B138,'Disaggregation1B_Import-Export'!$C$8:$C$239,0))),"")</f>
        <v/>
      </c>
      <c r="K138" s="1028" t="str">
        <f>IFERROR(IF(INDEX('Disaggregation1B_Import-Export'!L$8:L$239,MATCH($B138,'Disaggregation1B_Import-Export'!$C$8:$C$239,0))="","",INDEX('Disaggregation1B_Import-Export'!L$8:L$239,MATCH($B138,'Disaggregation1B_Import-Export'!$C$8:$C$239,0))),"")</f>
        <v/>
      </c>
      <c r="L138" s="1028" t="str">
        <f>IFERROR(IF(INDEX('Disaggregation1B_Import-Export'!AQ$8:AQ$239,MATCH($B138,'Disaggregation1B_Import-Export'!$C$8:$C$239,0))="","",INDEX('Disaggregation1B_Import-Export'!AQ$8:AQ$239,MATCH($B138,'Disaggregation1B_Import-Export'!$C$8:$C$239,0))),"")</f>
        <v/>
      </c>
      <c r="M138" s="1064"/>
      <c r="N138" s="1064"/>
      <c r="O138" s="1109" t="str">
        <f t="shared" si="11"/>
        <v/>
      </c>
      <c r="P138" s="1065"/>
      <c r="Q138" s="1065"/>
      <c r="R138" s="1066"/>
      <c r="S138" s="1064"/>
      <c r="T138" s="1064"/>
      <c r="U138" s="1109" t="str">
        <f t="shared" si="12"/>
        <v/>
      </c>
      <c r="V138" s="1065"/>
      <c r="W138" s="1065"/>
      <c r="X138" s="1066"/>
      <c r="Y138" s="1110"/>
      <c r="Z138" s="1110"/>
      <c r="AA138" s="1111" t="str">
        <f t="shared" si="13"/>
        <v/>
      </c>
      <c r="AB138" s="1112"/>
      <c r="AC138" s="1113"/>
    </row>
    <row r="139" spans="1:29" x14ac:dyDescent="0.2">
      <c r="A139" s="648">
        <f t="shared" si="9"/>
        <v>129</v>
      </c>
      <c r="B139" s="648" t="str">
        <f t="shared" si="10"/>
        <v>Coverage129</v>
      </c>
      <c r="C139" s="1027" t="str">
        <f>IFERROR(INDEX('Disaggregation1B_Import-Export'!D$8:D$239,MATCH($B139,'Disaggregation1B_Import-Export'!$C$8:$C$239,0)),"")</f>
        <v/>
      </c>
      <c r="D139" s="1028" t="str">
        <f>IFERROR(INDEX('Disaggregation1B_Import-Export'!AF$8:AF$256,MATCH($B139,'Disaggregation1B_Import-Export'!$C$8:$C$256,0)),"")</f>
        <v/>
      </c>
      <c r="E139" s="1028" t="str">
        <f>IFERROR(IF(INDEX('Disaggregation1B_Import-Export'!AG$8:AG$239,MATCH($B139,'Disaggregation1B_Import-Export'!$C$8:$C$239,0))="","",INDEX('Disaggregation1B_Import-Export'!AG$8:AG$239,MATCH($B139,'Disaggregation1B_Import-Export'!$C$8:$C$239,0))),"")</f>
        <v/>
      </c>
      <c r="F139" s="1028" t="str">
        <f>IFERROR(IF(INDEX('Disaggregation1B_Import-Export'!AH$8:AH$239,MATCH($B139,'Disaggregation1B_Import-Export'!$C$8:$C$239,0))="","",INDEX('Disaggregation1B_Import-Export'!AH$8:AH$239,MATCH($B139,'Disaggregation1B_Import-Export'!$C$8:$C$239,0))),"")</f>
        <v/>
      </c>
      <c r="G139" s="1107" t="str">
        <f>IFERROR(IF(INDEX('Disaggregation1B_Import-Export'!H$8:H$239,MATCH($B139,'Disaggregation1B_Import-Export'!$C$8:$C$239,0))="","",INDEX('Disaggregation1B_Import-Export'!H$8:H$239,MATCH($B139,'Disaggregation1B_Import-Export'!$C$8:$C$239,0))),"")</f>
        <v/>
      </c>
      <c r="H139" s="1107" t="str">
        <f>IFERROR(IF(INDEX('Disaggregation1B_Import-Export'!I$8:I$239,MATCH($B139,'Disaggregation1B_Import-Export'!$C$8:$C$239,0))="","",INDEX('Disaggregation1B_Import-Export'!I$8:I$239,MATCH($B139,'Disaggregation1B_Import-Export'!$C$8:$C$239,0))),"")</f>
        <v/>
      </c>
      <c r="I139" s="1108" t="str">
        <f>IFERROR(IF(INDEX('Disaggregation1B_Import-Export'!J$8:J$239,MATCH($B139,'Disaggregation1B_Import-Export'!$C$8:$C$239,0))="","",INDEX('Disaggregation1B_Import-Export'!J$8:J$239,MATCH($B139,'Disaggregation1B_Import-Export'!$C$8:$C$239,0))),"")</f>
        <v/>
      </c>
      <c r="J139" s="1028" t="str">
        <f>IFERROR(IF(INDEX('Disaggregation1B_Import-Export'!K$8:K$239,MATCH($B139,'Disaggregation1B_Import-Export'!$C$8:$C$239,0))="","",INDEX('Disaggregation1B_Import-Export'!K$8:K$239,MATCH($B139,'Disaggregation1B_Import-Export'!$C$8:$C$239,0))),"")</f>
        <v/>
      </c>
      <c r="K139" s="1028" t="str">
        <f>IFERROR(IF(INDEX('Disaggregation1B_Import-Export'!L$8:L$239,MATCH($B139,'Disaggregation1B_Import-Export'!$C$8:$C$239,0))="","",INDEX('Disaggregation1B_Import-Export'!L$8:L$239,MATCH($B139,'Disaggregation1B_Import-Export'!$C$8:$C$239,0))),"")</f>
        <v/>
      </c>
      <c r="L139" s="1028" t="str">
        <f>IFERROR(IF(INDEX('Disaggregation1B_Import-Export'!AQ$8:AQ$239,MATCH($B139,'Disaggregation1B_Import-Export'!$C$8:$C$239,0))="","",INDEX('Disaggregation1B_Import-Export'!AQ$8:AQ$239,MATCH($B139,'Disaggregation1B_Import-Export'!$C$8:$C$239,0))),"")</f>
        <v/>
      </c>
      <c r="M139" s="1064"/>
      <c r="N139" s="1064"/>
      <c r="O139" s="1109" t="str">
        <f t="shared" si="11"/>
        <v/>
      </c>
      <c r="P139" s="1065"/>
      <c r="Q139" s="1065"/>
      <c r="R139" s="1066"/>
      <c r="S139" s="1064"/>
      <c r="T139" s="1064"/>
      <c r="U139" s="1109" t="str">
        <f t="shared" si="12"/>
        <v/>
      </c>
      <c r="V139" s="1065"/>
      <c r="W139" s="1065"/>
      <c r="X139" s="1066"/>
      <c r="Y139" s="1110"/>
      <c r="Z139" s="1110"/>
      <c r="AA139" s="1111" t="str">
        <f t="shared" si="13"/>
        <v/>
      </c>
      <c r="AB139" s="1112"/>
      <c r="AC139" s="1113"/>
    </row>
    <row r="140" spans="1:29" x14ac:dyDescent="0.2">
      <c r="A140" s="648">
        <f t="shared" ref="A140:A150" si="14">A139+1</f>
        <v>130</v>
      </c>
      <c r="B140" s="648" t="str">
        <f t="shared" si="10"/>
        <v>Coverage130</v>
      </c>
      <c r="C140" s="1027" t="str">
        <f>IFERROR(INDEX('Disaggregation1B_Import-Export'!D$8:D$239,MATCH($B140,'Disaggregation1B_Import-Export'!$C$8:$C$239,0)),"")</f>
        <v/>
      </c>
      <c r="D140" s="1028" t="str">
        <f>IFERROR(INDEX('Disaggregation1B_Import-Export'!AF$8:AF$256,MATCH($B140,'Disaggregation1B_Import-Export'!$C$8:$C$256,0)),"")</f>
        <v/>
      </c>
      <c r="E140" s="1028" t="str">
        <f>IFERROR(IF(INDEX('Disaggregation1B_Import-Export'!AG$8:AG$239,MATCH($B140,'Disaggregation1B_Import-Export'!$C$8:$C$239,0))="","",INDEX('Disaggregation1B_Import-Export'!AG$8:AG$239,MATCH($B140,'Disaggregation1B_Import-Export'!$C$8:$C$239,0))),"")</f>
        <v/>
      </c>
      <c r="F140" s="1028" t="str">
        <f>IFERROR(IF(INDEX('Disaggregation1B_Import-Export'!AH$8:AH$239,MATCH($B140,'Disaggregation1B_Import-Export'!$C$8:$C$239,0))="","",INDEX('Disaggregation1B_Import-Export'!AH$8:AH$239,MATCH($B140,'Disaggregation1B_Import-Export'!$C$8:$C$239,0))),"")</f>
        <v/>
      </c>
      <c r="G140" s="1107" t="str">
        <f>IFERROR(IF(INDEX('Disaggregation1B_Import-Export'!H$8:H$239,MATCH($B140,'Disaggregation1B_Import-Export'!$C$8:$C$239,0))="","",INDEX('Disaggregation1B_Import-Export'!H$8:H$239,MATCH($B140,'Disaggregation1B_Import-Export'!$C$8:$C$239,0))),"")</f>
        <v/>
      </c>
      <c r="H140" s="1107" t="str">
        <f>IFERROR(IF(INDEX('Disaggregation1B_Import-Export'!I$8:I$239,MATCH($B140,'Disaggregation1B_Import-Export'!$C$8:$C$239,0))="","",INDEX('Disaggregation1B_Import-Export'!I$8:I$239,MATCH($B140,'Disaggregation1B_Import-Export'!$C$8:$C$239,0))),"")</f>
        <v/>
      </c>
      <c r="I140" s="1108" t="str">
        <f>IFERROR(IF(INDEX('Disaggregation1B_Import-Export'!J$8:J$239,MATCH($B140,'Disaggregation1B_Import-Export'!$C$8:$C$239,0))="","",INDEX('Disaggregation1B_Import-Export'!J$8:J$239,MATCH($B140,'Disaggregation1B_Import-Export'!$C$8:$C$239,0))),"")</f>
        <v/>
      </c>
      <c r="J140" s="1028" t="str">
        <f>IFERROR(IF(INDEX('Disaggregation1B_Import-Export'!K$8:K$239,MATCH($B140,'Disaggregation1B_Import-Export'!$C$8:$C$239,0))="","",INDEX('Disaggregation1B_Import-Export'!K$8:K$239,MATCH($B140,'Disaggregation1B_Import-Export'!$C$8:$C$239,0))),"")</f>
        <v/>
      </c>
      <c r="K140" s="1028" t="str">
        <f>IFERROR(IF(INDEX('Disaggregation1B_Import-Export'!L$8:L$239,MATCH($B140,'Disaggregation1B_Import-Export'!$C$8:$C$239,0))="","",INDEX('Disaggregation1B_Import-Export'!L$8:L$239,MATCH($B140,'Disaggregation1B_Import-Export'!$C$8:$C$239,0))),"")</f>
        <v/>
      </c>
      <c r="L140" s="1028" t="str">
        <f>IFERROR(IF(INDEX('Disaggregation1B_Import-Export'!AQ$8:AQ$239,MATCH($B140,'Disaggregation1B_Import-Export'!$C$8:$C$239,0))="","",INDEX('Disaggregation1B_Import-Export'!AQ$8:AQ$239,MATCH($B140,'Disaggregation1B_Import-Export'!$C$8:$C$239,0))),"")</f>
        <v/>
      </c>
      <c r="M140" s="1064"/>
      <c r="N140" s="1064"/>
      <c r="O140" s="1109" t="str">
        <f t="shared" si="11"/>
        <v/>
      </c>
      <c r="P140" s="1065"/>
      <c r="Q140" s="1065"/>
      <c r="R140" s="1066"/>
      <c r="S140" s="1064"/>
      <c r="T140" s="1064"/>
      <c r="U140" s="1109" t="str">
        <f t="shared" si="12"/>
        <v/>
      </c>
      <c r="V140" s="1065"/>
      <c r="W140" s="1065"/>
      <c r="X140" s="1066"/>
      <c r="Y140" s="1110"/>
      <c r="Z140" s="1110"/>
      <c r="AA140" s="1111" t="str">
        <f t="shared" si="13"/>
        <v/>
      </c>
      <c r="AB140" s="1112"/>
      <c r="AC140" s="1113"/>
    </row>
    <row r="141" spans="1:29" x14ac:dyDescent="0.2">
      <c r="A141" s="648">
        <f t="shared" si="14"/>
        <v>131</v>
      </c>
      <c r="B141" s="648" t="str">
        <f t="shared" si="10"/>
        <v>Coverage131</v>
      </c>
      <c r="C141" s="1027" t="str">
        <f>IFERROR(INDEX('Disaggregation1B_Import-Export'!D$8:D$239,MATCH($B141,'Disaggregation1B_Import-Export'!$C$8:$C$239,0)),"")</f>
        <v/>
      </c>
      <c r="D141" s="1028" t="str">
        <f>IFERROR(INDEX('Disaggregation1B_Import-Export'!AF$8:AF$256,MATCH($B141,'Disaggregation1B_Import-Export'!$C$8:$C$256,0)),"")</f>
        <v/>
      </c>
      <c r="E141" s="1028" t="str">
        <f>IFERROR(IF(INDEX('Disaggregation1B_Import-Export'!AG$8:AG$239,MATCH($B141,'Disaggregation1B_Import-Export'!$C$8:$C$239,0))="","",INDEX('Disaggregation1B_Import-Export'!AG$8:AG$239,MATCH($B141,'Disaggregation1B_Import-Export'!$C$8:$C$239,0))),"")</f>
        <v/>
      </c>
      <c r="F141" s="1028" t="str">
        <f>IFERROR(IF(INDEX('Disaggregation1B_Import-Export'!AH$8:AH$239,MATCH($B141,'Disaggregation1B_Import-Export'!$C$8:$C$239,0))="","",INDEX('Disaggregation1B_Import-Export'!AH$8:AH$239,MATCH($B141,'Disaggregation1B_Import-Export'!$C$8:$C$239,0))),"")</f>
        <v/>
      </c>
      <c r="G141" s="1107" t="str">
        <f>IFERROR(IF(INDEX('Disaggregation1B_Import-Export'!H$8:H$239,MATCH($B141,'Disaggregation1B_Import-Export'!$C$8:$C$239,0))="","",INDEX('Disaggregation1B_Import-Export'!H$8:H$239,MATCH($B141,'Disaggregation1B_Import-Export'!$C$8:$C$239,0))),"")</f>
        <v/>
      </c>
      <c r="H141" s="1107" t="str">
        <f>IFERROR(IF(INDEX('Disaggregation1B_Import-Export'!I$8:I$239,MATCH($B141,'Disaggregation1B_Import-Export'!$C$8:$C$239,0))="","",INDEX('Disaggregation1B_Import-Export'!I$8:I$239,MATCH($B141,'Disaggregation1B_Import-Export'!$C$8:$C$239,0))),"")</f>
        <v/>
      </c>
      <c r="I141" s="1108" t="str">
        <f>IFERROR(IF(INDEX('Disaggregation1B_Import-Export'!J$8:J$239,MATCH($B141,'Disaggregation1B_Import-Export'!$C$8:$C$239,0))="","",INDEX('Disaggregation1B_Import-Export'!J$8:J$239,MATCH($B141,'Disaggregation1B_Import-Export'!$C$8:$C$239,0))),"")</f>
        <v/>
      </c>
      <c r="J141" s="1028" t="str">
        <f>IFERROR(IF(INDEX('Disaggregation1B_Import-Export'!K$8:K$239,MATCH($B141,'Disaggregation1B_Import-Export'!$C$8:$C$239,0))="","",INDEX('Disaggregation1B_Import-Export'!K$8:K$239,MATCH($B141,'Disaggregation1B_Import-Export'!$C$8:$C$239,0))),"")</f>
        <v/>
      </c>
      <c r="K141" s="1028" t="str">
        <f>IFERROR(IF(INDEX('Disaggregation1B_Import-Export'!L$8:L$239,MATCH($B141,'Disaggregation1B_Import-Export'!$C$8:$C$239,0))="","",INDEX('Disaggregation1B_Import-Export'!L$8:L$239,MATCH($B141,'Disaggregation1B_Import-Export'!$C$8:$C$239,0))),"")</f>
        <v/>
      </c>
      <c r="L141" s="1028" t="str">
        <f>IFERROR(IF(INDEX('Disaggregation1B_Import-Export'!AQ$8:AQ$239,MATCH($B141,'Disaggregation1B_Import-Export'!$C$8:$C$239,0))="","",INDEX('Disaggregation1B_Import-Export'!AQ$8:AQ$239,MATCH($B141,'Disaggregation1B_Import-Export'!$C$8:$C$239,0))),"")</f>
        <v/>
      </c>
      <c r="M141" s="1064"/>
      <c r="N141" s="1064"/>
      <c r="O141" s="1109" t="str">
        <f t="shared" si="11"/>
        <v/>
      </c>
      <c r="P141" s="1065"/>
      <c r="Q141" s="1065"/>
      <c r="R141" s="1066"/>
      <c r="S141" s="1064"/>
      <c r="T141" s="1064"/>
      <c r="U141" s="1109" t="str">
        <f t="shared" si="12"/>
        <v/>
      </c>
      <c r="V141" s="1065"/>
      <c r="W141" s="1065"/>
      <c r="X141" s="1066"/>
      <c r="Y141" s="1110"/>
      <c r="Z141" s="1110"/>
      <c r="AA141" s="1111" t="str">
        <f t="shared" si="13"/>
        <v/>
      </c>
      <c r="AB141" s="1112"/>
      <c r="AC141" s="1113"/>
    </row>
    <row r="142" spans="1:29" x14ac:dyDescent="0.2">
      <c r="A142" s="648">
        <f t="shared" si="14"/>
        <v>132</v>
      </c>
      <c r="B142" s="648" t="str">
        <f t="shared" si="10"/>
        <v>Coverage132</v>
      </c>
      <c r="C142" s="1027" t="str">
        <f>IFERROR(INDEX('Disaggregation1B_Import-Export'!D$8:D$239,MATCH($B142,'Disaggregation1B_Import-Export'!$C$8:$C$239,0)),"")</f>
        <v/>
      </c>
      <c r="D142" s="1028" t="str">
        <f>IFERROR(INDEX('Disaggregation1B_Import-Export'!AF$8:AF$256,MATCH($B142,'Disaggregation1B_Import-Export'!$C$8:$C$256,0)),"")</f>
        <v/>
      </c>
      <c r="E142" s="1028" t="str">
        <f>IFERROR(IF(INDEX('Disaggregation1B_Import-Export'!AG$8:AG$239,MATCH($B142,'Disaggregation1B_Import-Export'!$C$8:$C$239,0))="","",INDEX('Disaggregation1B_Import-Export'!AG$8:AG$239,MATCH($B142,'Disaggregation1B_Import-Export'!$C$8:$C$239,0))),"")</f>
        <v/>
      </c>
      <c r="F142" s="1028" t="str">
        <f>IFERROR(IF(INDEX('Disaggregation1B_Import-Export'!AH$8:AH$239,MATCH($B142,'Disaggregation1B_Import-Export'!$C$8:$C$239,0))="","",INDEX('Disaggregation1B_Import-Export'!AH$8:AH$239,MATCH($B142,'Disaggregation1B_Import-Export'!$C$8:$C$239,0))),"")</f>
        <v/>
      </c>
      <c r="G142" s="1107" t="str">
        <f>IFERROR(IF(INDEX('Disaggregation1B_Import-Export'!H$8:H$239,MATCH($B142,'Disaggregation1B_Import-Export'!$C$8:$C$239,0))="","",INDEX('Disaggregation1B_Import-Export'!H$8:H$239,MATCH($B142,'Disaggregation1B_Import-Export'!$C$8:$C$239,0))),"")</f>
        <v/>
      </c>
      <c r="H142" s="1107" t="str">
        <f>IFERROR(IF(INDEX('Disaggregation1B_Import-Export'!I$8:I$239,MATCH($B142,'Disaggregation1B_Import-Export'!$C$8:$C$239,0))="","",INDEX('Disaggregation1B_Import-Export'!I$8:I$239,MATCH($B142,'Disaggregation1B_Import-Export'!$C$8:$C$239,0))),"")</f>
        <v/>
      </c>
      <c r="I142" s="1108" t="str">
        <f>IFERROR(IF(INDEX('Disaggregation1B_Import-Export'!J$8:J$239,MATCH($B142,'Disaggregation1B_Import-Export'!$C$8:$C$239,0))="","",INDEX('Disaggregation1B_Import-Export'!J$8:J$239,MATCH($B142,'Disaggregation1B_Import-Export'!$C$8:$C$239,0))),"")</f>
        <v/>
      </c>
      <c r="J142" s="1028" t="str">
        <f>IFERROR(IF(INDEX('Disaggregation1B_Import-Export'!K$8:K$239,MATCH($B142,'Disaggregation1B_Import-Export'!$C$8:$C$239,0))="","",INDEX('Disaggregation1B_Import-Export'!K$8:K$239,MATCH($B142,'Disaggregation1B_Import-Export'!$C$8:$C$239,0))),"")</f>
        <v/>
      </c>
      <c r="K142" s="1028" t="str">
        <f>IFERROR(IF(INDEX('Disaggregation1B_Import-Export'!L$8:L$239,MATCH($B142,'Disaggregation1B_Import-Export'!$C$8:$C$239,0))="","",INDEX('Disaggregation1B_Import-Export'!L$8:L$239,MATCH($B142,'Disaggregation1B_Import-Export'!$C$8:$C$239,0))),"")</f>
        <v/>
      </c>
      <c r="L142" s="1028" t="str">
        <f>IFERROR(IF(INDEX('Disaggregation1B_Import-Export'!AQ$8:AQ$239,MATCH($B142,'Disaggregation1B_Import-Export'!$C$8:$C$239,0))="","",INDEX('Disaggregation1B_Import-Export'!AQ$8:AQ$239,MATCH($B142,'Disaggregation1B_Import-Export'!$C$8:$C$239,0))),"")</f>
        <v/>
      </c>
      <c r="M142" s="1064"/>
      <c r="N142" s="1064"/>
      <c r="O142" s="1109" t="str">
        <f t="shared" si="11"/>
        <v/>
      </c>
      <c r="P142" s="1065"/>
      <c r="Q142" s="1065"/>
      <c r="R142" s="1066"/>
      <c r="S142" s="1064"/>
      <c r="T142" s="1064"/>
      <c r="U142" s="1109" t="str">
        <f t="shared" si="12"/>
        <v/>
      </c>
      <c r="V142" s="1065"/>
      <c r="W142" s="1065"/>
      <c r="X142" s="1066"/>
      <c r="Y142" s="1110"/>
      <c r="Z142" s="1110"/>
      <c r="AA142" s="1111" t="str">
        <f t="shared" si="13"/>
        <v/>
      </c>
      <c r="AB142" s="1112"/>
      <c r="AC142" s="1113"/>
    </row>
    <row r="143" spans="1:29" x14ac:dyDescent="0.2">
      <c r="A143" s="648">
        <f t="shared" si="14"/>
        <v>133</v>
      </c>
      <c r="B143" s="648" t="str">
        <f t="shared" si="10"/>
        <v>Coverage133</v>
      </c>
      <c r="C143" s="1027" t="str">
        <f>IFERROR(INDEX('Disaggregation1B_Import-Export'!D$8:D$239,MATCH($B143,'Disaggregation1B_Import-Export'!$C$8:$C$239,0)),"")</f>
        <v/>
      </c>
      <c r="D143" s="1028" t="str">
        <f>IFERROR(INDEX('Disaggregation1B_Import-Export'!AF$8:AF$256,MATCH($B143,'Disaggregation1B_Import-Export'!$C$8:$C$256,0)),"")</f>
        <v/>
      </c>
      <c r="E143" s="1028" t="str">
        <f>IFERROR(IF(INDEX('Disaggregation1B_Import-Export'!AG$8:AG$239,MATCH($B143,'Disaggregation1B_Import-Export'!$C$8:$C$239,0))="","",INDEX('Disaggregation1B_Import-Export'!AG$8:AG$239,MATCH($B143,'Disaggregation1B_Import-Export'!$C$8:$C$239,0))),"")</f>
        <v/>
      </c>
      <c r="F143" s="1028" t="str">
        <f>IFERROR(IF(INDEX('Disaggregation1B_Import-Export'!AH$8:AH$239,MATCH($B143,'Disaggregation1B_Import-Export'!$C$8:$C$239,0))="","",INDEX('Disaggregation1B_Import-Export'!AH$8:AH$239,MATCH($B143,'Disaggregation1B_Import-Export'!$C$8:$C$239,0))),"")</f>
        <v/>
      </c>
      <c r="G143" s="1107" t="str">
        <f>IFERROR(IF(INDEX('Disaggregation1B_Import-Export'!H$8:H$239,MATCH($B143,'Disaggregation1B_Import-Export'!$C$8:$C$239,0))="","",INDEX('Disaggregation1B_Import-Export'!H$8:H$239,MATCH($B143,'Disaggregation1B_Import-Export'!$C$8:$C$239,0))),"")</f>
        <v/>
      </c>
      <c r="H143" s="1107" t="str">
        <f>IFERROR(IF(INDEX('Disaggregation1B_Import-Export'!I$8:I$239,MATCH($B143,'Disaggregation1B_Import-Export'!$C$8:$C$239,0))="","",INDEX('Disaggregation1B_Import-Export'!I$8:I$239,MATCH($B143,'Disaggregation1B_Import-Export'!$C$8:$C$239,0))),"")</f>
        <v/>
      </c>
      <c r="I143" s="1108" t="str">
        <f>IFERROR(IF(INDEX('Disaggregation1B_Import-Export'!J$8:J$239,MATCH($B143,'Disaggregation1B_Import-Export'!$C$8:$C$239,0))="","",INDEX('Disaggregation1B_Import-Export'!J$8:J$239,MATCH($B143,'Disaggregation1B_Import-Export'!$C$8:$C$239,0))),"")</f>
        <v/>
      </c>
      <c r="J143" s="1028" t="str">
        <f>IFERROR(IF(INDEX('Disaggregation1B_Import-Export'!K$8:K$239,MATCH($B143,'Disaggregation1B_Import-Export'!$C$8:$C$239,0))="","",INDEX('Disaggregation1B_Import-Export'!K$8:K$239,MATCH($B143,'Disaggregation1B_Import-Export'!$C$8:$C$239,0))),"")</f>
        <v/>
      </c>
      <c r="K143" s="1028" t="str">
        <f>IFERROR(IF(INDEX('Disaggregation1B_Import-Export'!L$8:L$239,MATCH($B143,'Disaggregation1B_Import-Export'!$C$8:$C$239,0))="","",INDEX('Disaggregation1B_Import-Export'!L$8:L$239,MATCH($B143,'Disaggregation1B_Import-Export'!$C$8:$C$239,0))),"")</f>
        <v/>
      </c>
      <c r="L143" s="1028" t="str">
        <f>IFERROR(IF(INDEX('Disaggregation1B_Import-Export'!AQ$8:AQ$239,MATCH($B143,'Disaggregation1B_Import-Export'!$C$8:$C$239,0))="","",INDEX('Disaggregation1B_Import-Export'!AQ$8:AQ$239,MATCH($B143,'Disaggregation1B_Import-Export'!$C$8:$C$239,0))),"")</f>
        <v/>
      </c>
      <c r="M143" s="1064"/>
      <c r="N143" s="1064"/>
      <c r="O143" s="1109" t="str">
        <f t="shared" si="11"/>
        <v/>
      </c>
      <c r="P143" s="1065"/>
      <c r="Q143" s="1065"/>
      <c r="R143" s="1066"/>
      <c r="S143" s="1064"/>
      <c r="T143" s="1064"/>
      <c r="U143" s="1109" t="str">
        <f t="shared" si="12"/>
        <v/>
      </c>
      <c r="V143" s="1065"/>
      <c r="W143" s="1065"/>
      <c r="X143" s="1066"/>
      <c r="Y143" s="1110"/>
      <c r="Z143" s="1110"/>
      <c r="AA143" s="1111" t="str">
        <f t="shared" si="13"/>
        <v/>
      </c>
      <c r="AB143" s="1112"/>
      <c r="AC143" s="1113"/>
    </row>
    <row r="144" spans="1:29" x14ac:dyDescent="0.2">
      <c r="A144" s="648">
        <f t="shared" si="14"/>
        <v>134</v>
      </c>
      <c r="B144" s="648" t="str">
        <f t="shared" si="10"/>
        <v>Coverage134</v>
      </c>
      <c r="C144" s="1027" t="str">
        <f>IFERROR(INDEX('Disaggregation1B_Import-Export'!D$8:D$239,MATCH($B144,'Disaggregation1B_Import-Export'!$C$8:$C$239,0)),"")</f>
        <v/>
      </c>
      <c r="D144" s="1028" t="str">
        <f>IFERROR(INDEX('Disaggregation1B_Import-Export'!AF$8:AF$256,MATCH($B144,'Disaggregation1B_Import-Export'!$C$8:$C$256,0)),"")</f>
        <v/>
      </c>
      <c r="E144" s="1028" t="str">
        <f>IFERROR(IF(INDEX('Disaggregation1B_Import-Export'!AG$8:AG$239,MATCH($B144,'Disaggregation1B_Import-Export'!$C$8:$C$239,0))="","",INDEX('Disaggregation1B_Import-Export'!AG$8:AG$239,MATCH($B144,'Disaggregation1B_Import-Export'!$C$8:$C$239,0))),"")</f>
        <v/>
      </c>
      <c r="F144" s="1028" t="str">
        <f>IFERROR(IF(INDEX('Disaggregation1B_Import-Export'!AH$8:AH$239,MATCH($B144,'Disaggregation1B_Import-Export'!$C$8:$C$239,0))="","",INDEX('Disaggregation1B_Import-Export'!AH$8:AH$239,MATCH($B144,'Disaggregation1B_Import-Export'!$C$8:$C$239,0))),"")</f>
        <v/>
      </c>
      <c r="G144" s="1107" t="str">
        <f>IFERROR(IF(INDEX('Disaggregation1B_Import-Export'!H$8:H$239,MATCH($B144,'Disaggregation1B_Import-Export'!$C$8:$C$239,0))="","",INDEX('Disaggregation1B_Import-Export'!H$8:H$239,MATCH($B144,'Disaggregation1B_Import-Export'!$C$8:$C$239,0))),"")</f>
        <v/>
      </c>
      <c r="H144" s="1107" t="str">
        <f>IFERROR(IF(INDEX('Disaggregation1B_Import-Export'!I$8:I$239,MATCH($B144,'Disaggregation1B_Import-Export'!$C$8:$C$239,0))="","",INDEX('Disaggregation1B_Import-Export'!I$8:I$239,MATCH($B144,'Disaggregation1B_Import-Export'!$C$8:$C$239,0))),"")</f>
        <v/>
      </c>
      <c r="I144" s="1108" t="str">
        <f>IFERROR(IF(INDEX('Disaggregation1B_Import-Export'!J$8:J$239,MATCH($B144,'Disaggregation1B_Import-Export'!$C$8:$C$239,0))="","",INDEX('Disaggregation1B_Import-Export'!J$8:J$239,MATCH($B144,'Disaggregation1B_Import-Export'!$C$8:$C$239,0))),"")</f>
        <v/>
      </c>
      <c r="J144" s="1028" t="str">
        <f>IFERROR(IF(INDEX('Disaggregation1B_Import-Export'!K$8:K$239,MATCH($B144,'Disaggregation1B_Import-Export'!$C$8:$C$239,0))="","",INDEX('Disaggregation1B_Import-Export'!K$8:K$239,MATCH($B144,'Disaggregation1B_Import-Export'!$C$8:$C$239,0))),"")</f>
        <v/>
      </c>
      <c r="K144" s="1028" t="str">
        <f>IFERROR(IF(INDEX('Disaggregation1B_Import-Export'!L$8:L$239,MATCH($B144,'Disaggregation1B_Import-Export'!$C$8:$C$239,0))="","",INDEX('Disaggregation1B_Import-Export'!L$8:L$239,MATCH($B144,'Disaggregation1B_Import-Export'!$C$8:$C$239,0))),"")</f>
        <v/>
      </c>
      <c r="L144" s="1028" t="str">
        <f>IFERROR(IF(INDEX('Disaggregation1B_Import-Export'!AQ$8:AQ$239,MATCH($B144,'Disaggregation1B_Import-Export'!$C$8:$C$239,0))="","",INDEX('Disaggregation1B_Import-Export'!AQ$8:AQ$239,MATCH($B144,'Disaggregation1B_Import-Export'!$C$8:$C$239,0))),"")</f>
        <v/>
      </c>
      <c r="M144" s="1064"/>
      <c r="N144" s="1064"/>
      <c r="O144" s="1109" t="str">
        <f t="shared" si="11"/>
        <v/>
      </c>
      <c r="P144" s="1065"/>
      <c r="Q144" s="1065"/>
      <c r="R144" s="1066"/>
      <c r="S144" s="1064"/>
      <c r="T144" s="1064"/>
      <c r="U144" s="1109" t="str">
        <f t="shared" si="12"/>
        <v/>
      </c>
      <c r="V144" s="1065"/>
      <c r="W144" s="1065"/>
      <c r="X144" s="1066"/>
      <c r="Y144" s="1110"/>
      <c r="Z144" s="1110"/>
      <c r="AA144" s="1111" t="str">
        <f t="shared" si="13"/>
        <v/>
      </c>
      <c r="AB144" s="1112"/>
      <c r="AC144" s="1113"/>
    </row>
    <row r="145" spans="1:29" x14ac:dyDescent="0.2">
      <c r="A145" s="648">
        <f t="shared" si="14"/>
        <v>135</v>
      </c>
      <c r="B145" s="648" t="str">
        <f t="shared" si="10"/>
        <v>Coverage135</v>
      </c>
      <c r="C145" s="1027" t="str">
        <f>IFERROR(INDEX('Disaggregation1B_Import-Export'!D$8:D$239,MATCH($B145,'Disaggregation1B_Import-Export'!$C$8:$C$239,0)),"")</f>
        <v/>
      </c>
      <c r="D145" s="1028" t="str">
        <f>IFERROR(INDEX('Disaggregation1B_Import-Export'!AF$8:AF$256,MATCH($B145,'Disaggregation1B_Import-Export'!$C$8:$C$256,0)),"")</f>
        <v/>
      </c>
      <c r="E145" s="1028" t="str">
        <f>IFERROR(IF(INDEX('Disaggregation1B_Import-Export'!AG$8:AG$239,MATCH($B145,'Disaggregation1B_Import-Export'!$C$8:$C$239,0))="","",INDEX('Disaggregation1B_Import-Export'!AG$8:AG$239,MATCH($B145,'Disaggregation1B_Import-Export'!$C$8:$C$239,0))),"")</f>
        <v/>
      </c>
      <c r="F145" s="1028" t="str">
        <f>IFERROR(IF(INDEX('Disaggregation1B_Import-Export'!AH$8:AH$239,MATCH($B145,'Disaggregation1B_Import-Export'!$C$8:$C$239,0))="","",INDEX('Disaggregation1B_Import-Export'!AH$8:AH$239,MATCH($B145,'Disaggregation1B_Import-Export'!$C$8:$C$239,0))),"")</f>
        <v/>
      </c>
      <c r="G145" s="1107" t="str">
        <f>IFERROR(IF(INDEX('Disaggregation1B_Import-Export'!H$8:H$239,MATCH($B145,'Disaggregation1B_Import-Export'!$C$8:$C$239,0))="","",INDEX('Disaggregation1B_Import-Export'!H$8:H$239,MATCH($B145,'Disaggregation1B_Import-Export'!$C$8:$C$239,0))),"")</f>
        <v/>
      </c>
      <c r="H145" s="1107" t="str">
        <f>IFERROR(IF(INDEX('Disaggregation1B_Import-Export'!I$8:I$239,MATCH($B145,'Disaggregation1B_Import-Export'!$C$8:$C$239,0))="","",INDEX('Disaggregation1B_Import-Export'!I$8:I$239,MATCH($B145,'Disaggregation1B_Import-Export'!$C$8:$C$239,0))),"")</f>
        <v/>
      </c>
      <c r="I145" s="1108" t="str">
        <f>IFERROR(IF(INDEX('Disaggregation1B_Import-Export'!J$8:J$239,MATCH($B145,'Disaggregation1B_Import-Export'!$C$8:$C$239,0))="","",INDEX('Disaggregation1B_Import-Export'!J$8:J$239,MATCH($B145,'Disaggregation1B_Import-Export'!$C$8:$C$239,0))),"")</f>
        <v/>
      </c>
      <c r="J145" s="1028" t="str">
        <f>IFERROR(IF(INDEX('Disaggregation1B_Import-Export'!K$8:K$239,MATCH($B145,'Disaggregation1B_Import-Export'!$C$8:$C$239,0))="","",INDEX('Disaggregation1B_Import-Export'!K$8:K$239,MATCH($B145,'Disaggregation1B_Import-Export'!$C$8:$C$239,0))),"")</f>
        <v/>
      </c>
      <c r="K145" s="1028" t="str">
        <f>IFERROR(IF(INDEX('Disaggregation1B_Import-Export'!L$8:L$239,MATCH($B145,'Disaggregation1B_Import-Export'!$C$8:$C$239,0))="","",INDEX('Disaggregation1B_Import-Export'!L$8:L$239,MATCH($B145,'Disaggregation1B_Import-Export'!$C$8:$C$239,0))),"")</f>
        <v/>
      </c>
      <c r="L145" s="1028" t="str">
        <f>IFERROR(IF(INDEX('Disaggregation1B_Import-Export'!AQ$8:AQ$239,MATCH($B145,'Disaggregation1B_Import-Export'!$C$8:$C$239,0))="","",INDEX('Disaggregation1B_Import-Export'!AQ$8:AQ$239,MATCH($B145,'Disaggregation1B_Import-Export'!$C$8:$C$239,0))),"")</f>
        <v/>
      </c>
      <c r="M145" s="1064"/>
      <c r="N145" s="1064"/>
      <c r="O145" s="1109" t="str">
        <f t="shared" si="11"/>
        <v/>
      </c>
      <c r="P145" s="1065"/>
      <c r="Q145" s="1065"/>
      <c r="R145" s="1066"/>
      <c r="S145" s="1064"/>
      <c r="T145" s="1064"/>
      <c r="U145" s="1109" t="str">
        <f t="shared" si="12"/>
        <v/>
      </c>
      <c r="V145" s="1065"/>
      <c r="W145" s="1065"/>
      <c r="X145" s="1066"/>
      <c r="Y145" s="1110"/>
      <c r="Z145" s="1110"/>
      <c r="AA145" s="1111" t="str">
        <f t="shared" si="13"/>
        <v/>
      </c>
      <c r="AB145" s="1112"/>
      <c r="AC145" s="1113"/>
    </row>
    <row r="146" spans="1:29" x14ac:dyDescent="0.2">
      <c r="A146" s="648">
        <f t="shared" si="14"/>
        <v>136</v>
      </c>
      <c r="B146" s="648" t="str">
        <f t="shared" si="10"/>
        <v>Coverage136</v>
      </c>
      <c r="C146" s="1027" t="str">
        <f>IFERROR(INDEX('Disaggregation1B_Import-Export'!D$8:D$239,MATCH($B146,'Disaggregation1B_Import-Export'!$C$8:$C$239,0)),"")</f>
        <v/>
      </c>
      <c r="D146" s="1028" t="str">
        <f>IFERROR(INDEX('Disaggregation1B_Import-Export'!AF$8:AF$256,MATCH($B146,'Disaggregation1B_Import-Export'!$C$8:$C$256,0)),"")</f>
        <v/>
      </c>
      <c r="E146" s="1028" t="str">
        <f>IFERROR(IF(INDEX('Disaggregation1B_Import-Export'!AG$8:AG$239,MATCH($B146,'Disaggregation1B_Import-Export'!$C$8:$C$239,0))="","",INDEX('Disaggregation1B_Import-Export'!AG$8:AG$239,MATCH($B146,'Disaggregation1B_Import-Export'!$C$8:$C$239,0))),"")</f>
        <v/>
      </c>
      <c r="F146" s="1028" t="str">
        <f>IFERROR(IF(INDEX('Disaggregation1B_Import-Export'!AH$8:AH$239,MATCH($B146,'Disaggregation1B_Import-Export'!$C$8:$C$239,0))="","",INDEX('Disaggregation1B_Import-Export'!AH$8:AH$239,MATCH($B146,'Disaggregation1B_Import-Export'!$C$8:$C$239,0))),"")</f>
        <v/>
      </c>
      <c r="G146" s="1107" t="str">
        <f>IFERROR(IF(INDEX('Disaggregation1B_Import-Export'!H$8:H$239,MATCH($B146,'Disaggregation1B_Import-Export'!$C$8:$C$239,0))="","",INDEX('Disaggregation1B_Import-Export'!H$8:H$239,MATCH($B146,'Disaggregation1B_Import-Export'!$C$8:$C$239,0))),"")</f>
        <v/>
      </c>
      <c r="H146" s="1107" t="str">
        <f>IFERROR(IF(INDEX('Disaggregation1B_Import-Export'!I$8:I$239,MATCH($B146,'Disaggregation1B_Import-Export'!$C$8:$C$239,0))="","",INDEX('Disaggregation1B_Import-Export'!I$8:I$239,MATCH($B146,'Disaggregation1B_Import-Export'!$C$8:$C$239,0))),"")</f>
        <v/>
      </c>
      <c r="I146" s="1108" t="str">
        <f>IFERROR(IF(INDEX('Disaggregation1B_Import-Export'!J$8:J$239,MATCH($B146,'Disaggregation1B_Import-Export'!$C$8:$C$239,0))="","",INDEX('Disaggregation1B_Import-Export'!J$8:J$239,MATCH($B146,'Disaggregation1B_Import-Export'!$C$8:$C$239,0))),"")</f>
        <v/>
      </c>
      <c r="J146" s="1028" t="str">
        <f>IFERROR(IF(INDEX('Disaggregation1B_Import-Export'!K$8:K$239,MATCH($B146,'Disaggregation1B_Import-Export'!$C$8:$C$239,0))="","",INDEX('Disaggregation1B_Import-Export'!K$8:K$239,MATCH($B146,'Disaggregation1B_Import-Export'!$C$8:$C$239,0))),"")</f>
        <v/>
      </c>
      <c r="K146" s="1028" t="str">
        <f>IFERROR(IF(INDEX('Disaggregation1B_Import-Export'!L$8:L$239,MATCH($B146,'Disaggregation1B_Import-Export'!$C$8:$C$239,0))="","",INDEX('Disaggregation1B_Import-Export'!L$8:L$239,MATCH($B146,'Disaggregation1B_Import-Export'!$C$8:$C$239,0))),"")</f>
        <v/>
      </c>
      <c r="L146" s="1028" t="str">
        <f>IFERROR(IF(INDEX('Disaggregation1B_Import-Export'!AQ$8:AQ$239,MATCH($B146,'Disaggregation1B_Import-Export'!$C$8:$C$239,0))="","",INDEX('Disaggregation1B_Import-Export'!AQ$8:AQ$239,MATCH($B146,'Disaggregation1B_Import-Export'!$C$8:$C$239,0))),"")</f>
        <v/>
      </c>
      <c r="M146" s="1064"/>
      <c r="N146" s="1064"/>
      <c r="O146" s="1109" t="str">
        <f t="shared" si="11"/>
        <v/>
      </c>
      <c r="P146" s="1065"/>
      <c r="Q146" s="1065"/>
      <c r="R146" s="1066"/>
      <c r="S146" s="1064"/>
      <c r="T146" s="1064"/>
      <c r="U146" s="1109" t="str">
        <f t="shared" si="12"/>
        <v/>
      </c>
      <c r="V146" s="1065"/>
      <c r="W146" s="1065"/>
      <c r="X146" s="1066"/>
      <c r="Y146" s="1110"/>
      <c r="Z146" s="1110"/>
      <c r="AA146" s="1111" t="str">
        <f t="shared" si="13"/>
        <v/>
      </c>
      <c r="AB146" s="1112"/>
      <c r="AC146" s="1113"/>
    </row>
    <row r="147" spans="1:29" x14ac:dyDescent="0.2">
      <c r="A147" s="648">
        <f t="shared" si="14"/>
        <v>137</v>
      </c>
      <c r="B147" s="648" t="str">
        <f t="shared" si="10"/>
        <v>Coverage137</v>
      </c>
      <c r="C147" s="1027" t="str">
        <f>IFERROR(INDEX('Disaggregation1B_Import-Export'!D$8:D$239,MATCH($B147,'Disaggregation1B_Import-Export'!$C$8:$C$239,0)),"")</f>
        <v/>
      </c>
      <c r="D147" s="1028" t="str">
        <f>IFERROR(INDEX('Disaggregation1B_Import-Export'!AF$8:AF$256,MATCH($B147,'Disaggregation1B_Import-Export'!$C$8:$C$256,0)),"")</f>
        <v/>
      </c>
      <c r="E147" s="1028" t="str">
        <f>IFERROR(IF(INDEX('Disaggregation1B_Import-Export'!AG$8:AG$239,MATCH($B147,'Disaggregation1B_Import-Export'!$C$8:$C$239,0))="","",INDEX('Disaggregation1B_Import-Export'!AG$8:AG$239,MATCH($B147,'Disaggregation1B_Import-Export'!$C$8:$C$239,0))),"")</f>
        <v/>
      </c>
      <c r="F147" s="1028" t="str">
        <f>IFERROR(IF(INDEX('Disaggregation1B_Import-Export'!AH$8:AH$239,MATCH($B147,'Disaggregation1B_Import-Export'!$C$8:$C$239,0))="","",INDEX('Disaggregation1B_Import-Export'!AH$8:AH$239,MATCH($B147,'Disaggregation1B_Import-Export'!$C$8:$C$239,0))),"")</f>
        <v/>
      </c>
      <c r="G147" s="1107" t="str">
        <f>IFERROR(IF(INDEX('Disaggregation1B_Import-Export'!H$8:H$239,MATCH($B147,'Disaggregation1B_Import-Export'!$C$8:$C$239,0))="","",INDEX('Disaggregation1B_Import-Export'!H$8:H$239,MATCH($B147,'Disaggregation1B_Import-Export'!$C$8:$C$239,0))),"")</f>
        <v/>
      </c>
      <c r="H147" s="1107" t="str">
        <f>IFERROR(IF(INDEX('Disaggregation1B_Import-Export'!I$8:I$239,MATCH($B147,'Disaggregation1B_Import-Export'!$C$8:$C$239,0))="","",INDEX('Disaggregation1B_Import-Export'!I$8:I$239,MATCH($B147,'Disaggregation1B_Import-Export'!$C$8:$C$239,0))),"")</f>
        <v/>
      </c>
      <c r="I147" s="1108" t="str">
        <f>IFERROR(IF(INDEX('Disaggregation1B_Import-Export'!J$8:J$239,MATCH($B147,'Disaggregation1B_Import-Export'!$C$8:$C$239,0))="","",INDEX('Disaggregation1B_Import-Export'!J$8:J$239,MATCH($B147,'Disaggregation1B_Import-Export'!$C$8:$C$239,0))),"")</f>
        <v/>
      </c>
      <c r="J147" s="1028" t="str">
        <f>IFERROR(IF(INDEX('Disaggregation1B_Import-Export'!K$8:K$239,MATCH($B147,'Disaggregation1B_Import-Export'!$C$8:$C$239,0))="","",INDEX('Disaggregation1B_Import-Export'!K$8:K$239,MATCH($B147,'Disaggregation1B_Import-Export'!$C$8:$C$239,0))),"")</f>
        <v/>
      </c>
      <c r="K147" s="1028" t="str">
        <f>IFERROR(IF(INDEX('Disaggregation1B_Import-Export'!L$8:L$239,MATCH($B147,'Disaggregation1B_Import-Export'!$C$8:$C$239,0))="","",INDEX('Disaggregation1B_Import-Export'!L$8:L$239,MATCH($B147,'Disaggregation1B_Import-Export'!$C$8:$C$239,0))),"")</f>
        <v/>
      </c>
      <c r="L147" s="1028" t="str">
        <f>IFERROR(IF(INDEX('Disaggregation1B_Import-Export'!AQ$8:AQ$239,MATCH($B147,'Disaggregation1B_Import-Export'!$C$8:$C$239,0))="","",INDEX('Disaggregation1B_Import-Export'!AQ$8:AQ$239,MATCH($B147,'Disaggregation1B_Import-Export'!$C$8:$C$239,0))),"")</f>
        <v/>
      </c>
      <c r="M147" s="1064"/>
      <c r="N147" s="1064"/>
      <c r="O147" s="1109" t="str">
        <f t="shared" si="11"/>
        <v/>
      </c>
      <c r="P147" s="1065"/>
      <c r="Q147" s="1065"/>
      <c r="R147" s="1066"/>
      <c r="S147" s="1064"/>
      <c r="T147" s="1064"/>
      <c r="U147" s="1109" t="str">
        <f t="shared" si="12"/>
        <v/>
      </c>
      <c r="V147" s="1065"/>
      <c r="W147" s="1065"/>
      <c r="X147" s="1066"/>
      <c r="Y147" s="1110"/>
      <c r="Z147" s="1110"/>
      <c r="AA147" s="1111" t="str">
        <f t="shared" si="13"/>
        <v/>
      </c>
      <c r="AB147" s="1112"/>
      <c r="AC147" s="1113"/>
    </row>
    <row r="148" spans="1:29" x14ac:dyDescent="0.2">
      <c r="A148" s="648">
        <f t="shared" si="14"/>
        <v>138</v>
      </c>
      <c r="B148" s="648" t="str">
        <f t="shared" si="10"/>
        <v>Coverage138</v>
      </c>
      <c r="C148" s="1027" t="str">
        <f>IFERROR(INDEX('Disaggregation1B_Import-Export'!D$8:D$239,MATCH($B148,'Disaggregation1B_Import-Export'!$C$8:$C$239,0)),"")</f>
        <v/>
      </c>
      <c r="D148" s="1028" t="str">
        <f>IFERROR(INDEX('Disaggregation1B_Import-Export'!AF$8:AF$256,MATCH($B148,'Disaggregation1B_Import-Export'!$C$8:$C$256,0)),"")</f>
        <v/>
      </c>
      <c r="E148" s="1028" t="str">
        <f>IFERROR(IF(INDEX('Disaggregation1B_Import-Export'!AG$8:AG$239,MATCH($B148,'Disaggregation1B_Import-Export'!$C$8:$C$239,0))="","",INDEX('Disaggregation1B_Import-Export'!AG$8:AG$239,MATCH($B148,'Disaggregation1B_Import-Export'!$C$8:$C$239,0))),"")</f>
        <v/>
      </c>
      <c r="F148" s="1028" t="str">
        <f>IFERROR(IF(INDEX('Disaggregation1B_Import-Export'!AH$8:AH$239,MATCH($B148,'Disaggregation1B_Import-Export'!$C$8:$C$239,0))="","",INDEX('Disaggregation1B_Import-Export'!AH$8:AH$239,MATCH($B148,'Disaggregation1B_Import-Export'!$C$8:$C$239,0))),"")</f>
        <v/>
      </c>
      <c r="G148" s="1107" t="str">
        <f>IFERROR(IF(INDEX('Disaggregation1B_Import-Export'!H$8:H$239,MATCH($B148,'Disaggregation1B_Import-Export'!$C$8:$C$239,0))="","",INDEX('Disaggregation1B_Import-Export'!H$8:H$239,MATCH($B148,'Disaggregation1B_Import-Export'!$C$8:$C$239,0))),"")</f>
        <v/>
      </c>
      <c r="H148" s="1107" t="str">
        <f>IFERROR(IF(INDEX('Disaggregation1B_Import-Export'!I$8:I$239,MATCH($B148,'Disaggregation1B_Import-Export'!$C$8:$C$239,0))="","",INDEX('Disaggregation1B_Import-Export'!I$8:I$239,MATCH($B148,'Disaggregation1B_Import-Export'!$C$8:$C$239,0))),"")</f>
        <v/>
      </c>
      <c r="I148" s="1108" t="str">
        <f>IFERROR(IF(INDEX('Disaggregation1B_Import-Export'!J$8:J$239,MATCH($B148,'Disaggregation1B_Import-Export'!$C$8:$C$239,0))="","",INDEX('Disaggregation1B_Import-Export'!J$8:J$239,MATCH($B148,'Disaggregation1B_Import-Export'!$C$8:$C$239,0))),"")</f>
        <v/>
      </c>
      <c r="J148" s="1028" t="str">
        <f>IFERROR(IF(INDEX('Disaggregation1B_Import-Export'!K$8:K$239,MATCH($B148,'Disaggregation1B_Import-Export'!$C$8:$C$239,0))="","",INDEX('Disaggregation1B_Import-Export'!K$8:K$239,MATCH($B148,'Disaggregation1B_Import-Export'!$C$8:$C$239,0))),"")</f>
        <v/>
      </c>
      <c r="K148" s="1028" t="str">
        <f>IFERROR(IF(INDEX('Disaggregation1B_Import-Export'!L$8:L$239,MATCH($B148,'Disaggregation1B_Import-Export'!$C$8:$C$239,0))="","",INDEX('Disaggregation1B_Import-Export'!L$8:L$239,MATCH($B148,'Disaggregation1B_Import-Export'!$C$8:$C$239,0))),"")</f>
        <v/>
      </c>
      <c r="L148" s="1028" t="str">
        <f>IFERROR(IF(INDEX('Disaggregation1B_Import-Export'!AQ$8:AQ$239,MATCH($B148,'Disaggregation1B_Import-Export'!$C$8:$C$239,0))="","",INDEX('Disaggregation1B_Import-Export'!AQ$8:AQ$239,MATCH($B148,'Disaggregation1B_Import-Export'!$C$8:$C$239,0))),"")</f>
        <v/>
      </c>
      <c r="M148" s="1064"/>
      <c r="N148" s="1064"/>
      <c r="O148" s="1109" t="str">
        <f t="shared" si="11"/>
        <v/>
      </c>
      <c r="P148" s="1065"/>
      <c r="Q148" s="1065"/>
      <c r="R148" s="1066"/>
      <c r="S148" s="1064"/>
      <c r="T148" s="1064"/>
      <c r="U148" s="1109" t="str">
        <f t="shared" si="12"/>
        <v/>
      </c>
      <c r="V148" s="1065"/>
      <c r="W148" s="1065"/>
      <c r="X148" s="1066"/>
      <c r="Y148" s="1110"/>
      <c r="Z148" s="1110"/>
      <c r="AA148" s="1111" t="str">
        <f t="shared" si="13"/>
        <v/>
      </c>
      <c r="AB148" s="1112"/>
      <c r="AC148" s="1113"/>
    </row>
    <row r="149" spans="1:29" x14ac:dyDescent="0.2">
      <c r="A149" s="648">
        <f t="shared" si="14"/>
        <v>139</v>
      </c>
      <c r="B149" s="648" t="str">
        <f t="shared" si="10"/>
        <v>Coverage139</v>
      </c>
      <c r="C149" s="1027" t="str">
        <f>IFERROR(INDEX('Disaggregation1B_Import-Export'!D$8:D$239,MATCH($B149,'Disaggregation1B_Import-Export'!$C$8:$C$239,0)),"")</f>
        <v/>
      </c>
      <c r="D149" s="1028" t="str">
        <f>IFERROR(INDEX('Disaggregation1B_Import-Export'!AF$8:AF$256,MATCH($B149,'Disaggregation1B_Import-Export'!$C$8:$C$256,0)),"")</f>
        <v/>
      </c>
      <c r="E149" s="1028" t="str">
        <f>IFERROR(IF(INDEX('Disaggregation1B_Import-Export'!AG$8:AG$239,MATCH($B149,'Disaggregation1B_Import-Export'!$C$8:$C$239,0))="","",INDEX('Disaggregation1B_Import-Export'!AG$8:AG$239,MATCH($B149,'Disaggregation1B_Import-Export'!$C$8:$C$239,0))),"")</f>
        <v/>
      </c>
      <c r="F149" s="1028" t="str">
        <f>IFERROR(IF(INDEX('Disaggregation1B_Import-Export'!AH$8:AH$239,MATCH($B149,'Disaggregation1B_Import-Export'!$C$8:$C$239,0))="","",INDEX('Disaggregation1B_Import-Export'!AH$8:AH$239,MATCH($B149,'Disaggregation1B_Import-Export'!$C$8:$C$239,0))),"")</f>
        <v/>
      </c>
      <c r="G149" s="1107" t="str">
        <f>IFERROR(IF(INDEX('Disaggregation1B_Import-Export'!H$8:H$239,MATCH($B149,'Disaggregation1B_Import-Export'!$C$8:$C$239,0))="","",INDEX('Disaggregation1B_Import-Export'!H$8:H$239,MATCH($B149,'Disaggregation1B_Import-Export'!$C$8:$C$239,0))),"")</f>
        <v/>
      </c>
      <c r="H149" s="1107" t="str">
        <f>IFERROR(IF(INDEX('Disaggregation1B_Import-Export'!I$8:I$239,MATCH($B149,'Disaggregation1B_Import-Export'!$C$8:$C$239,0))="","",INDEX('Disaggregation1B_Import-Export'!I$8:I$239,MATCH($B149,'Disaggregation1B_Import-Export'!$C$8:$C$239,0))),"")</f>
        <v/>
      </c>
      <c r="I149" s="1108" t="str">
        <f>IFERROR(IF(INDEX('Disaggregation1B_Import-Export'!J$8:J$239,MATCH($B149,'Disaggregation1B_Import-Export'!$C$8:$C$239,0))="","",INDEX('Disaggregation1B_Import-Export'!J$8:J$239,MATCH($B149,'Disaggregation1B_Import-Export'!$C$8:$C$239,0))),"")</f>
        <v/>
      </c>
      <c r="J149" s="1028" t="str">
        <f>IFERROR(IF(INDEX('Disaggregation1B_Import-Export'!K$8:K$239,MATCH($B149,'Disaggregation1B_Import-Export'!$C$8:$C$239,0))="","",INDEX('Disaggregation1B_Import-Export'!K$8:K$239,MATCH($B149,'Disaggregation1B_Import-Export'!$C$8:$C$239,0))),"")</f>
        <v/>
      </c>
      <c r="K149" s="1028" t="str">
        <f>IFERROR(IF(INDEX('Disaggregation1B_Import-Export'!L$8:L$239,MATCH($B149,'Disaggregation1B_Import-Export'!$C$8:$C$239,0))="","",INDEX('Disaggregation1B_Import-Export'!L$8:L$239,MATCH($B149,'Disaggregation1B_Import-Export'!$C$8:$C$239,0))),"")</f>
        <v/>
      </c>
      <c r="L149" s="1028" t="str">
        <f>IFERROR(IF(INDEX('Disaggregation1B_Import-Export'!AQ$8:AQ$239,MATCH($B149,'Disaggregation1B_Import-Export'!$C$8:$C$239,0))="","",INDEX('Disaggregation1B_Import-Export'!AQ$8:AQ$239,MATCH($B149,'Disaggregation1B_Import-Export'!$C$8:$C$239,0))),"")</f>
        <v/>
      </c>
      <c r="M149" s="1064"/>
      <c r="N149" s="1064"/>
      <c r="O149" s="1109" t="str">
        <f t="shared" si="11"/>
        <v/>
      </c>
      <c r="P149" s="1065"/>
      <c r="Q149" s="1065"/>
      <c r="R149" s="1066"/>
      <c r="S149" s="1064"/>
      <c r="T149" s="1064"/>
      <c r="U149" s="1109" t="str">
        <f t="shared" si="12"/>
        <v/>
      </c>
      <c r="V149" s="1065"/>
      <c r="W149" s="1065"/>
      <c r="X149" s="1066"/>
      <c r="Y149" s="1110"/>
      <c r="Z149" s="1110"/>
      <c r="AA149" s="1111" t="str">
        <f t="shared" si="13"/>
        <v/>
      </c>
      <c r="AB149" s="1112"/>
      <c r="AC149" s="1113"/>
    </row>
    <row r="150" spans="1:29" x14ac:dyDescent="0.2">
      <c r="A150" s="648">
        <f t="shared" si="14"/>
        <v>140</v>
      </c>
      <c r="B150" s="648" t="str">
        <f t="shared" si="10"/>
        <v>Coverage140</v>
      </c>
      <c r="C150" s="1027" t="str">
        <f>IFERROR(INDEX('Disaggregation1B_Import-Export'!D$8:D$239,MATCH($B150,'Disaggregation1B_Import-Export'!$C$8:$C$239,0)),"")</f>
        <v/>
      </c>
      <c r="D150" s="1028" t="str">
        <f>IFERROR(INDEX('Disaggregation1B_Import-Export'!AF$8:AF$256,MATCH($B150,'Disaggregation1B_Import-Export'!$C$8:$C$256,0)),"")</f>
        <v/>
      </c>
      <c r="E150" s="1028" t="str">
        <f>IFERROR(IF(INDEX('Disaggregation1B_Import-Export'!AG$8:AG$239,MATCH($B150,'Disaggregation1B_Import-Export'!$C$8:$C$239,0))="","",INDEX('Disaggregation1B_Import-Export'!AG$8:AG$239,MATCH($B150,'Disaggregation1B_Import-Export'!$C$8:$C$239,0))),"")</f>
        <v/>
      </c>
      <c r="F150" s="1028" t="str">
        <f>IFERROR(IF(INDEX('Disaggregation1B_Import-Export'!AH$8:AH$239,MATCH($B150,'Disaggregation1B_Import-Export'!$C$8:$C$239,0))="","",INDEX('Disaggregation1B_Import-Export'!AH$8:AH$239,MATCH($B150,'Disaggregation1B_Import-Export'!$C$8:$C$239,0))),"")</f>
        <v/>
      </c>
      <c r="G150" s="1107" t="str">
        <f>IFERROR(IF(INDEX('Disaggregation1B_Import-Export'!H$8:H$239,MATCH($B150,'Disaggregation1B_Import-Export'!$C$8:$C$239,0))="","",INDEX('Disaggregation1B_Import-Export'!H$8:H$239,MATCH($B150,'Disaggregation1B_Import-Export'!$C$8:$C$239,0))),"")</f>
        <v/>
      </c>
      <c r="H150" s="1107" t="str">
        <f>IFERROR(IF(INDEX('Disaggregation1B_Import-Export'!I$8:I$239,MATCH($B150,'Disaggregation1B_Import-Export'!$C$8:$C$239,0))="","",INDEX('Disaggregation1B_Import-Export'!I$8:I$239,MATCH($B150,'Disaggregation1B_Import-Export'!$C$8:$C$239,0))),"")</f>
        <v/>
      </c>
      <c r="I150" s="1108" t="str">
        <f>IFERROR(IF(INDEX('Disaggregation1B_Import-Export'!J$8:J$239,MATCH($B150,'Disaggregation1B_Import-Export'!$C$8:$C$239,0))="","",INDEX('Disaggregation1B_Import-Export'!J$8:J$239,MATCH($B150,'Disaggregation1B_Import-Export'!$C$8:$C$239,0))),"")</f>
        <v/>
      </c>
      <c r="J150" s="1028" t="str">
        <f>IFERROR(IF(INDEX('Disaggregation1B_Import-Export'!K$8:K$239,MATCH($B150,'Disaggregation1B_Import-Export'!$C$8:$C$239,0))="","",INDEX('Disaggregation1B_Import-Export'!K$8:K$239,MATCH($B150,'Disaggregation1B_Import-Export'!$C$8:$C$239,0))),"")</f>
        <v/>
      </c>
      <c r="K150" s="1028" t="str">
        <f>IFERROR(IF(INDEX('Disaggregation1B_Import-Export'!L$8:L$239,MATCH($B150,'Disaggregation1B_Import-Export'!$C$8:$C$239,0))="","",INDEX('Disaggregation1B_Import-Export'!L$8:L$239,MATCH($B150,'Disaggregation1B_Import-Export'!$C$8:$C$239,0))),"")</f>
        <v/>
      </c>
      <c r="L150" s="1028" t="str">
        <f>IFERROR(IF(INDEX('Disaggregation1B_Import-Export'!AQ$8:AQ$239,MATCH($B150,'Disaggregation1B_Import-Export'!$C$8:$C$239,0))="","",INDEX('Disaggregation1B_Import-Export'!AQ$8:AQ$239,MATCH($B150,'Disaggregation1B_Import-Export'!$C$8:$C$239,0))),"")</f>
        <v/>
      </c>
      <c r="M150" s="1064"/>
      <c r="N150" s="1064"/>
      <c r="O150" s="1109" t="str">
        <f t="shared" si="11"/>
        <v/>
      </c>
      <c r="P150" s="1065"/>
      <c r="Q150" s="1065"/>
      <c r="R150" s="1066"/>
      <c r="S150" s="1064"/>
      <c r="T150" s="1064"/>
      <c r="U150" s="1109" t="str">
        <f t="shared" si="12"/>
        <v/>
      </c>
      <c r="V150" s="1065"/>
      <c r="W150" s="1065"/>
      <c r="X150" s="1066"/>
      <c r="Y150" s="1110"/>
      <c r="Z150" s="1110"/>
      <c r="AA150" s="1111" t="str">
        <f t="shared" si="13"/>
        <v/>
      </c>
      <c r="AB150" s="1112"/>
      <c r="AC150" s="1113"/>
    </row>
  </sheetData>
  <sheetProtection algorithmName="SHA-512" hashValue="U/rbR0CgipAHxOBqVFNWBEkQuZ5qtiWMUoos1+yHbTxGe5bACGBVo71n21DJthooHSpzpUMwf0xDUINnEv7bkg==" saltValue="GzHbqsD/V9mR5vgGpcIu0w==" spinCount="100000" sheet="1" formatColumns="0" formatRows="0" autoFilter="0"/>
  <autoFilter ref="C9:AC51" xr:uid="{00000000-0009-0000-0000-00000A000000}">
    <filterColumn colId="4" showButton="0"/>
    <filterColumn colId="5" showButton="0"/>
    <filterColumn colId="6" showButton="0"/>
    <filterColumn colId="7" showButton="0"/>
    <filterColumn colId="10" showButton="0"/>
    <filterColumn colId="11" showButton="0"/>
    <filterColumn colId="16" showButton="0"/>
    <filterColumn colId="17" showButton="0"/>
    <filterColumn colId="22" showButton="0"/>
    <filterColumn colId="23" showButton="0"/>
  </autoFilter>
  <mergeCells count="18">
    <mergeCell ref="AB9:AB10"/>
    <mergeCell ref="AC9:AC10"/>
    <mergeCell ref="R9:R10"/>
    <mergeCell ref="S9:U9"/>
    <mergeCell ref="V9:V10"/>
    <mergeCell ref="W9:W10"/>
    <mergeCell ref="X9:X10"/>
    <mergeCell ref="Y9:AA9"/>
    <mergeCell ref="C5:W5"/>
    <mergeCell ref="C9:C10"/>
    <mergeCell ref="D9:D10"/>
    <mergeCell ref="E9:E10"/>
    <mergeCell ref="F9:F10"/>
    <mergeCell ref="G9:K9"/>
    <mergeCell ref="M9:O9"/>
    <mergeCell ref="P9:P10"/>
    <mergeCell ref="Q9:Q10"/>
    <mergeCell ref="L9:L10"/>
  </mergeCells>
  <dataValidations count="1">
    <dataValidation type="list" allowBlank="1" showInputMessage="1" showErrorMessage="1" sqref="V11:V150 P11:P150" xr:uid="{00000000-0002-0000-0A00-000000000000}">
      <formula1>Source</formula1>
    </dataValidation>
  </dataValidations>
  <pageMargins left="0.7" right="0.7" top="0.75" bottom="0.75" header="0.3" footer="0.3"/>
  <pageSetup paperSize="8" scale="48" orientation="landscape" r:id="rId1"/>
  <colBreaks count="1" manualBreakCount="1">
    <brk id="23"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theme="0"/>
  </sheetPr>
  <dimension ref="A1:AQ87"/>
  <sheetViews>
    <sheetView topLeftCell="K1" zoomScale="70" zoomScaleNormal="70" workbookViewId="0">
      <selection activeCell="X8" sqref="X8"/>
    </sheetView>
  </sheetViews>
  <sheetFormatPr baseColWidth="10" defaultColWidth="9.140625" defaultRowHeight="15" x14ac:dyDescent="0.2"/>
  <cols>
    <col min="1" max="2" width="9.140625" style="33"/>
    <col min="3" max="3" width="16.42578125" style="34" customWidth="1"/>
    <col min="4" max="4" width="34.140625" style="33" customWidth="1"/>
    <col min="5" max="5" width="43.85546875" style="33" customWidth="1"/>
    <col min="6" max="6" width="21.85546875" style="33" customWidth="1"/>
    <col min="7" max="7" width="18" style="33" customWidth="1"/>
    <col min="8" max="8" width="10.42578125" style="33" customWidth="1"/>
    <col min="9" max="9" width="10.140625" style="33" customWidth="1"/>
    <col min="10" max="12" width="10.42578125" style="33" customWidth="1"/>
    <col min="13" max="13" width="48.42578125" style="33" customWidth="1"/>
    <col min="14" max="15" width="9.140625" style="33"/>
    <col min="16" max="16" width="11.140625" style="33" bestFit="1" customWidth="1"/>
    <col min="17" max="17" width="11.85546875" style="33" customWidth="1"/>
    <col min="18" max="19" width="42.140625" style="33" customWidth="1"/>
    <col min="20" max="22" width="9.140625" style="33"/>
    <col min="23" max="23" width="13.5703125" style="33" customWidth="1"/>
    <col min="24" max="25" width="52.5703125" style="33" customWidth="1"/>
    <col min="26" max="26" width="11.85546875" style="33" customWidth="1"/>
    <col min="27" max="27" width="11.42578125" style="33" customWidth="1"/>
    <col min="28" max="28" width="11.85546875" style="33" customWidth="1"/>
    <col min="29" max="29" width="43.42578125" style="33" customWidth="1"/>
    <col min="30" max="30" width="45.5703125" style="33" customWidth="1"/>
    <col min="31" max="31" width="32" style="33" bestFit="1" customWidth="1"/>
    <col min="32" max="36" width="9.140625" style="33"/>
    <col min="37" max="37" width="12.140625" style="33" customWidth="1"/>
    <col min="38" max="38" width="21.85546875" style="33" bestFit="1" customWidth="1"/>
    <col min="39" max="39" width="15.5703125" style="33" bestFit="1" customWidth="1"/>
    <col min="40" max="40" width="15.85546875" style="33" bestFit="1" customWidth="1"/>
    <col min="41" max="41" width="20" style="33" bestFit="1" customWidth="1"/>
    <col min="42" max="42" width="25" style="33" bestFit="1" customWidth="1"/>
    <col min="43" max="16384" width="9.140625" style="33"/>
  </cols>
  <sheetData>
    <row r="1" spans="1:43" x14ac:dyDescent="0.2">
      <c r="D1" s="34"/>
      <c r="E1" s="34"/>
      <c r="F1" s="34"/>
      <c r="G1" s="34"/>
      <c r="H1" s="34"/>
      <c r="I1" s="34"/>
      <c r="J1" s="34"/>
      <c r="K1" s="34"/>
      <c r="L1" s="34"/>
      <c r="M1" s="34"/>
      <c r="N1" s="34"/>
      <c r="O1" s="34"/>
      <c r="P1" s="34"/>
      <c r="Q1" s="34"/>
      <c r="R1" s="34"/>
      <c r="S1" s="34"/>
      <c r="T1" s="34"/>
      <c r="U1" s="34"/>
      <c r="V1" s="34"/>
      <c r="W1" s="34"/>
      <c r="X1" s="34"/>
      <c r="Y1" s="34"/>
      <c r="Z1" s="34"/>
      <c r="AA1" s="34"/>
      <c r="AB1" s="34"/>
      <c r="AC1" s="34"/>
      <c r="AD1" s="34"/>
    </row>
    <row r="2" spans="1:43" ht="90.75" customHeight="1" x14ac:dyDescent="0.2">
      <c r="D2" s="1479" t="s">
        <v>581</v>
      </c>
      <c r="E2" s="1480"/>
      <c r="F2" s="1480"/>
      <c r="G2" s="1480"/>
      <c r="H2" s="1480"/>
      <c r="I2" s="1480"/>
      <c r="J2" s="1480"/>
      <c r="K2" s="1480"/>
      <c r="L2" s="1480"/>
      <c r="M2" s="1480"/>
      <c r="N2" s="1480"/>
      <c r="O2" s="1480"/>
      <c r="P2" s="1480"/>
      <c r="Q2" s="1480"/>
      <c r="R2" s="1480"/>
      <c r="S2" s="1480"/>
      <c r="T2" s="1480"/>
      <c r="U2" s="1480"/>
      <c r="V2" s="1480"/>
      <c r="W2" s="1480"/>
      <c r="X2" s="1480"/>
      <c r="Y2" s="1017"/>
      <c r="Z2" s="1018"/>
      <c r="AA2" s="1018"/>
      <c r="AB2" s="1018"/>
      <c r="AC2" s="1018"/>
      <c r="AD2" s="1019"/>
    </row>
    <row r="3" spans="1:43" x14ac:dyDescent="0.2">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43" ht="39" customHeight="1" x14ac:dyDescent="0.2">
      <c r="D4" s="1020" t="s">
        <v>582</v>
      </c>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2"/>
    </row>
    <row r="5" spans="1:43" ht="18.75" customHeight="1" thickBot="1" x14ac:dyDescent="0.25">
      <c r="D5" s="36"/>
      <c r="E5" s="37"/>
      <c r="F5" s="37"/>
      <c r="G5" s="37"/>
      <c r="H5" s="37"/>
      <c r="I5" s="37"/>
      <c r="J5" s="37"/>
      <c r="K5" s="37"/>
      <c r="L5" s="37"/>
      <c r="M5" s="37"/>
      <c r="N5" s="37"/>
      <c r="O5" s="37"/>
      <c r="P5" s="37"/>
      <c r="Q5" s="37"/>
      <c r="R5" s="37"/>
      <c r="S5" s="37"/>
      <c r="T5" s="37"/>
      <c r="U5" s="37"/>
      <c r="V5" s="37"/>
      <c r="W5" s="37"/>
      <c r="X5" s="37"/>
      <c r="Y5" s="37"/>
      <c r="Z5" s="37"/>
      <c r="AA5" s="37"/>
      <c r="AB5" s="37"/>
      <c r="AC5" s="37"/>
      <c r="AD5" s="37"/>
    </row>
    <row r="6" spans="1:43" ht="28.5" customHeight="1" x14ac:dyDescent="0.2">
      <c r="D6" s="1438" t="s">
        <v>353</v>
      </c>
      <c r="E6" s="1433" t="s">
        <v>583</v>
      </c>
      <c r="F6" s="1462" t="s">
        <v>289</v>
      </c>
      <c r="G6" s="1466" t="s">
        <v>290</v>
      </c>
      <c r="H6" s="1430" t="s">
        <v>291</v>
      </c>
      <c r="I6" s="1432"/>
      <c r="J6" s="1432"/>
      <c r="K6" s="1432"/>
      <c r="L6" s="1431"/>
      <c r="M6" s="1433" t="s">
        <v>160</v>
      </c>
      <c r="N6" s="1435" t="s">
        <v>161</v>
      </c>
      <c r="O6" s="1436"/>
      <c r="P6" s="1437"/>
      <c r="Q6" s="1419" t="s">
        <v>22</v>
      </c>
      <c r="R6" s="1419" t="s">
        <v>584</v>
      </c>
      <c r="S6" s="1419" t="s">
        <v>129</v>
      </c>
      <c r="T6" s="1442" t="s">
        <v>165</v>
      </c>
      <c r="U6" s="1443"/>
      <c r="V6" s="1444"/>
      <c r="W6" s="1421" t="s">
        <v>22</v>
      </c>
      <c r="X6" s="1421" t="s">
        <v>585</v>
      </c>
      <c r="Y6" s="1433" t="s">
        <v>130</v>
      </c>
      <c r="Z6" s="1451" t="s">
        <v>131</v>
      </c>
      <c r="AA6" s="1451"/>
      <c r="AB6" s="1451"/>
      <c r="AC6" s="1423" t="s">
        <v>328</v>
      </c>
      <c r="AD6" s="1433" t="s">
        <v>133</v>
      </c>
      <c r="AE6" s="1433" t="s">
        <v>586</v>
      </c>
      <c r="AF6" s="1433" t="s">
        <v>587</v>
      </c>
      <c r="AG6" s="1433" t="s">
        <v>588</v>
      </c>
      <c r="AH6" s="1433" t="s">
        <v>589</v>
      </c>
      <c r="AI6" s="1433" t="s">
        <v>590</v>
      </c>
      <c r="AJ6" s="1433" t="s">
        <v>591</v>
      </c>
      <c r="AK6" s="1433" t="s">
        <v>294</v>
      </c>
      <c r="AL6" s="1433" t="s">
        <v>295</v>
      </c>
      <c r="AM6" s="1433" t="s">
        <v>296</v>
      </c>
      <c r="AN6" s="1433" t="s">
        <v>297</v>
      </c>
      <c r="AO6" s="1433" t="s">
        <v>298</v>
      </c>
      <c r="AP6" s="1433" t="s">
        <v>299</v>
      </c>
    </row>
    <row r="7" spans="1:43" ht="45" x14ac:dyDescent="0.2">
      <c r="A7" s="772" t="s">
        <v>122</v>
      </c>
      <c r="B7" s="772">
        <v>-1</v>
      </c>
      <c r="C7" s="771"/>
      <c r="D7" s="1474"/>
      <c r="E7" s="1474"/>
      <c r="F7" s="1474"/>
      <c r="G7" s="1474"/>
      <c r="H7" s="774" t="s">
        <v>367</v>
      </c>
      <c r="I7" s="774" t="s">
        <v>368</v>
      </c>
      <c r="J7" s="774" t="s">
        <v>369</v>
      </c>
      <c r="K7" s="774" t="s">
        <v>177</v>
      </c>
      <c r="L7" s="774" t="s">
        <v>300</v>
      </c>
      <c r="M7" s="1474"/>
      <c r="N7" s="776" t="s">
        <v>592</v>
      </c>
      <c r="O7" s="776" t="s">
        <v>185</v>
      </c>
      <c r="P7" s="776" t="s">
        <v>186</v>
      </c>
      <c r="Q7" s="1476"/>
      <c r="R7" s="1476"/>
      <c r="S7" s="1476"/>
      <c r="T7" s="777" t="s">
        <v>593</v>
      </c>
      <c r="U7" s="777" t="s">
        <v>594</v>
      </c>
      <c r="V7" s="777" t="s">
        <v>595</v>
      </c>
      <c r="W7" s="1475"/>
      <c r="X7" s="1475"/>
      <c r="Y7" s="1474"/>
      <c r="Z7" s="778"/>
      <c r="AA7" s="778"/>
      <c r="AB7" s="778"/>
      <c r="AC7" s="1478"/>
      <c r="AD7" s="1474"/>
      <c r="AE7" s="1474" t="s">
        <v>361</v>
      </c>
      <c r="AF7" s="1474"/>
      <c r="AG7" s="1474"/>
      <c r="AH7" s="1474"/>
      <c r="AI7" s="1474"/>
      <c r="AJ7" s="1474"/>
      <c r="AK7" s="1474" t="s">
        <v>294</v>
      </c>
      <c r="AL7" s="1474" t="s">
        <v>295</v>
      </c>
      <c r="AM7" s="1474" t="s">
        <v>296</v>
      </c>
      <c r="AN7" s="1474" t="s">
        <v>297</v>
      </c>
      <c r="AO7" s="1474" t="s">
        <v>298</v>
      </c>
      <c r="AP7" s="1474" t="s">
        <v>299</v>
      </c>
      <c r="AQ7" s="772" t="s">
        <v>182</v>
      </c>
    </row>
    <row r="8" spans="1:43" hidden="1" x14ac:dyDescent="0.2">
      <c r="A8" s="772" t="s">
        <v>371</v>
      </c>
      <c r="B8" s="772">
        <f>B7+1</f>
        <v>0</v>
      </c>
      <c r="C8" s="771" t="str">
        <f>"Coverage"&amp;B8</f>
        <v>Coverage0</v>
      </c>
      <c r="D8" s="798" t="s">
        <v>596</v>
      </c>
      <c r="E8" s="798" t="s">
        <v>373</v>
      </c>
      <c r="F8" s="798" t="s">
        <v>304</v>
      </c>
      <c r="G8" s="798" t="s">
        <v>305</v>
      </c>
      <c r="H8" s="799" t="s">
        <v>381</v>
      </c>
      <c r="I8" s="799" t="s">
        <v>382</v>
      </c>
      <c r="J8" s="798" t="s">
        <v>383</v>
      </c>
      <c r="K8" s="798" t="s">
        <v>203</v>
      </c>
      <c r="L8" s="798" t="s">
        <v>306</v>
      </c>
      <c r="M8" s="798" t="s">
        <v>308</v>
      </c>
      <c r="N8" s="791" t="str">
        <f>IFERROR(IF(INDEX(Disaggregation_1B!M$11:M$150,MATCH($C8,Disaggregation_1B!B$11:B$150,0))="","",INDEX(Disaggregation_1B!M$11:M$150,MATCH($C8,Disaggregation_1B!B$11:B$150,0))),"")</f>
        <v/>
      </c>
      <c r="O8" s="785" t="str">
        <f>IFERROR(IF(INDEX(Disaggregation_1B!N$11:N$150,MATCH($C8,Disaggregation_1B!B$11:B$150,0))="","",INDEX(Disaggregation_1B!N$11:N$150,MATCH($C8,Disaggregation_1B!B$11:B$150,0))),"")</f>
        <v/>
      </c>
      <c r="P8" s="800" t="str">
        <f>IFERROR(IF(INDEX(Disaggregation_1B!O$11:O$150,MATCH($C8,Disaggregation_1B!B$11:B$150,0))="","",INDEX(Disaggregation_1B!O$11:O$150,MATCH($C8,Disaggregation_1B!B$11:B$150,0))),"")</f>
        <v/>
      </c>
      <c r="Q8" s="786" t="str">
        <f>IFERROR(IF(INDEX(Disaggregation_1B!P$11:P$150,MATCH($C8,Disaggregation_1B!B$11:B$150,0))="","",INDEX(Disaggregation_1B!P$11:P$150,MATCH($C8,Disaggregation_1B!B$11:B$150,0))),"")</f>
        <v/>
      </c>
      <c r="R8" s="786" t="str">
        <f>IFERROR(IF(INDEX(Disaggregation_1B!Q$11:Q$150,MATCH($C8,Disaggregation_1B!B$11:B$150,0))="","",INDEX(Disaggregation_1B!Q$11:Q$150,MATCH($C8,Disaggregation_1B!B$11:B$150,0))),"")</f>
        <v/>
      </c>
      <c r="S8" s="772">
        <f>INDEX(Disaggregation_1B!R$11:R$150,MATCH($C8,'Disaggregation1B_Import-Export'!$C$8:$C$239,0))</f>
        <v>0</v>
      </c>
      <c r="T8" s="791" t="str">
        <f>IFERROR(IF(INDEX(Disaggregation_1B!S$11:S$150,MATCH($C8,Disaggregation_1B!B$11:B$150,0))="","",INDEX(Disaggregation_1B!S$11:S$150,MATCH($C8,Disaggregation_1B!B$11:B$150,0))),"")</f>
        <v/>
      </c>
      <c r="U8" s="785" t="str">
        <f>IFERROR(IF(INDEX(Disaggregation_1B!T$11:T$150,MATCH($C8,Disaggregation_1B!B$11:B$150,0))="","",INDEX(Disaggregation_1B!T$11:T$150,MATCH($C8,Disaggregation_1B!B$11:B$150,0))),"")</f>
        <v/>
      </c>
      <c r="V8" s="800" t="str">
        <f>IFERROR(IF(INDEX(Disaggregation_1B!U$11:U$150,MATCH($C8,Disaggregation_1B!B$11:B$150,0))="","",INDEX(Disaggregation_1B!U$11:U$150,MATCH($C8,Disaggregation_1B!B$11:B$150,0))),"")</f>
        <v/>
      </c>
      <c r="W8" s="786" t="str">
        <f>IFERROR(IF(INDEX(Disaggregation_1B!V$11:V$150,MATCH($C8,Disaggregation_1B!B$11:B$150,0))="","",INDEX(Disaggregation_1B!V$11:V$150,MATCH($C8,Disaggregation_1B!B$11:B$150,0))),"")</f>
        <v/>
      </c>
      <c r="X8" s="786" t="str">
        <f>IFERROR(IF(INDEX(Disaggregation_1B!W$11:W$150,MATCH($C8,Disaggregation_1B!B$11:B$150,0))="","",INDEX(Disaggregation_1B!W$11:W$150,MATCH($C8,Disaggregation_1B!B$11:B$150,0))),"")</f>
        <v/>
      </c>
      <c r="Y8" s="772">
        <f>INDEX(Disaggregation_1B!X$11:X$150,MATCH($C8,'Disaggregation1B_Import-Export'!$C$8:$C$239,0))</f>
        <v>0</v>
      </c>
      <c r="Z8" s="772"/>
      <c r="AA8" s="772"/>
      <c r="AB8" s="772"/>
      <c r="AC8" s="772">
        <f>INDEX(Disaggregation_1B!AB$11:AB$150,MATCH($C8,'Disaggregation1B_Import-Export'!$C$8:$C$239,0))</f>
        <v>0</v>
      </c>
      <c r="AD8" s="772">
        <f>INDEX(Disaggregation_1B!AC$11:AC$150,MATCH($C8,'Disaggregation1B_Import-Export'!$C$8:$C$239,0))</f>
        <v>0</v>
      </c>
      <c r="AE8" s="785" t="s">
        <v>385</v>
      </c>
      <c r="AF8" s="772" t="str">
        <f t="shared" ref="AF8:AF47" si="0">IF(LangOffset=0,CONCATENATE(E8),IF(LangOffset=1,CONCATENATE(AJ8),IF(LangOffset=2,AI8)))</f>
        <v>[Coverage Indicator Name  - FR]</v>
      </c>
      <c r="AG8" s="772" t="str">
        <f t="shared" ref="AG8:AG47" si="1">IF(LangOffset=0,CONCATENATE(F8),IF(LangOffset=1,CONCATENATE(AL8),IF(LangOffset=2,AK8)))</f>
        <v>[Disaggregation FR]</v>
      </c>
      <c r="AH8" s="772" t="str">
        <f t="shared" ref="AH8:AH47" si="2">IF(LangOffset=0,CONCATENATE(G8),IF(LangOffset=1,CONCATENATE(AN8),IF(LangOffset=2,AM8)))</f>
        <v>[Category FR]</v>
      </c>
      <c r="AI8" s="786" t="s">
        <v>376</v>
      </c>
      <c r="AJ8" s="786" t="s">
        <v>375</v>
      </c>
      <c r="AK8" s="786" t="s">
        <v>309</v>
      </c>
      <c r="AL8" s="786" t="s">
        <v>310</v>
      </c>
      <c r="AM8" s="786" t="s">
        <v>311</v>
      </c>
      <c r="AN8" s="786" t="s">
        <v>312</v>
      </c>
      <c r="AO8" s="786" t="s">
        <v>313</v>
      </c>
      <c r="AP8" s="786" t="s">
        <v>314</v>
      </c>
      <c r="AQ8" s="786" t="s">
        <v>209</v>
      </c>
    </row>
    <row r="9" spans="1:43" x14ac:dyDescent="0.2">
      <c r="A9" s="772" t="s">
        <v>597</v>
      </c>
      <c r="B9" s="772">
        <f t="shared" ref="B9:B47" si="3">B8+1</f>
        <v>1</v>
      </c>
      <c r="C9" s="771" t="str">
        <f t="shared" ref="C9:C47" si="4">"Coverage"&amp;B9</f>
        <v>Coverage1</v>
      </c>
      <c r="D9" s="798" t="s">
        <v>390</v>
      </c>
      <c r="E9" s="798" t="s">
        <v>391</v>
      </c>
      <c r="F9" s="798" t="s">
        <v>598</v>
      </c>
      <c r="G9" s="798" t="s">
        <v>599</v>
      </c>
      <c r="H9" s="799">
        <v>2740</v>
      </c>
      <c r="I9" s="799">
        <v>0</v>
      </c>
      <c r="J9" s="798" t="s">
        <v>600</v>
      </c>
      <c r="K9" s="798" t="s">
        <v>225</v>
      </c>
      <c r="L9" s="798" t="s">
        <v>601</v>
      </c>
      <c r="M9" s="798"/>
      <c r="N9" s="791">
        <f>IFERROR(IF(INDEX(Disaggregation_1B!M$11:M$150,MATCH($C9,Disaggregation_1B!B$11:B$150,0))="","",INDEX(Disaggregation_1B!M$11:M$150,MATCH($C9,Disaggregation_1B!B$11:B$150,0))),"")</f>
        <v>1141</v>
      </c>
      <c r="O9" s="785">
        <f>IFERROR(IF(INDEX(Disaggregation_1B!N$11:N$150,MATCH($C9,Disaggregation_1B!B$11:B$150,0))="","",INDEX(Disaggregation_1B!N$11:N$150,MATCH($C9,Disaggregation_1B!B$11:B$150,0))),"")</f>
        <v>3359</v>
      </c>
      <c r="P9" s="800">
        <f>IFERROR(IF(INDEX(Disaggregation_1B!O$11:O$150,MATCH($C9,Disaggregation_1B!B$11:B$150,0))="","",INDEX(Disaggregation_1B!O$11:O$150,MATCH($C9,Disaggregation_1B!B$11:B$150,0))),"")</f>
        <v>33.968442988984812</v>
      </c>
      <c r="Q9" s="786" t="str">
        <f>IFERROR(IF(INDEX(Disaggregation_1B!P$11:P$150,MATCH($C9,Disaggregation_1B!B$11:B$150,0))="","",INDEX(Disaggregation_1B!P$11:P$150,MATCH($C9,Disaggregation_1B!B$11:B$150,0))),"")</f>
        <v>TB patient register</v>
      </c>
      <c r="R9" s="786" t="str">
        <f>IFERROR(IF(INDEX(Disaggregation_1B!Q$11:Q$150,MATCH($C9,Disaggregation_1B!B$11:B$150,0))="","",INDEX(Disaggregation_1B!Q$11:Q$150,MATCH($C9,Disaggregation_1B!B$11:B$150,0))),"")</f>
        <v>TTF pour le 2ème semestre 2019 est de 3359 dont 1141 de sexe féminin, soit 34% et 2218 de sexe masculin, soit 66%.</v>
      </c>
      <c r="S9" s="772">
        <f>INDEX(Disaggregation_1B!R$11:R$150,MATCH($C9,'Disaggregation1B_Import-Export'!$C$8:$C$239,0))</f>
        <v>0</v>
      </c>
      <c r="T9" s="791" t="str">
        <f>IFERROR(IF(INDEX(Disaggregation_1B!S$11:S$150,MATCH($C9,Disaggregation_1B!B$11:B$150,0))="","",INDEX(Disaggregation_1B!S$11:S$150,MATCH($C9,Disaggregation_1B!B$11:B$150,0))),"")</f>
        <v/>
      </c>
      <c r="U9" s="785" t="str">
        <f>IFERROR(IF(INDEX(Disaggregation_1B!T$11:T$150,MATCH($C9,Disaggregation_1B!B$11:B$150,0))="","",INDEX(Disaggregation_1B!T$11:T$150,MATCH($C9,Disaggregation_1B!B$11:B$150,0))),"")</f>
        <v/>
      </c>
      <c r="V9" s="800" t="str">
        <f>IFERROR(IF(INDEX(Disaggregation_1B!U$11:U$150,MATCH($C9,Disaggregation_1B!B$11:B$150,0))="","",INDEX(Disaggregation_1B!U$11:U$150,MATCH($C9,Disaggregation_1B!B$11:B$150,0))),"")</f>
        <v/>
      </c>
      <c r="W9" s="786" t="str">
        <f>IFERROR(IF(INDEX(Disaggregation_1B!V$11:V$150,MATCH($C9,Disaggregation_1B!B$11:B$150,0))="","",INDEX(Disaggregation_1B!V$11:V$150,MATCH($C9,Disaggregation_1B!B$11:B$150,0))),"")</f>
        <v/>
      </c>
      <c r="X9" s="786" t="str">
        <f>IFERROR(IF(INDEX(Disaggregation_1B!W$11:W$150,MATCH($C9,Disaggregation_1B!B$11:B$150,0))="","",INDEX(Disaggregation_1B!W$11:W$150,MATCH($C9,Disaggregation_1B!B$11:B$150,0))),"")</f>
        <v/>
      </c>
      <c r="Y9" s="772">
        <f>INDEX(Disaggregation_1B!X$11:X$150,MATCH($C9,'Disaggregation1B_Import-Export'!$C$8:$C$239,0))</f>
        <v>0</v>
      </c>
      <c r="Z9" s="772"/>
      <c r="AA9" s="772"/>
      <c r="AB9" s="772"/>
      <c r="AC9" s="772">
        <f>INDEX(Disaggregation_1B!AB$11:AB$150,MATCH($C9,'Disaggregation1B_Import-Export'!$C$8:$C$239,0))</f>
        <v>0</v>
      </c>
      <c r="AD9" s="772">
        <f>INDEX(Disaggregation_1B!AC$11:AC$150,MATCH($C9,'Disaggregation1B_Import-Export'!$C$8:$C$239,0))</f>
        <v>0</v>
      </c>
      <c r="AE9" s="785">
        <v>1</v>
      </c>
      <c r="AF9" s="772" t="str">
        <f t="shared" si="0"/>
        <v>TCP-1(M): Nombre de cas déclarés de tuberculose, toutes formes confondues, bactériologiquement confirmés et cliniquement diagnostiqués, nouveaux cas et récidives</v>
      </c>
      <c r="AG9" s="772" t="str">
        <f t="shared" si="1"/>
        <v>Femme</v>
      </c>
      <c r="AH9" s="772" t="str">
        <f t="shared" si="2"/>
        <v>Sexe</v>
      </c>
      <c r="AI9" s="786" t="s">
        <v>393</v>
      </c>
      <c r="AJ9" s="786" t="s">
        <v>392</v>
      </c>
      <c r="AK9" s="786" t="s">
        <v>602</v>
      </c>
      <c r="AL9" s="786" t="s">
        <v>603</v>
      </c>
      <c r="AM9" s="786" t="s">
        <v>604</v>
      </c>
      <c r="AN9" s="786" t="s">
        <v>605</v>
      </c>
      <c r="AO9" s="786"/>
      <c r="AP9" s="786" t="s">
        <v>606</v>
      </c>
      <c r="AQ9" s="786" t="s">
        <v>37</v>
      </c>
    </row>
    <row r="10" spans="1:43" x14ac:dyDescent="0.2">
      <c r="A10" s="772" t="s">
        <v>607</v>
      </c>
      <c r="B10" s="772">
        <f t="shared" si="3"/>
        <v>2</v>
      </c>
      <c r="C10" s="771" t="str">
        <f t="shared" si="4"/>
        <v>Coverage2</v>
      </c>
      <c r="D10" s="798" t="s">
        <v>390</v>
      </c>
      <c r="E10" s="798" t="s">
        <v>391</v>
      </c>
      <c r="F10" s="798" t="s">
        <v>608</v>
      </c>
      <c r="G10" s="798" t="s">
        <v>609</v>
      </c>
      <c r="H10" s="799">
        <v>4585</v>
      </c>
      <c r="I10" s="799">
        <v>0</v>
      </c>
      <c r="J10" s="798" t="s">
        <v>600</v>
      </c>
      <c r="K10" s="798" t="s">
        <v>225</v>
      </c>
      <c r="L10" s="798" t="s">
        <v>601</v>
      </c>
      <c r="M10" s="798"/>
      <c r="N10" s="791">
        <f>IFERROR(IF(INDEX(Disaggregation_1B!M$11:M$150,MATCH($C10,Disaggregation_1B!B$11:B$150,0))="","",INDEX(Disaggregation_1B!M$11:M$150,MATCH($C10,Disaggregation_1B!B$11:B$150,0))),"")</f>
        <v>2136</v>
      </c>
      <c r="O10" s="785">
        <f>IFERROR(IF(INDEX(Disaggregation_1B!N$11:N$150,MATCH($C10,Disaggregation_1B!B$11:B$150,0))="","",INDEX(Disaggregation_1B!N$11:N$150,MATCH($C10,Disaggregation_1B!B$11:B$150,0))),"")</f>
        <v>3359</v>
      </c>
      <c r="P10" s="800">
        <f>IFERROR(IF(INDEX(Disaggregation_1B!O$11:O$150,MATCH($C10,Disaggregation_1B!B$11:B$150,0))="","",INDEX(Disaggregation_1B!O$11:O$150,MATCH($C10,Disaggregation_1B!B$11:B$150,0))),"")</f>
        <v>63.59035427210479</v>
      </c>
      <c r="Q10" s="786" t="str">
        <f>IFERROR(IF(INDEX(Disaggregation_1B!P$11:P$150,MATCH($C10,Disaggregation_1B!B$11:B$150,0))="","",INDEX(Disaggregation_1B!P$11:P$150,MATCH($C10,Disaggregation_1B!B$11:B$150,0))),"")</f>
        <v>TB patient register</v>
      </c>
      <c r="R10" s="786" t="str">
        <f>IFERROR(IF(INDEX(Disaggregation_1B!Q$11:Q$150,MATCH($C10,Disaggregation_1B!B$11:B$150,0))="","",INDEX(Disaggregation_1B!Q$11:Q$150,MATCH($C10,Disaggregation_1B!B$11:B$150,0))),"")</f>
        <v>Conformément à la définition OMS,  2136 TBP+ ont été enregistrés au cours du 2ème semestre 2019, soit 63,59% des cas notifiés pour la même période</v>
      </c>
      <c r="S10" s="772">
        <f>INDEX(Disaggregation_1B!R$11:R$150,MATCH($C10,'Disaggregation1B_Import-Export'!$C$8:$C$239,0))</f>
        <v>0</v>
      </c>
      <c r="T10" s="791" t="str">
        <f>IFERROR(IF(INDEX(Disaggregation_1B!S$11:S$150,MATCH($C10,Disaggregation_1B!B$11:B$150,0))="","",INDEX(Disaggregation_1B!S$11:S$150,MATCH($C10,Disaggregation_1B!B$11:B$150,0))),"")</f>
        <v/>
      </c>
      <c r="U10" s="785" t="str">
        <f>IFERROR(IF(INDEX(Disaggregation_1B!T$11:T$150,MATCH($C10,Disaggregation_1B!B$11:B$150,0))="","",INDEX(Disaggregation_1B!T$11:T$150,MATCH($C10,Disaggregation_1B!B$11:B$150,0))),"")</f>
        <v/>
      </c>
      <c r="V10" s="800" t="str">
        <f>IFERROR(IF(INDEX(Disaggregation_1B!U$11:U$150,MATCH($C10,Disaggregation_1B!B$11:B$150,0))="","",INDEX(Disaggregation_1B!U$11:U$150,MATCH($C10,Disaggregation_1B!B$11:B$150,0))),"")</f>
        <v/>
      </c>
      <c r="W10" s="786" t="str">
        <f>IFERROR(IF(INDEX(Disaggregation_1B!V$11:V$150,MATCH($C10,Disaggregation_1B!B$11:B$150,0))="","",INDEX(Disaggregation_1B!V$11:V$150,MATCH($C10,Disaggregation_1B!B$11:B$150,0))),"")</f>
        <v/>
      </c>
      <c r="X10" s="786" t="str">
        <f>IFERROR(IF(INDEX(Disaggregation_1B!W$11:W$150,MATCH($C10,Disaggregation_1B!B$11:B$150,0))="","",INDEX(Disaggregation_1B!W$11:W$150,MATCH($C10,Disaggregation_1B!B$11:B$150,0))),"")</f>
        <v/>
      </c>
      <c r="Y10" s="772">
        <f>INDEX(Disaggregation_1B!X$11:X$150,MATCH($C10,'Disaggregation1B_Import-Export'!$C$8:$C$239,0))</f>
        <v>0</v>
      </c>
      <c r="Z10" s="772"/>
      <c r="AA10" s="772"/>
      <c r="AB10" s="772"/>
      <c r="AC10" s="772">
        <f>INDEX(Disaggregation_1B!AB$11:AB$150,MATCH($C10,'Disaggregation1B_Import-Export'!$C$8:$C$239,0))</f>
        <v>0</v>
      </c>
      <c r="AD10" s="772">
        <f>INDEX(Disaggregation_1B!AC$11:AC$150,MATCH($C10,'Disaggregation1B_Import-Export'!$C$8:$C$239,0))</f>
        <v>0</v>
      </c>
      <c r="AE10" s="785">
        <v>1</v>
      </c>
      <c r="AF10" s="772" t="str">
        <f t="shared" si="0"/>
        <v>TCP-1(M): Nombre de cas déclarés de tuberculose, toutes formes confondues, bactériologiquement confirmés et cliniquement diagnostiqués, nouveaux cas et récidives</v>
      </c>
      <c r="AG10" s="772" t="str">
        <f t="shared" si="1"/>
        <v>Bactériologiquement confirmé</v>
      </c>
      <c r="AH10" s="772" t="str">
        <f t="shared" si="2"/>
        <v>Définition des cas</v>
      </c>
      <c r="AI10" s="786" t="s">
        <v>393</v>
      </c>
      <c r="AJ10" s="786" t="s">
        <v>392</v>
      </c>
      <c r="AK10" s="786" t="s">
        <v>610</v>
      </c>
      <c r="AL10" s="786" t="s">
        <v>611</v>
      </c>
      <c r="AM10" s="786" t="s">
        <v>612</v>
      </c>
      <c r="AN10" s="786" t="s">
        <v>613</v>
      </c>
      <c r="AO10" s="786"/>
      <c r="AP10" s="786" t="s">
        <v>606</v>
      </c>
      <c r="AQ10" s="786" t="s">
        <v>37</v>
      </c>
    </row>
    <row r="11" spans="1:43" x14ac:dyDescent="0.2">
      <c r="A11" s="772" t="s">
        <v>614</v>
      </c>
      <c r="B11" s="772">
        <f t="shared" si="3"/>
        <v>3</v>
      </c>
      <c r="C11" s="771" t="str">
        <f t="shared" si="4"/>
        <v>Coverage3</v>
      </c>
      <c r="D11" s="798" t="s">
        <v>390</v>
      </c>
      <c r="E11" s="798" t="s">
        <v>391</v>
      </c>
      <c r="F11" s="798" t="s">
        <v>615</v>
      </c>
      <c r="G11" s="798" t="s">
        <v>616</v>
      </c>
      <c r="H11" s="799">
        <v>7270</v>
      </c>
      <c r="I11" s="799">
        <v>0</v>
      </c>
      <c r="J11" s="798" t="s">
        <v>600</v>
      </c>
      <c r="K11" s="798" t="s">
        <v>225</v>
      </c>
      <c r="L11" s="798" t="s">
        <v>601</v>
      </c>
      <c r="M11" s="798"/>
      <c r="N11" s="791">
        <f>IFERROR(IF(INDEX(Disaggregation_1B!M$11:M$150,MATCH($C11,Disaggregation_1B!B$11:B$150,0))="","",INDEX(Disaggregation_1B!M$11:M$150,MATCH($C11,Disaggregation_1B!B$11:B$150,0))),"")</f>
        <v>3213</v>
      </c>
      <c r="O11" s="785">
        <f>IFERROR(IF(INDEX(Disaggregation_1B!N$11:N$150,MATCH($C11,Disaggregation_1B!B$11:B$150,0))="","",INDEX(Disaggregation_1B!N$11:N$150,MATCH($C11,Disaggregation_1B!B$11:B$150,0))),"")</f>
        <v>3359</v>
      </c>
      <c r="P11" s="800">
        <f>IFERROR(IF(INDEX(Disaggregation_1B!O$11:O$150,MATCH($C11,Disaggregation_1B!B$11:B$150,0))="","",INDEX(Disaggregation_1B!O$11:O$150,MATCH($C11,Disaggregation_1B!B$11:B$150,0))),"")</f>
        <v>95.653468294135152</v>
      </c>
      <c r="Q11" s="786" t="str">
        <f>IFERROR(IF(INDEX(Disaggregation_1B!P$11:P$150,MATCH($C11,Disaggregation_1B!B$11:B$150,0))="","",INDEX(Disaggregation_1B!P$11:P$150,MATCH($C11,Disaggregation_1B!B$11:B$150,0))),"")</f>
        <v>TB patient register</v>
      </c>
      <c r="R11" s="786" t="str">
        <f>IFERROR(IF(INDEX(Disaggregation_1B!Q$11:Q$150,MATCH($C11,Disaggregation_1B!B$11:B$150,0))="","",INDEX(Disaggregation_1B!Q$11:Q$150,MATCH($C11,Disaggregation_1B!B$11:B$150,0))),"")</f>
        <v>&gt; 15 ans : 3213 sur 3359 enregistrés au second semestre 2019, soit 96%</v>
      </c>
      <c r="S11" s="772">
        <f>INDEX(Disaggregation_1B!R$11:R$150,MATCH($C11,'Disaggregation1B_Import-Export'!$C$8:$C$239,0))</f>
        <v>0</v>
      </c>
      <c r="T11" s="791" t="str">
        <f>IFERROR(IF(INDEX(Disaggregation_1B!S$11:S$150,MATCH($C11,Disaggregation_1B!B$11:B$150,0))="","",INDEX(Disaggregation_1B!S$11:S$150,MATCH($C11,Disaggregation_1B!B$11:B$150,0))),"")</f>
        <v/>
      </c>
      <c r="U11" s="785" t="str">
        <f>IFERROR(IF(INDEX(Disaggregation_1B!T$11:T$150,MATCH($C11,Disaggregation_1B!B$11:B$150,0))="","",INDEX(Disaggregation_1B!T$11:T$150,MATCH($C11,Disaggregation_1B!B$11:B$150,0))),"")</f>
        <v/>
      </c>
      <c r="V11" s="800" t="str">
        <f>IFERROR(IF(INDEX(Disaggregation_1B!U$11:U$150,MATCH($C11,Disaggregation_1B!B$11:B$150,0))="","",INDEX(Disaggregation_1B!U$11:U$150,MATCH($C11,Disaggregation_1B!B$11:B$150,0))),"")</f>
        <v/>
      </c>
      <c r="W11" s="786" t="str">
        <f>IFERROR(IF(INDEX(Disaggregation_1B!V$11:V$150,MATCH($C11,Disaggregation_1B!B$11:B$150,0))="","",INDEX(Disaggregation_1B!V$11:V$150,MATCH($C11,Disaggregation_1B!B$11:B$150,0))),"")</f>
        <v/>
      </c>
      <c r="X11" s="786" t="str">
        <f>IFERROR(IF(INDEX(Disaggregation_1B!W$11:W$150,MATCH($C11,Disaggregation_1B!B$11:B$150,0))="","",INDEX(Disaggregation_1B!W$11:W$150,MATCH($C11,Disaggregation_1B!B$11:B$150,0))),"")</f>
        <v/>
      </c>
      <c r="Y11" s="772">
        <f>INDEX(Disaggregation_1B!X$11:X$150,MATCH($C11,'Disaggregation1B_Import-Export'!$C$8:$C$239,0))</f>
        <v>0</v>
      </c>
      <c r="Z11" s="772"/>
      <c r="AA11" s="772"/>
      <c r="AB11" s="772"/>
      <c r="AC11" s="772">
        <f>INDEX(Disaggregation_1B!AB$11:AB$150,MATCH($C11,'Disaggregation1B_Import-Export'!$C$8:$C$239,0))</f>
        <v>0</v>
      </c>
      <c r="AD11" s="772">
        <f>INDEX(Disaggregation_1B!AC$11:AC$150,MATCH($C11,'Disaggregation1B_Import-Export'!$C$8:$C$239,0))</f>
        <v>0</v>
      </c>
      <c r="AE11" s="785">
        <v>1</v>
      </c>
      <c r="AF11" s="772" t="str">
        <f t="shared" si="0"/>
        <v>TCP-1(M): Nombre de cas déclarés de tuberculose, toutes formes confondues, bactériologiquement confirmés et cliniquement diagnostiqués, nouveaux cas et récidives</v>
      </c>
      <c r="AG11" s="772" t="str">
        <f t="shared" si="1"/>
        <v>+ de 15 ans</v>
      </c>
      <c r="AH11" s="772" t="str">
        <f t="shared" si="2"/>
        <v>Age</v>
      </c>
      <c r="AI11" s="786" t="s">
        <v>393</v>
      </c>
      <c r="AJ11" s="786" t="s">
        <v>392</v>
      </c>
      <c r="AK11" s="786" t="s">
        <v>615</v>
      </c>
      <c r="AL11" s="786" t="s">
        <v>617</v>
      </c>
      <c r="AM11" s="786" t="s">
        <v>618</v>
      </c>
      <c r="AN11" s="786" t="s">
        <v>616</v>
      </c>
      <c r="AO11" s="786"/>
      <c r="AP11" s="786" t="s">
        <v>606</v>
      </c>
      <c r="AQ11" s="786" t="s">
        <v>37</v>
      </c>
    </row>
    <row r="12" spans="1:43" x14ac:dyDescent="0.2">
      <c r="A12" s="772" t="s">
        <v>619</v>
      </c>
      <c r="B12" s="772">
        <f t="shared" si="3"/>
        <v>4</v>
      </c>
      <c r="C12" s="771" t="str">
        <f t="shared" si="4"/>
        <v>Coverage4</v>
      </c>
      <c r="D12" s="798" t="s">
        <v>390</v>
      </c>
      <c r="E12" s="798" t="s">
        <v>391</v>
      </c>
      <c r="F12" s="798" t="s">
        <v>620</v>
      </c>
      <c r="G12" s="798" t="s">
        <v>616</v>
      </c>
      <c r="H12" s="799">
        <v>392</v>
      </c>
      <c r="I12" s="799">
        <v>0</v>
      </c>
      <c r="J12" s="798" t="s">
        <v>600</v>
      </c>
      <c r="K12" s="798" t="s">
        <v>225</v>
      </c>
      <c r="L12" s="798" t="s">
        <v>601</v>
      </c>
      <c r="M12" s="798"/>
      <c r="N12" s="791">
        <f>IFERROR(IF(INDEX(Disaggregation_1B!M$11:M$150,MATCH($C12,Disaggregation_1B!B$11:B$150,0))="","",INDEX(Disaggregation_1B!M$11:M$150,MATCH($C12,Disaggregation_1B!B$11:B$150,0))),"")</f>
        <v>146</v>
      </c>
      <c r="O12" s="785">
        <f>IFERROR(IF(INDEX(Disaggregation_1B!N$11:N$150,MATCH($C12,Disaggregation_1B!B$11:B$150,0))="","",INDEX(Disaggregation_1B!N$11:N$150,MATCH($C12,Disaggregation_1B!B$11:B$150,0))),"")</f>
        <v>3359</v>
      </c>
      <c r="P12" s="800">
        <f>IFERROR(IF(INDEX(Disaggregation_1B!O$11:O$150,MATCH($C12,Disaggregation_1B!B$11:B$150,0))="","",INDEX(Disaggregation_1B!O$11:O$150,MATCH($C12,Disaggregation_1B!B$11:B$150,0))),"")</f>
        <v>4.3465317058648409</v>
      </c>
      <c r="Q12" s="786" t="str">
        <f>IFERROR(IF(INDEX(Disaggregation_1B!P$11:P$150,MATCH($C12,Disaggregation_1B!B$11:B$150,0))="","",INDEX(Disaggregation_1B!P$11:P$150,MATCH($C12,Disaggregation_1B!B$11:B$150,0))),"")</f>
        <v>TB patient register</v>
      </c>
      <c r="R12" s="786" t="str">
        <f>IFERROR(IF(INDEX(Disaggregation_1B!Q$11:Q$150,MATCH($C12,Disaggregation_1B!B$11:B$150,0))="","",INDEX(Disaggregation_1B!Q$11:Q$150,MATCH($C12,Disaggregation_1B!B$11:B$150,0))),"")</f>
        <v xml:space="preserve">&lt; 15 ans : 146 sur 3359 enregistrés au second semestre 2019, soit 4%. Une sous notification des cas de tuberculose pédiatrique est constatée. Cela s’expliquerait par  l’insuffisance d’un plateau technique adéquat permettant le diagnostic de la tuberculose chez l'enfant  </v>
      </c>
      <c r="S12" s="772">
        <f>INDEX(Disaggregation_1B!R$11:R$150,MATCH($C12,'Disaggregation1B_Import-Export'!$C$8:$C$239,0))</f>
        <v>0</v>
      </c>
      <c r="T12" s="791" t="str">
        <f>IFERROR(IF(INDEX(Disaggregation_1B!S$11:S$150,MATCH($C12,Disaggregation_1B!B$11:B$150,0))="","",INDEX(Disaggregation_1B!S$11:S$150,MATCH($C12,Disaggregation_1B!B$11:B$150,0))),"")</f>
        <v/>
      </c>
      <c r="U12" s="785" t="str">
        <f>IFERROR(IF(INDEX(Disaggregation_1B!T$11:T$150,MATCH($C12,Disaggregation_1B!B$11:B$150,0))="","",INDEX(Disaggregation_1B!T$11:T$150,MATCH($C12,Disaggregation_1B!B$11:B$150,0))),"")</f>
        <v/>
      </c>
      <c r="V12" s="800" t="str">
        <f>IFERROR(IF(INDEX(Disaggregation_1B!U$11:U$150,MATCH($C12,Disaggregation_1B!B$11:B$150,0))="","",INDEX(Disaggregation_1B!U$11:U$150,MATCH($C12,Disaggregation_1B!B$11:B$150,0))),"")</f>
        <v/>
      </c>
      <c r="W12" s="786" t="str">
        <f>IFERROR(IF(INDEX(Disaggregation_1B!V$11:V$150,MATCH($C12,Disaggregation_1B!B$11:B$150,0))="","",INDEX(Disaggregation_1B!V$11:V$150,MATCH($C12,Disaggregation_1B!B$11:B$150,0))),"")</f>
        <v/>
      </c>
      <c r="X12" s="786" t="str">
        <f>IFERROR(IF(INDEX(Disaggregation_1B!W$11:W$150,MATCH($C12,Disaggregation_1B!B$11:B$150,0))="","",INDEX(Disaggregation_1B!W$11:W$150,MATCH($C12,Disaggregation_1B!B$11:B$150,0))),"")</f>
        <v/>
      </c>
      <c r="Y12" s="772">
        <f>INDEX(Disaggregation_1B!X$11:X$150,MATCH($C12,'Disaggregation1B_Import-Export'!$C$8:$C$239,0))</f>
        <v>0</v>
      </c>
      <c r="Z12" s="772"/>
      <c r="AA12" s="772"/>
      <c r="AB12" s="772"/>
      <c r="AC12" s="772">
        <f>INDEX(Disaggregation_1B!AB$11:AB$150,MATCH($C12,'Disaggregation1B_Import-Export'!$C$8:$C$239,0))</f>
        <v>0</v>
      </c>
      <c r="AD12" s="772">
        <f>INDEX(Disaggregation_1B!AC$11:AC$150,MATCH($C12,'Disaggregation1B_Import-Export'!$C$8:$C$239,0))</f>
        <v>0</v>
      </c>
      <c r="AE12" s="785">
        <v>1</v>
      </c>
      <c r="AF12" s="772" t="str">
        <f t="shared" si="0"/>
        <v>TCP-1(M): Nombre de cas déclarés de tuberculose, toutes formes confondues, bactériologiquement confirmés et cliniquement diagnostiqués, nouveaux cas et récidives</v>
      </c>
      <c r="AG12" s="772" t="str">
        <f t="shared" si="1"/>
        <v>&lt;15 ans</v>
      </c>
      <c r="AH12" s="772" t="str">
        <f t="shared" si="2"/>
        <v>Age</v>
      </c>
      <c r="AI12" s="786" t="s">
        <v>393</v>
      </c>
      <c r="AJ12" s="786" t="s">
        <v>392</v>
      </c>
      <c r="AK12" s="786" t="s">
        <v>621</v>
      </c>
      <c r="AL12" s="786" t="s">
        <v>622</v>
      </c>
      <c r="AM12" s="786" t="s">
        <v>618</v>
      </c>
      <c r="AN12" s="786" t="s">
        <v>616</v>
      </c>
      <c r="AO12" s="786"/>
      <c r="AP12" s="786" t="s">
        <v>606</v>
      </c>
      <c r="AQ12" s="786" t="s">
        <v>37</v>
      </c>
    </row>
    <row r="13" spans="1:43" x14ac:dyDescent="0.2">
      <c r="A13" s="772" t="s">
        <v>623</v>
      </c>
      <c r="B13" s="772">
        <f t="shared" si="3"/>
        <v>5</v>
      </c>
      <c r="C13" s="771" t="str">
        <f t="shared" si="4"/>
        <v>Coverage5</v>
      </c>
      <c r="D13" s="798" t="s">
        <v>390</v>
      </c>
      <c r="E13" s="798" t="s">
        <v>391</v>
      </c>
      <c r="F13" s="798" t="s">
        <v>624</v>
      </c>
      <c r="G13" s="798" t="s">
        <v>625</v>
      </c>
      <c r="H13" s="799">
        <v>317</v>
      </c>
      <c r="I13" s="799">
        <v>0</v>
      </c>
      <c r="J13" s="798" t="s">
        <v>600</v>
      </c>
      <c r="K13" s="798" t="s">
        <v>225</v>
      </c>
      <c r="L13" s="798" t="s">
        <v>601</v>
      </c>
      <c r="M13" s="798"/>
      <c r="N13" s="791">
        <f>IFERROR(IF(INDEX(Disaggregation_1B!M$11:M$150,MATCH($C13,Disaggregation_1B!B$11:B$150,0))="","",INDEX(Disaggregation_1B!M$11:M$150,MATCH($C13,Disaggregation_1B!B$11:B$150,0))),"")</f>
        <v>34</v>
      </c>
      <c r="O13" s="785">
        <f>IFERROR(IF(INDEX(Disaggregation_1B!N$11:N$150,MATCH($C13,Disaggregation_1B!B$11:B$150,0))="","",INDEX(Disaggregation_1B!N$11:N$150,MATCH($C13,Disaggregation_1B!B$11:B$150,0))),"")</f>
        <v>3359</v>
      </c>
      <c r="P13" s="800">
        <f>IFERROR(IF(INDEX(Disaggregation_1B!O$11:O$150,MATCH($C13,Disaggregation_1B!B$11:B$150,0))="","",INDEX(Disaggregation_1B!O$11:O$150,MATCH($C13,Disaggregation_1B!B$11:B$150,0))),"")</f>
        <v>1.0122060136945519</v>
      </c>
      <c r="Q13" s="786" t="str">
        <f>IFERROR(IF(INDEX(Disaggregation_1B!P$11:P$150,MATCH($C13,Disaggregation_1B!B$11:B$150,0))="","",INDEX(Disaggregation_1B!P$11:P$150,MATCH($C13,Disaggregation_1B!B$11:B$150,0))),"")</f>
        <v>TB patient register</v>
      </c>
      <c r="R13" s="786" t="str">
        <f>IFERROR(IF(INDEX(Disaggregation_1B!Q$11:Q$150,MATCH($C13,Disaggregation_1B!B$11:B$150,0))="","",INDEX(Disaggregation_1B!Q$11:Q$150,MATCH($C13,Disaggregation_1B!B$11:B$150,0))),"")</f>
        <v xml:space="preserve">Au cours du second semestre 2019, 34 patients tuberculeux n'ont pas connu leur statut sérologique. Ceci peut être notamment dû:
(i) à la peur de connaître le statut sérologique VIH 
(ii) à la stigmatisation liée au VIH
</v>
      </c>
      <c r="S13" s="772">
        <f>INDEX(Disaggregation_1B!R$11:R$150,MATCH($C13,'Disaggregation1B_Import-Export'!$C$8:$C$239,0))</f>
        <v>0</v>
      </c>
      <c r="T13" s="791" t="str">
        <f>IFERROR(IF(INDEX(Disaggregation_1B!S$11:S$150,MATCH($C13,Disaggregation_1B!B$11:B$150,0))="","",INDEX(Disaggregation_1B!S$11:S$150,MATCH($C13,Disaggregation_1B!B$11:B$150,0))),"")</f>
        <v/>
      </c>
      <c r="U13" s="785" t="str">
        <f>IFERROR(IF(INDEX(Disaggregation_1B!T$11:T$150,MATCH($C13,Disaggregation_1B!B$11:B$150,0))="","",INDEX(Disaggregation_1B!T$11:T$150,MATCH($C13,Disaggregation_1B!B$11:B$150,0))),"")</f>
        <v/>
      </c>
      <c r="V13" s="800" t="str">
        <f>IFERROR(IF(INDEX(Disaggregation_1B!U$11:U$150,MATCH($C13,Disaggregation_1B!B$11:B$150,0))="","",INDEX(Disaggregation_1B!U$11:U$150,MATCH($C13,Disaggregation_1B!B$11:B$150,0))),"")</f>
        <v/>
      </c>
      <c r="W13" s="786" t="str">
        <f>IFERROR(IF(INDEX(Disaggregation_1B!V$11:V$150,MATCH($C13,Disaggregation_1B!B$11:B$150,0))="","",INDEX(Disaggregation_1B!V$11:V$150,MATCH($C13,Disaggregation_1B!B$11:B$150,0))),"")</f>
        <v/>
      </c>
      <c r="X13" s="786" t="str">
        <f>IFERROR(IF(INDEX(Disaggregation_1B!W$11:W$150,MATCH($C13,Disaggregation_1B!B$11:B$150,0))="","",INDEX(Disaggregation_1B!W$11:W$150,MATCH($C13,Disaggregation_1B!B$11:B$150,0))),"")</f>
        <v/>
      </c>
      <c r="Y13" s="772">
        <f>INDEX(Disaggregation_1B!X$11:X$150,MATCH($C13,'Disaggregation1B_Import-Export'!$C$8:$C$239,0))</f>
        <v>0</v>
      </c>
      <c r="Z13" s="772"/>
      <c r="AA13" s="772"/>
      <c r="AB13" s="772"/>
      <c r="AC13" s="772">
        <f>INDEX(Disaggregation_1B!AB$11:AB$150,MATCH($C13,'Disaggregation1B_Import-Export'!$C$8:$C$239,0))</f>
        <v>0</v>
      </c>
      <c r="AD13" s="772">
        <f>INDEX(Disaggregation_1B!AC$11:AC$150,MATCH($C13,'Disaggregation1B_Import-Export'!$C$8:$C$239,0))</f>
        <v>0</v>
      </c>
      <c r="AE13" s="785">
        <v>1</v>
      </c>
      <c r="AF13" s="772" t="str">
        <f t="shared" si="0"/>
        <v>TCP-1(M): Nombre de cas déclarés de tuberculose, toutes formes confondues, bactériologiquement confirmés et cliniquement diagnostiqués, nouveaux cas et récidives</v>
      </c>
      <c r="AG13" s="772" t="str">
        <f t="shared" si="1"/>
        <v>Non communiqué</v>
      </c>
      <c r="AH13" s="772" t="str">
        <f t="shared" si="2"/>
        <v>Résultat du test VIH</v>
      </c>
      <c r="AI13" s="786" t="s">
        <v>393</v>
      </c>
      <c r="AJ13" s="786" t="s">
        <v>392</v>
      </c>
      <c r="AK13" s="786" t="s">
        <v>626</v>
      </c>
      <c r="AL13" s="786" t="s">
        <v>627</v>
      </c>
      <c r="AM13" s="786" t="s">
        <v>628</v>
      </c>
      <c r="AN13" s="786" t="s">
        <v>629</v>
      </c>
      <c r="AO13" s="786"/>
      <c r="AP13" s="786" t="s">
        <v>606</v>
      </c>
      <c r="AQ13" s="786" t="s">
        <v>37</v>
      </c>
    </row>
    <row r="14" spans="1:43" x14ac:dyDescent="0.2">
      <c r="A14" s="772" t="s">
        <v>630</v>
      </c>
      <c r="B14" s="772">
        <f t="shared" si="3"/>
        <v>6</v>
      </c>
      <c r="C14" s="771" t="str">
        <f t="shared" si="4"/>
        <v>Coverage6</v>
      </c>
      <c r="D14" s="798" t="s">
        <v>390</v>
      </c>
      <c r="E14" s="798" t="s">
        <v>391</v>
      </c>
      <c r="F14" s="798" t="s">
        <v>631</v>
      </c>
      <c r="G14" s="798" t="s">
        <v>625</v>
      </c>
      <c r="H14" s="799">
        <v>6468</v>
      </c>
      <c r="I14" s="799">
        <v>0</v>
      </c>
      <c r="J14" s="798" t="s">
        <v>600</v>
      </c>
      <c r="K14" s="798" t="s">
        <v>225</v>
      </c>
      <c r="L14" s="798" t="s">
        <v>601</v>
      </c>
      <c r="M14" s="798"/>
      <c r="N14" s="791">
        <f>IFERROR(IF(INDEX(Disaggregation_1B!M$11:M$150,MATCH($C14,Disaggregation_1B!B$11:B$150,0))="","",INDEX(Disaggregation_1B!M$11:M$150,MATCH($C14,Disaggregation_1B!B$11:B$150,0))),"")</f>
        <v>3036</v>
      </c>
      <c r="O14" s="785">
        <f>IFERROR(IF(INDEX(Disaggregation_1B!N$11:N$150,MATCH($C14,Disaggregation_1B!B$11:B$150,0))="","",INDEX(Disaggregation_1B!N$11:N$150,MATCH($C14,Disaggregation_1B!B$11:B$150,0))),"")</f>
        <v>3325</v>
      </c>
      <c r="P14" s="800">
        <f>IFERROR(IF(INDEX(Disaggregation_1B!O$11:O$150,MATCH($C14,Disaggregation_1B!B$11:B$150,0))="","",INDEX(Disaggregation_1B!O$11:O$150,MATCH($C14,Disaggregation_1B!B$11:B$150,0))),"")</f>
        <v>91.308270676691734</v>
      </c>
      <c r="Q14" s="786" t="str">
        <f>IFERROR(IF(INDEX(Disaggregation_1B!P$11:P$150,MATCH($C14,Disaggregation_1B!B$11:B$150,0))="","",INDEX(Disaggregation_1B!P$11:P$150,MATCH($C14,Disaggregation_1B!B$11:B$150,0))),"")</f>
        <v>TB patient register</v>
      </c>
      <c r="R14" s="786" t="str">
        <f>IFERROR(IF(INDEX(Disaggregation_1B!Q$11:Q$150,MATCH($C14,Disaggregation_1B!B$11:B$150,0))="","",INDEX(Disaggregation_1B!Q$11:Q$150,MATCH($C14,Disaggregation_1B!B$11:B$150,0))),"")</f>
        <v>Sur 3325 patients tuberculeux connaissant leur statut sérologique VIH, 3036 cas de tuberculose dépistés au cours du 2è semestre 2019 ont une sérologie VIH négative, soit 91%.</v>
      </c>
      <c r="S14" s="772">
        <f>INDEX(Disaggregation_1B!R$11:R$150,MATCH($C14,'Disaggregation1B_Import-Export'!$C$8:$C$239,0))</f>
        <v>0</v>
      </c>
      <c r="T14" s="791" t="str">
        <f>IFERROR(IF(INDEX(Disaggregation_1B!S$11:S$150,MATCH($C14,Disaggregation_1B!B$11:B$150,0))="","",INDEX(Disaggregation_1B!S$11:S$150,MATCH($C14,Disaggregation_1B!B$11:B$150,0))),"")</f>
        <v/>
      </c>
      <c r="U14" s="785" t="str">
        <f>IFERROR(IF(INDEX(Disaggregation_1B!T$11:T$150,MATCH($C14,Disaggregation_1B!B$11:B$150,0))="","",INDEX(Disaggregation_1B!T$11:T$150,MATCH($C14,Disaggregation_1B!B$11:B$150,0))),"")</f>
        <v/>
      </c>
      <c r="V14" s="800" t="str">
        <f>IFERROR(IF(INDEX(Disaggregation_1B!U$11:U$150,MATCH($C14,Disaggregation_1B!B$11:B$150,0))="","",INDEX(Disaggregation_1B!U$11:U$150,MATCH($C14,Disaggregation_1B!B$11:B$150,0))),"")</f>
        <v/>
      </c>
      <c r="W14" s="786" t="str">
        <f>IFERROR(IF(INDEX(Disaggregation_1B!V$11:V$150,MATCH($C14,Disaggregation_1B!B$11:B$150,0))="","",INDEX(Disaggregation_1B!V$11:V$150,MATCH($C14,Disaggregation_1B!B$11:B$150,0))),"")</f>
        <v/>
      </c>
      <c r="X14" s="786" t="str">
        <f>IFERROR(IF(INDEX(Disaggregation_1B!W$11:W$150,MATCH($C14,Disaggregation_1B!B$11:B$150,0))="","",INDEX(Disaggregation_1B!W$11:W$150,MATCH($C14,Disaggregation_1B!B$11:B$150,0))),"")</f>
        <v/>
      </c>
      <c r="Y14" s="772">
        <f>INDEX(Disaggregation_1B!X$11:X$150,MATCH($C14,'Disaggregation1B_Import-Export'!$C$8:$C$239,0))</f>
        <v>0</v>
      </c>
      <c r="Z14" s="772"/>
      <c r="AA14" s="772"/>
      <c r="AB14" s="772"/>
      <c r="AC14" s="772">
        <f>INDEX(Disaggregation_1B!AB$11:AB$150,MATCH($C14,'Disaggregation1B_Import-Export'!$C$8:$C$239,0))</f>
        <v>0</v>
      </c>
      <c r="AD14" s="772">
        <f>INDEX(Disaggregation_1B!AC$11:AC$150,MATCH($C14,'Disaggregation1B_Import-Export'!$C$8:$C$239,0))</f>
        <v>0</v>
      </c>
      <c r="AE14" s="785">
        <v>1</v>
      </c>
      <c r="AF14" s="772" t="str">
        <f t="shared" si="0"/>
        <v>TCP-1(M): Nombre de cas déclarés de tuberculose, toutes formes confondues, bactériologiquement confirmés et cliniquement diagnostiqués, nouveaux cas et récidives</v>
      </c>
      <c r="AG14" s="772" t="str">
        <f t="shared" si="1"/>
        <v>Négatif</v>
      </c>
      <c r="AH14" s="772" t="str">
        <f t="shared" si="2"/>
        <v>Résultat du test VIH</v>
      </c>
      <c r="AI14" s="786" t="s">
        <v>393</v>
      </c>
      <c r="AJ14" s="786" t="s">
        <v>392</v>
      </c>
      <c r="AK14" s="786" t="s">
        <v>632</v>
      </c>
      <c r="AL14" s="786" t="s">
        <v>633</v>
      </c>
      <c r="AM14" s="786" t="s">
        <v>628</v>
      </c>
      <c r="AN14" s="786" t="s">
        <v>629</v>
      </c>
      <c r="AO14" s="786"/>
      <c r="AP14" s="786" t="s">
        <v>606</v>
      </c>
      <c r="AQ14" s="786" t="s">
        <v>37</v>
      </c>
    </row>
    <row r="15" spans="1:43" x14ac:dyDescent="0.2">
      <c r="A15" s="772" t="s">
        <v>634</v>
      </c>
      <c r="B15" s="772">
        <f t="shared" si="3"/>
        <v>7</v>
      </c>
      <c r="C15" s="771" t="str">
        <f t="shared" si="4"/>
        <v>Coverage7</v>
      </c>
      <c r="D15" s="798" t="s">
        <v>390</v>
      </c>
      <c r="E15" s="798" t="s">
        <v>391</v>
      </c>
      <c r="F15" s="798" t="s">
        <v>635</v>
      </c>
      <c r="G15" s="798" t="s">
        <v>625</v>
      </c>
      <c r="H15" s="799">
        <v>877</v>
      </c>
      <c r="I15" s="799">
        <v>0</v>
      </c>
      <c r="J15" s="798" t="s">
        <v>600</v>
      </c>
      <c r="K15" s="798" t="s">
        <v>225</v>
      </c>
      <c r="L15" s="798" t="s">
        <v>601</v>
      </c>
      <c r="M15" s="798"/>
      <c r="N15" s="791">
        <f>IFERROR(IF(INDEX(Disaggregation_1B!M$11:M$150,MATCH($C15,Disaggregation_1B!B$11:B$150,0))="","",INDEX(Disaggregation_1B!M$11:M$150,MATCH($C15,Disaggregation_1B!B$11:B$150,0))),"")</f>
        <v>262</v>
      </c>
      <c r="O15" s="785">
        <f>IFERROR(IF(INDEX(Disaggregation_1B!N$11:N$150,MATCH($C15,Disaggregation_1B!B$11:B$150,0))="","",INDEX(Disaggregation_1B!N$11:N$150,MATCH($C15,Disaggregation_1B!B$11:B$150,0))),"")</f>
        <v>3325</v>
      </c>
      <c r="P15" s="800">
        <f>IFERROR(IF(INDEX(Disaggregation_1B!O$11:O$150,MATCH($C15,Disaggregation_1B!B$11:B$150,0))="","",INDEX(Disaggregation_1B!O$11:O$150,MATCH($C15,Disaggregation_1B!B$11:B$150,0))),"")</f>
        <v>7.8796992481203008</v>
      </c>
      <c r="Q15" s="786" t="str">
        <f>IFERROR(IF(INDEX(Disaggregation_1B!P$11:P$150,MATCH($C15,Disaggregation_1B!B$11:B$150,0))="","",INDEX(Disaggregation_1B!P$11:P$150,MATCH($C15,Disaggregation_1B!B$11:B$150,0))),"")</f>
        <v>TB patient register</v>
      </c>
      <c r="R15" s="786" t="str">
        <f>IFERROR(IF(INDEX(Disaggregation_1B!Q$11:Q$150,MATCH($C15,Disaggregation_1B!B$11:B$150,0))="","",INDEX(Disaggregation_1B!Q$11:Q$150,MATCH($C15,Disaggregation_1B!B$11:B$150,0))),"")</f>
        <v>Sur 3325 patients tuberculeux connaissant leur statut sérologique VIH, 262 cas de tuberculose dépistés au cours du 2ème semestre 2019 ont une sérologie VIH positive, soit 7, 8%.</v>
      </c>
      <c r="S15" s="772">
        <f>INDEX(Disaggregation_1B!R$11:R$150,MATCH($C15,'Disaggregation1B_Import-Export'!$C$8:$C$239,0))</f>
        <v>0</v>
      </c>
      <c r="T15" s="791" t="str">
        <f>IFERROR(IF(INDEX(Disaggregation_1B!S$11:S$150,MATCH($C15,Disaggregation_1B!B$11:B$150,0))="","",INDEX(Disaggregation_1B!S$11:S$150,MATCH($C15,Disaggregation_1B!B$11:B$150,0))),"")</f>
        <v/>
      </c>
      <c r="U15" s="785" t="str">
        <f>IFERROR(IF(INDEX(Disaggregation_1B!T$11:T$150,MATCH($C15,Disaggregation_1B!B$11:B$150,0))="","",INDEX(Disaggregation_1B!T$11:T$150,MATCH($C15,Disaggregation_1B!B$11:B$150,0))),"")</f>
        <v/>
      </c>
      <c r="V15" s="800" t="str">
        <f>IFERROR(IF(INDEX(Disaggregation_1B!U$11:U$150,MATCH($C15,Disaggregation_1B!B$11:B$150,0))="","",INDEX(Disaggregation_1B!U$11:U$150,MATCH($C15,Disaggregation_1B!B$11:B$150,0))),"")</f>
        <v/>
      </c>
      <c r="W15" s="786" t="str">
        <f>IFERROR(IF(INDEX(Disaggregation_1B!V$11:V$150,MATCH($C15,Disaggregation_1B!B$11:B$150,0))="","",INDEX(Disaggregation_1B!V$11:V$150,MATCH($C15,Disaggregation_1B!B$11:B$150,0))),"")</f>
        <v/>
      </c>
      <c r="X15" s="786" t="str">
        <f>IFERROR(IF(INDEX(Disaggregation_1B!W$11:W$150,MATCH($C15,Disaggregation_1B!B$11:B$150,0))="","",INDEX(Disaggregation_1B!W$11:W$150,MATCH($C15,Disaggregation_1B!B$11:B$150,0))),"")</f>
        <v/>
      </c>
      <c r="Y15" s="772">
        <f>INDEX(Disaggregation_1B!X$11:X$150,MATCH($C15,'Disaggregation1B_Import-Export'!$C$8:$C$239,0))</f>
        <v>0</v>
      </c>
      <c r="Z15" s="772"/>
      <c r="AA15" s="772"/>
      <c r="AB15" s="772"/>
      <c r="AC15" s="772">
        <f>INDEX(Disaggregation_1B!AB$11:AB$150,MATCH($C15,'Disaggregation1B_Import-Export'!$C$8:$C$239,0))</f>
        <v>0</v>
      </c>
      <c r="AD15" s="772">
        <f>INDEX(Disaggregation_1B!AC$11:AC$150,MATCH($C15,'Disaggregation1B_Import-Export'!$C$8:$C$239,0))</f>
        <v>0</v>
      </c>
      <c r="AE15" s="785">
        <v>1</v>
      </c>
      <c r="AF15" s="772" t="str">
        <f t="shared" si="0"/>
        <v>TCP-1(M): Nombre de cas déclarés de tuberculose, toutes formes confondues, bactériologiquement confirmés et cliniquement diagnostiqués, nouveaux cas et récidives</v>
      </c>
      <c r="AG15" s="772" t="str">
        <f t="shared" si="1"/>
        <v>Positif</v>
      </c>
      <c r="AH15" s="772" t="str">
        <f t="shared" si="2"/>
        <v>Résultat du test VIH</v>
      </c>
      <c r="AI15" s="786" t="s">
        <v>393</v>
      </c>
      <c r="AJ15" s="786" t="s">
        <v>392</v>
      </c>
      <c r="AK15" s="786" t="s">
        <v>636</v>
      </c>
      <c r="AL15" s="786" t="s">
        <v>637</v>
      </c>
      <c r="AM15" s="786" t="s">
        <v>628</v>
      </c>
      <c r="AN15" s="786" t="s">
        <v>629</v>
      </c>
      <c r="AO15" s="786"/>
      <c r="AP15" s="786" t="s">
        <v>606</v>
      </c>
      <c r="AQ15" s="786" t="s">
        <v>37</v>
      </c>
    </row>
    <row r="16" spans="1:43" x14ac:dyDescent="0.2">
      <c r="A16" s="772" t="s">
        <v>638</v>
      </c>
      <c r="B16" s="772">
        <f t="shared" si="3"/>
        <v>8</v>
      </c>
      <c r="C16" s="771" t="str">
        <f t="shared" si="4"/>
        <v>Coverage8</v>
      </c>
      <c r="D16" s="798" t="s">
        <v>390</v>
      </c>
      <c r="E16" s="798" t="s">
        <v>391</v>
      </c>
      <c r="F16" s="798" t="s">
        <v>639</v>
      </c>
      <c r="G16" s="798" t="s">
        <v>599</v>
      </c>
      <c r="H16" s="799">
        <v>4922</v>
      </c>
      <c r="I16" s="799">
        <v>0</v>
      </c>
      <c r="J16" s="798" t="s">
        <v>600</v>
      </c>
      <c r="K16" s="798" t="s">
        <v>225</v>
      </c>
      <c r="L16" s="798" t="s">
        <v>601</v>
      </c>
      <c r="M16" s="798"/>
      <c r="N16" s="791">
        <f>IFERROR(IF(INDEX(Disaggregation_1B!M$11:M$150,MATCH($C16,Disaggregation_1B!B$11:B$150,0))="","",INDEX(Disaggregation_1B!M$11:M$150,MATCH($C16,Disaggregation_1B!B$11:B$150,0))),"")</f>
        <v>2218</v>
      </c>
      <c r="O16" s="785">
        <f>IFERROR(IF(INDEX(Disaggregation_1B!N$11:N$150,MATCH($C16,Disaggregation_1B!B$11:B$150,0))="","",INDEX(Disaggregation_1B!N$11:N$150,MATCH($C16,Disaggregation_1B!B$11:B$150,0))),"")</f>
        <v>3359</v>
      </c>
      <c r="P16" s="800">
        <f>IFERROR(IF(INDEX(Disaggregation_1B!O$11:O$150,MATCH($C16,Disaggregation_1B!B$11:B$150,0))="","",INDEX(Disaggregation_1B!O$11:O$150,MATCH($C16,Disaggregation_1B!B$11:B$150,0))),"")</f>
        <v>66.031557011015181</v>
      </c>
      <c r="Q16" s="786" t="str">
        <f>IFERROR(IF(INDEX(Disaggregation_1B!P$11:P$150,MATCH($C16,Disaggregation_1B!B$11:B$150,0))="","",INDEX(Disaggregation_1B!P$11:P$150,MATCH($C16,Disaggregation_1B!B$11:B$150,0))),"")</f>
        <v>TB patient register</v>
      </c>
      <c r="R16" s="786" t="str">
        <f>IFERROR(IF(INDEX(Disaggregation_1B!Q$11:Q$150,MATCH($C16,Disaggregation_1B!B$11:B$150,0))="","",INDEX(Disaggregation_1B!Q$11:Q$150,MATCH($C16,Disaggregation_1B!B$11:B$150,0))),"")</f>
        <v>Sur 3359 TTF enregistrés au cours du second semestre 2019, 2218 soit 66% sont de sexe masculin</v>
      </c>
      <c r="S16" s="772">
        <f>INDEX(Disaggregation_1B!R$11:R$150,MATCH($C16,'Disaggregation1B_Import-Export'!$C$8:$C$239,0))</f>
        <v>0</v>
      </c>
      <c r="T16" s="791" t="str">
        <f>IFERROR(IF(INDEX(Disaggregation_1B!S$11:S$150,MATCH($C16,Disaggregation_1B!B$11:B$150,0))="","",INDEX(Disaggregation_1B!S$11:S$150,MATCH($C16,Disaggregation_1B!B$11:B$150,0))),"")</f>
        <v/>
      </c>
      <c r="U16" s="785" t="str">
        <f>IFERROR(IF(INDEX(Disaggregation_1B!T$11:T$150,MATCH($C16,Disaggregation_1B!B$11:B$150,0))="","",INDEX(Disaggregation_1B!T$11:T$150,MATCH($C16,Disaggregation_1B!B$11:B$150,0))),"")</f>
        <v/>
      </c>
      <c r="V16" s="800" t="str">
        <f>IFERROR(IF(INDEX(Disaggregation_1B!U$11:U$150,MATCH($C16,Disaggregation_1B!B$11:B$150,0))="","",INDEX(Disaggregation_1B!U$11:U$150,MATCH($C16,Disaggregation_1B!B$11:B$150,0))),"")</f>
        <v/>
      </c>
      <c r="W16" s="786" t="str">
        <f>IFERROR(IF(INDEX(Disaggregation_1B!V$11:V$150,MATCH($C16,Disaggregation_1B!B$11:B$150,0))="","",INDEX(Disaggregation_1B!V$11:V$150,MATCH($C16,Disaggregation_1B!B$11:B$150,0))),"")</f>
        <v/>
      </c>
      <c r="X16" s="786" t="str">
        <f>IFERROR(IF(INDEX(Disaggregation_1B!W$11:W$150,MATCH($C16,Disaggregation_1B!B$11:B$150,0))="","",INDEX(Disaggregation_1B!W$11:W$150,MATCH($C16,Disaggregation_1B!B$11:B$150,0))),"")</f>
        <v/>
      </c>
      <c r="Y16" s="772">
        <f>INDEX(Disaggregation_1B!X$11:X$150,MATCH($C16,'Disaggregation1B_Import-Export'!$C$8:$C$239,0))</f>
        <v>0</v>
      </c>
      <c r="Z16" s="772"/>
      <c r="AA16" s="772"/>
      <c r="AB16" s="772"/>
      <c r="AC16" s="772">
        <f>INDEX(Disaggregation_1B!AB$11:AB$150,MATCH($C16,'Disaggregation1B_Import-Export'!$C$8:$C$239,0))</f>
        <v>0</v>
      </c>
      <c r="AD16" s="772">
        <f>INDEX(Disaggregation_1B!AC$11:AC$150,MATCH($C16,'Disaggregation1B_Import-Export'!$C$8:$C$239,0))</f>
        <v>0</v>
      </c>
      <c r="AE16" s="785">
        <v>1</v>
      </c>
      <c r="AF16" s="772" t="str">
        <f t="shared" si="0"/>
        <v>TCP-1(M): Nombre de cas déclarés de tuberculose, toutes formes confondues, bactériologiquement confirmés et cliniquement diagnostiqués, nouveaux cas et récidives</v>
      </c>
      <c r="AG16" s="772" t="str">
        <f t="shared" si="1"/>
        <v>Homme</v>
      </c>
      <c r="AH16" s="772" t="str">
        <f t="shared" si="2"/>
        <v>Sexe</v>
      </c>
      <c r="AI16" s="786" t="s">
        <v>393</v>
      </c>
      <c r="AJ16" s="786" t="s">
        <v>392</v>
      </c>
      <c r="AK16" s="786" t="s">
        <v>640</v>
      </c>
      <c r="AL16" s="786" t="s">
        <v>641</v>
      </c>
      <c r="AM16" s="786" t="s">
        <v>604</v>
      </c>
      <c r="AN16" s="786" t="s">
        <v>605</v>
      </c>
      <c r="AO16" s="786"/>
      <c r="AP16" s="786" t="s">
        <v>606</v>
      </c>
      <c r="AQ16" s="786" t="s">
        <v>37</v>
      </c>
    </row>
    <row r="17" spans="1:43" x14ac:dyDescent="0.2">
      <c r="A17" s="772" t="s">
        <v>642</v>
      </c>
      <c r="B17" s="772">
        <f t="shared" si="3"/>
        <v>9</v>
      </c>
      <c r="C17" s="771" t="str">
        <f t="shared" si="4"/>
        <v>Coverage9</v>
      </c>
      <c r="D17" s="798" t="s">
        <v>390</v>
      </c>
      <c r="E17" s="798" t="s">
        <v>402</v>
      </c>
      <c r="F17" s="798" t="s">
        <v>631</v>
      </c>
      <c r="G17" s="798" t="s">
        <v>625</v>
      </c>
      <c r="H17" s="799">
        <v>0</v>
      </c>
      <c r="I17" s="799">
        <v>0</v>
      </c>
      <c r="J17" s="798" t="s">
        <v>600</v>
      </c>
      <c r="K17" s="798"/>
      <c r="L17" s="798"/>
      <c r="M17" s="798"/>
      <c r="N17" s="791" t="str">
        <f>IFERROR(IF(INDEX(Disaggregation_1B!M$11:M$150,MATCH($C17,Disaggregation_1B!B$11:B$150,0))="","",INDEX(Disaggregation_1B!M$11:M$150,MATCH($C17,Disaggregation_1B!B$11:B$150,0))),"")</f>
        <v/>
      </c>
      <c r="O17" s="785" t="str">
        <f>IFERROR(IF(INDEX(Disaggregation_1B!N$11:N$150,MATCH($C17,Disaggregation_1B!B$11:B$150,0))="","",INDEX(Disaggregation_1B!N$11:N$150,MATCH($C17,Disaggregation_1B!B$11:B$150,0))),"")</f>
        <v/>
      </c>
      <c r="P17" s="800" t="str">
        <f>IFERROR(IF(INDEX(Disaggregation_1B!O$11:O$150,MATCH($C17,Disaggregation_1B!B$11:B$150,0))="","",INDEX(Disaggregation_1B!O$11:O$150,MATCH($C17,Disaggregation_1B!B$11:B$150,0))),"")</f>
        <v/>
      </c>
      <c r="Q17" s="786" t="str">
        <f>IFERROR(IF(INDEX(Disaggregation_1B!P$11:P$150,MATCH($C17,Disaggregation_1B!B$11:B$150,0))="","",INDEX(Disaggregation_1B!P$11:P$150,MATCH($C17,Disaggregation_1B!B$11:B$150,0))),"")</f>
        <v/>
      </c>
      <c r="R17" s="786" t="str">
        <f>IFERROR(IF(INDEX(Disaggregation_1B!Q$11:Q$150,MATCH($C17,Disaggregation_1B!B$11:B$150,0))="","",INDEX(Disaggregation_1B!Q$11:Q$150,MATCH($C17,Disaggregation_1B!B$11:B$150,0))),"")</f>
        <v xml:space="preserve">Le système d'information sanitaire  en place pour le moment au PNILT ne permet de renseigner cet indicateur. Cela découle d'une erreur de compréhension de cet indicateur. En effet, l'information existe au Programme TB pour les TTF coinfectés TB/VIH. 
En effet, sur 350 cas coinfectés TB/VIH enregistrés en 2018, 289 ont été traités avec succès, soit 82,6%. 
Signalons que pour certains des patients tuberculeux, le résultat du test VIH a été communiqué après les ateliers de validation
</v>
      </c>
      <c r="S17" s="772">
        <f>INDEX(Disaggregation_1B!R$11:R$150,MATCH($C17,'Disaggregation1B_Import-Export'!$C$8:$C$239,0))</f>
        <v>0</v>
      </c>
      <c r="T17" s="791" t="str">
        <f>IFERROR(IF(INDEX(Disaggregation_1B!S$11:S$150,MATCH($C17,Disaggregation_1B!B$11:B$150,0))="","",INDEX(Disaggregation_1B!S$11:S$150,MATCH($C17,Disaggregation_1B!B$11:B$150,0))),"")</f>
        <v/>
      </c>
      <c r="U17" s="785" t="str">
        <f>IFERROR(IF(INDEX(Disaggregation_1B!T$11:T$150,MATCH($C17,Disaggregation_1B!B$11:B$150,0))="","",INDEX(Disaggregation_1B!T$11:T$150,MATCH($C17,Disaggregation_1B!B$11:B$150,0))),"")</f>
        <v/>
      </c>
      <c r="V17" s="800" t="str">
        <f>IFERROR(IF(INDEX(Disaggregation_1B!U$11:U$150,MATCH($C17,Disaggregation_1B!B$11:B$150,0))="","",INDEX(Disaggregation_1B!U$11:U$150,MATCH($C17,Disaggregation_1B!B$11:B$150,0))),"")</f>
        <v/>
      </c>
      <c r="W17" s="786" t="str">
        <f>IFERROR(IF(INDEX(Disaggregation_1B!V$11:V$150,MATCH($C17,Disaggregation_1B!B$11:B$150,0))="","",INDEX(Disaggregation_1B!V$11:V$150,MATCH($C17,Disaggregation_1B!B$11:B$150,0))),"")</f>
        <v/>
      </c>
      <c r="X17" s="786" t="str">
        <f>IFERROR(IF(INDEX(Disaggregation_1B!W$11:W$150,MATCH($C17,Disaggregation_1B!B$11:B$150,0))="","",INDEX(Disaggregation_1B!W$11:W$150,MATCH($C17,Disaggregation_1B!B$11:B$150,0))),"")</f>
        <v/>
      </c>
      <c r="Y17" s="772">
        <f>INDEX(Disaggregation_1B!X$11:X$150,MATCH($C17,'Disaggregation1B_Import-Export'!$C$8:$C$239,0))</f>
        <v>0</v>
      </c>
      <c r="Z17" s="772"/>
      <c r="AA17" s="772"/>
      <c r="AB17" s="772"/>
      <c r="AC17" s="772">
        <f>INDEX(Disaggregation_1B!AB$11:AB$150,MATCH($C17,'Disaggregation1B_Import-Export'!$C$8:$C$239,0))</f>
        <v>0</v>
      </c>
      <c r="AD17" s="772">
        <f>INDEX(Disaggregation_1B!AC$11:AC$150,MATCH($C17,'Disaggregation1B_Import-Export'!$C$8:$C$239,0))</f>
        <v>0</v>
      </c>
      <c r="AE17" s="785">
        <v>2</v>
      </c>
      <c r="AF17"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17" s="772" t="str">
        <f t="shared" si="1"/>
        <v>Négatif</v>
      </c>
      <c r="AH17" s="772" t="str">
        <f t="shared" si="2"/>
        <v>Résultat du test VIH</v>
      </c>
      <c r="AI17" s="786" t="s">
        <v>404</v>
      </c>
      <c r="AJ17" s="786" t="s">
        <v>403</v>
      </c>
      <c r="AK17" s="786" t="s">
        <v>632</v>
      </c>
      <c r="AL17" s="786" t="s">
        <v>633</v>
      </c>
      <c r="AM17" s="786" t="s">
        <v>628</v>
      </c>
      <c r="AN17" s="786" t="s">
        <v>629</v>
      </c>
      <c r="AO17" s="786"/>
      <c r="AP17" s="786"/>
      <c r="AQ17" s="786" t="s">
        <v>37</v>
      </c>
    </row>
    <row r="18" spans="1:43" x14ac:dyDescent="0.2">
      <c r="A18" s="772" t="s">
        <v>643</v>
      </c>
      <c r="B18" s="772">
        <f t="shared" si="3"/>
        <v>10</v>
      </c>
      <c r="C18" s="771" t="str">
        <f t="shared" si="4"/>
        <v>Coverage10</v>
      </c>
      <c r="D18" s="798" t="s">
        <v>390</v>
      </c>
      <c r="E18" s="798" t="s">
        <v>402</v>
      </c>
      <c r="F18" s="798" t="s">
        <v>639</v>
      </c>
      <c r="G18" s="798" t="s">
        <v>599</v>
      </c>
      <c r="H18" s="799">
        <v>0</v>
      </c>
      <c r="I18" s="799">
        <v>0</v>
      </c>
      <c r="J18" s="798" t="s">
        <v>600</v>
      </c>
      <c r="K18" s="798"/>
      <c r="L18" s="798"/>
      <c r="M18" s="798"/>
      <c r="N18" s="791">
        <f>IFERROR(IF(INDEX(Disaggregation_1B!M$11:M$150,MATCH($C18,Disaggregation_1B!B$11:B$150,0))="","",INDEX(Disaggregation_1B!M$11:M$150,MATCH($C18,Disaggregation_1B!B$11:B$150,0))),"")</f>
        <v>2085</v>
      </c>
      <c r="O18" s="785">
        <f>IFERROR(IF(INDEX(Disaggregation_1B!N$11:N$150,MATCH($C18,Disaggregation_1B!B$11:B$150,0))="","",INDEX(Disaggregation_1B!N$11:N$150,MATCH($C18,Disaggregation_1B!B$11:B$150,0))),"")</f>
        <v>3152</v>
      </c>
      <c r="P18" s="800">
        <f>IFERROR(IF(INDEX(Disaggregation_1B!O$11:O$150,MATCH($C18,Disaggregation_1B!B$11:B$150,0))="","",INDEX(Disaggregation_1B!O$11:O$150,MATCH($C18,Disaggregation_1B!B$11:B$150,0))),"")</f>
        <v>66.148477157360404</v>
      </c>
      <c r="Q18" s="786" t="str">
        <f>IFERROR(IF(INDEX(Disaggregation_1B!P$11:P$150,MATCH($C18,Disaggregation_1B!B$11:B$150,0))="","",INDEX(Disaggregation_1B!P$11:P$150,MATCH($C18,Disaggregation_1B!B$11:B$150,0))),"")</f>
        <v>TB patient register</v>
      </c>
      <c r="R18" s="786" t="str">
        <f>IFERROR(IF(INDEX(Disaggregation_1B!Q$11:Q$150,MATCH($C18,Disaggregation_1B!B$11:B$150,0))="","",INDEX(Disaggregation_1B!Q$11:Q$150,MATCH($C18,Disaggregation_1B!B$11:B$150,0))),"")</f>
        <v xml:space="preserve">Parmi les 3152 ayant été déclarés guéris ou traitement terminé, les hommes représentent 66,14% </v>
      </c>
      <c r="S18" s="772">
        <f>INDEX(Disaggregation_1B!R$11:R$150,MATCH($C18,'Disaggregation1B_Import-Export'!$C$8:$C$239,0))</f>
        <v>0</v>
      </c>
      <c r="T18" s="791" t="str">
        <f>IFERROR(IF(INDEX(Disaggregation_1B!S$11:S$150,MATCH($C18,Disaggregation_1B!B$11:B$150,0))="","",INDEX(Disaggregation_1B!S$11:S$150,MATCH($C18,Disaggregation_1B!B$11:B$150,0))),"")</f>
        <v/>
      </c>
      <c r="U18" s="785" t="str">
        <f>IFERROR(IF(INDEX(Disaggregation_1B!T$11:T$150,MATCH($C18,Disaggregation_1B!B$11:B$150,0))="","",INDEX(Disaggregation_1B!T$11:T$150,MATCH($C18,Disaggregation_1B!B$11:B$150,0))),"")</f>
        <v/>
      </c>
      <c r="V18" s="800" t="str">
        <f>IFERROR(IF(INDEX(Disaggregation_1B!U$11:U$150,MATCH($C18,Disaggregation_1B!B$11:B$150,0))="","",INDEX(Disaggregation_1B!U$11:U$150,MATCH($C18,Disaggregation_1B!B$11:B$150,0))),"")</f>
        <v/>
      </c>
      <c r="W18" s="786" t="str">
        <f>IFERROR(IF(INDEX(Disaggregation_1B!V$11:V$150,MATCH($C18,Disaggregation_1B!B$11:B$150,0))="","",INDEX(Disaggregation_1B!V$11:V$150,MATCH($C18,Disaggregation_1B!B$11:B$150,0))),"")</f>
        <v/>
      </c>
      <c r="X18" s="786" t="str">
        <f>IFERROR(IF(INDEX(Disaggregation_1B!W$11:W$150,MATCH($C18,Disaggregation_1B!B$11:B$150,0))="","",INDEX(Disaggregation_1B!W$11:W$150,MATCH($C18,Disaggregation_1B!B$11:B$150,0))),"")</f>
        <v/>
      </c>
      <c r="Y18" s="772">
        <f>INDEX(Disaggregation_1B!X$11:X$150,MATCH($C18,'Disaggregation1B_Import-Export'!$C$8:$C$239,0))</f>
        <v>0</v>
      </c>
      <c r="Z18" s="772"/>
      <c r="AA18" s="772"/>
      <c r="AB18" s="772"/>
      <c r="AC18" s="772">
        <f>INDEX(Disaggregation_1B!AB$11:AB$150,MATCH($C18,'Disaggregation1B_Import-Export'!$C$8:$C$239,0))</f>
        <v>0</v>
      </c>
      <c r="AD18" s="772">
        <f>INDEX(Disaggregation_1B!AC$11:AC$150,MATCH($C18,'Disaggregation1B_Import-Export'!$C$8:$C$239,0))</f>
        <v>0</v>
      </c>
      <c r="AE18" s="785">
        <v>2</v>
      </c>
      <c r="AF18"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18" s="772" t="str">
        <f t="shared" si="1"/>
        <v>Homme</v>
      </c>
      <c r="AH18" s="772" t="str">
        <f t="shared" si="2"/>
        <v>Sexe</v>
      </c>
      <c r="AI18" s="786" t="s">
        <v>404</v>
      </c>
      <c r="AJ18" s="786" t="s">
        <v>403</v>
      </c>
      <c r="AK18" s="786" t="s">
        <v>640</v>
      </c>
      <c r="AL18" s="786" t="s">
        <v>641</v>
      </c>
      <c r="AM18" s="786" t="s">
        <v>604</v>
      </c>
      <c r="AN18" s="786" t="s">
        <v>605</v>
      </c>
      <c r="AO18" s="786"/>
      <c r="AP18" s="786"/>
      <c r="AQ18" s="786" t="s">
        <v>37</v>
      </c>
    </row>
    <row r="19" spans="1:43" x14ac:dyDescent="0.2">
      <c r="A19" s="772" t="s">
        <v>644</v>
      </c>
      <c r="B19" s="772">
        <f t="shared" si="3"/>
        <v>11</v>
      </c>
      <c r="C19" s="771" t="str">
        <f t="shared" si="4"/>
        <v>Coverage11</v>
      </c>
      <c r="D19" s="798" t="s">
        <v>390</v>
      </c>
      <c r="E19" s="798" t="s">
        <v>402</v>
      </c>
      <c r="F19" s="798" t="s">
        <v>635</v>
      </c>
      <c r="G19" s="798" t="s">
        <v>625</v>
      </c>
      <c r="H19" s="799">
        <v>0</v>
      </c>
      <c r="I19" s="799">
        <v>0</v>
      </c>
      <c r="J19" s="798" t="s">
        <v>600</v>
      </c>
      <c r="K19" s="798"/>
      <c r="L19" s="798"/>
      <c r="M19" s="798"/>
      <c r="N19" s="791" t="str">
        <f>IFERROR(IF(INDEX(Disaggregation_1B!M$11:M$150,MATCH($C19,Disaggregation_1B!B$11:B$150,0))="","",INDEX(Disaggregation_1B!M$11:M$150,MATCH($C19,Disaggregation_1B!B$11:B$150,0))),"")</f>
        <v/>
      </c>
      <c r="O19" s="785" t="str">
        <f>IFERROR(IF(INDEX(Disaggregation_1B!N$11:N$150,MATCH($C19,Disaggregation_1B!B$11:B$150,0))="","",INDEX(Disaggregation_1B!N$11:N$150,MATCH($C19,Disaggregation_1B!B$11:B$150,0))),"")</f>
        <v/>
      </c>
      <c r="P19" s="800" t="str">
        <f>IFERROR(IF(INDEX(Disaggregation_1B!O$11:O$150,MATCH($C19,Disaggregation_1B!B$11:B$150,0))="","",INDEX(Disaggregation_1B!O$11:O$150,MATCH($C19,Disaggregation_1B!B$11:B$150,0))),"")</f>
        <v/>
      </c>
      <c r="Q19" s="786" t="str">
        <f>IFERROR(IF(INDEX(Disaggregation_1B!P$11:P$150,MATCH($C19,Disaggregation_1B!B$11:B$150,0))="","",INDEX(Disaggregation_1B!P$11:P$150,MATCH($C19,Disaggregation_1B!B$11:B$150,0))),"")</f>
        <v/>
      </c>
      <c r="R19" s="786" t="str">
        <f>IFERROR(IF(INDEX(Disaggregation_1B!Q$11:Q$150,MATCH($C19,Disaggregation_1B!B$11:B$150,0))="","",INDEX(Disaggregation_1B!Q$11:Q$150,MATCH($C19,Disaggregation_1B!B$11:B$150,0))),"")</f>
        <v xml:space="preserve">Le système d'information sanitaire  en place pour le moment au PNILT ne permet de renseigner cet indicateur. Cela découle d'une erreur de compréhension de cet indicateur. En effet, l'information existe au Programme TB pour les TTF coinfectés TB/VIH. 
En effet, sur 350 cas coinfectés TB/VIH enregistrés en 2018, 289 ont été traités avec succès, soit 82,6%. 
Signalons que pour certains des patients tuberculeux, le résultat du test VIH a été communiqué après les ateliers de validation
</v>
      </c>
      <c r="S19" s="772">
        <f>INDEX(Disaggregation_1B!R$11:R$150,MATCH($C19,'Disaggregation1B_Import-Export'!$C$8:$C$239,0))</f>
        <v>0</v>
      </c>
      <c r="T19" s="791" t="str">
        <f>IFERROR(IF(INDEX(Disaggregation_1B!S$11:S$150,MATCH($C19,Disaggregation_1B!B$11:B$150,0))="","",INDEX(Disaggregation_1B!S$11:S$150,MATCH($C19,Disaggregation_1B!B$11:B$150,0))),"")</f>
        <v/>
      </c>
      <c r="U19" s="785" t="str">
        <f>IFERROR(IF(INDEX(Disaggregation_1B!T$11:T$150,MATCH($C19,Disaggregation_1B!B$11:B$150,0))="","",INDEX(Disaggregation_1B!T$11:T$150,MATCH($C19,Disaggregation_1B!B$11:B$150,0))),"")</f>
        <v/>
      </c>
      <c r="V19" s="800" t="str">
        <f>IFERROR(IF(INDEX(Disaggregation_1B!U$11:U$150,MATCH($C19,Disaggregation_1B!B$11:B$150,0))="","",INDEX(Disaggregation_1B!U$11:U$150,MATCH($C19,Disaggregation_1B!B$11:B$150,0))),"")</f>
        <v/>
      </c>
      <c r="W19" s="786" t="str">
        <f>IFERROR(IF(INDEX(Disaggregation_1B!V$11:V$150,MATCH($C19,Disaggregation_1B!B$11:B$150,0))="","",INDEX(Disaggregation_1B!V$11:V$150,MATCH($C19,Disaggregation_1B!B$11:B$150,0))),"")</f>
        <v/>
      </c>
      <c r="X19" s="786" t="str">
        <f>IFERROR(IF(INDEX(Disaggregation_1B!W$11:W$150,MATCH($C19,Disaggregation_1B!B$11:B$150,0))="","",INDEX(Disaggregation_1B!W$11:W$150,MATCH($C19,Disaggregation_1B!B$11:B$150,0))),"")</f>
        <v/>
      </c>
      <c r="Y19" s="772">
        <f>INDEX(Disaggregation_1B!X$11:X$150,MATCH($C19,'Disaggregation1B_Import-Export'!$C$8:$C$239,0))</f>
        <v>0</v>
      </c>
      <c r="Z19" s="772"/>
      <c r="AA19" s="772"/>
      <c r="AB19" s="772"/>
      <c r="AC19" s="772">
        <f>INDEX(Disaggregation_1B!AB$11:AB$150,MATCH($C19,'Disaggregation1B_Import-Export'!$C$8:$C$239,0))</f>
        <v>0</v>
      </c>
      <c r="AD19" s="772">
        <f>INDEX(Disaggregation_1B!AC$11:AC$150,MATCH($C19,'Disaggregation1B_Import-Export'!$C$8:$C$239,0))</f>
        <v>0</v>
      </c>
      <c r="AE19" s="785">
        <v>2</v>
      </c>
      <c r="AF19"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19" s="772" t="str">
        <f t="shared" si="1"/>
        <v>Positif</v>
      </c>
      <c r="AH19" s="772" t="str">
        <f t="shared" si="2"/>
        <v>Résultat du test VIH</v>
      </c>
      <c r="AI19" s="786" t="s">
        <v>404</v>
      </c>
      <c r="AJ19" s="786" t="s">
        <v>403</v>
      </c>
      <c r="AK19" s="786" t="s">
        <v>636</v>
      </c>
      <c r="AL19" s="786" t="s">
        <v>637</v>
      </c>
      <c r="AM19" s="786" t="s">
        <v>628</v>
      </c>
      <c r="AN19" s="786" t="s">
        <v>629</v>
      </c>
      <c r="AO19" s="786"/>
      <c r="AP19" s="786"/>
      <c r="AQ19" s="786" t="s">
        <v>37</v>
      </c>
    </row>
    <row r="20" spans="1:43" x14ac:dyDescent="0.2">
      <c r="A20" s="772" t="s">
        <v>645</v>
      </c>
      <c r="B20" s="772">
        <f t="shared" si="3"/>
        <v>12</v>
      </c>
      <c r="C20" s="771" t="str">
        <f t="shared" si="4"/>
        <v>Coverage12</v>
      </c>
      <c r="D20" s="798" t="s">
        <v>390</v>
      </c>
      <c r="E20" s="798" t="s">
        <v>402</v>
      </c>
      <c r="F20" s="798" t="s">
        <v>624</v>
      </c>
      <c r="G20" s="798" t="s">
        <v>625</v>
      </c>
      <c r="H20" s="799">
        <v>0</v>
      </c>
      <c r="I20" s="799">
        <v>0</v>
      </c>
      <c r="J20" s="798" t="s">
        <v>600</v>
      </c>
      <c r="K20" s="798"/>
      <c r="L20" s="798"/>
      <c r="M20" s="798"/>
      <c r="N20" s="791" t="str">
        <f>IFERROR(IF(INDEX(Disaggregation_1B!M$11:M$150,MATCH($C20,Disaggregation_1B!B$11:B$150,0))="","",INDEX(Disaggregation_1B!M$11:M$150,MATCH($C20,Disaggregation_1B!B$11:B$150,0))),"")</f>
        <v/>
      </c>
      <c r="O20" s="785" t="str">
        <f>IFERROR(IF(INDEX(Disaggregation_1B!N$11:N$150,MATCH($C20,Disaggregation_1B!B$11:B$150,0))="","",INDEX(Disaggregation_1B!N$11:N$150,MATCH($C20,Disaggregation_1B!B$11:B$150,0))),"")</f>
        <v/>
      </c>
      <c r="P20" s="800" t="str">
        <f>IFERROR(IF(INDEX(Disaggregation_1B!O$11:O$150,MATCH($C20,Disaggregation_1B!B$11:B$150,0))="","",INDEX(Disaggregation_1B!O$11:O$150,MATCH($C20,Disaggregation_1B!B$11:B$150,0))),"")</f>
        <v/>
      </c>
      <c r="Q20" s="786" t="str">
        <f>IFERROR(IF(INDEX(Disaggregation_1B!P$11:P$150,MATCH($C20,Disaggregation_1B!B$11:B$150,0))="","",INDEX(Disaggregation_1B!P$11:P$150,MATCH($C20,Disaggregation_1B!B$11:B$150,0))),"")</f>
        <v/>
      </c>
      <c r="R20" s="786" t="str">
        <f>IFERROR(IF(INDEX(Disaggregation_1B!Q$11:Q$150,MATCH($C20,Disaggregation_1B!B$11:B$150,0))="","",INDEX(Disaggregation_1B!Q$11:Q$150,MATCH($C20,Disaggregation_1B!B$11:B$150,0))),"")</f>
        <v xml:space="preserve">Le système d'information sanitaire  en place pour le moment au PNILT ne permet de renseigner cet indicateur. Cela découle d'une erreur de compréhension de cet indicateur. En effet, l'information existe au Programme TB pour les TTF coinfectés TB/VIH. 
En effet, sur 350 cas coinfectés TB/VIH enregistrés en 2018, 289 ont été traités avec succès, soit 82,6%. 
Signalons que pour certains des patients tuberculeux, le résultat du test VIH a été communiqué après les ateliers de validation
</v>
      </c>
      <c r="S20" s="772">
        <f>INDEX(Disaggregation_1B!R$11:R$150,MATCH($C20,'Disaggregation1B_Import-Export'!$C$8:$C$239,0))</f>
        <v>0</v>
      </c>
      <c r="T20" s="791" t="str">
        <f>IFERROR(IF(INDEX(Disaggregation_1B!S$11:S$150,MATCH($C20,Disaggregation_1B!B$11:B$150,0))="","",INDEX(Disaggregation_1B!S$11:S$150,MATCH($C20,Disaggregation_1B!B$11:B$150,0))),"")</f>
        <v/>
      </c>
      <c r="U20" s="785" t="str">
        <f>IFERROR(IF(INDEX(Disaggregation_1B!T$11:T$150,MATCH($C20,Disaggregation_1B!B$11:B$150,0))="","",INDEX(Disaggregation_1B!T$11:T$150,MATCH($C20,Disaggregation_1B!B$11:B$150,0))),"")</f>
        <v/>
      </c>
      <c r="V20" s="800" t="str">
        <f>IFERROR(IF(INDEX(Disaggregation_1B!U$11:U$150,MATCH($C20,Disaggregation_1B!B$11:B$150,0))="","",INDEX(Disaggregation_1B!U$11:U$150,MATCH($C20,Disaggregation_1B!B$11:B$150,0))),"")</f>
        <v/>
      </c>
      <c r="W20" s="786" t="str">
        <f>IFERROR(IF(INDEX(Disaggregation_1B!V$11:V$150,MATCH($C20,Disaggregation_1B!B$11:B$150,0))="","",INDEX(Disaggregation_1B!V$11:V$150,MATCH($C20,Disaggregation_1B!B$11:B$150,0))),"")</f>
        <v/>
      </c>
      <c r="X20" s="786" t="str">
        <f>IFERROR(IF(INDEX(Disaggregation_1B!W$11:W$150,MATCH($C20,Disaggregation_1B!B$11:B$150,0))="","",INDEX(Disaggregation_1B!W$11:W$150,MATCH($C20,Disaggregation_1B!B$11:B$150,0))),"")</f>
        <v/>
      </c>
      <c r="Y20" s="772">
        <f>INDEX(Disaggregation_1B!X$11:X$150,MATCH($C20,'Disaggregation1B_Import-Export'!$C$8:$C$239,0))</f>
        <v>0</v>
      </c>
      <c r="Z20" s="772"/>
      <c r="AA20" s="772"/>
      <c r="AB20" s="772"/>
      <c r="AC20" s="772">
        <f>INDEX(Disaggregation_1B!AB$11:AB$150,MATCH($C20,'Disaggregation1B_Import-Export'!$C$8:$C$239,0))</f>
        <v>0</v>
      </c>
      <c r="AD20" s="772">
        <f>INDEX(Disaggregation_1B!AC$11:AC$150,MATCH($C20,'Disaggregation1B_Import-Export'!$C$8:$C$239,0))</f>
        <v>0</v>
      </c>
      <c r="AE20" s="785">
        <v>2</v>
      </c>
      <c r="AF20"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20" s="772" t="str">
        <f t="shared" si="1"/>
        <v>Non communiqué</v>
      </c>
      <c r="AH20" s="772" t="str">
        <f t="shared" si="2"/>
        <v>Résultat du test VIH</v>
      </c>
      <c r="AI20" s="786" t="s">
        <v>404</v>
      </c>
      <c r="AJ20" s="786" t="s">
        <v>403</v>
      </c>
      <c r="AK20" s="786" t="s">
        <v>626</v>
      </c>
      <c r="AL20" s="786" t="s">
        <v>627</v>
      </c>
      <c r="AM20" s="786" t="s">
        <v>628</v>
      </c>
      <c r="AN20" s="786" t="s">
        <v>629</v>
      </c>
      <c r="AO20" s="786"/>
      <c r="AP20" s="786"/>
      <c r="AQ20" s="786" t="s">
        <v>37</v>
      </c>
    </row>
    <row r="21" spans="1:43" x14ac:dyDescent="0.2">
      <c r="A21" s="772" t="s">
        <v>646</v>
      </c>
      <c r="B21" s="772">
        <f t="shared" si="3"/>
        <v>13</v>
      </c>
      <c r="C21" s="771" t="str">
        <f t="shared" si="4"/>
        <v>Coverage13</v>
      </c>
      <c r="D21" s="798" t="s">
        <v>390</v>
      </c>
      <c r="E21" s="798" t="s">
        <v>402</v>
      </c>
      <c r="F21" s="798" t="s">
        <v>620</v>
      </c>
      <c r="G21" s="798" t="s">
        <v>616</v>
      </c>
      <c r="H21" s="799">
        <v>0</v>
      </c>
      <c r="I21" s="799">
        <v>0</v>
      </c>
      <c r="J21" s="798" t="s">
        <v>600</v>
      </c>
      <c r="K21" s="798"/>
      <c r="L21" s="798"/>
      <c r="M21" s="798"/>
      <c r="N21" s="791">
        <f>IFERROR(IF(INDEX(Disaggregation_1B!M$11:M$150,MATCH($C21,Disaggregation_1B!B$11:B$150,0))="","",INDEX(Disaggregation_1B!M$11:M$150,MATCH($C21,Disaggregation_1B!B$11:B$150,0))),"")</f>
        <v>163</v>
      </c>
      <c r="O21" s="785">
        <f>IFERROR(IF(INDEX(Disaggregation_1B!N$11:N$150,MATCH($C21,Disaggregation_1B!B$11:B$150,0))="","",INDEX(Disaggregation_1B!N$11:N$150,MATCH($C21,Disaggregation_1B!B$11:B$150,0))),"")</f>
        <v>3152</v>
      </c>
      <c r="P21" s="800">
        <f>IFERROR(IF(INDEX(Disaggregation_1B!O$11:O$150,MATCH($C21,Disaggregation_1B!B$11:B$150,0))="","",INDEX(Disaggregation_1B!O$11:O$150,MATCH($C21,Disaggregation_1B!B$11:B$150,0))),"")</f>
        <v>5.1713197969543145</v>
      </c>
      <c r="Q21" s="786" t="str">
        <f>IFERROR(IF(INDEX(Disaggregation_1B!P$11:P$150,MATCH($C21,Disaggregation_1B!B$11:B$150,0))="","",INDEX(Disaggregation_1B!P$11:P$150,MATCH($C21,Disaggregation_1B!B$11:B$150,0))),"")</f>
        <v>TB patient register</v>
      </c>
      <c r="R21" s="786" t="str">
        <f>IFERROR(IF(INDEX(Disaggregation_1B!Q$11:Q$150,MATCH($C21,Disaggregation_1B!B$11:B$150,0))="","",INDEX(Disaggregation_1B!Q$11:Q$150,MATCH($C21,Disaggregation_1B!B$11:B$150,0))),"")</f>
        <v>Parmi les 3152 ayant été déclarés guéris ou traitement terminé , 5,17% avaient moins de 15 ans</v>
      </c>
      <c r="S21" s="772">
        <f>INDEX(Disaggregation_1B!R$11:R$150,MATCH($C21,'Disaggregation1B_Import-Export'!$C$8:$C$239,0))</f>
        <v>0</v>
      </c>
      <c r="T21" s="791" t="str">
        <f>IFERROR(IF(INDEX(Disaggregation_1B!S$11:S$150,MATCH($C21,Disaggregation_1B!B$11:B$150,0))="","",INDEX(Disaggregation_1B!S$11:S$150,MATCH($C21,Disaggregation_1B!B$11:B$150,0))),"")</f>
        <v/>
      </c>
      <c r="U21" s="785" t="str">
        <f>IFERROR(IF(INDEX(Disaggregation_1B!T$11:T$150,MATCH($C21,Disaggregation_1B!B$11:B$150,0))="","",INDEX(Disaggregation_1B!T$11:T$150,MATCH($C21,Disaggregation_1B!B$11:B$150,0))),"")</f>
        <v/>
      </c>
      <c r="V21" s="800" t="str">
        <f>IFERROR(IF(INDEX(Disaggregation_1B!U$11:U$150,MATCH($C21,Disaggregation_1B!B$11:B$150,0))="","",INDEX(Disaggregation_1B!U$11:U$150,MATCH($C21,Disaggregation_1B!B$11:B$150,0))),"")</f>
        <v/>
      </c>
      <c r="W21" s="786" t="str">
        <f>IFERROR(IF(INDEX(Disaggregation_1B!V$11:V$150,MATCH($C21,Disaggregation_1B!B$11:B$150,0))="","",INDEX(Disaggregation_1B!V$11:V$150,MATCH($C21,Disaggregation_1B!B$11:B$150,0))),"")</f>
        <v/>
      </c>
      <c r="X21" s="786" t="str">
        <f>IFERROR(IF(INDEX(Disaggregation_1B!W$11:W$150,MATCH($C21,Disaggregation_1B!B$11:B$150,0))="","",INDEX(Disaggregation_1B!W$11:W$150,MATCH($C21,Disaggregation_1B!B$11:B$150,0))),"")</f>
        <v/>
      </c>
      <c r="Y21" s="772">
        <f>INDEX(Disaggregation_1B!X$11:X$150,MATCH($C21,'Disaggregation1B_Import-Export'!$C$8:$C$239,0))</f>
        <v>0</v>
      </c>
      <c r="Z21" s="772"/>
      <c r="AA21" s="772"/>
      <c r="AB21" s="772"/>
      <c r="AC21" s="772">
        <f>INDEX(Disaggregation_1B!AB$11:AB$150,MATCH($C21,'Disaggregation1B_Import-Export'!$C$8:$C$239,0))</f>
        <v>0</v>
      </c>
      <c r="AD21" s="772">
        <f>INDEX(Disaggregation_1B!AC$11:AC$150,MATCH($C21,'Disaggregation1B_Import-Export'!$C$8:$C$239,0))</f>
        <v>0</v>
      </c>
      <c r="AE21" s="785">
        <v>2</v>
      </c>
      <c r="AF21"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21" s="772" t="str">
        <f t="shared" si="1"/>
        <v>&lt;15 ans</v>
      </c>
      <c r="AH21" s="772" t="str">
        <f t="shared" si="2"/>
        <v>Age</v>
      </c>
      <c r="AI21" s="786" t="s">
        <v>404</v>
      </c>
      <c r="AJ21" s="786" t="s">
        <v>403</v>
      </c>
      <c r="AK21" s="786" t="s">
        <v>621</v>
      </c>
      <c r="AL21" s="786" t="s">
        <v>622</v>
      </c>
      <c r="AM21" s="786" t="s">
        <v>618</v>
      </c>
      <c r="AN21" s="786" t="s">
        <v>616</v>
      </c>
      <c r="AO21" s="786"/>
      <c r="AP21" s="786"/>
      <c r="AQ21" s="786" t="s">
        <v>37</v>
      </c>
    </row>
    <row r="22" spans="1:43" x14ac:dyDescent="0.2">
      <c r="A22" s="772" t="s">
        <v>647</v>
      </c>
      <c r="B22" s="772">
        <f t="shared" si="3"/>
        <v>14</v>
      </c>
      <c r="C22" s="771" t="str">
        <f t="shared" si="4"/>
        <v>Coverage14</v>
      </c>
      <c r="D22" s="798" t="s">
        <v>390</v>
      </c>
      <c r="E22" s="798" t="s">
        <v>402</v>
      </c>
      <c r="F22" s="798" t="s">
        <v>615</v>
      </c>
      <c r="G22" s="798" t="s">
        <v>616</v>
      </c>
      <c r="H22" s="799">
        <v>0</v>
      </c>
      <c r="I22" s="799">
        <v>0</v>
      </c>
      <c r="J22" s="798" t="s">
        <v>600</v>
      </c>
      <c r="K22" s="798"/>
      <c r="L22" s="798"/>
      <c r="M22" s="798"/>
      <c r="N22" s="791">
        <f>IFERROR(IF(INDEX(Disaggregation_1B!M$11:M$150,MATCH($C22,Disaggregation_1B!B$11:B$150,0))="","",INDEX(Disaggregation_1B!M$11:M$150,MATCH($C22,Disaggregation_1B!B$11:B$150,0))),"")</f>
        <v>2989</v>
      </c>
      <c r="O22" s="785">
        <f>IFERROR(IF(INDEX(Disaggregation_1B!N$11:N$150,MATCH($C22,Disaggregation_1B!B$11:B$150,0))="","",INDEX(Disaggregation_1B!N$11:N$150,MATCH($C22,Disaggregation_1B!B$11:B$150,0))),"")</f>
        <v>3152</v>
      </c>
      <c r="P22" s="800">
        <f>IFERROR(IF(INDEX(Disaggregation_1B!O$11:O$150,MATCH($C22,Disaggregation_1B!B$11:B$150,0))="","",INDEX(Disaggregation_1B!O$11:O$150,MATCH($C22,Disaggregation_1B!B$11:B$150,0))),"")</f>
        <v>94.828680203045693</v>
      </c>
      <c r="Q22" s="786" t="str">
        <f>IFERROR(IF(INDEX(Disaggregation_1B!P$11:P$150,MATCH($C22,Disaggregation_1B!B$11:B$150,0))="","",INDEX(Disaggregation_1B!P$11:P$150,MATCH($C22,Disaggregation_1B!B$11:B$150,0))),"")</f>
        <v>TB patient register</v>
      </c>
      <c r="R22" s="786" t="str">
        <f>IFERROR(IF(INDEX(Disaggregation_1B!Q$11:Q$150,MATCH($C22,Disaggregation_1B!B$11:B$150,0))="","",INDEX(Disaggregation_1B!Q$11:Q$150,MATCH($C22,Disaggregation_1B!B$11:B$150,0))),"")</f>
        <v>Parmi les 3152 ayant été déclarés guéris ou traitement terminé , 94,8% avaient plus de 15 ans</v>
      </c>
      <c r="S22" s="772">
        <f>INDEX(Disaggregation_1B!R$11:R$150,MATCH($C22,'Disaggregation1B_Import-Export'!$C$8:$C$239,0))</f>
        <v>0</v>
      </c>
      <c r="T22" s="791" t="str">
        <f>IFERROR(IF(INDEX(Disaggregation_1B!S$11:S$150,MATCH($C22,Disaggregation_1B!B$11:B$150,0))="","",INDEX(Disaggregation_1B!S$11:S$150,MATCH($C22,Disaggregation_1B!B$11:B$150,0))),"")</f>
        <v/>
      </c>
      <c r="U22" s="785" t="str">
        <f>IFERROR(IF(INDEX(Disaggregation_1B!T$11:T$150,MATCH($C22,Disaggregation_1B!B$11:B$150,0))="","",INDEX(Disaggregation_1B!T$11:T$150,MATCH($C22,Disaggregation_1B!B$11:B$150,0))),"")</f>
        <v/>
      </c>
      <c r="V22" s="800" t="str">
        <f>IFERROR(IF(INDEX(Disaggregation_1B!U$11:U$150,MATCH($C22,Disaggregation_1B!B$11:B$150,0))="","",INDEX(Disaggregation_1B!U$11:U$150,MATCH($C22,Disaggregation_1B!B$11:B$150,0))),"")</f>
        <v/>
      </c>
      <c r="W22" s="786" t="str">
        <f>IFERROR(IF(INDEX(Disaggregation_1B!V$11:V$150,MATCH($C22,Disaggregation_1B!B$11:B$150,0))="","",INDEX(Disaggregation_1B!V$11:V$150,MATCH($C22,Disaggregation_1B!B$11:B$150,0))),"")</f>
        <v/>
      </c>
      <c r="X22" s="786" t="str">
        <f>IFERROR(IF(INDEX(Disaggregation_1B!W$11:W$150,MATCH($C22,Disaggregation_1B!B$11:B$150,0))="","",INDEX(Disaggregation_1B!W$11:W$150,MATCH($C22,Disaggregation_1B!B$11:B$150,0))),"")</f>
        <v/>
      </c>
      <c r="Y22" s="772">
        <f>INDEX(Disaggregation_1B!X$11:X$150,MATCH($C22,'Disaggregation1B_Import-Export'!$C$8:$C$239,0))</f>
        <v>0</v>
      </c>
      <c r="Z22" s="772"/>
      <c r="AA22" s="772"/>
      <c r="AB22" s="772"/>
      <c r="AC22" s="772">
        <f>INDEX(Disaggregation_1B!AB$11:AB$150,MATCH($C22,'Disaggregation1B_Import-Export'!$C$8:$C$239,0))</f>
        <v>0</v>
      </c>
      <c r="AD22" s="772">
        <f>INDEX(Disaggregation_1B!AC$11:AC$150,MATCH($C22,'Disaggregation1B_Import-Export'!$C$8:$C$239,0))</f>
        <v>0</v>
      </c>
      <c r="AE22" s="785">
        <v>2</v>
      </c>
      <c r="AF22"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22" s="772" t="str">
        <f t="shared" si="1"/>
        <v>+ de 15 ans</v>
      </c>
      <c r="AH22" s="772" t="str">
        <f t="shared" si="2"/>
        <v>Age</v>
      </c>
      <c r="AI22" s="786" t="s">
        <v>404</v>
      </c>
      <c r="AJ22" s="786" t="s">
        <v>403</v>
      </c>
      <c r="AK22" s="786" t="s">
        <v>615</v>
      </c>
      <c r="AL22" s="786" t="s">
        <v>617</v>
      </c>
      <c r="AM22" s="786" t="s">
        <v>618</v>
      </c>
      <c r="AN22" s="786" t="s">
        <v>616</v>
      </c>
      <c r="AO22" s="786"/>
      <c r="AP22" s="786"/>
      <c r="AQ22" s="786" t="s">
        <v>37</v>
      </c>
    </row>
    <row r="23" spans="1:43" x14ac:dyDescent="0.2">
      <c r="A23" s="772" t="s">
        <v>648</v>
      </c>
      <c r="B23" s="772">
        <f t="shared" si="3"/>
        <v>15</v>
      </c>
      <c r="C23" s="771" t="str">
        <f t="shared" si="4"/>
        <v>Coverage15</v>
      </c>
      <c r="D23" s="798" t="s">
        <v>390</v>
      </c>
      <c r="E23" s="798" t="s">
        <v>402</v>
      </c>
      <c r="F23" s="798" t="s">
        <v>598</v>
      </c>
      <c r="G23" s="798" t="s">
        <v>599</v>
      </c>
      <c r="H23" s="799">
        <v>4279</v>
      </c>
      <c r="I23" s="799">
        <v>4654</v>
      </c>
      <c r="J23" s="798" t="s">
        <v>649</v>
      </c>
      <c r="K23" s="798" t="s">
        <v>225</v>
      </c>
      <c r="L23" s="798" t="s">
        <v>601</v>
      </c>
      <c r="M23" s="798" t="s">
        <v>650</v>
      </c>
      <c r="N23" s="791">
        <f>IFERROR(IF(INDEX(Disaggregation_1B!M$11:M$150,MATCH($C23,Disaggregation_1B!B$11:B$150,0))="","",INDEX(Disaggregation_1B!M$11:M$150,MATCH($C23,Disaggregation_1B!B$11:B$150,0))),"")</f>
        <v>1067</v>
      </c>
      <c r="O23" s="785">
        <f>IFERROR(IF(INDEX(Disaggregation_1B!N$11:N$150,MATCH($C23,Disaggregation_1B!B$11:B$150,0))="","",INDEX(Disaggregation_1B!N$11:N$150,MATCH($C23,Disaggregation_1B!B$11:B$150,0))),"")</f>
        <v>3152</v>
      </c>
      <c r="P23" s="800">
        <f>IFERROR(IF(INDEX(Disaggregation_1B!O$11:O$150,MATCH($C23,Disaggregation_1B!B$11:B$150,0))="","",INDEX(Disaggregation_1B!O$11:O$150,MATCH($C23,Disaggregation_1B!B$11:B$150,0))),"")</f>
        <v>33.851522842639589</v>
      </c>
      <c r="Q23" s="786" t="str">
        <f>IFERROR(IF(INDEX(Disaggregation_1B!P$11:P$150,MATCH($C23,Disaggregation_1B!B$11:B$150,0))="","",INDEX(Disaggregation_1B!P$11:P$150,MATCH($C23,Disaggregation_1B!B$11:B$150,0))),"")</f>
        <v>TB patient register</v>
      </c>
      <c r="R23" s="786" t="str">
        <f>IFERROR(IF(INDEX(Disaggregation_1B!Q$11:Q$150,MATCH($C23,Disaggregation_1B!B$11:B$150,0))="","",INDEX(Disaggregation_1B!Q$11:Q$150,MATCH($C23,Disaggregation_1B!B$11:B$150,0))),"")</f>
        <v>Parmi les 3152 ayant été déclarés guéris ou traitement terminé, 33,85% étaient des femmes</v>
      </c>
      <c r="S23" s="772">
        <f>INDEX(Disaggregation_1B!R$11:R$150,MATCH($C23,'Disaggregation1B_Import-Export'!$C$8:$C$239,0))</f>
        <v>0</v>
      </c>
      <c r="T23" s="791" t="str">
        <f>IFERROR(IF(INDEX(Disaggregation_1B!S$11:S$150,MATCH($C23,Disaggregation_1B!B$11:B$150,0))="","",INDEX(Disaggregation_1B!S$11:S$150,MATCH($C23,Disaggregation_1B!B$11:B$150,0))),"")</f>
        <v/>
      </c>
      <c r="U23" s="785" t="str">
        <f>IFERROR(IF(INDEX(Disaggregation_1B!T$11:T$150,MATCH($C23,Disaggregation_1B!B$11:B$150,0))="","",INDEX(Disaggregation_1B!T$11:T$150,MATCH($C23,Disaggregation_1B!B$11:B$150,0))),"")</f>
        <v/>
      </c>
      <c r="V23" s="800" t="str">
        <f>IFERROR(IF(INDEX(Disaggregation_1B!U$11:U$150,MATCH($C23,Disaggregation_1B!B$11:B$150,0))="","",INDEX(Disaggregation_1B!U$11:U$150,MATCH($C23,Disaggregation_1B!B$11:B$150,0))),"")</f>
        <v/>
      </c>
      <c r="W23" s="786" t="str">
        <f>IFERROR(IF(INDEX(Disaggregation_1B!V$11:V$150,MATCH($C23,Disaggregation_1B!B$11:B$150,0))="","",INDEX(Disaggregation_1B!V$11:V$150,MATCH($C23,Disaggregation_1B!B$11:B$150,0))),"")</f>
        <v/>
      </c>
      <c r="X23" s="786" t="str">
        <f>IFERROR(IF(INDEX(Disaggregation_1B!W$11:W$150,MATCH($C23,Disaggregation_1B!B$11:B$150,0))="","",INDEX(Disaggregation_1B!W$11:W$150,MATCH($C23,Disaggregation_1B!B$11:B$150,0))),"")</f>
        <v/>
      </c>
      <c r="Y23" s="772">
        <f>INDEX(Disaggregation_1B!X$11:X$150,MATCH($C23,'Disaggregation1B_Import-Export'!$C$8:$C$239,0))</f>
        <v>0</v>
      </c>
      <c r="Z23" s="772"/>
      <c r="AA23" s="772"/>
      <c r="AB23" s="772"/>
      <c r="AC23" s="772">
        <f>INDEX(Disaggregation_1B!AB$11:AB$150,MATCH($C23,'Disaggregation1B_Import-Export'!$C$8:$C$239,0))</f>
        <v>0</v>
      </c>
      <c r="AD23" s="772">
        <f>INDEX(Disaggregation_1B!AC$11:AC$150,MATCH($C23,'Disaggregation1B_Import-Export'!$C$8:$C$239,0))</f>
        <v>0</v>
      </c>
      <c r="AE23" s="785">
        <v>2</v>
      </c>
      <c r="AF23" s="772" t="str">
        <f t="shared" si="0"/>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G23" s="772" t="str">
        <f t="shared" si="1"/>
        <v>Femme</v>
      </c>
      <c r="AH23" s="772" t="str">
        <f t="shared" si="2"/>
        <v>Sexe</v>
      </c>
      <c r="AI23" s="786" t="s">
        <v>404</v>
      </c>
      <c r="AJ23" s="786" t="s">
        <v>403</v>
      </c>
      <c r="AK23" s="786" t="s">
        <v>602</v>
      </c>
      <c r="AL23" s="786" t="s">
        <v>603</v>
      </c>
      <c r="AM23" s="786" t="s">
        <v>604</v>
      </c>
      <c r="AN23" s="786" t="s">
        <v>605</v>
      </c>
      <c r="AO23" s="786" t="s">
        <v>651</v>
      </c>
      <c r="AP23" s="786" t="s">
        <v>606</v>
      </c>
      <c r="AQ23" s="786" t="s">
        <v>37</v>
      </c>
    </row>
    <row r="24" spans="1:43" x14ac:dyDescent="0.2">
      <c r="A24" s="772" t="s">
        <v>652</v>
      </c>
      <c r="B24" s="772">
        <f t="shared" si="3"/>
        <v>16</v>
      </c>
      <c r="C24" s="771" t="str">
        <f t="shared" si="4"/>
        <v>Coverage16</v>
      </c>
      <c r="D24" s="798" t="s">
        <v>440</v>
      </c>
      <c r="E24" s="798" t="s">
        <v>441</v>
      </c>
      <c r="F24" s="798" t="s">
        <v>598</v>
      </c>
      <c r="G24" s="798" t="s">
        <v>599</v>
      </c>
      <c r="H24" s="799">
        <v>27</v>
      </c>
      <c r="I24" s="799">
        <v>0</v>
      </c>
      <c r="J24" s="798" t="s">
        <v>600</v>
      </c>
      <c r="K24" s="798" t="s">
        <v>225</v>
      </c>
      <c r="L24" s="798" t="s">
        <v>601</v>
      </c>
      <c r="M24" s="798"/>
      <c r="N24" s="791">
        <f>IFERROR(IF(INDEX(Disaggregation_1B!M$11:M$150,MATCH($C24,Disaggregation_1B!B$11:B$150,0))="","",INDEX(Disaggregation_1B!M$11:M$150,MATCH($C24,Disaggregation_1B!B$11:B$150,0))),"")</f>
        <v>8</v>
      </c>
      <c r="O24" s="785" t="str">
        <f>IFERROR(IF(INDEX(Disaggregation_1B!N$11:N$150,MATCH($C24,Disaggregation_1B!B$11:B$150,0))="","",INDEX(Disaggregation_1B!N$11:N$150,MATCH($C24,Disaggregation_1B!B$11:B$150,0))),"")</f>
        <v/>
      </c>
      <c r="P24" s="800" t="str">
        <f>IFERROR(IF(INDEX(Disaggregation_1B!O$11:O$150,MATCH($C24,Disaggregation_1B!B$11:B$150,0))="","",INDEX(Disaggregation_1B!O$11:O$150,MATCH($C24,Disaggregation_1B!B$11:B$150,0))),"")</f>
        <v/>
      </c>
      <c r="Q24" s="786" t="str">
        <f>IFERROR(IF(INDEX(Disaggregation_1B!P$11:P$150,MATCH($C24,Disaggregation_1B!B$11:B$150,0))="","",INDEX(Disaggregation_1B!P$11:P$150,MATCH($C24,Disaggregation_1B!B$11:B$150,0))),"")</f>
        <v>R&amp;R TB system, quarterly reports</v>
      </c>
      <c r="R24" s="786" t="str">
        <f>IFERROR(IF(INDEX(Disaggregation_1B!Q$11:Q$150,MATCH($C24,Disaggregation_1B!B$11:B$150,0))="","",INDEX(Disaggregation_1B!Q$11:Q$150,MATCH($C24,Disaggregation_1B!B$11:B$150,0))),"")</f>
        <v>Au 2 ème semestre 2019, 22,85% des patients TB/MR  (8/35) sont de sexe féminin</v>
      </c>
      <c r="S24" s="772">
        <f>INDEX(Disaggregation_1B!R$11:R$150,MATCH($C24,'Disaggregation1B_Import-Export'!$C$8:$C$239,0))</f>
        <v>0</v>
      </c>
      <c r="T24" s="791" t="str">
        <f>IFERROR(IF(INDEX(Disaggregation_1B!S$11:S$150,MATCH($C24,Disaggregation_1B!B$11:B$150,0))="","",INDEX(Disaggregation_1B!S$11:S$150,MATCH($C24,Disaggregation_1B!B$11:B$150,0))),"")</f>
        <v/>
      </c>
      <c r="U24" s="785" t="str">
        <f>IFERROR(IF(INDEX(Disaggregation_1B!T$11:T$150,MATCH($C24,Disaggregation_1B!B$11:B$150,0))="","",INDEX(Disaggregation_1B!T$11:T$150,MATCH($C24,Disaggregation_1B!B$11:B$150,0))),"")</f>
        <v/>
      </c>
      <c r="V24" s="800" t="str">
        <f>IFERROR(IF(INDEX(Disaggregation_1B!U$11:U$150,MATCH($C24,Disaggregation_1B!B$11:B$150,0))="","",INDEX(Disaggregation_1B!U$11:U$150,MATCH($C24,Disaggregation_1B!B$11:B$150,0))),"")</f>
        <v/>
      </c>
      <c r="W24" s="786" t="str">
        <f>IFERROR(IF(INDEX(Disaggregation_1B!V$11:V$150,MATCH($C24,Disaggregation_1B!B$11:B$150,0))="","",INDEX(Disaggregation_1B!V$11:V$150,MATCH($C24,Disaggregation_1B!B$11:B$150,0))),"")</f>
        <v/>
      </c>
      <c r="X24" s="786" t="str">
        <f>IFERROR(IF(INDEX(Disaggregation_1B!W$11:W$150,MATCH($C24,Disaggregation_1B!B$11:B$150,0))="","",INDEX(Disaggregation_1B!W$11:W$150,MATCH($C24,Disaggregation_1B!B$11:B$150,0))),"")</f>
        <v/>
      </c>
      <c r="Y24" s="772">
        <f>INDEX(Disaggregation_1B!X$11:X$150,MATCH($C24,'Disaggregation1B_Import-Export'!$C$8:$C$239,0))</f>
        <v>0</v>
      </c>
      <c r="Z24" s="772"/>
      <c r="AA24" s="772"/>
      <c r="AB24" s="772"/>
      <c r="AC24" s="772">
        <f>INDEX(Disaggregation_1B!AB$11:AB$150,MATCH($C24,'Disaggregation1B_Import-Export'!$C$8:$C$239,0))</f>
        <v>0</v>
      </c>
      <c r="AD24" s="772">
        <f>INDEX(Disaggregation_1B!AC$11:AC$150,MATCH($C24,'Disaggregation1B_Import-Export'!$C$8:$C$239,0))</f>
        <v>0</v>
      </c>
      <c r="AE24" s="785">
        <v>9</v>
      </c>
      <c r="AF24" s="772" t="str">
        <f t="shared" si="0"/>
        <v>MDR TB-2(M): Nombre de cas de tuberculose, résistante à la rifampicine et/ou tuberculose multirésistante confirmés</v>
      </c>
      <c r="AG24" s="772" t="str">
        <f t="shared" si="1"/>
        <v>Femme</v>
      </c>
      <c r="AH24" s="772" t="str">
        <f t="shared" si="2"/>
        <v>Sexe</v>
      </c>
      <c r="AI24" s="786" t="s">
        <v>443</v>
      </c>
      <c r="AJ24" s="786" t="s">
        <v>442</v>
      </c>
      <c r="AK24" s="786" t="s">
        <v>602</v>
      </c>
      <c r="AL24" s="786" t="s">
        <v>603</v>
      </c>
      <c r="AM24" s="786" t="s">
        <v>604</v>
      </c>
      <c r="AN24" s="786" t="s">
        <v>605</v>
      </c>
      <c r="AO24" s="786"/>
      <c r="AP24" s="786" t="s">
        <v>606</v>
      </c>
      <c r="AQ24" s="786" t="s">
        <v>37</v>
      </c>
    </row>
    <row r="25" spans="1:43" x14ac:dyDescent="0.2">
      <c r="A25" s="772" t="s">
        <v>653</v>
      </c>
      <c r="B25" s="772">
        <f t="shared" si="3"/>
        <v>17</v>
      </c>
      <c r="C25" s="771" t="str">
        <f t="shared" si="4"/>
        <v>Coverage17</v>
      </c>
      <c r="D25" s="798" t="s">
        <v>440</v>
      </c>
      <c r="E25" s="798" t="s">
        <v>441</v>
      </c>
      <c r="F25" s="798" t="s">
        <v>639</v>
      </c>
      <c r="G25" s="798" t="s">
        <v>599</v>
      </c>
      <c r="H25" s="799">
        <v>53</v>
      </c>
      <c r="I25" s="799">
        <v>0</v>
      </c>
      <c r="J25" s="798" t="s">
        <v>600</v>
      </c>
      <c r="K25" s="798" t="s">
        <v>225</v>
      </c>
      <c r="L25" s="798" t="s">
        <v>601</v>
      </c>
      <c r="M25" s="798"/>
      <c r="N25" s="791">
        <f>IFERROR(IF(INDEX(Disaggregation_1B!M$11:M$150,MATCH($C25,Disaggregation_1B!B$11:B$150,0))="","",INDEX(Disaggregation_1B!M$11:M$150,MATCH($C25,Disaggregation_1B!B$11:B$150,0))),"")</f>
        <v>27</v>
      </c>
      <c r="O25" s="785" t="str">
        <f>IFERROR(IF(INDEX(Disaggregation_1B!N$11:N$150,MATCH($C25,Disaggregation_1B!B$11:B$150,0))="","",INDEX(Disaggregation_1B!N$11:N$150,MATCH($C25,Disaggregation_1B!B$11:B$150,0))),"")</f>
        <v/>
      </c>
      <c r="P25" s="800" t="str">
        <f>IFERROR(IF(INDEX(Disaggregation_1B!O$11:O$150,MATCH($C25,Disaggregation_1B!B$11:B$150,0))="","",INDEX(Disaggregation_1B!O$11:O$150,MATCH($C25,Disaggregation_1B!B$11:B$150,0))),"")</f>
        <v/>
      </c>
      <c r="Q25" s="786" t="str">
        <f>IFERROR(IF(INDEX(Disaggregation_1B!P$11:P$150,MATCH($C25,Disaggregation_1B!B$11:B$150,0))="","",INDEX(Disaggregation_1B!P$11:P$150,MATCH($C25,Disaggregation_1B!B$11:B$150,0))),"")</f>
        <v>R&amp;R TB system, quarterly reports</v>
      </c>
      <c r="R25" s="786" t="str">
        <f>IFERROR(IF(INDEX(Disaggregation_1B!Q$11:Q$150,MATCH($C25,Disaggregation_1B!B$11:B$150,0))="","",INDEX(Disaggregation_1B!Q$11:Q$150,MATCH($C25,Disaggregation_1B!B$11:B$150,0))),"")</f>
        <v>Au 2 ème  semestre 2019, 77,14% des patients TB/MR  (27/35) sont de sexe masculin</v>
      </c>
      <c r="S25" s="772">
        <f>INDEX(Disaggregation_1B!R$11:R$150,MATCH($C25,'Disaggregation1B_Import-Export'!$C$8:$C$239,0))</f>
        <v>0</v>
      </c>
      <c r="T25" s="791" t="str">
        <f>IFERROR(IF(INDEX(Disaggregation_1B!S$11:S$150,MATCH($C25,Disaggregation_1B!B$11:B$150,0))="","",INDEX(Disaggregation_1B!S$11:S$150,MATCH($C25,Disaggregation_1B!B$11:B$150,0))),"")</f>
        <v/>
      </c>
      <c r="U25" s="785" t="str">
        <f>IFERROR(IF(INDEX(Disaggregation_1B!T$11:T$150,MATCH($C25,Disaggregation_1B!B$11:B$150,0))="","",INDEX(Disaggregation_1B!T$11:T$150,MATCH($C25,Disaggregation_1B!B$11:B$150,0))),"")</f>
        <v/>
      </c>
      <c r="V25" s="800" t="str">
        <f>IFERROR(IF(INDEX(Disaggregation_1B!U$11:U$150,MATCH($C25,Disaggregation_1B!B$11:B$150,0))="","",INDEX(Disaggregation_1B!U$11:U$150,MATCH($C25,Disaggregation_1B!B$11:B$150,0))),"")</f>
        <v/>
      </c>
      <c r="W25" s="786" t="str">
        <f>IFERROR(IF(INDEX(Disaggregation_1B!V$11:V$150,MATCH($C25,Disaggregation_1B!B$11:B$150,0))="","",INDEX(Disaggregation_1B!V$11:V$150,MATCH($C25,Disaggregation_1B!B$11:B$150,0))),"")</f>
        <v/>
      </c>
      <c r="X25" s="786" t="str">
        <f>IFERROR(IF(INDEX(Disaggregation_1B!W$11:W$150,MATCH($C25,Disaggregation_1B!B$11:B$150,0))="","",INDEX(Disaggregation_1B!W$11:W$150,MATCH($C25,Disaggregation_1B!B$11:B$150,0))),"")</f>
        <v/>
      </c>
      <c r="Y25" s="772">
        <f>INDEX(Disaggregation_1B!X$11:X$150,MATCH($C25,'Disaggregation1B_Import-Export'!$C$8:$C$239,0))</f>
        <v>0</v>
      </c>
      <c r="Z25" s="772"/>
      <c r="AA25" s="772"/>
      <c r="AB25" s="772"/>
      <c r="AC25" s="772">
        <f>INDEX(Disaggregation_1B!AB$11:AB$150,MATCH($C25,'Disaggregation1B_Import-Export'!$C$8:$C$239,0))</f>
        <v>0</v>
      </c>
      <c r="AD25" s="772">
        <f>INDEX(Disaggregation_1B!AC$11:AC$150,MATCH($C25,'Disaggregation1B_Import-Export'!$C$8:$C$239,0))</f>
        <v>0</v>
      </c>
      <c r="AE25" s="785">
        <v>9</v>
      </c>
      <c r="AF25" s="772" t="str">
        <f t="shared" si="0"/>
        <v>MDR TB-2(M): Nombre de cas de tuberculose, résistante à la rifampicine et/ou tuberculose multirésistante confirmés</v>
      </c>
      <c r="AG25" s="772" t="str">
        <f t="shared" si="1"/>
        <v>Homme</v>
      </c>
      <c r="AH25" s="772" t="str">
        <f t="shared" si="2"/>
        <v>Sexe</v>
      </c>
      <c r="AI25" s="786" t="s">
        <v>443</v>
      </c>
      <c r="AJ25" s="786" t="s">
        <v>442</v>
      </c>
      <c r="AK25" s="786" t="s">
        <v>640</v>
      </c>
      <c r="AL25" s="786" t="s">
        <v>641</v>
      </c>
      <c r="AM25" s="786" t="s">
        <v>604</v>
      </c>
      <c r="AN25" s="786" t="s">
        <v>605</v>
      </c>
      <c r="AO25" s="786"/>
      <c r="AP25" s="786" t="s">
        <v>606</v>
      </c>
      <c r="AQ25" s="786" t="s">
        <v>37</v>
      </c>
    </row>
    <row r="26" spans="1:43" x14ac:dyDescent="0.2">
      <c r="A26" s="772" t="s">
        <v>654</v>
      </c>
      <c r="B26" s="772">
        <f t="shared" si="3"/>
        <v>18</v>
      </c>
      <c r="C26" s="771" t="str">
        <f t="shared" si="4"/>
        <v>Coverage18</v>
      </c>
      <c r="D26" s="798" t="s">
        <v>440</v>
      </c>
      <c r="E26" s="798" t="s">
        <v>441</v>
      </c>
      <c r="F26" s="798" t="s">
        <v>620</v>
      </c>
      <c r="G26" s="798" t="s">
        <v>616</v>
      </c>
      <c r="H26" s="799">
        <v>2</v>
      </c>
      <c r="I26" s="799">
        <v>0</v>
      </c>
      <c r="J26" s="798" t="s">
        <v>600</v>
      </c>
      <c r="K26" s="798" t="s">
        <v>225</v>
      </c>
      <c r="L26" s="798" t="s">
        <v>601</v>
      </c>
      <c r="M26" s="798"/>
      <c r="N26" s="791">
        <f>IFERROR(IF(INDEX(Disaggregation_1B!M$11:M$150,MATCH($C26,Disaggregation_1B!B$11:B$150,0))="","",INDEX(Disaggregation_1B!M$11:M$150,MATCH($C26,Disaggregation_1B!B$11:B$150,0))),"")</f>
        <v>1</v>
      </c>
      <c r="O26" s="785" t="str">
        <f>IFERROR(IF(INDEX(Disaggregation_1B!N$11:N$150,MATCH($C26,Disaggregation_1B!B$11:B$150,0))="","",INDEX(Disaggregation_1B!N$11:N$150,MATCH($C26,Disaggregation_1B!B$11:B$150,0))),"")</f>
        <v/>
      </c>
      <c r="P26" s="800" t="str">
        <f>IFERROR(IF(INDEX(Disaggregation_1B!O$11:O$150,MATCH($C26,Disaggregation_1B!B$11:B$150,0))="","",INDEX(Disaggregation_1B!O$11:O$150,MATCH($C26,Disaggregation_1B!B$11:B$150,0))),"")</f>
        <v/>
      </c>
      <c r="Q26" s="786" t="str">
        <f>IFERROR(IF(INDEX(Disaggregation_1B!P$11:P$150,MATCH($C26,Disaggregation_1B!B$11:B$150,0))="","",INDEX(Disaggregation_1B!P$11:P$150,MATCH($C26,Disaggregation_1B!B$11:B$150,0))),"")</f>
        <v>R&amp;R TB system, quarterly reports</v>
      </c>
      <c r="R26" s="786" t="str">
        <f>IFERROR(IF(INDEX(Disaggregation_1B!Q$11:Q$150,MATCH($C26,Disaggregation_1B!B$11:B$150,0))="","",INDEX(Disaggregation_1B!Q$11:Q$150,MATCH($C26,Disaggregation_1B!B$11:B$150,0))),"")</f>
        <v>Au 2ème semestre 2019, un patient TB/MR sur 35 TB/MR a un âge&lt; à 15 ans, soit 2,85%</v>
      </c>
      <c r="S26" s="772">
        <f>INDEX(Disaggregation_1B!R$11:R$150,MATCH($C26,'Disaggregation1B_Import-Export'!$C$8:$C$239,0))</f>
        <v>0</v>
      </c>
      <c r="T26" s="791" t="str">
        <f>IFERROR(IF(INDEX(Disaggregation_1B!S$11:S$150,MATCH($C26,Disaggregation_1B!B$11:B$150,0))="","",INDEX(Disaggregation_1B!S$11:S$150,MATCH($C26,Disaggregation_1B!B$11:B$150,0))),"")</f>
        <v/>
      </c>
      <c r="U26" s="785" t="str">
        <f>IFERROR(IF(INDEX(Disaggregation_1B!T$11:T$150,MATCH($C26,Disaggregation_1B!B$11:B$150,0))="","",INDEX(Disaggregation_1B!T$11:T$150,MATCH($C26,Disaggregation_1B!B$11:B$150,0))),"")</f>
        <v/>
      </c>
      <c r="V26" s="800" t="str">
        <f>IFERROR(IF(INDEX(Disaggregation_1B!U$11:U$150,MATCH($C26,Disaggregation_1B!B$11:B$150,0))="","",INDEX(Disaggregation_1B!U$11:U$150,MATCH($C26,Disaggregation_1B!B$11:B$150,0))),"")</f>
        <v/>
      </c>
      <c r="W26" s="786" t="str">
        <f>IFERROR(IF(INDEX(Disaggregation_1B!V$11:V$150,MATCH($C26,Disaggregation_1B!B$11:B$150,0))="","",INDEX(Disaggregation_1B!V$11:V$150,MATCH($C26,Disaggregation_1B!B$11:B$150,0))),"")</f>
        <v/>
      </c>
      <c r="X26" s="786" t="str">
        <f>IFERROR(IF(INDEX(Disaggregation_1B!W$11:W$150,MATCH($C26,Disaggregation_1B!B$11:B$150,0))="","",INDEX(Disaggregation_1B!W$11:W$150,MATCH($C26,Disaggregation_1B!B$11:B$150,0))),"")</f>
        <v/>
      </c>
      <c r="Y26" s="772">
        <f>INDEX(Disaggregation_1B!X$11:X$150,MATCH($C26,'Disaggregation1B_Import-Export'!$C$8:$C$239,0))</f>
        <v>0</v>
      </c>
      <c r="Z26" s="772"/>
      <c r="AA26" s="772"/>
      <c r="AB26" s="772"/>
      <c r="AC26" s="772">
        <f>INDEX(Disaggregation_1B!AB$11:AB$150,MATCH($C26,'Disaggregation1B_Import-Export'!$C$8:$C$239,0))</f>
        <v>0</v>
      </c>
      <c r="AD26" s="772">
        <f>INDEX(Disaggregation_1B!AC$11:AC$150,MATCH($C26,'Disaggregation1B_Import-Export'!$C$8:$C$239,0))</f>
        <v>0</v>
      </c>
      <c r="AE26" s="785">
        <v>9</v>
      </c>
      <c r="AF26" s="772" t="str">
        <f t="shared" si="0"/>
        <v>MDR TB-2(M): Nombre de cas de tuberculose, résistante à la rifampicine et/ou tuberculose multirésistante confirmés</v>
      </c>
      <c r="AG26" s="772" t="str">
        <f t="shared" si="1"/>
        <v>&lt;15 ans</v>
      </c>
      <c r="AH26" s="772" t="str">
        <f t="shared" si="2"/>
        <v>Age</v>
      </c>
      <c r="AI26" s="786" t="s">
        <v>443</v>
      </c>
      <c r="AJ26" s="786" t="s">
        <v>442</v>
      </c>
      <c r="AK26" s="786" t="s">
        <v>621</v>
      </c>
      <c r="AL26" s="786" t="s">
        <v>622</v>
      </c>
      <c r="AM26" s="786" t="s">
        <v>618</v>
      </c>
      <c r="AN26" s="786" t="s">
        <v>616</v>
      </c>
      <c r="AO26" s="786"/>
      <c r="AP26" s="786" t="s">
        <v>606</v>
      </c>
      <c r="AQ26" s="786" t="s">
        <v>37</v>
      </c>
    </row>
    <row r="27" spans="1:43" x14ac:dyDescent="0.2">
      <c r="A27" s="772" t="s">
        <v>655</v>
      </c>
      <c r="B27" s="772">
        <f t="shared" si="3"/>
        <v>19</v>
      </c>
      <c r="C27" s="771" t="str">
        <f t="shared" si="4"/>
        <v>Coverage19</v>
      </c>
      <c r="D27" s="798" t="s">
        <v>440</v>
      </c>
      <c r="E27" s="798" t="s">
        <v>441</v>
      </c>
      <c r="F27" s="798" t="s">
        <v>615</v>
      </c>
      <c r="G27" s="798" t="s">
        <v>616</v>
      </c>
      <c r="H27" s="799">
        <v>78</v>
      </c>
      <c r="I27" s="799">
        <v>0</v>
      </c>
      <c r="J27" s="798" t="s">
        <v>600</v>
      </c>
      <c r="K27" s="798" t="s">
        <v>225</v>
      </c>
      <c r="L27" s="798" t="s">
        <v>601</v>
      </c>
      <c r="M27" s="798"/>
      <c r="N27" s="791">
        <f>IFERROR(IF(INDEX(Disaggregation_1B!M$11:M$150,MATCH($C27,Disaggregation_1B!B$11:B$150,0))="","",INDEX(Disaggregation_1B!M$11:M$150,MATCH($C27,Disaggregation_1B!B$11:B$150,0))),"")</f>
        <v>34</v>
      </c>
      <c r="O27" s="785" t="str">
        <f>IFERROR(IF(INDEX(Disaggregation_1B!N$11:N$150,MATCH($C27,Disaggregation_1B!B$11:B$150,0))="","",INDEX(Disaggregation_1B!N$11:N$150,MATCH($C27,Disaggregation_1B!B$11:B$150,0))),"")</f>
        <v/>
      </c>
      <c r="P27" s="800" t="str">
        <f>IFERROR(IF(INDEX(Disaggregation_1B!O$11:O$150,MATCH($C27,Disaggregation_1B!B$11:B$150,0))="","",INDEX(Disaggregation_1B!O$11:O$150,MATCH($C27,Disaggregation_1B!B$11:B$150,0))),"")</f>
        <v/>
      </c>
      <c r="Q27" s="786" t="str">
        <f>IFERROR(IF(INDEX(Disaggregation_1B!P$11:P$150,MATCH($C27,Disaggregation_1B!B$11:B$150,0))="","",INDEX(Disaggregation_1B!P$11:P$150,MATCH($C27,Disaggregation_1B!B$11:B$150,0))),"")</f>
        <v>R&amp;R TB system, quarterly reports</v>
      </c>
      <c r="R27" s="786" t="str">
        <f>IFERROR(IF(INDEX(Disaggregation_1B!Q$11:Q$150,MATCH($C27,Disaggregation_1B!B$11:B$150,0))="","",INDEX(Disaggregation_1B!Q$11:Q$150,MATCH($C27,Disaggregation_1B!B$11:B$150,0))),"")</f>
        <v>Au 2ème semestre 2019, 34 patients TB/MR sur 35 TB/MR ont un âge&gt;à 15 ans, soit 97,14%</v>
      </c>
      <c r="S27" s="772">
        <f>INDEX(Disaggregation_1B!R$11:R$150,MATCH($C27,'Disaggregation1B_Import-Export'!$C$8:$C$239,0))</f>
        <v>0</v>
      </c>
      <c r="T27" s="791" t="str">
        <f>IFERROR(IF(INDEX(Disaggregation_1B!S$11:S$150,MATCH($C27,Disaggregation_1B!B$11:B$150,0))="","",INDEX(Disaggregation_1B!S$11:S$150,MATCH($C27,Disaggregation_1B!B$11:B$150,0))),"")</f>
        <v/>
      </c>
      <c r="U27" s="785" t="str">
        <f>IFERROR(IF(INDEX(Disaggregation_1B!T$11:T$150,MATCH($C27,Disaggregation_1B!B$11:B$150,0))="","",INDEX(Disaggregation_1B!T$11:T$150,MATCH($C27,Disaggregation_1B!B$11:B$150,0))),"")</f>
        <v/>
      </c>
      <c r="V27" s="800" t="str">
        <f>IFERROR(IF(INDEX(Disaggregation_1B!U$11:U$150,MATCH($C27,Disaggregation_1B!B$11:B$150,0))="","",INDEX(Disaggregation_1B!U$11:U$150,MATCH($C27,Disaggregation_1B!B$11:B$150,0))),"")</f>
        <v/>
      </c>
      <c r="W27" s="786" t="str">
        <f>IFERROR(IF(INDEX(Disaggregation_1B!V$11:V$150,MATCH($C27,Disaggregation_1B!B$11:B$150,0))="","",INDEX(Disaggregation_1B!V$11:V$150,MATCH($C27,Disaggregation_1B!B$11:B$150,0))),"")</f>
        <v/>
      </c>
      <c r="X27" s="786" t="str">
        <f>IFERROR(IF(INDEX(Disaggregation_1B!W$11:W$150,MATCH($C27,Disaggregation_1B!B$11:B$150,0))="","",INDEX(Disaggregation_1B!W$11:W$150,MATCH($C27,Disaggregation_1B!B$11:B$150,0))),"")</f>
        <v/>
      </c>
      <c r="Y27" s="772">
        <f>INDEX(Disaggregation_1B!X$11:X$150,MATCH($C27,'Disaggregation1B_Import-Export'!$C$8:$C$239,0))</f>
        <v>0</v>
      </c>
      <c r="Z27" s="772"/>
      <c r="AA27" s="772"/>
      <c r="AB27" s="772"/>
      <c r="AC27" s="772">
        <f>INDEX(Disaggregation_1B!AB$11:AB$150,MATCH($C27,'Disaggregation1B_Import-Export'!$C$8:$C$239,0))</f>
        <v>0</v>
      </c>
      <c r="AD27" s="772">
        <f>INDEX(Disaggregation_1B!AC$11:AC$150,MATCH($C27,'Disaggregation1B_Import-Export'!$C$8:$C$239,0))</f>
        <v>0</v>
      </c>
      <c r="AE27" s="785">
        <v>9</v>
      </c>
      <c r="AF27" s="772" t="str">
        <f t="shared" si="0"/>
        <v>MDR TB-2(M): Nombre de cas de tuberculose, résistante à la rifampicine et/ou tuberculose multirésistante confirmés</v>
      </c>
      <c r="AG27" s="772" t="str">
        <f t="shared" si="1"/>
        <v>+ de 15 ans</v>
      </c>
      <c r="AH27" s="772" t="str">
        <f t="shared" si="2"/>
        <v>Age</v>
      </c>
      <c r="AI27" s="786" t="s">
        <v>443</v>
      </c>
      <c r="AJ27" s="786" t="s">
        <v>442</v>
      </c>
      <c r="AK27" s="786" t="s">
        <v>615</v>
      </c>
      <c r="AL27" s="786" t="s">
        <v>617</v>
      </c>
      <c r="AM27" s="786" t="s">
        <v>618</v>
      </c>
      <c r="AN27" s="786" t="s">
        <v>616</v>
      </c>
      <c r="AO27" s="786"/>
      <c r="AP27" s="786" t="s">
        <v>606</v>
      </c>
      <c r="AQ27" s="786" t="s">
        <v>37</v>
      </c>
    </row>
    <row r="28" spans="1:43" x14ac:dyDescent="0.2">
      <c r="A28" s="772" t="s">
        <v>656</v>
      </c>
      <c r="B28" s="772">
        <f t="shared" si="3"/>
        <v>20</v>
      </c>
      <c r="C28" s="771" t="str">
        <f t="shared" si="4"/>
        <v>Coverage20</v>
      </c>
      <c r="D28" s="798" t="s">
        <v>440</v>
      </c>
      <c r="E28" s="798" t="s">
        <v>448</v>
      </c>
      <c r="F28" s="798" t="s">
        <v>620</v>
      </c>
      <c r="G28" s="798" t="s">
        <v>616</v>
      </c>
      <c r="H28" s="799">
        <v>2</v>
      </c>
      <c r="I28" s="799">
        <v>0</v>
      </c>
      <c r="J28" s="798" t="s">
        <v>600</v>
      </c>
      <c r="K28" s="798" t="s">
        <v>225</v>
      </c>
      <c r="L28" s="798"/>
      <c r="M28" s="798"/>
      <c r="N28" s="791">
        <f>IFERROR(IF(INDEX(Disaggregation_1B!M$11:M$150,MATCH($C28,Disaggregation_1B!B$11:B$150,0))="","",INDEX(Disaggregation_1B!M$11:M$150,MATCH($C28,Disaggregation_1B!B$11:B$150,0))),"")</f>
        <v>1</v>
      </c>
      <c r="O28" s="785" t="str">
        <f>IFERROR(IF(INDEX(Disaggregation_1B!N$11:N$150,MATCH($C28,Disaggregation_1B!B$11:B$150,0))="","",INDEX(Disaggregation_1B!N$11:N$150,MATCH($C28,Disaggregation_1B!B$11:B$150,0))),"")</f>
        <v/>
      </c>
      <c r="P28" s="800" t="str">
        <f>IFERROR(IF(INDEX(Disaggregation_1B!O$11:O$150,MATCH($C28,Disaggregation_1B!B$11:B$150,0))="","",INDEX(Disaggregation_1B!O$11:O$150,MATCH($C28,Disaggregation_1B!B$11:B$150,0))),"")</f>
        <v/>
      </c>
      <c r="Q28" s="786" t="str">
        <f>IFERROR(IF(INDEX(Disaggregation_1B!P$11:P$150,MATCH($C28,Disaggregation_1B!B$11:B$150,0))="","",INDEX(Disaggregation_1B!P$11:P$150,MATCH($C28,Disaggregation_1B!B$11:B$150,0))),"")</f>
        <v>R&amp;R TB system, quarterly reports</v>
      </c>
      <c r="R28" s="786" t="str">
        <f>IFERROR(IF(INDEX(Disaggregation_1B!Q$11:Q$150,MATCH($C28,Disaggregation_1B!B$11:B$150,0))="","",INDEX(Disaggregation_1B!Q$11:Q$150,MATCH($C28,Disaggregation_1B!B$11:B$150,0))),"")</f>
        <v>Tous les 35 patients TB/MR enregistrés au cours du second semestre 2019, ont été mis sous  Régime court de traitement TB/MR y compris celui âgé de moins de 15 ans</v>
      </c>
      <c r="S28" s="772">
        <f>INDEX(Disaggregation_1B!R$11:R$150,MATCH($C28,'Disaggregation1B_Import-Export'!$C$8:$C$239,0))</f>
        <v>0</v>
      </c>
      <c r="T28" s="791" t="str">
        <f>IFERROR(IF(INDEX(Disaggregation_1B!S$11:S$150,MATCH($C28,Disaggregation_1B!B$11:B$150,0))="","",INDEX(Disaggregation_1B!S$11:S$150,MATCH($C28,Disaggregation_1B!B$11:B$150,0))),"")</f>
        <v/>
      </c>
      <c r="U28" s="785" t="str">
        <f>IFERROR(IF(INDEX(Disaggregation_1B!T$11:T$150,MATCH($C28,Disaggregation_1B!B$11:B$150,0))="","",INDEX(Disaggregation_1B!T$11:T$150,MATCH($C28,Disaggregation_1B!B$11:B$150,0))),"")</f>
        <v/>
      </c>
      <c r="V28" s="800" t="str">
        <f>IFERROR(IF(INDEX(Disaggregation_1B!U$11:U$150,MATCH($C28,Disaggregation_1B!B$11:B$150,0))="","",INDEX(Disaggregation_1B!U$11:U$150,MATCH($C28,Disaggregation_1B!B$11:B$150,0))),"")</f>
        <v/>
      </c>
      <c r="W28" s="786" t="str">
        <f>IFERROR(IF(INDEX(Disaggregation_1B!V$11:V$150,MATCH($C28,Disaggregation_1B!B$11:B$150,0))="","",INDEX(Disaggregation_1B!V$11:V$150,MATCH($C28,Disaggregation_1B!B$11:B$150,0))),"")</f>
        <v/>
      </c>
      <c r="X28" s="786" t="str">
        <f>IFERROR(IF(INDEX(Disaggregation_1B!W$11:W$150,MATCH($C28,Disaggregation_1B!B$11:B$150,0))="","",INDEX(Disaggregation_1B!W$11:W$150,MATCH($C28,Disaggregation_1B!B$11:B$150,0))),"")</f>
        <v/>
      </c>
      <c r="Y28" s="772">
        <f>INDEX(Disaggregation_1B!X$11:X$150,MATCH($C28,'Disaggregation1B_Import-Export'!$C$8:$C$239,0))</f>
        <v>0</v>
      </c>
      <c r="Z28" s="772"/>
      <c r="AA28" s="772"/>
      <c r="AB28" s="772"/>
      <c r="AC28" s="772">
        <f>INDEX(Disaggregation_1B!AB$11:AB$150,MATCH($C28,'Disaggregation1B_Import-Export'!$C$8:$C$239,0))</f>
        <v>0</v>
      </c>
      <c r="AD28" s="772">
        <f>INDEX(Disaggregation_1B!AC$11:AC$150,MATCH($C28,'Disaggregation1B_Import-Export'!$C$8:$C$239,0))</f>
        <v>0</v>
      </c>
      <c r="AE28" s="785">
        <v>10</v>
      </c>
      <c r="AF28" s="772" t="str">
        <f t="shared" si="0"/>
        <v>MDR TB-3(M): Nombre de cas de tuberculose résistante à la rifampicine et/ou tuberculose multirésistante qui ont commencé un traitement de deuxième intention</v>
      </c>
      <c r="AG28" s="772" t="str">
        <f t="shared" si="1"/>
        <v>&lt;15 ans</v>
      </c>
      <c r="AH28" s="772" t="str">
        <f t="shared" si="2"/>
        <v>Age</v>
      </c>
      <c r="AI28" s="786" t="s">
        <v>450</v>
      </c>
      <c r="AJ28" s="786" t="s">
        <v>449</v>
      </c>
      <c r="AK28" s="786" t="s">
        <v>621</v>
      </c>
      <c r="AL28" s="786" t="s">
        <v>622</v>
      </c>
      <c r="AM28" s="786" t="s">
        <v>618</v>
      </c>
      <c r="AN28" s="786" t="s">
        <v>616</v>
      </c>
      <c r="AO28" s="786"/>
      <c r="AP28" s="786" t="s">
        <v>606</v>
      </c>
      <c r="AQ28" s="786" t="s">
        <v>37</v>
      </c>
    </row>
    <row r="29" spans="1:43" x14ac:dyDescent="0.2">
      <c r="A29" s="772" t="s">
        <v>657</v>
      </c>
      <c r="B29" s="772">
        <f t="shared" si="3"/>
        <v>21</v>
      </c>
      <c r="C29" s="771" t="str">
        <f t="shared" si="4"/>
        <v>Coverage21</v>
      </c>
      <c r="D29" s="798" t="s">
        <v>440</v>
      </c>
      <c r="E29" s="798" t="s">
        <v>448</v>
      </c>
      <c r="F29" s="798" t="s">
        <v>598</v>
      </c>
      <c r="G29" s="798" t="s">
        <v>599</v>
      </c>
      <c r="H29" s="799">
        <v>27</v>
      </c>
      <c r="I29" s="799">
        <v>0</v>
      </c>
      <c r="J29" s="798" t="s">
        <v>600</v>
      </c>
      <c r="K29" s="798" t="s">
        <v>225</v>
      </c>
      <c r="L29" s="798"/>
      <c r="M29" s="798"/>
      <c r="N29" s="791">
        <f>IFERROR(IF(INDEX(Disaggregation_1B!M$11:M$150,MATCH($C29,Disaggregation_1B!B$11:B$150,0))="","",INDEX(Disaggregation_1B!M$11:M$150,MATCH($C29,Disaggregation_1B!B$11:B$150,0))),"")</f>
        <v>8</v>
      </c>
      <c r="O29" s="785" t="str">
        <f>IFERROR(IF(INDEX(Disaggregation_1B!N$11:N$150,MATCH($C29,Disaggregation_1B!B$11:B$150,0))="","",INDEX(Disaggregation_1B!N$11:N$150,MATCH($C29,Disaggregation_1B!B$11:B$150,0))),"")</f>
        <v/>
      </c>
      <c r="P29" s="800" t="str">
        <f>IFERROR(IF(INDEX(Disaggregation_1B!O$11:O$150,MATCH($C29,Disaggregation_1B!B$11:B$150,0))="","",INDEX(Disaggregation_1B!O$11:O$150,MATCH($C29,Disaggregation_1B!B$11:B$150,0))),"")</f>
        <v/>
      </c>
      <c r="Q29" s="786" t="str">
        <f>IFERROR(IF(INDEX(Disaggregation_1B!P$11:P$150,MATCH($C29,Disaggregation_1B!B$11:B$150,0))="","",INDEX(Disaggregation_1B!P$11:P$150,MATCH($C29,Disaggregation_1B!B$11:B$150,0))),"")</f>
        <v>R&amp;R TB system, quarterly reports</v>
      </c>
      <c r="R29" s="786" t="str">
        <f>IFERROR(IF(INDEX(Disaggregation_1B!Q$11:Q$150,MATCH($C29,Disaggregation_1B!B$11:B$150,0))="","",INDEX(Disaggregation_1B!Q$11:Q$150,MATCH($C29,Disaggregation_1B!B$11:B$150,0))),"")</f>
        <v>Au cours du second semestre 2019, parmi les 35 cas traités pour TB MR, 8 sont de sexe féminin</v>
      </c>
      <c r="S29" s="772">
        <f>INDEX(Disaggregation_1B!R$11:R$150,MATCH($C29,'Disaggregation1B_Import-Export'!$C$8:$C$239,0))</f>
        <v>0</v>
      </c>
      <c r="T29" s="791" t="str">
        <f>IFERROR(IF(INDEX(Disaggregation_1B!S$11:S$150,MATCH($C29,Disaggregation_1B!B$11:B$150,0))="","",INDEX(Disaggregation_1B!S$11:S$150,MATCH($C29,Disaggregation_1B!B$11:B$150,0))),"")</f>
        <v/>
      </c>
      <c r="U29" s="785" t="str">
        <f>IFERROR(IF(INDEX(Disaggregation_1B!T$11:T$150,MATCH($C29,Disaggregation_1B!B$11:B$150,0))="","",INDEX(Disaggregation_1B!T$11:T$150,MATCH($C29,Disaggregation_1B!B$11:B$150,0))),"")</f>
        <v/>
      </c>
      <c r="V29" s="800" t="str">
        <f>IFERROR(IF(INDEX(Disaggregation_1B!U$11:U$150,MATCH($C29,Disaggregation_1B!B$11:B$150,0))="","",INDEX(Disaggregation_1B!U$11:U$150,MATCH($C29,Disaggregation_1B!B$11:B$150,0))),"")</f>
        <v/>
      </c>
      <c r="W29" s="786" t="str">
        <f>IFERROR(IF(INDEX(Disaggregation_1B!V$11:V$150,MATCH($C29,Disaggregation_1B!B$11:B$150,0))="","",INDEX(Disaggregation_1B!V$11:V$150,MATCH($C29,Disaggregation_1B!B$11:B$150,0))),"")</f>
        <v/>
      </c>
      <c r="X29" s="786" t="str">
        <f>IFERROR(IF(INDEX(Disaggregation_1B!W$11:W$150,MATCH($C29,Disaggregation_1B!B$11:B$150,0))="","",INDEX(Disaggregation_1B!W$11:W$150,MATCH($C29,Disaggregation_1B!B$11:B$150,0))),"")</f>
        <v/>
      </c>
      <c r="Y29" s="772">
        <f>INDEX(Disaggregation_1B!X$11:X$150,MATCH($C29,'Disaggregation1B_Import-Export'!$C$8:$C$239,0))</f>
        <v>0</v>
      </c>
      <c r="Z29" s="772"/>
      <c r="AA29" s="772"/>
      <c r="AB29" s="772"/>
      <c r="AC29" s="772">
        <f>INDEX(Disaggregation_1B!AB$11:AB$150,MATCH($C29,'Disaggregation1B_Import-Export'!$C$8:$C$239,0))</f>
        <v>0</v>
      </c>
      <c r="AD29" s="772">
        <f>INDEX(Disaggregation_1B!AC$11:AC$150,MATCH($C29,'Disaggregation1B_Import-Export'!$C$8:$C$239,0))</f>
        <v>0</v>
      </c>
      <c r="AE29" s="785">
        <v>10</v>
      </c>
      <c r="AF29" s="772" t="str">
        <f t="shared" si="0"/>
        <v>MDR TB-3(M): Nombre de cas de tuberculose résistante à la rifampicine et/ou tuberculose multirésistante qui ont commencé un traitement de deuxième intention</v>
      </c>
      <c r="AG29" s="772" t="str">
        <f t="shared" si="1"/>
        <v>Femme</v>
      </c>
      <c r="AH29" s="772" t="str">
        <f t="shared" si="2"/>
        <v>Sexe</v>
      </c>
      <c r="AI29" s="786" t="s">
        <v>450</v>
      </c>
      <c r="AJ29" s="786" t="s">
        <v>449</v>
      </c>
      <c r="AK29" s="786" t="s">
        <v>602</v>
      </c>
      <c r="AL29" s="786" t="s">
        <v>603</v>
      </c>
      <c r="AM29" s="786" t="s">
        <v>604</v>
      </c>
      <c r="AN29" s="786" t="s">
        <v>605</v>
      </c>
      <c r="AO29" s="786"/>
      <c r="AP29" s="786" t="s">
        <v>606</v>
      </c>
      <c r="AQ29" s="786" t="s">
        <v>37</v>
      </c>
    </row>
    <row r="30" spans="1:43" x14ac:dyDescent="0.2">
      <c r="A30" s="772" t="s">
        <v>658</v>
      </c>
      <c r="B30" s="772">
        <f t="shared" si="3"/>
        <v>22</v>
      </c>
      <c r="C30" s="771" t="str">
        <f t="shared" si="4"/>
        <v>Coverage22</v>
      </c>
      <c r="D30" s="798" t="s">
        <v>440</v>
      </c>
      <c r="E30" s="798" t="s">
        <v>448</v>
      </c>
      <c r="F30" s="798" t="s">
        <v>639</v>
      </c>
      <c r="G30" s="798" t="s">
        <v>599</v>
      </c>
      <c r="H30" s="799">
        <v>53</v>
      </c>
      <c r="I30" s="799">
        <v>0</v>
      </c>
      <c r="J30" s="798" t="s">
        <v>600</v>
      </c>
      <c r="K30" s="798" t="s">
        <v>225</v>
      </c>
      <c r="L30" s="798"/>
      <c r="M30" s="798"/>
      <c r="N30" s="791">
        <f>IFERROR(IF(INDEX(Disaggregation_1B!M$11:M$150,MATCH($C30,Disaggregation_1B!B$11:B$150,0))="","",INDEX(Disaggregation_1B!M$11:M$150,MATCH($C30,Disaggregation_1B!B$11:B$150,0))),"")</f>
        <v>27</v>
      </c>
      <c r="O30" s="785" t="str">
        <f>IFERROR(IF(INDEX(Disaggregation_1B!N$11:N$150,MATCH($C30,Disaggregation_1B!B$11:B$150,0))="","",INDEX(Disaggregation_1B!N$11:N$150,MATCH($C30,Disaggregation_1B!B$11:B$150,0))),"")</f>
        <v/>
      </c>
      <c r="P30" s="800" t="str">
        <f>IFERROR(IF(INDEX(Disaggregation_1B!O$11:O$150,MATCH($C30,Disaggregation_1B!B$11:B$150,0))="","",INDEX(Disaggregation_1B!O$11:O$150,MATCH($C30,Disaggregation_1B!B$11:B$150,0))),"")</f>
        <v/>
      </c>
      <c r="Q30" s="786" t="str">
        <f>IFERROR(IF(INDEX(Disaggregation_1B!P$11:P$150,MATCH($C30,Disaggregation_1B!B$11:B$150,0))="","",INDEX(Disaggregation_1B!P$11:P$150,MATCH($C30,Disaggregation_1B!B$11:B$150,0))),"")</f>
        <v>R&amp;R TB system, yearly management report </v>
      </c>
      <c r="R30" s="786" t="str">
        <f>IFERROR(IF(INDEX(Disaggregation_1B!Q$11:Q$150,MATCH($C30,Disaggregation_1B!B$11:B$150,0))="","",INDEX(Disaggregation_1B!Q$11:Q$150,MATCH($C30,Disaggregation_1B!B$11:B$150,0))),"")</f>
        <v>Au cours du second semestre 2019, parmi les 35 cas traités pour TB MR, 27 sont de sexe masculin</v>
      </c>
      <c r="S30" s="772">
        <f>INDEX(Disaggregation_1B!R$11:R$150,MATCH($C30,'Disaggregation1B_Import-Export'!$C$8:$C$239,0))</f>
        <v>0</v>
      </c>
      <c r="T30" s="791" t="str">
        <f>IFERROR(IF(INDEX(Disaggregation_1B!S$11:S$150,MATCH($C30,Disaggregation_1B!B$11:B$150,0))="","",INDEX(Disaggregation_1B!S$11:S$150,MATCH($C30,Disaggregation_1B!B$11:B$150,0))),"")</f>
        <v/>
      </c>
      <c r="U30" s="785" t="str">
        <f>IFERROR(IF(INDEX(Disaggregation_1B!T$11:T$150,MATCH($C30,Disaggregation_1B!B$11:B$150,0))="","",INDEX(Disaggregation_1B!T$11:T$150,MATCH($C30,Disaggregation_1B!B$11:B$150,0))),"")</f>
        <v/>
      </c>
      <c r="V30" s="800" t="str">
        <f>IFERROR(IF(INDEX(Disaggregation_1B!U$11:U$150,MATCH($C30,Disaggregation_1B!B$11:B$150,0))="","",INDEX(Disaggregation_1B!U$11:U$150,MATCH($C30,Disaggregation_1B!B$11:B$150,0))),"")</f>
        <v/>
      </c>
      <c r="W30" s="786" t="str">
        <f>IFERROR(IF(INDEX(Disaggregation_1B!V$11:V$150,MATCH($C30,Disaggregation_1B!B$11:B$150,0))="","",INDEX(Disaggregation_1B!V$11:V$150,MATCH($C30,Disaggregation_1B!B$11:B$150,0))),"")</f>
        <v/>
      </c>
      <c r="X30" s="786" t="str">
        <f>IFERROR(IF(INDEX(Disaggregation_1B!W$11:W$150,MATCH($C30,Disaggregation_1B!B$11:B$150,0))="","",INDEX(Disaggregation_1B!W$11:W$150,MATCH($C30,Disaggregation_1B!B$11:B$150,0))),"")</f>
        <v/>
      </c>
      <c r="Y30" s="772">
        <f>INDEX(Disaggregation_1B!X$11:X$150,MATCH($C30,'Disaggregation1B_Import-Export'!$C$8:$C$239,0))</f>
        <v>0</v>
      </c>
      <c r="Z30" s="772"/>
      <c r="AA30" s="772"/>
      <c r="AB30" s="772"/>
      <c r="AC30" s="772">
        <f>INDEX(Disaggregation_1B!AB$11:AB$150,MATCH($C30,'Disaggregation1B_Import-Export'!$C$8:$C$239,0))</f>
        <v>0</v>
      </c>
      <c r="AD30" s="772">
        <f>INDEX(Disaggregation_1B!AC$11:AC$150,MATCH($C30,'Disaggregation1B_Import-Export'!$C$8:$C$239,0))</f>
        <v>0</v>
      </c>
      <c r="AE30" s="785">
        <v>10</v>
      </c>
      <c r="AF30" s="772" t="str">
        <f t="shared" si="0"/>
        <v>MDR TB-3(M): Nombre de cas de tuberculose résistante à la rifampicine et/ou tuberculose multirésistante qui ont commencé un traitement de deuxième intention</v>
      </c>
      <c r="AG30" s="772" t="str">
        <f t="shared" si="1"/>
        <v>Homme</v>
      </c>
      <c r="AH30" s="772" t="str">
        <f t="shared" si="2"/>
        <v>Sexe</v>
      </c>
      <c r="AI30" s="786" t="s">
        <v>450</v>
      </c>
      <c r="AJ30" s="786" t="s">
        <v>449</v>
      </c>
      <c r="AK30" s="786" t="s">
        <v>640</v>
      </c>
      <c r="AL30" s="786" t="s">
        <v>641</v>
      </c>
      <c r="AM30" s="786" t="s">
        <v>604</v>
      </c>
      <c r="AN30" s="786" t="s">
        <v>605</v>
      </c>
      <c r="AO30" s="786"/>
      <c r="AP30" s="786" t="s">
        <v>606</v>
      </c>
      <c r="AQ30" s="786" t="s">
        <v>37</v>
      </c>
    </row>
    <row r="31" spans="1:43" x14ac:dyDescent="0.2">
      <c r="A31" s="772" t="s">
        <v>659</v>
      </c>
      <c r="B31" s="772">
        <f t="shared" si="3"/>
        <v>23</v>
      </c>
      <c r="C31" s="771" t="str">
        <f t="shared" si="4"/>
        <v>Coverage23</v>
      </c>
      <c r="D31" s="798" t="s">
        <v>440</v>
      </c>
      <c r="E31" s="798" t="s">
        <v>448</v>
      </c>
      <c r="F31" s="798" t="s">
        <v>615</v>
      </c>
      <c r="G31" s="798" t="s">
        <v>616</v>
      </c>
      <c r="H31" s="799">
        <v>78</v>
      </c>
      <c r="I31" s="799">
        <v>0</v>
      </c>
      <c r="J31" s="798" t="s">
        <v>600</v>
      </c>
      <c r="K31" s="798" t="s">
        <v>225</v>
      </c>
      <c r="L31" s="798"/>
      <c r="M31" s="798"/>
      <c r="N31" s="791">
        <f>IFERROR(IF(INDEX(Disaggregation_1B!M$11:M$150,MATCH($C31,Disaggregation_1B!B$11:B$150,0))="","",INDEX(Disaggregation_1B!M$11:M$150,MATCH($C31,Disaggregation_1B!B$11:B$150,0))),"")</f>
        <v>34</v>
      </c>
      <c r="O31" s="785" t="str">
        <f>IFERROR(IF(INDEX(Disaggregation_1B!N$11:N$150,MATCH($C31,Disaggregation_1B!B$11:B$150,0))="","",INDEX(Disaggregation_1B!N$11:N$150,MATCH($C31,Disaggregation_1B!B$11:B$150,0))),"")</f>
        <v/>
      </c>
      <c r="P31" s="800" t="str">
        <f>IFERROR(IF(INDEX(Disaggregation_1B!O$11:O$150,MATCH($C31,Disaggregation_1B!B$11:B$150,0))="","",INDEX(Disaggregation_1B!O$11:O$150,MATCH($C31,Disaggregation_1B!B$11:B$150,0))),"")</f>
        <v/>
      </c>
      <c r="Q31" s="786" t="str">
        <f>IFERROR(IF(INDEX(Disaggregation_1B!P$11:P$150,MATCH($C31,Disaggregation_1B!B$11:B$150,0))="","",INDEX(Disaggregation_1B!P$11:P$150,MATCH($C31,Disaggregation_1B!B$11:B$150,0))),"")</f>
        <v>R&amp;R TB system, quarterly reports</v>
      </c>
      <c r="R31" s="786" t="str">
        <f>IFERROR(IF(INDEX(Disaggregation_1B!Q$11:Q$150,MATCH($C31,Disaggregation_1B!B$11:B$150,0))="","",INDEX(Disaggregation_1B!Q$11:Q$150,MATCH($C31,Disaggregation_1B!B$11:B$150,0))),"")</f>
        <v>Tous les 35 patients TB/MR enregistrés au cours du second semestre 2019, ont été mis sous  Régime court de traitement TB/MR y compris celui âgé de moins de 15 ans</v>
      </c>
      <c r="S31" s="772">
        <f>INDEX(Disaggregation_1B!R$11:R$150,MATCH($C31,'Disaggregation1B_Import-Export'!$C$8:$C$239,0))</f>
        <v>0</v>
      </c>
      <c r="T31" s="791" t="str">
        <f>IFERROR(IF(INDEX(Disaggregation_1B!S$11:S$150,MATCH($C31,Disaggregation_1B!B$11:B$150,0))="","",INDEX(Disaggregation_1B!S$11:S$150,MATCH($C31,Disaggregation_1B!B$11:B$150,0))),"")</f>
        <v/>
      </c>
      <c r="U31" s="785" t="str">
        <f>IFERROR(IF(INDEX(Disaggregation_1B!T$11:T$150,MATCH($C31,Disaggregation_1B!B$11:B$150,0))="","",INDEX(Disaggregation_1B!T$11:T$150,MATCH($C31,Disaggregation_1B!B$11:B$150,0))),"")</f>
        <v/>
      </c>
      <c r="V31" s="800" t="str">
        <f>IFERROR(IF(INDEX(Disaggregation_1B!U$11:U$150,MATCH($C31,Disaggregation_1B!B$11:B$150,0))="","",INDEX(Disaggregation_1B!U$11:U$150,MATCH($C31,Disaggregation_1B!B$11:B$150,0))),"")</f>
        <v/>
      </c>
      <c r="W31" s="786" t="str">
        <f>IFERROR(IF(INDEX(Disaggregation_1B!V$11:V$150,MATCH($C31,Disaggregation_1B!B$11:B$150,0))="","",INDEX(Disaggregation_1B!V$11:V$150,MATCH($C31,Disaggregation_1B!B$11:B$150,0))),"")</f>
        <v/>
      </c>
      <c r="X31" s="786" t="str">
        <f>IFERROR(IF(INDEX(Disaggregation_1B!W$11:W$150,MATCH($C31,Disaggregation_1B!B$11:B$150,0))="","",INDEX(Disaggregation_1B!W$11:W$150,MATCH($C31,Disaggregation_1B!B$11:B$150,0))),"")</f>
        <v/>
      </c>
      <c r="Y31" s="772">
        <f>INDEX(Disaggregation_1B!X$11:X$150,MATCH($C31,'Disaggregation1B_Import-Export'!$C$8:$C$239,0))</f>
        <v>0</v>
      </c>
      <c r="Z31" s="772"/>
      <c r="AA31" s="772"/>
      <c r="AB31" s="772"/>
      <c r="AC31" s="772">
        <f>INDEX(Disaggregation_1B!AB$11:AB$150,MATCH($C31,'Disaggregation1B_Import-Export'!$C$8:$C$239,0))</f>
        <v>0</v>
      </c>
      <c r="AD31" s="772">
        <f>INDEX(Disaggregation_1B!AC$11:AC$150,MATCH($C31,'Disaggregation1B_Import-Export'!$C$8:$C$239,0))</f>
        <v>0</v>
      </c>
      <c r="AE31" s="785">
        <v>10</v>
      </c>
      <c r="AF31" s="772" t="str">
        <f t="shared" si="0"/>
        <v>MDR TB-3(M): Nombre de cas de tuberculose résistante à la rifampicine et/ou tuberculose multirésistante qui ont commencé un traitement de deuxième intention</v>
      </c>
      <c r="AG31" s="772" t="str">
        <f t="shared" si="1"/>
        <v>+ de 15 ans</v>
      </c>
      <c r="AH31" s="772" t="str">
        <f t="shared" si="2"/>
        <v>Age</v>
      </c>
      <c r="AI31" s="786" t="s">
        <v>450</v>
      </c>
      <c r="AJ31" s="786" t="s">
        <v>449</v>
      </c>
      <c r="AK31" s="786" t="s">
        <v>615</v>
      </c>
      <c r="AL31" s="786" t="s">
        <v>617</v>
      </c>
      <c r="AM31" s="786" t="s">
        <v>618</v>
      </c>
      <c r="AN31" s="786" t="s">
        <v>616</v>
      </c>
      <c r="AO31" s="786"/>
      <c r="AP31" s="786" t="s">
        <v>606</v>
      </c>
      <c r="AQ31" s="786" t="s">
        <v>37</v>
      </c>
    </row>
    <row r="32" spans="1:43" x14ac:dyDescent="0.2">
      <c r="A32" s="772" t="s">
        <v>660</v>
      </c>
      <c r="B32" s="772">
        <f t="shared" si="3"/>
        <v>24</v>
      </c>
      <c r="C32" s="771" t="str">
        <f t="shared" si="4"/>
        <v>Coverage24</v>
      </c>
      <c r="D32" s="798" t="s">
        <v>440</v>
      </c>
      <c r="E32" s="798" t="s">
        <v>448</v>
      </c>
      <c r="F32" s="798" t="s">
        <v>661</v>
      </c>
      <c r="G32" s="798" t="s">
        <v>662</v>
      </c>
      <c r="H32" s="799">
        <v>0</v>
      </c>
      <c r="I32" s="799">
        <v>0</v>
      </c>
      <c r="J32" s="798" t="s">
        <v>600</v>
      </c>
      <c r="K32" s="798" t="s">
        <v>225</v>
      </c>
      <c r="L32" s="798"/>
      <c r="M32" s="798"/>
      <c r="N32" s="791">
        <f>IFERROR(IF(INDEX(Disaggregation_1B!M$11:M$150,MATCH($C32,Disaggregation_1B!B$11:B$150,0))="","",INDEX(Disaggregation_1B!M$11:M$150,MATCH($C32,Disaggregation_1B!B$11:B$150,0))),"")</f>
        <v>0</v>
      </c>
      <c r="O32" s="785" t="str">
        <f>IFERROR(IF(INDEX(Disaggregation_1B!N$11:N$150,MATCH($C32,Disaggregation_1B!B$11:B$150,0))="","",INDEX(Disaggregation_1B!N$11:N$150,MATCH($C32,Disaggregation_1B!B$11:B$150,0))),"")</f>
        <v/>
      </c>
      <c r="P32" s="800" t="str">
        <f>IFERROR(IF(INDEX(Disaggregation_1B!O$11:O$150,MATCH($C32,Disaggregation_1B!B$11:B$150,0))="","",INDEX(Disaggregation_1B!O$11:O$150,MATCH($C32,Disaggregation_1B!B$11:B$150,0))),"")</f>
        <v/>
      </c>
      <c r="Q32" s="786" t="str">
        <f>IFERROR(IF(INDEX(Disaggregation_1B!P$11:P$150,MATCH($C32,Disaggregation_1B!B$11:B$150,0))="","",INDEX(Disaggregation_1B!P$11:P$150,MATCH($C32,Disaggregation_1B!B$11:B$150,0))),"")</f>
        <v>R&amp;R TB system, quarterly reports</v>
      </c>
      <c r="R32" s="786" t="str">
        <f>IFERROR(IF(INDEX(Disaggregation_1B!Q$11:Q$150,MATCH($C32,Disaggregation_1B!B$11:B$150,0))="","",INDEX(Disaggregation_1B!Q$11:Q$150,MATCH($C32,Disaggregation_1B!B$11:B$150,0))),"")</f>
        <v>Aucun patient TB/MR n'a été mis  sous le nouveau traitement TB/MR</v>
      </c>
      <c r="S32" s="772">
        <f>INDEX(Disaggregation_1B!R$11:R$150,MATCH($C32,'Disaggregation1B_Import-Export'!$C$8:$C$239,0))</f>
        <v>0</v>
      </c>
      <c r="T32" s="791" t="str">
        <f>IFERROR(IF(INDEX(Disaggregation_1B!S$11:S$150,MATCH($C32,Disaggregation_1B!B$11:B$150,0))="","",INDEX(Disaggregation_1B!S$11:S$150,MATCH($C32,Disaggregation_1B!B$11:B$150,0))),"")</f>
        <v/>
      </c>
      <c r="U32" s="785" t="str">
        <f>IFERROR(IF(INDEX(Disaggregation_1B!T$11:T$150,MATCH($C32,Disaggregation_1B!B$11:B$150,0))="","",INDEX(Disaggregation_1B!T$11:T$150,MATCH($C32,Disaggregation_1B!B$11:B$150,0))),"")</f>
        <v/>
      </c>
      <c r="V32" s="800" t="str">
        <f>IFERROR(IF(INDEX(Disaggregation_1B!U$11:U$150,MATCH($C32,Disaggregation_1B!B$11:B$150,0))="","",INDEX(Disaggregation_1B!U$11:U$150,MATCH($C32,Disaggregation_1B!B$11:B$150,0))),"")</f>
        <v/>
      </c>
      <c r="W32" s="786" t="str">
        <f>IFERROR(IF(INDEX(Disaggregation_1B!V$11:V$150,MATCH($C32,Disaggregation_1B!B$11:B$150,0))="","",INDEX(Disaggregation_1B!V$11:V$150,MATCH($C32,Disaggregation_1B!B$11:B$150,0))),"")</f>
        <v/>
      </c>
      <c r="X32" s="786" t="str">
        <f>IFERROR(IF(INDEX(Disaggregation_1B!W$11:W$150,MATCH($C32,Disaggregation_1B!B$11:B$150,0))="","",INDEX(Disaggregation_1B!W$11:W$150,MATCH($C32,Disaggregation_1B!B$11:B$150,0))),"")</f>
        <v/>
      </c>
      <c r="Y32" s="772">
        <f>INDEX(Disaggregation_1B!X$11:X$150,MATCH($C32,'Disaggregation1B_Import-Export'!$C$8:$C$239,0))</f>
        <v>0</v>
      </c>
      <c r="Z32" s="772"/>
      <c r="AA32" s="772"/>
      <c r="AB32" s="772"/>
      <c r="AC32" s="772">
        <f>INDEX(Disaggregation_1B!AB$11:AB$150,MATCH($C32,'Disaggregation1B_Import-Export'!$C$8:$C$239,0))</f>
        <v>0</v>
      </c>
      <c r="AD32" s="772">
        <f>INDEX(Disaggregation_1B!AC$11:AC$150,MATCH($C32,'Disaggregation1B_Import-Export'!$C$8:$C$239,0))</f>
        <v>0</v>
      </c>
      <c r="AE32" s="785">
        <v>10</v>
      </c>
      <c r="AF32" s="772" t="str">
        <f t="shared" si="0"/>
        <v>MDR TB-3(M): Nombre de cas de tuberculose résistante à la rifampicine et/ou tuberculose multirésistante qui ont commencé un traitement de deuxième intention</v>
      </c>
      <c r="AG32" s="772" t="str">
        <f t="shared" si="1"/>
        <v>Nouveau traitement TB</v>
      </c>
      <c r="AH32" s="772" t="str">
        <f t="shared" si="2"/>
        <v>Schéma thérapeutique</v>
      </c>
      <c r="AI32" s="786" t="s">
        <v>450</v>
      </c>
      <c r="AJ32" s="786" t="s">
        <v>449</v>
      </c>
      <c r="AK32" s="786" t="s">
        <v>663</v>
      </c>
      <c r="AL32" s="786" t="s">
        <v>664</v>
      </c>
      <c r="AM32" s="786" t="s">
        <v>665</v>
      </c>
      <c r="AN32" s="786" t="s">
        <v>666</v>
      </c>
      <c r="AO32" s="786"/>
      <c r="AP32" s="786" t="s">
        <v>606</v>
      </c>
      <c r="AQ32" s="786" t="s">
        <v>37</v>
      </c>
    </row>
    <row r="33" spans="1:43" x14ac:dyDescent="0.2">
      <c r="A33" s="772" t="s">
        <v>667</v>
      </c>
      <c r="B33" s="772">
        <f t="shared" si="3"/>
        <v>25</v>
      </c>
      <c r="C33" s="771" t="str">
        <f t="shared" si="4"/>
        <v>Coverage25</v>
      </c>
      <c r="D33" s="798" t="s">
        <v>440</v>
      </c>
      <c r="E33" s="798" t="s">
        <v>448</v>
      </c>
      <c r="F33" s="798" t="s">
        <v>668</v>
      </c>
      <c r="G33" s="798" t="s">
        <v>662</v>
      </c>
      <c r="H33" s="799">
        <v>80</v>
      </c>
      <c r="I33" s="799">
        <v>0</v>
      </c>
      <c r="J33" s="798" t="s">
        <v>600</v>
      </c>
      <c r="K33" s="798" t="s">
        <v>225</v>
      </c>
      <c r="L33" s="798"/>
      <c r="M33" s="798"/>
      <c r="N33" s="791">
        <f>IFERROR(IF(INDEX(Disaggregation_1B!M$11:M$150,MATCH($C33,Disaggregation_1B!B$11:B$150,0))="","",INDEX(Disaggregation_1B!M$11:M$150,MATCH($C33,Disaggregation_1B!B$11:B$150,0))),"")</f>
        <v>35</v>
      </c>
      <c r="O33" s="785" t="str">
        <f>IFERROR(IF(INDEX(Disaggregation_1B!N$11:N$150,MATCH($C33,Disaggregation_1B!B$11:B$150,0))="","",INDEX(Disaggregation_1B!N$11:N$150,MATCH($C33,Disaggregation_1B!B$11:B$150,0))),"")</f>
        <v/>
      </c>
      <c r="P33" s="800" t="str">
        <f>IFERROR(IF(INDEX(Disaggregation_1B!O$11:O$150,MATCH($C33,Disaggregation_1B!B$11:B$150,0))="","",INDEX(Disaggregation_1B!O$11:O$150,MATCH($C33,Disaggregation_1B!B$11:B$150,0))),"")</f>
        <v/>
      </c>
      <c r="Q33" s="786" t="str">
        <f>IFERROR(IF(INDEX(Disaggregation_1B!P$11:P$150,MATCH($C33,Disaggregation_1B!B$11:B$150,0))="","",INDEX(Disaggregation_1B!P$11:P$150,MATCH($C33,Disaggregation_1B!B$11:B$150,0))),"")</f>
        <v>R&amp;R TB system, quarterly reports</v>
      </c>
      <c r="R33" s="786" t="str">
        <f>IFERROR(IF(INDEX(Disaggregation_1B!Q$11:Q$150,MATCH($C33,Disaggregation_1B!B$11:B$150,0))="","",INDEX(Disaggregation_1B!Q$11:Q$150,MATCH($C33,Disaggregation_1B!B$11:B$150,0))),"")</f>
        <v xml:space="preserve">Tous les 35 cas TBMR enregistrés au second semestre 2019, ont été mis sous régime court de traitement </v>
      </c>
      <c r="S33" s="772">
        <f>INDEX(Disaggregation_1B!R$11:R$150,MATCH($C33,'Disaggregation1B_Import-Export'!$C$8:$C$239,0))</f>
        <v>0</v>
      </c>
      <c r="T33" s="791" t="str">
        <f>IFERROR(IF(INDEX(Disaggregation_1B!S$11:S$150,MATCH($C33,Disaggregation_1B!B$11:B$150,0))="","",INDEX(Disaggregation_1B!S$11:S$150,MATCH($C33,Disaggregation_1B!B$11:B$150,0))),"")</f>
        <v/>
      </c>
      <c r="U33" s="785" t="str">
        <f>IFERROR(IF(INDEX(Disaggregation_1B!T$11:T$150,MATCH($C33,Disaggregation_1B!B$11:B$150,0))="","",INDEX(Disaggregation_1B!T$11:T$150,MATCH($C33,Disaggregation_1B!B$11:B$150,0))),"")</f>
        <v/>
      </c>
      <c r="V33" s="800" t="str">
        <f>IFERROR(IF(INDEX(Disaggregation_1B!U$11:U$150,MATCH($C33,Disaggregation_1B!B$11:B$150,0))="","",INDEX(Disaggregation_1B!U$11:U$150,MATCH($C33,Disaggregation_1B!B$11:B$150,0))),"")</f>
        <v/>
      </c>
      <c r="W33" s="786" t="str">
        <f>IFERROR(IF(INDEX(Disaggregation_1B!V$11:V$150,MATCH($C33,Disaggregation_1B!B$11:B$150,0))="","",INDEX(Disaggregation_1B!V$11:V$150,MATCH($C33,Disaggregation_1B!B$11:B$150,0))),"")</f>
        <v/>
      </c>
      <c r="X33" s="786" t="str">
        <f>IFERROR(IF(INDEX(Disaggregation_1B!W$11:W$150,MATCH($C33,Disaggregation_1B!B$11:B$150,0))="","",INDEX(Disaggregation_1B!W$11:W$150,MATCH($C33,Disaggregation_1B!B$11:B$150,0))),"")</f>
        <v/>
      </c>
      <c r="Y33" s="772">
        <f>INDEX(Disaggregation_1B!X$11:X$150,MATCH($C33,'Disaggregation1B_Import-Export'!$C$8:$C$239,0))</f>
        <v>0</v>
      </c>
      <c r="Z33" s="772"/>
      <c r="AA33" s="772"/>
      <c r="AB33" s="772"/>
      <c r="AC33" s="772">
        <f>INDEX(Disaggregation_1B!AB$11:AB$150,MATCH($C33,'Disaggregation1B_Import-Export'!$C$8:$C$239,0))</f>
        <v>0</v>
      </c>
      <c r="AD33" s="772">
        <f>INDEX(Disaggregation_1B!AC$11:AC$150,MATCH($C33,'Disaggregation1B_Import-Export'!$C$8:$C$239,0))</f>
        <v>0</v>
      </c>
      <c r="AE33" s="785">
        <v>10</v>
      </c>
      <c r="AF33" s="772" t="str">
        <f t="shared" si="0"/>
        <v>MDR TB-3(M): Nombre de cas de tuberculose résistante à la rifampicine et/ou tuberculose multirésistante qui ont commencé un traitement de deuxième intention</v>
      </c>
      <c r="AG33" s="772" t="str">
        <f t="shared" si="1"/>
        <v>Régime court</v>
      </c>
      <c r="AH33" s="772" t="str">
        <f t="shared" si="2"/>
        <v>Schéma thérapeutique</v>
      </c>
      <c r="AI33" s="786" t="s">
        <v>450</v>
      </c>
      <c r="AJ33" s="786" t="s">
        <v>449</v>
      </c>
      <c r="AK33" s="786" t="s">
        <v>669</v>
      </c>
      <c r="AL33" s="786" t="s">
        <v>670</v>
      </c>
      <c r="AM33" s="786" t="s">
        <v>665</v>
      </c>
      <c r="AN33" s="786" t="s">
        <v>666</v>
      </c>
      <c r="AO33" s="786"/>
      <c r="AP33" s="786" t="s">
        <v>606</v>
      </c>
      <c r="AQ33" s="786" t="s">
        <v>37</v>
      </c>
    </row>
    <row r="34" spans="1:43" x14ac:dyDescent="0.2">
      <c r="A34" s="772" t="s">
        <v>671</v>
      </c>
      <c r="B34" s="772">
        <f t="shared" si="3"/>
        <v>26</v>
      </c>
      <c r="C34" s="771" t="str">
        <f t="shared" si="4"/>
        <v>Coverage26</v>
      </c>
      <c r="D34" s="798" t="s">
        <v>461</v>
      </c>
      <c r="E34" s="798" t="s">
        <v>462</v>
      </c>
      <c r="F34" s="798" t="s">
        <v>672</v>
      </c>
      <c r="G34" s="798" t="s">
        <v>673</v>
      </c>
      <c r="H34" s="799">
        <v>0</v>
      </c>
      <c r="I34" s="799">
        <v>0</v>
      </c>
      <c r="J34" s="798" t="s">
        <v>600</v>
      </c>
      <c r="K34" s="798"/>
      <c r="L34" s="798"/>
      <c r="M34" s="798" t="s">
        <v>674</v>
      </c>
      <c r="N34" s="791" t="str">
        <f>IFERROR(IF(INDEX(Disaggregation_1B!M$11:M$150,MATCH($C34,Disaggregation_1B!B$11:B$150,0))="","",INDEX(Disaggregation_1B!M$11:M$150,MATCH($C34,Disaggregation_1B!B$11:B$150,0))),"")</f>
        <v/>
      </c>
      <c r="O34" s="785" t="str">
        <f>IFERROR(IF(INDEX(Disaggregation_1B!N$11:N$150,MATCH($C34,Disaggregation_1B!B$11:B$150,0))="","",INDEX(Disaggregation_1B!N$11:N$150,MATCH($C34,Disaggregation_1B!B$11:B$150,0))),"")</f>
        <v/>
      </c>
      <c r="P34" s="800" t="str">
        <f>IFERROR(IF(INDEX(Disaggregation_1B!O$11:O$150,MATCH($C34,Disaggregation_1B!B$11:B$150,0))="","",INDEX(Disaggregation_1B!O$11:O$150,MATCH($C34,Disaggregation_1B!B$11:B$150,0))),"")</f>
        <v/>
      </c>
      <c r="Q34" s="786" t="str">
        <f>IFERROR(IF(INDEX(Disaggregation_1B!P$11:P$150,MATCH($C34,Disaggregation_1B!B$11:B$150,0))="","",INDEX(Disaggregation_1B!P$11:P$150,MATCH($C34,Disaggregation_1B!B$11:B$150,0))),"")</f>
        <v/>
      </c>
      <c r="R34" s="786" t="str">
        <f>IFERROR(IF(INDEX(Disaggregation_1B!Q$11:Q$150,MATCH($C34,Disaggregation_1B!B$11:B$150,0))="","",INDEX(Disaggregation_1B!Q$11:Q$150,MATCH($C34,Disaggregation_1B!B$11:B$150,0))),"")</f>
        <v>Le système d'information sanitaire ne permet pas de renseigner cet indicateur désagrégé par groupe à risque</v>
      </c>
      <c r="S34" s="772">
        <f>INDEX(Disaggregation_1B!R$11:R$150,MATCH($C34,'Disaggregation1B_Import-Export'!$C$8:$C$239,0))</f>
        <v>0</v>
      </c>
      <c r="T34" s="791" t="str">
        <f>IFERROR(IF(INDEX(Disaggregation_1B!S$11:S$150,MATCH($C34,Disaggregation_1B!B$11:B$150,0))="","",INDEX(Disaggregation_1B!S$11:S$150,MATCH($C34,Disaggregation_1B!B$11:B$150,0))),"")</f>
        <v/>
      </c>
      <c r="U34" s="785" t="str">
        <f>IFERROR(IF(INDEX(Disaggregation_1B!T$11:T$150,MATCH($C34,Disaggregation_1B!B$11:B$150,0))="","",INDEX(Disaggregation_1B!T$11:T$150,MATCH($C34,Disaggregation_1B!B$11:B$150,0))),"")</f>
        <v/>
      </c>
      <c r="V34" s="800" t="str">
        <f>IFERROR(IF(INDEX(Disaggregation_1B!U$11:U$150,MATCH($C34,Disaggregation_1B!B$11:B$150,0))="","",INDEX(Disaggregation_1B!U$11:U$150,MATCH($C34,Disaggregation_1B!B$11:B$150,0))),"")</f>
        <v/>
      </c>
      <c r="W34" s="786" t="str">
        <f>IFERROR(IF(INDEX(Disaggregation_1B!V$11:V$150,MATCH($C34,Disaggregation_1B!B$11:B$150,0))="","",INDEX(Disaggregation_1B!V$11:V$150,MATCH($C34,Disaggregation_1B!B$11:B$150,0))),"")</f>
        <v/>
      </c>
      <c r="X34" s="786" t="str">
        <f>IFERROR(IF(INDEX(Disaggregation_1B!W$11:W$150,MATCH($C34,Disaggregation_1B!B$11:B$150,0))="","",INDEX(Disaggregation_1B!W$11:W$150,MATCH($C34,Disaggregation_1B!B$11:B$150,0))),"")</f>
        <v/>
      </c>
      <c r="Y34" s="772">
        <f>INDEX(Disaggregation_1B!X$11:X$150,MATCH($C34,'Disaggregation1B_Import-Export'!$C$8:$C$239,0))</f>
        <v>0</v>
      </c>
      <c r="Z34" s="772"/>
      <c r="AA34" s="772"/>
      <c r="AB34" s="772"/>
      <c r="AC34" s="772">
        <f>INDEX(Disaggregation_1B!AB$11:AB$150,MATCH($C34,'Disaggregation1B_Import-Export'!$C$8:$C$239,0))</f>
        <v>0</v>
      </c>
      <c r="AD34" s="772">
        <f>INDEX(Disaggregation_1B!AC$11:AC$150,MATCH($C34,'Disaggregation1B_Import-Export'!$C$8:$C$239,0))</f>
        <v>0</v>
      </c>
      <c r="AE34" s="785">
        <v>12</v>
      </c>
      <c r="AF34" s="772" t="str">
        <f t="shared" si="0"/>
        <v>TCS-1(M): Pourcentage de personnes vivant avec le VIH bénéficiant actuellement d'un traitement antirétroviral</v>
      </c>
      <c r="AG34" s="772" t="str">
        <f t="shared" si="1"/>
        <v>Transgenre</v>
      </c>
      <c r="AH34" s="772" t="str">
        <f t="shared" si="2"/>
        <v>Groupe à risque cible</v>
      </c>
      <c r="AI34" s="786" t="s">
        <v>464</v>
      </c>
      <c r="AJ34" s="786" t="s">
        <v>463</v>
      </c>
      <c r="AK34" s="786" t="s">
        <v>675</v>
      </c>
      <c r="AL34" s="786" t="s">
        <v>676</v>
      </c>
      <c r="AM34" s="786" t="s">
        <v>677</v>
      </c>
      <c r="AN34" s="786" t="s">
        <v>678</v>
      </c>
      <c r="AO34" s="786" t="s">
        <v>679</v>
      </c>
      <c r="AP34" s="786"/>
      <c r="AQ34" s="786" t="s">
        <v>37</v>
      </c>
    </row>
    <row r="35" spans="1:43" x14ac:dyDescent="0.2">
      <c r="A35" s="772" t="s">
        <v>680</v>
      </c>
      <c r="B35" s="772">
        <f t="shared" si="3"/>
        <v>27</v>
      </c>
      <c r="C35" s="771" t="str">
        <f t="shared" si="4"/>
        <v>Coverage27</v>
      </c>
      <c r="D35" s="798" t="s">
        <v>461</v>
      </c>
      <c r="E35" s="798" t="s">
        <v>462</v>
      </c>
      <c r="F35" s="798" t="s">
        <v>598</v>
      </c>
      <c r="G35" s="798" t="s">
        <v>599</v>
      </c>
      <c r="H35" s="799">
        <v>0</v>
      </c>
      <c r="I35" s="799">
        <v>0</v>
      </c>
      <c r="J35" s="798" t="s">
        <v>600</v>
      </c>
      <c r="K35" s="798"/>
      <c r="L35" s="798"/>
      <c r="M35" s="798" t="s">
        <v>681</v>
      </c>
      <c r="N35" s="791">
        <f>IFERROR(IF(INDEX(Disaggregation_1B!M$11:M$150,MATCH($C35,Disaggregation_1B!B$11:B$150,0))="","",INDEX(Disaggregation_1B!M$11:M$150,MATCH($C35,Disaggregation_1B!B$11:B$150,0))),"")</f>
        <v>41695</v>
      </c>
      <c r="O35" s="785">
        <f>IFERROR(IF(INDEX(Disaggregation_1B!N$11:N$150,MATCH($C35,Disaggregation_1B!B$11:B$150,0))="","",INDEX(Disaggregation_1B!N$11:N$150,MATCH($C35,Disaggregation_1B!B$11:B$150,0))),"")</f>
        <v>63702</v>
      </c>
      <c r="P35" s="800">
        <f>IFERROR(IF(INDEX(Disaggregation_1B!O$11:O$150,MATCH($C35,Disaggregation_1B!B$11:B$150,0))="","",INDEX(Disaggregation_1B!O$11:O$150,MATCH($C35,Disaggregation_1B!B$11:B$150,0))),"")</f>
        <v>65.453203981036694</v>
      </c>
      <c r="Q35" s="786" t="str">
        <f>IFERROR(IF(INDEX(Disaggregation_1B!P$11:P$150,MATCH($C35,Disaggregation_1B!B$11:B$150,0))="","",INDEX(Disaggregation_1B!P$11:P$150,MATCH($C35,Disaggregation_1B!B$11:B$150,0))),"")</f>
        <v>HMIS</v>
      </c>
      <c r="R35" s="786" t="str">
        <f>IFERROR(IF(INDEX(Disaggregation_1B!Q$11:Q$150,MATCH($C35,Disaggregation_1B!B$11:B$150,0))="","",INDEX(Disaggregation_1B!Q$11:Q$150,MATCH($C35,Disaggregation_1B!B$11:B$150,0))),"")</f>
        <v>Parmi les 63702 PVVIH sous ARV, 65,4% étaient des femmes</v>
      </c>
      <c r="S35" s="772">
        <f>INDEX(Disaggregation_1B!R$11:R$150,MATCH($C35,'Disaggregation1B_Import-Export'!$C$8:$C$239,0))</f>
        <v>0</v>
      </c>
      <c r="T35" s="791" t="str">
        <f>IFERROR(IF(INDEX(Disaggregation_1B!S$11:S$150,MATCH($C35,Disaggregation_1B!B$11:B$150,0))="","",INDEX(Disaggregation_1B!S$11:S$150,MATCH($C35,Disaggregation_1B!B$11:B$150,0))),"")</f>
        <v/>
      </c>
      <c r="U35" s="785" t="str">
        <f>IFERROR(IF(INDEX(Disaggregation_1B!T$11:T$150,MATCH($C35,Disaggregation_1B!B$11:B$150,0))="","",INDEX(Disaggregation_1B!T$11:T$150,MATCH($C35,Disaggregation_1B!B$11:B$150,0))),"")</f>
        <v/>
      </c>
      <c r="V35" s="800" t="str">
        <f>IFERROR(IF(INDEX(Disaggregation_1B!U$11:U$150,MATCH($C35,Disaggregation_1B!B$11:B$150,0))="","",INDEX(Disaggregation_1B!U$11:U$150,MATCH($C35,Disaggregation_1B!B$11:B$150,0))),"")</f>
        <v/>
      </c>
      <c r="W35" s="786" t="str">
        <f>IFERROR(IF(INDEX(Disaggregation_1B!V$11:V$150,MATCH($C35,Disaggregation_1B!B$11:B$150,0))="","",INDEX(Disaggregation_1B!V$11:V$150,MATCH($C35,Disaggregation_1B!B$11:B$150,0))),"")</f>
        <v/>
      </c>
      <c r="X35" s="786" t="str">
        <f>IFERROR(IF(INDEX(Disaggregation_1B!W$11:W$150,MATCH($C35,Disaggregation_1B!B$11:B$150,0))="","",INDEX(Disaggregation_1B!W$11:W$150,MATCH($C35,Disaggregation_1B!B$11:B$150,0))),"")</f>
        <v/>
      </c>
      <c r="Y35" s="772">
        <f>INDEX(Disaggregation_1B!X$11:X$150,MATCH($C35,'Disaggregation1B_Import-Export'!$C$8:$C$239,0))</f>
        <v>0</v>
      </c>
      <c r="Z35" s="772"/>
      <c r="AA35" s="772"/>
      <c r="AB35" s="772"/>
      <c r="AC35" s="772">
        <f>INDEX(Disaggregation_1B!AB$11:AB$150,MATCH($C35,'Disaggregation1B_Import-Export'!$C$8:$C$239,0))</f>
        <v>0</v>
      </c>
      <c r="AD35" s="772">
        <f>INDEX(Disaggregation_1B!AC$11:AC$150,MATCH($C35,'Disaggregation1B_Import-Export'!$C$8:$C$239,0))</f>
        <v>0</v>
      </c>
      <c r="AE35" s="785">
        <v>12</v>
      </c>
      <c r="AF35" s="772" t="str">
        <f t="shared" si="0"/>
        <v>TCS-1(M): Pourcentage de personnes vivant avec le VIH bénéficiant actuellement d'un traitement antirétroviral</v>
      </c>
      <c r="AG35" s="772" t="str">
        <f t="shared" si="1"/>
        <v>Femme</v>
      </c>
      <c r="AH35" s="772" t="str">
        <f t="shared" si="2"/>
        <v>Sexe</v>
      </c>
      <c r="AI35" s="786" t="s">
        <v>464</v>
      </c>
      <c r="AJ35" s="786" t="s">
        <v>463</v>
      </c>
      <c r="AK35" s="786" t="s">
        <v>602</v>
      </c>
      <c r="AL35" s="786" t="s">
        <v>603</v>
      </c>
      <c r="AM35" s="786" t="s">
        <v>604</v>
      </c>
      <c r="AN35" s="786" t="s">
        <v>605</v>
      </c>
      <c r="AO35" s="786" t="s">
        <v>682</v>
      </c>
      <c r="AP35" s="786"/>
      <c r="AQ35" s="786" t="s">
        <v>37</v>
      </c>
    </row>
    <row r="36" spans="1:43" x14ac:dyDescent="0.2">
      <c r="A36" s="772" t="s">
        <v>683</v>
      </c>
      <c r="B36" s="772">
        <f t="shared" si="3"/>
        <v>28</v>
      </c>
      <c r="C36" s="771" t="str">
        <f t="shared" si="4"/>
        <v>Coverage28</v>
      </c>
      <c r="D36" s="798" t="s">
        <v>461</v>
      </c>
      <c r="E36" s="798" t="s">
        <v>462</v>
      </c>
      <c r="F36" s="798" t="s">
        <v>639</v>
      </c>
      <c r="G36" s="798" t="s">
        <v>599</v>
      </c>
      <c r="H36" s="799">
        <v>0</v>
      </c>
      <c r="I36" s="799">
        <v>0</v>
      </c>
      <c r="J36" s="798" t="s">
        <v>600</v>
      </c>
      <c r="K36" s="798"/>
      <c r="L36" s="798"/>
      <c r="M36" s="798" t="s">
        <v>681</v>
      </c>
      <c r="N36" s="791">
        <f>IFERROR(IF(INDEX(Disaggregation_1B!M$11:M$150,MATCH($C36,Disaggregation_1B!B$11:B$150,0))="","",INDEX(Disaggregation_1B!M$11:M$150,MATCH($C36,Disaggregation_1B!B$11:B$150,0))),"")</f>
        <v>22007</v>
      </c>
      <c r="O36" s="785">
        <f>IFERROR(IF(INDEX(Disaggregation_1B!N$11:N$150,MATCH($C36,Disaggregation_1B!B$11:B$150,0))="","",INDEX(Disaggregation_1B!N$11:N$150,MATCH($C36,Disaggregation_1B!B$11:B$150,0))),"")</f>
        <v>63702</v>
      </c>
      <c r="P36" s="800">
        <f>IFERROR(IF(INDEX(Disaggregation_1B!O$11:O$150,MATCH($C36,Disaggregation_1B!B$11:B$150,0))="","",INDEX(Disaggregation_1B!O$11:O$150,MATCH($C36,Disaggregation_1B!B$11:B$150,0))),"")</f>
        <v>34.546796018963299</v>
      </c>
      <c r="Q36" s="786" t="str">
        <f>IFERROR(IF(INDEX(Disaggregation_1B!P$11:P$150,MATCH($C36,Disaggregation_1B!B$11:B$150,0))="","",INDEX(Disaggregation_1B!P$11:P$150,MATCH($C36,Disaggregation_1B!B$11:B$150,0))),"")</f>
        <v>HMIS</v>
      </c>
      <c r="R36" s="786" t="str">
        <f>IFERROR(IF(INDEX(Disaggregation_1B!Q$11:Q$150,MATCH($C36,Disaggregation_1B!B$11:B$150,0))="","",INDEX(Disaggregation_1B!Q$11:Q$150,MATCH($C36,Disaggregation_1B!B$11:B$150,0))),"")</f>
        <v>Parmi les 63702 PVVIH sous ARV, 34,54% étaient des hommes</v>
      </c>
      <c r="S36" s="772">
        <f>INDEX(Disaggregation_1B!R$11:R$150,MATCH($C36,'Disaggregation1B_Import-Export'!$C$8:$C$239,0))</f>
        <v>0</v>
      </c>
      <c r="T36" s="791" t="str">
        <f>IFERROR(IF(INDEX(Disaggregation_1B!S$11:S$150,MATCH($C36,Disaggregation_1B!B$11:B$150,0))="","",INDEX(Disaggregation_1B!S$11:S$150,MATCH($C36,Disaggregation_1B!B$11:B$150,0))),"")</f>
        <v/>
      </c>
      <c r="U36" s="785" t="str">
        <f>IFERROR(IF(INDEX(Disaggregation_1B!T$11:T$150,MATCH($C36,Disaggregation_1B!B$11:B$150,0))="","",INDEX(Disaggregation_1B!T$11:T$150,MATCH($C36,Disaggregation_1B!B$11:B$150,0))),"")</f>
        <v/>
      </c>
      <c r="V36" s="800" t="str">
        <f>IFERROR(IF(INDEX(Disaggregation_1B!U$11:U$150,MATCH($C36,Disaggregation_1B!B$11:B$150,0))="","",INDEX(Disaggregation_1B!U$11:U$150,MATCH($C36,Disaggregation_1B!B$11:B$150,0))),"")</f>
        <v/>
      </c>
      <c r="W36" s="786" t="str">
        <f>IFERROR(IF(INDEX(Disaggregation_1B!V$11:V$150,MATCH($C36,Disaggregation_1B!B$11:B$150,0))="","",INDEX(Disaggregation_1B!V$11:V$150,MATCH($C36,Disaggregation_1B!B$11:B$150,0))),"")</f>
        <v/>
      </c>
      <c r="X36" s="786" t="str">
        <f>IFERROR(IF(INDEX(Disaggregation_1B!W$11:W$150,MATCH($C36,Disaggregation_1B!B$11:B$150,0))="","",INDEX(Disaggregation_1B!W$11:W$150,MATCH($C36,Disaggregation_1B!B$11:B$150,0))),"")</f>
        <v/>
      </c>
      <c r="Y36" s="772">
        <f>INDEX(Disaggregation_1B!X$11:X$150,MATCH($C36,'Disaggregation1B_Import-Export'!$C$8:$C$239,0))</f>
        <v>0</v>
      </c>
      <c r="Z36" s="772"/>
      <c r="AA36" s="772"/>
      <c r="AB36" s="772"/>
      <c r="AC36" s="772">
        <f>INDEX(Disaggregation_1B!AB$11:AB$150,MATCH($C36,'Disaggregation1B_Import-Export'!$C$8:$C$239,0))</f>
        <v>0</v>
      </c>
      <c r="AD36" s="772">
        <f>INDEX(Disaggregation_1B!AC$11:AC$150,MATCH($C36,'Disaggregation1B_Import-Export'!$C$8:$C$239,0))</f>
        <v>0</v>
      </c>
      <c r="AE36" s="785">
        <v>12</v>
      </c>
      <c r="AF36" s="772" t="str">
        <f t="shared" si="0"/>
        <v>TCS-1(M): Pourcentage de personnes vivant avec le VIH bénéficiant actuellement d'un traitement antirétroviral</v>
      </c>
      <c r="AG36" s="772" t="str">
        <f t="shared" si="1"/>
        <v>Homme</v>
      </c>
      <c r="AH36" s="772" t="str">
        <f t="shared" si="2"/>
        <v>Sexe</v>
      </c>
      <c r="AI36" s="786" t="s">
        <v>464</v>
      </c>
      <c r="AJ36" s="786" t="s">
        <v>463</v>
      </c>
      <c r="AK36" s="786" t="s">
        <v>640</v>
      </c>
      <c r="AL36" s="786" t="s">
        <v>641</v>
      </c>
      <c r="AM36" s="786" t="s">
        <v>604</v>
      </c>
      <c r="AN36" s="786" t="s">
        <v>605</v>
      </c>
      <c r="AO36" s="786" t="s">
        <v>684</v>
      </c>
      <c r="AP36" s="786"/>
      <c r="AQ36" s="786" t="s">
        <v>37</v>
      </c>
    </row>
    <row r="37" spans="1:43" x14ac:dyDescent="0.2">
      <c r="A37" s="772" t="s">
        <v>685</v>
      </c>
      <c r="B37" s="772">
        <f t="shared" si="3"/>
        <v>29</v>
      </c>
      <c r="C37" s="771" t="str">
        <f t="shared" si="4"/>
        <v>Coverage29</v>
      </c>
      <c r="D37" s="798" t="s">
        <v>461</v>
      </c>
      <c r="E37" s="798" t="s">
        <v>462</v>
      </c>
      <c r="F37" s="798" t="s">
        <v>620</v>
      </c>
      <c r="G37" s="798" t="s">
        <v>616</v>
      </c>
      <c r="H37" s="799">
        <v>3050</v>
      </c>
      <c r="I37" s="799">
        <v>8238</v>
      </c>
      <c r="J37" s="798" t="s">
        <v>686</v>
      </c>
      <c r="K37" s="798" t="s">
        <v>225</v>
      </c>
      <c r="L37" s="798" t="s">
        <v>687</v>
      </c>
      <c r="M37" s="798" t="s">
        <v>688</v>
      </c>
      <c r="N37" s="791">
        <f>IFERROR(IF(INDEX(Disaggregation_1B!M$11:M$150,MATCH($C37,Disaggregation_1B!B$11:B$150,0))="","",INDEX(Disaggregation_1B!M$11:M$150,MATCH($C37,Disaggregation_1B!B$11:B$150,0))),"")</f>
        <v>2978</v>
      </c>
      <c r="O37" s="785">
        <f>IFERROR(IF(INDEX(Disaggregation_1B!N$11:N$150,MATCH($C37,Disaggregation_1B!B$11:B$150,0))="","",INDEX(Disaggregation_1B!N$11:N$150,MATCH($C37,Disaggregation_1B!B$11:B$150,0))),"")</f>
        <v>63702</v>
      </c>
      <c r="P37" s="800">
        <f>IFERROR(IF(INDEX(Disaggregation_1B!O$11:O$150,MATCH($C37,Disaggregation_1B!B$11:B$150,0))="","",INDEX(Disaggregation_1B!O$11:O$150,MATCH($C37,Disaggregation_1B!B$11:B$150,0))),"")</f>
        <v>4.6748924680543782</v>
      </c>
      <c r="Q37" s="786" t="str">
        <f>IFERROR(IF(INDEX(Disaggregation_1B!P$11:P$150,MATCH($C37,Disaggregation_1B!B$11:B$150,0))="","",INDEX(Disaggregation_1B!P$11:P$150,MATCH($C37,Disaggregation_1B!B$11:B$150,0))),"")</f>
        <v>HMIS</v>
      </c>
      <c r="R37" s="786" t="str">
        <f>IFERROR(IF(INDEX(Disaggregation_1B!Q$11:Q$150,MATCH($C37,Disaggregation_1B!B$11:B$150,0))="","",INDEX(Disaggregation_1B!Q$11:Q$150,MATCH($C37,Disaggregation_1B!B$11:B$150,0))),"")</f>
        <v>Parmi les 63702 PVVIH sous ARV, 4,67% étaient des enfants de moins de 15 ans</v>
      </c>
      <c r="S37" s="772">
        <f>INDEX(Disaggregation_1B!R$11:R$150,MATCH($C37,'Disaggregation1B_Import-Export'!$C$8:$C$239,0))</f>
        <v>0</v>
      </c>
      <c r="T37" s="791" t="str">
        <f>IFERROR(IF(INDEX(Disaggregation_1B!S$11:S$150,MATCH($C37,Disaggregation_1B!B$11:B$150,0))="","",INDEX(Disaggregation_1B!S$11:S$150,MATCH($C37,Disaggregation_1B!B$11:B$150,0))),"")</f>
        <v/>
      </c>
      <c r="U37" s="785" t="str">
        <f>IFERROR(IF(INDEX(Disaggregation_1B!T$11:T$150,MATCH($C37,Disaggregation_1B!B$11:B$150,0))="","",INDEX(Disaggregation_1B!T$11:T$150,MATCH($C37,Disaggregation_1B!B$11:B$150,0))),"")</f>
        <v/>
      </c>
      <c r="V37" s="800" t="str">
        <f>IFERROR(IF(INDEX(Disaggregation_1B!U$11:U$150,MATCH($C37,Disaggregation_1B!B$11:B$150,0))="","",INDEX(Disaggregation_1B!U$11:U$150,MATCH($C37,Disaggregation_1B!B$11:B$150,0))),"")</f>
        <v/>
      </c>
      <c r="W37" s="786" t="str">
        <f>IFERROR(IF(INDEX(Disaggregation_1B!V$11:V$150,MATCH($C37,Disaggregation_1B!B$11:B$150,0))="","",INDEX(Disaggregation_1B!V$11:V$150,MATCH($C37,Disaggregation_1B!B$11:B$150,0))),"")</f>
        <v/>
      </c>
      <c r="X37" s="786" t="str">
        <f>IFERROR(IF(INDEX(Disaggregation_1B!W$11:W$150,MATCH($C37,Disaggregation_1B!B$11:B$150,0))="","",INDEX(Disaggregation_1B!W$11:W$150,MATCH($C37,Disaggregation_1B!B$11:B$150,0))),"")</f>
        <v/>
      </c>
      <c r="Y37" s="772">
        <f>INDEX(Disaggregation_1B!X$11:X$150,MATCH($C37,'Disaggregation1B_Import-Export'!$C$8:$C$239,0))</f>
        <v>0</v>
      </c>
      <c r="Z37" s="772"/>
      <c r="AA37" s="772"/>
      <c r="AB37" s="772"/>
      <c r="AC37" s="772">
        <f>INDEX(Disaggregation_1B!AB$11:AB$150,MATCH($C37,'Disaggregation1B_Import-Export'!$C$8:$C$239,0))</f>
        <v>0</v>
      </c>
      <c r="AD37" s="772">
        <f>INDEX(Disaggregation_1B!AC$11:AC$150,MATCH($C37,'Disaggregation1B_Import-Export'!$C$8:$C$239,0))</f>
        <v>0</v>
      </c>
      <c r="AE37" s="785">
        <v>12</v>
      </c>
      <c r="AF37" s="772" t="str">
        <f t="shared" si="0"/>
        <v>TCS-1(M): Pourcentage de personnes vivant avec le VIH bénéficiant actuellement d'un traitement antirétroviral</v>
      </c>
      <c r="AG37" s="772" t="str">
        <f t="shared" si="1"/>
        <v>&lt;15 ans</v>
      </c>
      <c r="AH37" s="772" t="str">
        <f t="shared" si="2"/>
        <v>Age</v>
      </c>
      <c r="AI37" s="786" t="s">
        <v>464</v>
      </c>
      <c r="AJ37" s="786" t="s">
        <v>463</v>
      </c>
      <c r="AK37" s="786" t="s">
        <v>621</v>
      </c>
      <c r="AL37" s="786" t="s">
        <v>622</v>
      </c>
      <c r="AM37" s="786" t="s">
        <v>618</v>
      </c>
      <c r="AN37" s="786" t="s">
        <v>616</v>
      </c>
      <c r="AO37" s="786" t="s">
        <v>689</v>
      </c>
      <c r="AP37" s="786" t="s">
        <v>690</v>
      </c>
      <c r="AQ37" s="786" t="s">
        <v>37</v>
      </c>
    </row>
    <row r="38" spans="1:43" x14ac:dyDescent="0.2">
      <c r="A38" s="772" t="s">
        <v>691</v>
      </c>
      <c r="B38" s="772">
        <f t="shared" si="3"/>
        <v>30</v>
      </c>
      <c r="C38" s="771" t="str">
        <f t="shared" si="4"/>
        <v>Coverage30</v>
      </c>
      <c r="D38" s="798" t="s">
        <v>461</v>
      </c>
      <c r="E38" s="798" t="s">
        <v>462</v>
      </c>
      <c r="F38" s="798" t="s">
        <v>692</v>
      </c>
      <c r="G38" s="798" t="s">
        <v>673</v>
      </c>
      <c r="H38" s="799">
        <v>0</v>
      </c>
      <c r="I38" s="799">
        <v>0</v>
      </c>
      <c r="J38" s="798" t="s">
        <v>600</v>
      </c>
      <c r="K38" s="798"/>
      <c r="L38" s="798"/>
      <c r="M38" s="798" t="s">
        <v>693</v>
      </c>
      <c r="N38" s="791" t="str">
        <f>IFERROR(IF(INDEX(Disaggregation_1B!M$11:M$150,MATCH($C38,Disaggregation_1B!B$11:B$150,0))="","",INDEX(Disaggregation_1B!M$11:M$150,MATCH($C38,Disaggregation_1B!B$11:B$150,0))),"")</f>
        <v/>
      </c>
      <c r="O38" s="785" t="str">
        <f>IFERROR(IF(INDEX(Disaggregation_1B!N$11:N$150,MATCH($C38,Disaggregation_1B!B$11:B$150,0))="","",INDEX(Disaggregation_1B!N$11:N$150,MATCH($C38,Disaggregation_1B!B$11:B$150,0))),"")</f>
        <v/>
      </c>
      <c r="P38" s="800" t="str">
        <f>IFERROR(IF(INDEX(Disaggregation_1B!O$11:O$150,MATCH($C38,Disaggregation_1B!B$11:B$150,0))="","",INDEX(Disaggregation_1B!O$11:O$150,MATCH($C38,Disaggregation_1B!B$11:B$150,0))),"")</f>
        <v/>
      </c>
      <c r="Q38" s="786" t="str">
        <f>IFERROR(IF(INDEX(Disaggregation_1B!P$11:P$150,MATCH($C38,Disaggregation_1B!B$11:B$150,0))="","",INDEX(Disaggregation_1B!P$11:P$150,MATCH($C38,Disaggregation_1B!B$11:B$150,0))),"")</f>
        <v>HMIS</v>
      </c>
      <c r="R38" s="786" t="str">
        <f>IFERROR(IF(INDEX(Disaggregation_1B!Q$11:Q$150,MATCH($C38,Disaggregation_1B!B$11:B$150,0))="","",INDEX(Disaggregation_1B!Q$11:Q$150,MATCH($C38,Disaggregation_1B!B$11:B$150,0))),"")</f>
        <v>Le système d'information sanitaire ne permet pas de renseigner cet indicateur désagrégé par groupe à risque</v>
      </c>
      <c r="S38" s="772">
        <f>INDEX(Disaggregation_1B!R$11:R$150,MATCH($C38,'Disaggregation1B_Import-Export'!$C$8:$C$239,0))</f>
        <v>0</v>
      </c>
      <c r="T38" s="791" t="str">
        <f>IFERROR(IF(INDEX(Disaggregation_1B!S$11:S$150,MATCH($C38,Disaggregation_1B!B$11:B$150,0))="","",INDEX(Disaggregation_1B!S$11:S$150,MATCH($C38,Disaggregation_1B!B$11:B$150,0))),"")</f>
        <v/>
      </c>
      <c r="U38" s="785" t="str">
        <f>IFERROR(IF(INDEX(Disaggregation_1B!T$11:T$150,MATCH($C38,Disaggregation_1B!B$11:B$150,0))="","",INDEX(Disaggregation_1B!T$11:T$150,MATCH($C38,Disaggregation_1B!B$11:B$150,0))),"")</f>
        <v/>
      </c>
      <c r="V38" s="800" t="str">
        <f>IFERROR(IF(INDEX(Disaggregation_1B!U$11:U$150,MATCH($C38,Disaggregation_1B!B$11:B$150,0))="","",INDEX(Disaggregation_1B!U$11:U$150,MATCH($C38,Disaggregation_1B!B$11:B$150,0))),"")</f>
        <v/>
      </c>
      <c r="W38" s="786" t="str">
        <f>IFERROR(IF(INDEX(Disaggregation_1B!V$11:V$150,MATCH($C38,Disaggregation_1B!B$11:B$150,0))="","",INDEX(Disaggregation_1B!V$11:V$150,MATCH($C38,Disaggregation_1B!B$11:B$150,0))),"")</f>
        <v/>
      </c>
      <c r="X38" s="786" t="str">
        <f>IFERROR(IF(INDEX(Disaggregation_1B!W$11:W$150,MATCH($C38,Disaggregation_1B!B$11:B$150,0))="","",INDEX(Disaggregation_1B!W$11:W$150,MATCH($C38,Disaggregation_1B!B$11:B$150,0))),"")</f>
        <v/>
      </c>
      <c r="Y38" s="772">
        <f>INDEX(Disaggregation_1B!X$11:X$150,MATCH($C38,'Disaggregation1B_Import-Export'!$C$8:$C$239,0))</f>
        <v>0</v>
      </c>
      <c r="Z38" s="772"/>
      <c r="AA38" s="772"/>
      <c r="AB38" s="772"/>
      <c r="AC38" s="772">
        <f>INDEX(Disaggregation_1B!AB$11:AB$150,MATCH($C38,'Disaggregation1B_Import-Export'!$C$8:$C$239,0))</f>
        <v>0</v>
      </c>
      <c r="AD38" s="772">
        <f>INDEX(Disaggregation_1B!AC$11:AC$150,MATCH($C38,'Disaggregation1B_Import-Export'!$C$8:$C$239,0))</f>
        <v>0</v>
      </c>
      <c r="AE38" s="785">
        <v>12</v>
      </c>
      <c r="AF38" s="772" t="str">
        <f t="shared" si="0"/>
        <v>TCS-1(M): Pourcentage de personnes vivant avec le VIH bénéficiant actuellement d'un traitement antirétroviral</v>
      </c>
      <c r="AG38" s="772" t="str">
        <f t="shared" si="1"/>
        <v>Professionnels du sexe</v>
      </c>
      <c r="AH38" s="772" t="str">
        <f t="shared" si="2"/>
        <v>Groupe à risque cible</v>
      </c>
      <c r="AI38" s="786" t="s">
        <v>464</v>
      </c>
      <c r="AJ38" s="786" t="s">
        <v>463</v>
      </c>
      <c r="AK38" s="786" t="s">
        <v>694</v>
      </c>
      <c r="AL38" s="786" t="s">
        <v>695</v>
      </c>
      <c r="AM38" s="786" t="s">
        <v>677</v>
      </c>
      <c r="AN38" s="786" t="s">
        <v>678</v>
      </c>
      <c r="AO38" s="786" t="s">
        <v>679</v>
      </c>
      <c r="AP38" s="786"/>
      <c r="AQ38" s="786" t="s">
        <v>37</v>
      </c>
    </row>
    <row r="39" spans="1:43" x14ac:dyDescent="0.2">
      <c r="A39" s="772" t="s">
        <v>696</v>
      </c>
      <c r="B39" s="772">
        <f t="shared" si="3"/>
        <v>31</v>
      </c>
      <c r="C39" s="771" t="str">
        <f t="shared" si="4"/>
        <v>Coverage31</v>
      </c>
      <c r="D39" s="798" t="s">
        <v>461</v>
      </c>
      <c r="E39" s="798" t="s">
        <v>462</v>
      </c>
      <c r="F39" s="798" t="s">
        <v>697</v>
      </c>
      <c r="G39" s="798" t="s">
        <v>673</v>
      </c>
      <c r="H39" s="799">
        <v>0</v>
      </c>
      <c r="I39" s="799">
        <v>0</v>
      </c>
      <c r="J39" s="798" t="s">
        <v>600</v>
      </c>
      <c r="K39" s="798"/>
      <c r="L39" s="798"/>
      <c r="M39" s="798" t="s">
        <v>698</v>
      </c>
      <c r="N39" s="791" t="str">
        <f>IFERROR(IF(INDEX(Disaggregation_1B!M$11:M$150,MATCH($C39,Disaggregation_1B!B$11:B$150,0))="","",INDEX(Disaggregation_1B!M$11:M$150,MATCH($C39,Disaggregation_1B!B$11:B$150,0))),"")</f>
        <v/>
      </c>
      <c r="O39" s="785" t="str">
        <f>IFERROR(IF(INDEX(Disaggregation_1B!N$11:N$150,MATCH($C39,Disaggregation_1B!B$11:B$150,0))="","",INDEX(Disaggregation_1B!N$11:N$150,MATCH($C39,Disaggregation_1B!B$11:B$150,0))),"")</f>
        <v/>
      </c>
      <c r="P39" s="800" t="str">
        <f>IFERROR(IF(INDEX(Disaggregation_1B!O$11:O$150,MATCH($C39,Disaggregation_1B!B$11:B$150,0))="","",INDEX(Disaggregation_1B!O$11:O$150,MATCH($C39,Disaggregation_1B!B$11:B$150,0))),"")</f>
        <v/>
      </c>
      <c r="Q39" s="786" t="str">
        <f>IFERROR(IF(INDEX(Disaggregation_1B!P$11:P$150,MATCH($C39,Disaggregation_1B!B$11:B$150,0))="","",INDEX(Disaggregation_1B!P$11:P$150,MATCH($C39,Disaggregation_1B!B$11:B$150,0))),"")</f>
        <v>HMIS</v>
      </c>
      <c r="R39" s="786" t="str">
        <f>IFERROR(IF(INDEX(Disaggregation_1B!Q$11:Q$150,MATCH($C39,Disaggregation_1B!B$11:B$150,0))="","",INDEX(Disaggregation_1B!Q$11:Q$150,MATCH($C39,Disaggregation_1B!B$11:B$150,0))),"")</f>
        <v>Le système d'information sanitaire ne permet pas de renseigner cet indicateur désagrégé par groupe à risque</v>
      </c>
      <c r="S39" s="772">
        <f>INDEX(Disaggregation_1B!R$11:R$150,MATCH($C39,'Disaggregation1B_Import-Export'!$C$8:$C$239,0))</f>
        <v>0</v>
      </c>
      <c r="T39" s="791" t="str">
        <f>IFERROR(IF(INDEX(Disaggregation_1B!S$11:S$150,MATCH($C39,Disaggregation_1B!B$11:B$150,0))="","",INDEX(Disaggregation_1B!S$11:S$150,MATCH($C39,Disaggregation_1B!B$11:B$150,0))),"")</f>
        <v/>
      </c>
      <c r="U39" s="785" t="str">
        <f>IFERROR(IF(INDEX(Disaggregation_1B!T$11:T$150,MATCH($C39,Disaggregation_1B!B$11:B$150,0))="","",INDEX(Disaggregation_1B!T$11:T$150,MATCH($C39,Disaggregation_1B!B$11:B$150,0))),"")</f>
        <v/>
      </c>
      <c r="V39" s="800" t="str">
        <f>IFERROR(IF(INDEX(Disaggregation_1B!U$11:U$150,MATCH($C39,Disaggregation_1B!B$11:B$150,0))="","",INDEX(Disaggregation_1B!U$11:U$150,MATCH($C39,Disaggregation_1B!B$11:B$150,0))),"")</f>
        <v/>
      </c>
      <c r="W39" s="786" t="str">
        <f>IFERROR(IF(INDEX(Disaggregation_1B!V$11:V$150,MATCH($C39,Disaggregation_1B!B$11:B$150,0))="","",INDEX(Disaggregation_1B!V$11:V$150,MATCH($C39,Disaggregation_1B!B$11:B$150,0))),"")</f>
        <v/>
      </c>
      <c r="X39" s="786" t="str">
        <f>IFERROR(IF(INDEX(Disaggregation_1B!W$11:W$150,MATCH($C39,Disaggregation_1B!B$11:B$150,0))="","",INDEX(Disaggregation_1B!W$11:W$150,MATCH($C39,Disaggregation_1B!B$11:B$150,0))),"")</f>
        <v/>
      </c>
      <c r="Y39" s="772">
        <f>INDEX(Disaggregation_1B!X$11:X$150,MATCH($C39,'Disaggregation1B_Import-Export'!$C$8:$C$239,0))</f>
        <v>0</v>
      </c>
      <c r="Z39" s="772"/>
      <c r="AA39" s="772"/>
      <c r="AB39" s="772"/>
      <c r="AC39" s="772">
        <f>INDEX(Disaggregation_1B!AB$11:AB$150,MATCH($C39,'Disaggregation1B_Import-Export'!$C$8:$C$239,0))</f>
        <v>0</v>
      </c>
      <c r="AD39" s="772">
        <f>INDEX(Disaggregation_1B!AC$11:AC$150,MATCH($C39,'Disaggregation1B_Import-Export'!$C$8:$C$239,0))</f>
        <v>0</v>
      </c>
      <c r="AE39" s="785">
        <v>12</v>
      </c>
      <c r="AF39" s="772" t="str">
        <f t="shared" si="0"/>
        <v>TCS-1(M): Pourcentage de personnes vivant avec le VIH bénéficiant actuellement d'un traitement antirétroviral</v>
      </c>
      <c r="AG39" s="772" t="str">
        <f t="shared" si="1"/>
        <v>HSH</v>
      </c>
      <c r="AH39" s="772" t="str">
        <f t="shared" si="2"/>
        <v>Groupe à risque cible</v>
      </c>
      <c r="AI39" s="786" t="s">
        <v>464</v>
      </c>
      <c r="AJ39" s="786" t="s">
        <v>463</v>
      </c>
      <c r="AK39" s="786" t="s">
        <v>699</v>
      </c>
      <c r="AL39" s="786" t="s">
        <v>699</v>
      </c>
      <c r="AM39" s="786" t="s">
        <v>677</v>
      </c>
      <c r="AN39" s="786" t="s">
        <v>678</v>
      </c>
      <c r="AO39" s="786" t="s">
        <v>679</v>
      </c>
      <c r="AP39" s="786"/>
      <c r="AQ39" s="786" t="s">
        <v>37</v>
      </c>
    </row>
    <row r="40" spans="1:43" x14ac:dyDescent="0.2">
      <c r="A40" s="772" t="s">
        <v>700</v>
      </c>
      <c r="B40" s="772">
        <f t="shared" si="3"/>
        <v>32</v>
      </c>
      <c r="C40" s="771" t="str">
        <f t="shared" si="4"/>
        <v>Coverage32</v>
      </c>
      <c r="D40" s="798" t="s">
        <v>461</v>
      </c>
      <c r="E40" s="798" t="s">
        <v>462</v>
      </c>
      <c r="F40" s="798" t="s">
        <v>701</v>
      </c>
      <c r="G40" s="798" t="s">
        <v>702</v>
      </c>
      <c r="H40" s="799">
        <v>0</v>
      </c>
      <c r="I40" s="799">
        <v>0</v>
      </c>
      <c r="J40" s="798" t="s">
        <v>600</v>
      </c>
      <c r="K40" s="798"/>
      <c r="L40" s="798"/>
      <c r="M40" s="798" t="s">
        <v>703</v>
      </c>
      <c r="N40" s="791">
        <f>IFERROR(IF(INDEX(Disaggregation_1B!M$11:M$150,MATCH($C40,Disaggregation_1B!B$11:B$150,0))="","",INDEX(Disaggregation_1B!M$11:M$150,MATCH($C40,Disaggregation_1B!B$11:B$150,0))),"")</f>
        <v>1092</v>
      </c>
      <c r="O40" s="785">
        <f>IFERROR(IF(INDEX(Disaggregation_1B!N$11:N$150,MATCH($C40,Disaggregation_1B!B$11:B$150,0))="","",INDEX(Disaggregation_1B!N$11:N$150,MATCH($C40,Disaggregation_1B!B$11:B$150,0))),"")</f>
        <v>63702</v>
      </c>
      <c r="P40" s="800">
        <f>IFERROR(IF(INDEX(Disaggregation_1B!O$11:O$150,MATCH($C40,Disaggregation_1B!B$11:B$150,0))="","",INDEX(Disaggregation_1B!O$11:O$150,MATCH($C40,Disaggregation_1B!B$11:B$150,0))),"")</f>
        <v>1.7142318922482809</v>
      </c>
      <c r="Q40" s="786" t="str">
        <f>IFERROR(IF(INDEX(Disaggregation_1B!P$11:P$150,MATCH($C40,Disaggregation_1B!B$11:B$150,0))="","",INDEX(Disaggregation_1B!P$11:P$150,MATCH($C40,Disaggregation_1B!B$11:B$150,0))),"")</f>
        <v>HMIS</v>
      </c>
      <c r="R40" s="786" t="str">
        <f>IFERROR(IF(INDEX(Disaggregation_1B!Q$11:Q$150,MATCH($C40,Disaggregation_1B!B$11:B$150,0))="","",INDEX(Disaggregation_1B!Q$11:Q$150,MATCH($C40,Disaggregation_1B!B$11:B$150,0))),"")</f>
        <v>Parmi les 63702 PVVIH sous ARV, 1,7% étaient des hommes âgés 20 à 24 ans</v>
      </c>
      <c r="S40" s="772">
        <f>INDEX(Disaggregation_1B!R$11:R$150,MATCH($C40,'Disaggregation1B_Import-Export'!$C$8:$C$239,0))</f>
        <v>0</v>
      </c>
      <c r="T40" s="791" t="str">
        <f>IFERROR(IF(INDEX(Disaggregation_1B!S$11:S$150,MATCH($C40,Disaggregation_1B!B$11:B$150,0))="","",INDEX(Disaggregation_1B!S$11:S$150,MATCH($C40,Disaggregation_1B!B$11:B$150,0))),"")</f>
        <v/>
      </c>
      <c r="U40" s="785" t="str">
        <f>IFERROR(IF(INDEX(Disaggregation_1B!T$11:T$150,MATCH($C40,Disaggregation_1B!B$11:B$150,0))="","",INDEX(Disaggregation_1B!T$11:T$150,MATCH($C40,Disaggregation_1B!B$11:B$150,0))),"")</f>
        <v/>
      </c>
      <c r="V40" s="800" t="str">
        <f>IFERROR(IF(INDEX(Disaggregation_1B!U$11:U$150,MATCH($C40,Disaggregation_1B!B$11:B$150,0))="","",INDEX(Disaggregation_1B!U$11:U$150,MATCH($C40,Disaggregation_1B!B$11:B$150,0))),"")</f>
        <v/>
      </c>
      <c r="W40" s="786" t="str">
        <f>IFERROR(IF(INDEX(Disaggregation_1B!V$11:V$150,MATCH($C40,Disaggregation_1B!B$11:B$150,0))="","",INDEX(Disaggregation_1B!V$11:V$150,MATCH($C40,Disaggregation_1B!B$11:B$150,0))),"")</f>
        <v/>
      </c>
      <c r="X40" s="786" t="str">
        <f>IFERROR(IF(INDEX(Disaggregation_1B!W$11:W$150,MATCH($C40,Disaggregation_1B!B$11:B$150,0))="","",INDEX(Disaggregation_1B!W$11:W$150,MATCH($C40,Disaggregation_1B!B$11:B$150,0))),"")</f>
        <v/>
      </c>
      <c r="Y40" s="772">
        <f>INDEX(Disaggregation_1B!X$11:X$150,MATCH($C40,'Disaggregation1B_Import-Export'!$C$8:$C$239,0))</f>
        <v>0</v>
      </c>
      <c r="Z40" s="772"/>
      <c r="AA40" s="772"/>
      <c r="AB40" s="772"/>
      <c r="AC40" s="772">
        <f>INDEX(Disaggregation_1B!AB$11:AB$150,MATCH($C40,'Disaggregation1B_Import-Export'!$C$8:$C$239,0))</f>
        <v>0</v>
      </c>
      <c r="AD40" s="772">
        <f>INDEX(Disaggregation_1B!AC$11:AC$150,MATCH($C40,'Disaggregation1B_Import-Export'!$C$8:$C$239,0))</f>
        <v>0</v>
      </c>
      <c r="AE40" s="785">
        <v>12</v>
      </c>
      <c r="AF40" s="772" t="str">
        <f t="shared" si="0"/>
        <v>TCS-1(M): Pourcentage de personnes vivant avec le VIH bénéficiant actuellement d'un traitement antirétroviral</v>
      </c>
      <c r="AG40" s="772" t="str">
        <f t="shared" si="1"/>
        <v>Homme de 20 à 24</v>
      </c>
      <c r="AH40" s="772" t="str">
        <f t="shared" si="2"/>
        <v>Sexe | Age</v>
      </c>
      <c r="AI40" s="786" t="s">
        <v>464</v>
      </c>
      <c r="AJ40" s="786" t="s">
        <v>463</v>
      </c>
      <c r="AK40" s="786" t="s">
        <v>704</v>
      </c>
      <c r="AL40" s="786" t="s">
        <v>705</v>
      </c>
      <c r="AM40" s="786" t="s">
        <v>706</v>
      </c>
      <c r="AN40" s="786" t="s">
        <v>707</v>
      </c>
      <c r="AO40" s="786" t="s">
        <v>679</v>
      </c>
      <c r="AP40" s="786"/>
      <c r="AQ40" s="786" t="s">
        <v>37</v>
      </c>
    </row>
    <row r="41" spans="1:43" x14ac:dyDescent="0.2">
      <c r="A41" s="772" t="s">
        <v>708</v>
      </c>
      <c r="B41" s="772">
        <f t="shared" si="3"/>
        <v>33</v>
      </c>
      <c r="C41" s="771" t="str">
        <f t="shared" si="4"/>
        <v>Coverage33</v>
      </c>
      <c r="D41" s="798" t="s">
        <v>461</v>
      </c>
      <c r="E41" s="798" t="s">
        <v>462</v>
      </c>
      <c r="F41" s="798" t="s">
        <v>615</v>
      </c>
      <c r="G41" s="798" t="s">
        <v>616</v>
      </c>
      <c r="H41" s="799">
        <v>48867</v>
      </c>
      <c r="I41" s="799">
        <v>75204</v>
      </c>
      <c r="J41" s="798" t="s">
        <v>709</v>
      </c>
      <c r="K41" s="798" t="s">
        <v>225</v>
      </c>
      <c r="L41" s="798" t="s">
        <v>687</v>
      </c>
      <c r="M41" s="798" t="s">
        <v>710</v>
      </c>
      <c r="N41" s="791">
        <f>IFERROR(IF(INDEX(Disaggregation_1B!M$11:M$150,MATCH($C41,Disaggregation_1B!B$11:B$150,0))="","",INDEX(Disaggregation_1B!M$11:M$150,MATCH($C41,Disaggregation_1B!B$11:B$150,0))),"")</f>
        <v>60724</v>
      </c>
      <c r="O41" s="785">
        <f>IFERROR(IF(INDEX(Disaggregation_1B!N$11:N$150,MATCH($C41,Disaggregation_1B!B$11:B$150,0))="","",INDEX(Disaggregation_1B!N$11:N$150,MATCH($C41,Disaggregation_1B!B$11:B$150,0))),"")</f>
        <v>63702</v>
      </c>
      <c r="P41" s="800">
        <f>IFERROR(IF(INDEX(Disaggregation_1B!O$11:O$150,MATCH($C41,Disaggregation_1B!B$11:B$150,0))="","",INDEX(Disaggregation_1B!O$11:O$150,MATCH($C41,Disaggregation_1B!B$11:B$150,0))),"")</f>
        <v>95.325107531945619</v>
      </c>
      <c r="Q41" s="786" t="str">
        <f>IFERROR(IF(INDEX(Disaggregation_1B!P$11:P$150,MATCH($C41,Disaggregation_1B!B$11:B$150,0))="","",INDEX(Disaggregation_1B!P$11:P$150,MATCH($C41,Disaggregation_1B!B$11:B$150,0))),"")</f>
        <v>HMIS</v>
      </c>
      <c r="R41" s="786" t="str">
        <f>IFERROR(IF(INDEX(Disaggregation_1B!Q$11:Q$150,MATCH($C41,Disaggregation_1B!B$11:B$150,0))="","",INDEX(Disaggregation_1B!Q$11:Q$150,MATCH($C41,Disaggregation_1B!B$11:B$150,0))),"")</f>
        <v>Parmi les 63702 PVVIH sous ARV, 95,32% étaient des adultes de 15 ans et plus</v>
      </c>
      <c r="S41" s="772">
        <f>INDEX(Disaggregation_1B!R$11:R$150,MATCH($C41,'Disaggregation1B_Import-Export'!$C$8:$C$239,0))</f>
        <v>0</v>
      </c>
      <c r="T41" s="791" t="str">
        <f>IFERROR(IF(INDEX(Disaggregation_1B!S$11:S$150,MATCH($C41,Disaggregation_1B!B$11:B$150,0))="","",INDEX(Disaggregation_1B!S$11:S$150,MATCH($C41,Disaggregation_1B!B$11:B$150,0))),"")</f>
        <v/>
      </c>
      <c r="U41" s="785" t="str">
        <f>IFERROR(IF(INDEX(Disaggregation_1B!T$11:T$150,MATCH($C41,Disaggregation_1B!B$11:B$150,0))="","",INDEX(Disaggregation_1B!T$11:T$150,MATCH($C41,Disaggregation_1B!B$11:B$150,0))),"")</f>
        <v/>
      </c>
      <c r="V41" s="800" t="str">
        <f>IFERROR(IF(INDEX(Disaggregation_1B!U$11:U$150,MATCH($C41,Disaggregation_1B!B$11:B$150,0))="","",INDEX(Disaggregation_1B!U$11:U$150,MATCH($C41,Disaggregation_1B!B$11:B$150,0))),"")</f>
        <v/>
      </c>
      <c r="W41" s="786" t="str">
        <f>IFERROR(IF(INDEX(Disaggregation_1B!V$11:V$150,MATCH($C41,Disaggregation_1B!B$11:B$150,0))="","",INDEX(Disaggregation_1B!V$11:V$150,MATCH($C41,Disaggregation_1B!B$11:B$150,0))),"")</f>
        <v/>
      </c>
      <c r="X41" s="786" t="str">
        <f>IFERROR(IF(INDEX(Disaggregation_1B!W$11:W$150,MATCH($C41,Disaggregation_1B!B$11:B$150,0))="","",INDEX(Disaggregation_1B!W$11:W$150,MATCH($C41,Disaggregation_1B!B$11:B$150,0))),"")</f>
        <v/>
      </c>
      <c r="Y41" s="772">
        <f>INDEX(Disaggregation_1B!X$11:X$150,MATCH($C41,'Disaggregation1B_Import-Export'!$C$8:$C$239,0))</f>
        <v>0</v>
      </c>
      <c r="Z41" s="772"/>
      <c r="AA41" s="772"/>
      <c r="AB41" s="772"/>
      <c r="AC41" s="772">
        <f>INDEX(Disaggregation_1B!AB$11:AB$150,MATCH($C41,'Disaggregation1B_Import-Export'!$C$8:$C$239,0))</f>
        <v>0</v>
      </c>
      <c r="AD41" s="772">
        <f>INDEX(Disaggregation_1B!AC$11:AC$150,MATCH($C41,'Disaggregation1B_Import-Export'!$C$8:$C$239,0))</f>
        <v>0</v>
      </c>
      <c r="AE41" s="785">
        <v>12</v>
      </c>
      <c r="AF41" s="772" t="str">
        <f t="shared" si="0"/>
        <v>TCS-1(M): Pourcentage de personnes vivant avec le VIH bénéficiant actuellement d'un traitement antirétroviral</v>
      </c>
      <c r="AG41" s="772" t="str">
        <f t="shared" si="1"/>
        <v>+ de 15 ans</v>
      </c>
      <c r="AH41" s="772" t="str">
        <f t="shared" si="2"/>
        <v>Age</v>
      </c>
      <c r="AI41" s="786" t="s">
        <v>464</v>
      </c>
      <c r="AJ41" s="786" t="s">
        <v>463</v>
      </c>
      <c r="AK41" s="786" t="s">
        <v>615</v>
      </c>
      <c r="AL41" s="786" t="s">
        <v>617</v>
      </c>
      <c r="AM41" s="786" t="s">
        <v>618</v>
      </c>
      <c r="AN41" s="786" t="s">
        <v>616</v>
      </c>
      <c r="AO41" s="786" t="s">
        <v>711</v>
      </c>
      <c r="AP41" s="786" t="s">
        <v>690</v>
      </c>
      <c r="AQ41" s="786" t="s">
        <v>37</v>
      </c>
    </row>
    <row r="42" spans="1:43" x14ac:dyDescent="0.2">
      <c r="A42" s="772" t="s">
        <v>712</v>
      </c>
      <c r="B42" s="772">
        <f t="shared" si="3"/>
        <v>34</v>
      </c>
      <c r="C42" s="771" t="str">
        <f t="shared" si="4"/>
        <v>Coverage34</v>
      </c>
      <c r="D42" s="798" t="s">
        <v>461</v>
      </c>
      <c r="E42" s="798" t="s">
        <v>462</v>
      </c>
      <c r="F42" s="798" t="s">
        <v>713</v>
      </c>
      <c r="G42" s="798" t="s">
        <v>702</v>
      </c>
      <c r="H42" s="799">
        <v>0</v>
      </c>
      <c r="I42" s="799">
        <v>0</v>
      </c>
      <c r="J42" s="798" t="s">
        <v>600</v>
      </c>
      <c r="K42" s="798"/>
      <c r="L42" s="798"/>
      <c r="M42" s="798" t="s">
        <v>714</v>
      </c>
      <c r="N42" s="791">
        <f>IFERROR(IF(INDEX(Disaggregation_1B!M$11:M$150,MATCH($C42,Disaggregation_1B!B$11:B$150,0))="","",INDEX(Disaggregation_1B!M$11:M$150,MATCH($C42,Disaggregation_1B!B$11:B$150,0))),"")</f>
        <v>1943</v>
      </c>
      <c r="O42" s="785">
        <f>IFERROR(IF(INDEX(Disaggregation_1B!N$11:N$150,MATCH($C42,Disaggregation_1B!B$11:B$150,0))="","",INDEX(Disaggregation_1B!N$11:N$150,MATCH($C42,Disaggregation_1B!B$11:B$150,0))),"")</f>
        <v>63702</v>
      </c>
      <c r="P42" s="800">
        <f>IFERROR(IF(INDEX(Disaggregation_1B!O$11:O$150,MATCH($C42,Disaggregation_1B!B$11:B$150,0))="","",INDEX(Disaggregation_1B!O$11:O$150,MATCH($C42,Disaggregation_1B!B$11:B$150,0))),"")</f>
        <v>3.050139713038837</v>
      </c>
      <c r="Q42" s="786" t="str">
        <f>IFERROR(IF(INDEX(Disaggregation_1B!P$11:P$150,MATCH($C42,Disaggregation_1B!B$11:B$150,0))="","",INDEX(Disaggregation_1B!P$11:P$150,MATCH($C42,Disaggregation_1B!B$11:B$150,0))),"")</f>
        <v>HMIS</v>
      </c>
      <c r="R42" s="786" t="str">
        <f>IFERROR(IF(INDEX(Disaggregation_1B!Q$11:Q$150,MATCH($C42,Disaggregation_1B!B$11:B$150,0))="","",INDEX(Disaggregation_1B!Q$11:Q$150,MATCH($C42,Disaggregation_1B!B$11:B$150,0))),"")</f>
        <v>Parmi les 63702 PVVIH sous ARV, 3% étaient des hommes âgés 15 à 24 ans</v>
      </c>
      <c r="S42" s="772">
        <f>INDEX(Disaggregation_1B!R$11:R$150,MATCH($C42,'Disaggregation1B_Import-Export'!$C$8:$C$239,0))</f>
        <v>0</v>
      </c>
      <c r="T42" s="791" t="str">
        <f>IFERROR(IF(INDEX(Disaggregation_1B!S$11:S$150,MATCH($C42,Disaggregation_1B!B$11:B$150,0))="","",INDEX(Disaggregation_1B!S$11:S$150,MATCH($C42,Disaggregation_1B!B$11:B$150,0))),"")</f>
        <v/>
      </c>
      <c r="U42" s="785" t="str">
        <f>IFERROR(IF(INDEX(Disaggregation_1B!T$11:T$150,MATCH($C42,Disaggregation_1B!B$11:B$150,0))="","",INDEX(Disaggregation_1B!T$11:T$150,MATCH($C42,Disaggregation_1B!B$11:B$150,0))),"")</f>
        <v/>
      </c>
      <c r="V42" s="800" t="str">
        <f>IFERROR(IF(INDEX(Disaggregation_1B!U$11:U$150,MATCH($C42,Disaggregation_1B!B$11:B$150,0))="","",INDEX(Disaggregation_1B!U$11:U$150,MATCH($C42,Disaggregation_1B!B$11:B$150,0))),"")</f>
        <v/>
      </c>
      <c r="W42" s="786" t="str">
        <f>IFERROR(IF(INDEX(Disaggregation_1B!V$11:V$150,MATCH($C42,Disaggregation_1B!B$11:B$150,0))="","",INDEX(Disaggregation_1B!V$11:V$150,MATCH($C42,Disaggregation_1B!B$11:B$150,0))),"")</f>
        <v/>
      </c>
      <c r="X42" s="786" t="str">
        <f>IFERROR(IF(INDEX(Disaggregation_1B!W$11:W$150,MATCH($C42,Disaggregation_1B!B$11:B$150,0))="","",INDEX(Disaggregation_1B!W$11:W$150,MATCH($C42,Disaggregation_1B!B$11:B$150,0))),"")</f>
        <v/>
      </c>
      <c r="Y42" s="772">
        <f>INDEX(Disaggregation_1B!X$11:X$150,MATCH($C42,'Disaggregation1B_Import-Export'!$C$8:$C$239,0))</f>
        <v>0</v>
      </c>
      <c r="Z42" s="772"/>
      <c r="AA42" s="772"/>
      <c r="AB42" s="772"/>
      <c r="AC42" s="772">
        <f>INDEX(Disaggregation_1B!AB$11:AB$150,MATCH($C42,'Disaggregation1B_Import-Export'!$C$8:$C$239,0))</f>
        <v>0</v>
      </c>
      <c r="AD42" s="772">
        <f>INDEX(Disaggregation_1B!AC$11:AC$150,MATCH($C42,'Disaggregation1B_Import-Export'!$C$8:$C$239,0))</f>
        <v>0</v>
      </c>
      <c r="AE42" s="785">
        <v>12</v>
      </c>
      <c r="AF42" s="772" t="str">
        <f t="shared" si="0"/>
        <v>TCS-1(M): Pourcentage de personnes vivant avec le VIH bénéficiant actuellement d'un traitement antirétroviral</v>
      </c>
      <c r="AG42" s="772" t="str">
        <f t="shared" si="1"/>
        <v>Homme 15-24 ans</v>
      </c>
      <c r="AH42" s="772" t="str">
        <f t="shared" si="2"/>
        <v>Sexe | Age</v>
      </c>
      <c r="AI42" s="786" t="s">
        <v>464</v>
      </c>
      <c r="AJ42" s="786" t="s">
        <v>463</v>
      </c>
      <c r="AK42" s="786" t="s">
        <v>715</v>
      </c>
      <c r="AL42" s="786" t="s">
        <v>716</v>
      </c>
      <c r="AM42" s="786" t="s">
        <v>706</v>
      </c>
      <c r="AN42" s="786" t="s">
        <v>707</v>
      </c>
      <c r="AO42" s="786" t="s">
        <v>679</v>
      </c>
      <c r="AP42" s="786"/>
      <c r="AQ42" s="786" t="s">
        <v>37</v>
      </c>
    </row>
    <row r="43" spans="1:43" x14ac:dyDescent="0.2">
      <c r="A43" s="772" t="s">
        <v>717</v>
      </c>
      <c r="B43" s="772">
        <f t="shared" si="3"/>
        <v>35</v>
      </c>
      <c r="C43" s="771" t="str">
        <f t="shared" si="4"/>
        <v>Coverage35</v>
      </c>
      <c r="D43" s="798" t="s">
        <v>461</v>
      </c>
      <c r="E43" s="798" t="s">
        <v>462</v>
      </c>
      <c r="F43" s="798" t="s">
        <v>718</v>
      </c>
      <c r="G43" s="798" t="s">
        <v>702</v>
      </c>
      <c r="H43" s="799">
        <v>0</v>
      </c>
      <c r="I43" s="799">
        <v>0</v>
      </c>
      <c r="J43" s="798" t="s">
        <v>600</v>
      </c>
      <c r="K43" s="798"/>
      <c r="L43" s="798"/>
      <c r="M43" s="798" t="s">
        <v>703</v>
      </c>
      <c r="N43" s="791">
        <f>IFERROR(IF(INDEX(Disaggregation_1B!M$11:M$150,MATCH($C43,Disaggregation_1B!B$11:B$150,0))="","",INDEX(Disaggregation_1B!M$11:M$150,MATCH($C43,Disaggregation_1B!B$11:B$150,0))),"")</f>
        <v>851</v>
      </c>
      <c r="O43" s="785">
        <f>IFERROR(IF(INDEX(Disaggregation_1B!N$11:N$150,MATCH($C43,Disaggregation_1B!B$11:B$150,0))="","",INDEX(Disaggregation_1B!N$11:N$150,MATCH($C43,Disaggregation_1B!B$11:B$150,0))),"")</f>
        <v>63702</v>
      </c>
      <c r="P43" s="800">
        <f>IFERROR(IF(INDEX(Disaggregation_1B!O$11:O$150,MATCH($C43,Disaggregation_1B!B$11:B$150,0))="","",INDEX(Disaggregation_1B!O$11:O$150,MATCH($C43,Disaggregation_1B!B$11:B$150,0))),"")</f>
        <v>1.3359078207905561</v>
      </c>
      <c r="Q43" s="786" t="str">
        <f>IFERROR(IF(INDEX(Disaggregation_1B!P$11:P$150,MATCH($C43,Disaggregation_1B!B$11:B$150,0))="","",INDEX(Disaggregation_1B!P$11:P$150,MATCH($C43,Disaggregation_1B!B$11:B$150,0))),"")</f>
        <v>HMIS</v>
      </c>
      <c r="R43" s="786" t="str">
        <f>IFERROR(IF(INDEX(Disaggregation_1B!Q$11:Q$150,MATCH($C43,Disaggregation_1B!B$11:B$150,0))="","",INDEX(Disaggregation_1B!Q$11:Q$150,MATCH($C43,Disaggregation_1B!B$11:B$150,0))),"")</f>
        <v>Parmi les 63702 PVVIH sous ARV, 1,3% étaient des hommes âgés 15 à 19 ans</v>
      </c>
      <c r="S43" s="772">
        <f>INDEX(Disaggregation_1B!R$11:R$150,MATCH($C43,'Disaggregation1B_Import-Export'!$C$8:$C$239,0))</f>
        <v>0</v>
      </c>
      <c r="T43" s="791" t="str">
        <f>IFERROR(IF(INDEX(Disaggregation_1B!S$11:S$150,MATCH($C43,Disaggregation_1B!B$11:B$150,0))="","",INDEX(Disaggregation_1B!S$11:S$150,MATCH($C43,Disaggregation_1B!B$11:B$150,0))),"")</f>
        <v/>
      </c>
      <c r="U43" s="785" t="str">
        <f>IFERROR(IF(INDEX(Disaggregation_1B!T$11:T$150,MATCH($C43,Disaggregation_1B!B$11:B$150,0))="","",INDEX(Disaggregation_1B!T$11:T$150,MATCH($C43,Disaggregation_1B!B$11:B$150,0))),"")</f>
        <v/>
      </c>
      <c r="V43" s="800" t="str">
        <f>IFERROR(IF(INDEX(Disaggregation_1B!U$11:U$150,MATCH($C43,Disaggregation_1B!B$11:B$150,0))="","",INDEX(Disaggregation_1B!U$11:U$150,MATCH($C43,Disaggregation_1B!B$11:B$150,0))),"")</f>
        <v/>
      </c>
      <c r="W43" s="786" t="str">
        <f>IFERROR(IF(INDEX(Disaggregation_1B!V$11:V$150,MATCH($C43,Disaggregation_1B!B$11:B$150,0))="","",INDEX(Disaggregation_1B!V$11:V$150,MATCH($C43,Disaggregation_1B!B$11:B$150,0))),"")</f>
        <v/>
      </c>
      <c r="X43" s="786" t="str">
        <f>IFERROR(IF(INDEX(Disaggregation_1B!W$11:W$150,MATCH($C43,Disaggregation_1B!B$11:B$150,0))="","",INDEX(Disaggregation_1B!W$11:W$150,MATCH($C43,Disaggregation_1B!B$11:B$150,0))),"")</f>
        <v/>
      </c>
      <c r="Y43" s="772">
        <f>INDEX(Disaggregation_1B!X$11:X$150,MATCH($C43,'Disaggregation1B_Import-Export'!$C$8:$C$239,0))</f>
        <v>0</v>
      </c>
      <c r="Z43" s="772"/>
      <c r="AA43" s="772"/>
      <c r="AB43" s="772"/>
      <c r="AC43" s="772">
        <f>INDEX(Disaggregation_1B!AB$11:AB$150,MATCH($C43,'Disaggregation1B_Import-Export'!$C$8:$C$239,0))</f>
        <v>0</v>
      </c>
      <c r="AD43" s="772">
        <f>INDEX(Disaggregation_1B!AC$11:AC$150,MATCH($C43,'Disaggregation1B_Import-Export'!$C$8:$C$239,0))</f>
        <v>0</v>
      </c>
      <c r="AE43" s="785">
        <v>12</v>
      </c>
      <c r="AF43" s="772" t="str">
        <f t="shared" si="0"/>
        <v>TCS-1(M): Pourcentage de personnes vivant avec le VIH bénéficiant actuellement d'un traitement antirétroviral</v>
      </c>
      <c r="AG43" s="772" t="str">
        <f t="shared" si="1"/>
        <v>Homme de 15 à 19</v>
      </c>
      <c r="AH43" s="772" t="str">
        <f t="shared" si="2"/>
        <v>Sexe | Age</v>
      </c>
      <c r="AI43" s="786" t="s">
        <v>464</v>
      </c>
      <c r="AJ43" s="786" t="s">
        <v>463</v>
      </c>
      <c r="AK43" s="786" t="s">
        <v>719</v>
      </c>
      <c r="AL43" s="786" t="s">
        <v>720</v>
      </c>
      <c r="AM43" s="786" t="s">
        <v>706</v>
      </c>
      <c r="AN43" s="786" t="s">
        <v>707</v>
      </c>
      <c r="AO43" s="786" t="s">
        <v>679</v>
      </c>
      <c r="AP43" s="786"/>
      <c r="AQ43" s="786" t="s">
        <v>37</v>
      </c>
    </row>
    <row r="44" spans="1:43" x14ac:dyDescent="0.2">
      <c r="A44" s="772" t="s">
        <v>721</v>
      </c>
      <c r="B44" s="772">
        <f t="shared" si="3"/>
        <v>36</v>
      </c>
      <c r="C44" s="771" t="str">
        <f t="shared" si="4"/>
        <v>Coverage36</v>
      </c>
      <c r="D44" s="798" t="s">
        <v>510</v>
      </c>
      <c r="E44" s="798" t="s">
        <v>511</v>
      </c>
      <c r="F44" s="798" t="s">
        <v>635</v>
      </c>
      <c r="G44" s="798" t="s">
        <v>625</v>
      </c>
      <c r="H44" s="799">
        <v>15371</v>
      </c>
      <c r="I44" s="799">
        <v>1528625</v>
      </c>
      <c r="J44" s="798" t="s">
        <v>600</v>
      </c>
      <c r="K44" s="798" t="s">
        <v>225</v>
      </c>
      <c r="L44" s="798" t="s">
        <v>722</v>
      </c>
      <c r="M44" s="798" t="s">
        <v>723</v>
      </c>
      <c r="N44" s="791">
        <f>IFERROR(IF(INDEX(Disaggregation_1B!M$11:M$150,MATCH($C44,Disaggregation_1B!B$11:B$150,0))="","",INDEX(Disaggregation_1B!M$11:M$150,MATCH($C44,Disaggregation_1B!B$11:B$150,0))),"")</f>
        <v>16403</v>
      </c>
      <c r="O44" s="785" t="str">
        <f>IFERROR(IF(INDEX(Disaggregation_1B!N$11:N$150,MATCH($C44,Disaggregation_1B!B$11:B$150,0))="","",INDEX(Disaggregation_1B!N$11:N$150,MATCH($C44,Disaggregation_1B!B$11:B$150,0))),"")</f>
        <v/>
      </c>
      <c r="P44" s="800" t="str">
        <f>IFERROR(IF(INDEX(Disaggregation_1B!O$11:O$150,MATCH($C44,Disaggregation_1B!B$11:B$150,0))="","",INDEX(Disaggregation_1B!O$11:O$150,MATCH($C44,Disaggregation_1B!B$11:B$150,0))),"")</f>
        <v/>
      </c>
      <c r="Q44" s="786" t="str">
        <f>IFERROR(IF(INDEX(Disaggregation_1B!P$11:P$150,MATCH($C44,Disaggregation_1B!B$11:B$150,0))="","",INDEX(Disaggregation_1B!P$11:P$150,MATCH($C44,Disaggregation_1B!B$11:B$150,0))),"")</f>
        <v>HMIS</v>
      </c>
      <c r="R44" s="786" t="str">
        <f>IFERROR(IF(INDEX(Disaggregation_1B!Q$11:Q$150,MATCH($C44,Disaggregation_1B!B$11:B$150,0))="","",INDEX(Disaggregation_1B!Q$11:Q$150,MATCH($C44,Disaggregation_1B!B$11:B$150,0))),"")</f>
        <v>Parmi les 1 029 372 personnes conseillés et dépistées au VIH, 16403 étaient positifs au VIH (taux de positivité de 1,59%)</v>
      </c>
      <c r="S44" s="772">
        <f>INDEX(Disaggregation_1B!R$11:R$150,MATCH($C44,'Disaggregation1B_Import-Export'!$C$8:$C$239,0))</f>
        <v>0</v>
      </c>
      <c r="T44" s="791" t="str">
        <f>IFERROR(IF(INDEX(Disaggregation_1B!S$11:S$150,MATCH($C44,Disaggregation_1B!B$11:B$150,0))="","",INDEX(Disaggregation_1B!S$11:S$150,MATCH($C44,Disaggregation_1B!B$11:B$150,0))),"")</f>
        <v/>
      </c>
      <c r="U44" s="785" t="str">
        <f>IFERROR(IF(INDEX(Disaggregation_1B!T$11:T$150,MATCH($C44,Disaggregation_1B!B$11:B$150,0))="","",INDEX(Disaggregation_1B!T$11:T$150,MATCH($C44,Disaggregation_1B!B$11:B$150,0))),"")</f>
        <v/>
      </c>
      <c r="V44" s="800" t="str">
        <f>IFERROR(IF(INDEX(Disaggregation_1B!U$11:U$150,MATCH($C44,Disaggregation_1B!B$11:B$150,0))="","",INDEX(Disaggregation_1B!U$11:U$150,MATCH($C44,Disaggregation_1B!B$11:B$150,0))),"")</f>
        <v/>
      </c>
      <c r="W44" s="786" t="str">
        <f>IFERROR(IF(INDEX(Disaggregation_1B!V$11:V$150,MATCH($C44,Disaggregation_1B!B$11:B$150,0))="","",INDEX(Disaggregation_1B!V$11:V$150,MATCH($C44,Disaggregation_1B!B$11:B$150,0))),"")</f>
        <v/>
      </c>
      <c r="X44" s="786" t="str">
        <f>IFERROR(IF(INDEX(Disaggregation_1B!W$11:W$150,MATCH($C44,Disaggregation_1B!B$11:B$150,0))="","",INDEX(Disaggregation_1B!W$11:W$150,MATCH($C44,Disaggregation_1B!B$11:B$150,0))),"")</f>
        <v/>
      </c>
      <c r="Y44" s="772">
        <f>INDEX(Disaggregation_1B!X$11:X$150,MATCH($C44,'Disaggregation1B_Import-Export'!$C$8:$C$239,0))</f>
        <v>0</v>
      </c>
      <c r="Z44" s="772"/>
      <c r="AA44" s="772"/>
      <c r="AB44" s="772"/>
      <c r="AC44" s="772">
        <f>INDEX(Disaggregation_1B!AB$11:AB$150,MATCH($C44,'Disaggregation1B_Import-Export'!$C$8:$C$239,0))</f>
        <v>0</v>
      </c>
      <c r="AD44" s="772">
        <f>INDEX(Disaggregation_1B!AC$11:AC$150,MATCH($C44,'Disaggregation1B_Import-Export'!$C$8:$C$239,0))</f>
        <v>0</v>
      </c>
      <c r="AE44" s="785">
        <v>20</v>
      </c>
      <c r="AF44" s="772" t="str">
        <f t="shared" si="0"/>
        <v>HTS-1: Nombre de personnes dépistées pour le VIH et ayant reçu leurs résultats durant la période de rapportage</v>
      </c>
      <c r="AG44" s="772" t="str">
        <f t="shared" si="1"/>
        <v>Positif</v>
      </c>
      <c r="AH44" s="772" t="str">
        <f t="shared" si="2"/>
        <v>Résultat du test VIH</v>
      </c>
      <c r="AI44" s="786" t="s">
        <v>513</v>
      </c>
      <c r="AJ44" s="786" t="s">
        <v>512</v>
      </c>
      <c r="AK44" s="786" t="s">
        <v>636</v>
      </c>
      <c r="AL44" s="786" t="s">
        <v>637</v>
      </c>
      <c r="AM44" s="786" t="s">
        <v>628</v>
      </c>
      <c r="AN44" s="786" t="s">
        <v>629</v>
      </c>
      <c r="AO44" s="786" t="s">
        <v>724</v>
      </c>
      <c r="AP44" s="786" t="s">
        <v>690</v>
      </c>
      <c r="AQ44" s="786" t="s">
        <v>37</v>
      </c>
    </row>
    <row r="45" spans="1:43" x14ac:dyDescent="0.2">
      <c r="A45" s="772" t="s">
        <v>725</v>
      </c>
      <c r="B45" s="772">
        <f t="shared" si="3"/>
        <v>37</v>
      </c>
      <c r="C45" s="771" t="str">
        <f t="shared" si="4"/>
        <v>Coverage37</v>
      </c>
      <c r="D45" s="798" t="s">
        <v>510</v>
      </c>
      <c r="E45" s="798" t="s">
        <v>511</v>
      </c>
      <c r="F45" s="798" t="s">
        <v>598</v>
      </c>
      <c r="G45" s="798" t="s">
        <v>599</v>
      </c>
      <c r="H45" s="799">
        <v>0</v>
      </c>
      <c r="I45" s="799">
        <v>0</v>
      </c>
      <c r="J45" s="798" t="s">
        <v>600</v>
      </c>
      <c r="K45" s="798"/>
      <c r="L45" s="798"/>
      <c r="M45" s="798" t="s">
        <v>726</v>
      </c>
      <c r="N45" s="791">
        <f>IFERROR(IF(INDEX(Disaggregation_1B!M$11:M$150,MATCH($C45,Disaggregation_1B!B$11:B$150,0))="","",INDEX(Disaggregation_1B!M$11:M$150,MATCH($C45,Disaggregation_1B!B$11:B$150,0))),"")</f>
        <v>742578</v>
      </c>
      <c r="O45" s="785" t="str">
        <f>IFERROR(IF(INDEX(Disaggregation_1B!N$11:N$150,MATCH($C45,Disaggregation_1B!B$11:B$150,0))="","",INDEX(Disaggregation_1B!N$11:N$150,MATCH($C45,Disaggregation_1B!B$11:B$150,0))),"")</f>
        <v/>
      </c>
      <c r="P45" s="800" t="str">
        <f>IFERROR(IF(INDEX(Disaggregation_1B!O$11:O$150,MATCH($C45,Disaggregation_1B!B$11:B$150,0))="","",INDEX(Disaggregation_1B!O$11:O$150,MATCH($C45,Disaggregation_1B!B$11:B$150,0))),"")</f>
        <v/>
      </c>
      <c r="Q45" s="786" t="str">
        <f>IFERROR(IF(INDEX(Disaggregation_1B!P$11:P$150,MATCH($C45,Disaggregation_1B!B$11:B$150,0))="","",INDEX(Disaggregation_1B!P$11:P$150,MATCH($C45,Disaggregation_1B!B$11:B$150,0))),"")</f>
        <v>HMIS</v>
      </c>
      <c r="R45" s="786" t="str">
        <f>IFERROR(IF(INDEX(Disaggregation_1B!Q$11:Q$150,MATCH($C45,Disaggregation_1B!B$11:B$150,0))="","",INDEX(Disaggregation_1B!Q$11:Q$150,MATCH($C45,Disaggregation_1B!B$11:B$150,0))),"")</f>
        <v>Parmi les 1029372 personnes conseillées et dépistées au VIH, 742578 étaient des hommes (72,13%)</v>
      </c>
      <c r="S45" s="772">
        <f>INDEX(Disaggregation_1B!R$11:R$150,MATCH($C45,'Disaggregation1B_Import-Export'!$C$8:$C$239,0))</f>
        <v>0</v>
      </c>
      <c r="T45" s="791" t="str">
        <f>IFERROR(IF(INDEX(Disaggregation_1B!S$11:S$150,MATCH($C45,Disaggregation_1B!B$11:B$150,0))="","",INDEX(Disaggregation_1B!S$11:S$150,MATCH($C45,Disaggregation_1B!B$11:B$150,0))),"")</f>
        <v/>
      </c>
      <c r="U45" s="785" t="str">
        <f>IFERROR(IF(INDEX(Disaggregation_1B!T$11:T$150,MATCH($C45,Disaggregation_1B!B$11:B$150,0))="","",INDEX(Disaggregation_1B!T$11:T$150,MATCH($C45,Disaggregation_1B!B$11:B$150,0))),"")</f>
        <v/>
      </c>
      <c r="V45" s="800" t="str">
        <f>IFERROR(IF(INDEX(Disaggregation_1B!U$11:U$150,MATCH($C45,Disaggregation_1B!B$11:B$150,0))="","",INDEX(Disaggregation_1B!U$11:U$150,MATCH($C45,Disaggregation_1B!B$11:B$150,0))),"")</f>
        <v/>
      </c>
      <c r="W45" s="786" t="str">
        <f>IFERROR(IF(INDEX(Disaggregation_1B!V$11:V$150,MATCH($C45,Disaggregation_1B!B$11:B$150,0))="","",INDEX(Disaggregation_1B!V$11:V$150,MATCH($C45,Disaggregation_1B!B$11:B$150,0))),"")</f>
        <v/>
      </c>
      <c r="X45" s="786" t="str">
        <f>IFERROR(IF(INDEX(Disaggregation_1B!W$11:W$150,MATCH($C45,Disaggregation_1B!B$11:B$150,0))="","",INDEX(Disaggregation_1B!W$11:W$150,MATCH($C45,Disaggregation_1B!B$11:B$150,0))),"")</f>
        <v/>
      </c>
      <c r="Y45" s="772">
        <f>INDEX(Disaggregation_1B!X$11:X$150,MATCH($C45,'Disaggregation1B_Import-Export'!$C$8:$C$239,0))</f>
        <v>0</v>
      </c>
      <c r="Z45" s="772"/>
      <c r="AA45" s="772"/>
      <c r="AB45" s="772"/>
      <c r="AC45" s="772">
        <f>INDEX(Disaggregation_1B!AB$11:AB$150,MATCH($C45,'Disaggregation1B_Import-Export'!$C$8:$C$239,0))</f>
        <v>0</v>
      </c>
      <c r="AD45" s="772">
        <f>INDEX(Disaggregation_1B!AC$11:AC$150,MATCH($C45,'Disaggregation1B_Import-Export'!$C$8:$C$239,0))</f>
        <v>0</v>
      </c>
      <c r="AE45" s="785">
        <v>20</v>
      </c>
      <c r="AF45" s="772" t="str">
        <f t="shared" si="0"/>
        <v>HTS-1: Nombre de personnes dépistées pour le VIH et ayant reçu leurs résultats durant la période de rapportage</v>
      </c>
      <c r="AG45" s="772" t="str">
        <f t="shared" si="1"/>
        <v>Femme</v>
      </c>
      <c r="AH45" s="772" t="str">
        <f t="shared" si="2"/>
        <v>Sexe</v>
      </c>
      <c r="AI45" s="786" t="s">
        <v>513</v>
      </c>
      <c r="AJ45" s="786" t="s">
        <v>512</v>
      </c>
      <c r="AK45" s="786" t="s">
        <v>602</v>
      </c>
      <c r="AL45" s="786" t="s">
        <v>603</v>
      </c>
      <c r="AM45" s="786" t="s">
        <v>604</v>
      </c>
      <c r="AN45" s="786" t="s">
        <v>605</v>
      </c>
      <c r="AO45" s="786" t="s">
        <v>727</v>
      </c>
      <c r="AP45" s="786"/>
      <c r="AQ45" s="786" t="s">
        <v>37</v>
      </c>
    </row>
    <row r="46" spans="1:43" x14ac:dyDescent="0.2">
      <c r="A46" s="772" t="s">
        <v>728</v>
      </c>
      <c r="B46" s="772">
        <f t="shared" si="3"/>
        <v>38</v>
      </c>
      <c r="C46" s="771" t="str">
        <f t="shared" si="4"/>
        <v>Coverage38</v>
      </c>
      <c r="D46" s="798" t="s">
        <v>510</v>
      </c>
      <c r="E46" s="798" t="s">
        <v>511</v>
      </c>
      <c r="F46" s="798" t="s">
        <v>639</v>
      </c>
      <c r="G46" s="798" t="s">
        <v>599</v>
      </c>
      <c r="H46" s="799">
        <v>0</v>
      </c>
      <c r="I46" s="799">
        <v>0</v>
      </c>
      <c r="J46" s="798" t="s">
        <v>600</v>
      </c>
      <c r="K46" s="798"/>
      <c r="L46" s="798"/>
      <c r="M46" s="798" t="s">
        <v>726</v>
      </c>
      <c r="N46" s="791">
        <f>IFERROR(IF(INDEX(Disaggregation_1B!M$11:M$150,MATCH($C46,Disaggregation_1B!B$11:B$150,0))="","",INDEX(Disaggregation_1B!M$11:M$150,MATCH($C46,Disaggregation_1B!B$11:B$150,0))),"")</f>
        <v>286794</v>
      </c>
      <c r="O46" s="785" t="str">
        <f>IFERROR(IF(INDEX(Disaggregation_1B!N$11:N$150,MATCH($C46,Disaggregation_1B!B$11:B$150,0))="","",INDEX(Disaggregation_1B!N$11:N$150,MATCH($C46,Disaggregation_1B!B$11:B$150,0))),"")</f>
        <v/>
      </c>
      <c r="P46" s="800" t="str">
        <f>IFERROR(IF(INDEX(Disaggregation_1B!O$11:O$150,MATCH($C46,Disaggregation_1B!B$11:B$150,0))="","",INDEX(Disaggregation_1B!O$11:O$150,MATCH($C46,Disaggregation_1B!B$11:B$150,0))),"")</f>
        <v/>
      </c>
      <c r="Q46" s="786" t="str">
        <f>IFERROR(IF(INDEX(Disaggregation_1B!P$11:P$150,MATCH($C46,Disaggregation_1B!B$11:B$150,0))="","",INDEX(Disaggregation_1B!P$11:P$150,MATCH($C46,Disaggregation_1B!B$11:B$150,0))),"")</f>
        <v>HMIS</v>
      </c>
      <c r="R46" s="786" t="str">
        <f>IFERROR(IF(INDEX(Disaggregation_1B!Q$11:Q$150,MATCH($C46,Disaggregation_1B!B$11:B$150,0))="","",INDEX(Disaggregation_1B!Q$11:Q$150,MATCH($C46,Disaggregation_1B!B$11:B$150,0))),"")</f>
        <v>Parmi les 1029372 personnes conseillées et dépistées au VIH, 286794 étaient des femmes (27,86%)</v>
      </c>
      <c r="S46" s="772">
        <f>INDEX(Disaggregation_1B!R$11:R$150,MATCH($C46,'Disaggregation1B_Import-Export'!$C$8:$C$239,0))</f>
        <v>0</v>
      </c>
      <c r="T46" s="791" t="str">
        <f>IFERROR(IF(INDEX(Disaggregation_1B!S$11:S$150,MATCH($C46,Disaggregation_1B!B$11:B$150,0))="","",INDEX(Disaggregation_1B!S$11:S$150,MATCH($C46,Disaggregation_1B!B$11:B$150,0))),"")</f>
        <v/>
      </c>
      <c r="U46" s="785" t="str">
        <f>IFERROR(IF(INDEX(Disaggregation_1B!T$11:T$150,MATCH($C46,Disaggregation_1B!B$11:B$150,0))="","",INDEX(Disaggregation_1B!T$11:T$150,MATCH($C46,Disaggregation_1B!B$11:B$150,0))),"")</f>
        <v/>
      </c>
      <c r="V46" s="800" t="str">
        <f>IFERROR(IF(INDEX(Disaggregation_1B!U$11:U$150,MATCH($C46,Disaggregation_1B!B$11:B$150,0))="","",INDEX(Disaggregation_1B!U$11:U$150,MATCH($C46,Disaggregation_1B!B$11:B$150,0))),"")</f>
        <v/>
      </c>
      <c r="W46" s="786" t="str">
        <f>IFERROR(IF(INDEX(Disaggregation_1B!V$11:V$150,MATCH($C46,Disaggregation_1B!B$11:B$150,0))="","",INDEX(Disaggregation_1B!V$11:V$150,MATCH($C46,Disaggregation_1B!B$11:B$150,0))),"")</f>
        <v/>
      </c>
      <c r="X46" s="786" t="str">
        <f>IFERROR(IF(INDEX(Disaggregation_1B!W$11:W$150,MATCH($C46,Disaggregation_1B!B$11:B$150,0))="","",INDEX(Disaggregation_1B!W$11:W$150,MATCH($C46,Disaggregation_1B!B$11:B$150,0))),"")</f>
        <v/>
      </c>
      <c r="Y46" s="772">
        <f>INDEX(Disaggregation_1B!X$11:X$150,MATCH($C46,'Disaggregation1B_Import-Export'!$C$8:$C$239,0))</f>
        <v>0</v>
      </c>
      <c r="Z46" s="772"/>
      <c r="AA46" s="772"/>
      <c r="AB46" s="772"/>
      <c r="AC46" s="772">
        <f>INDEX(Disaggregation_1B!AB$11:AB$150,MATCH($C46,'Disaggregation1B_Import-Export'!$C$8:$C$239,0))</f>
        <v>0</v>
      </c>
      <c r="AD46" s="772">
        <f>INDEX(Disaggregation_1B!AC$11:AC$150,MATCH($C46,'Disaggregation1B_Import-Export'!$C$8:$C$239,0))</f>
        <v>0</v>
      </c>
      <c r="AE46" s="785">
        <v>20</v>
      </c>
      <c r="AF46" s="772" t="str">
        <f t="shared" si="0"/>
        <v>HTS-1: Nombre de personnes dépistées pour le VIH et ayant reçu leurs résultats durant la période de rapportage</v>
      </c>
      <c r="AG46" s="772" t="str">
        <f t="shared" si="1"/>
        <v>Homme</v>
      </c>
      <c r="AH46" s="772" t="str">
        <f t="shared" si="2"/>
        <v>Sexe</v>
      </c>
      <c r="AI46" s="786" t="s">
        <v>513</v>
      </c>
      <c r="AJ46" s="786" t="s">
        <v>512</v>
      </c>
      <c r="AK46" s="786" t="s">
        <v>640</v>
      </c>
      <c r="AL46" s="786" t="s">
        <v>641</v>
      </c>
      <c r="AM46" s="786" t="s">
        <v>604</v>
      </c>
      <c r="AN46" s="786" t="s">
        <v>605</v>
      </c>
      <c r="AO46" s="786" t="s">
        <v>727</v>
      </c>
      <c r="AP46" s="786"/>
      <c r="AQ46" s="786" t="s">
        <v>37</v>
      </c>
    </row>
    <row r="47" spans="1:43" x14ac:dyDescent="0.2">
      <c r="A47" s="772" t="s">
        <v>729</v>
      </c>
      <c r="B47" s="772">
        <f t="shared" si="3"/>
        <v>39</v>
      </c>
      <c r="C47" s="771" t="str">
        <f t="shared" si="4"/>
        <v>Coverage39</v>
      </c>
      <c r="D47" s="798" t="s">
        <v>510</v>
      </c>
      <c r="E47" s="798" t="s">
        <v>511</v>
      </c>
      <c r="F47" s="798" t="s">
        <v>631</v>
      </c>
      <c r="G47" s="798" t="s">
        <v>625</v>
      </c>
      <c r="H47" s="799">
        <v>1513254</v>
      </c>
      <c r="I47" s="799">
        <v>1528625</v>
      </c>
      <c r="J47" s="798" t="s">
        <v>730</v>
      </c>
      <c r="K47" s="798" t="s">
        <v>225</v>
      </c>
      <c r="L47" s="798" t="s">
        <v>722</v>
      </c>
      <c r="M47" s="798" t="s">
        <v>731</v>
      </c>
      <c r="N47" s="791">
        <f>IFERROR(IF(INDEX(Disaggregation_1B!M$11:M$150,MATCH($C47,Disaggregation_1B!B$11:B$150,0))="","",INDEX(Disaggregation_1B!M$11:M$150,MATCH($C47,Disaggregation_1B!B$11:B$150,0))),"")</f>
        <v>1000834</v>
      </c>
      <c r="O47" s="785" t="str">
        <f>IFERROR(IF(INDEX(Disaggregation_1B!N$11:N$150,MATCH($C47,Disaggregation_1B!B$11:B$150,0))="","",INDEX(Disaggregation_1B!N$11:N$150,MATCH($C47,Disaggregation_1B!B$11:B$150,0))),"")</f>
        <v/>
      </c>
      <c r="P47" s="800" t="str">
        <f>IFERROR(IF(INDEX(Disaggregation_1B!O$11:O$150,MATCH($C47,Disaggregation_1B!B$11:B$150,0))="","",INDEX(Disaggregation_1B!O$11:O$150,MATCH($C47,Disaggregation_1B!B$11:B$150,0))),"")</f>
        <v/>
      </c>
      <c r="Q47" s="786" t="str">
        <f>IFERROR(IF(INDEX(Disaggregation_1B!P$11:P$150,MATCH($C47,Disaggregation_1B!B$11:B$150,0))="","",INDEX(Disaggregation_1B!P$11:P$150,MATCH($C47,Disaggregation_1B!B$11:B$150,0))),"")</f>
        <v>HMIS</v>
      </c>
      <c r="R47" s="786" t="str">
        <f>IFERROR(IF(INDEX(Disaggregation_1B!Q$11:Q$150,MATCH($C47,Disaggregation_1B!B$11:B$150,0))="","",INDEX(Disaggregation_1B!Q$11:Q$150,MATCH($C47,Disaggregation_1B!B$11:B$150,0))),"")</f>
        <v>Parmi les 1029372 tests VIH réalisés au cours de l'année 2019, 1 000 834 étaient négatifs (97,22%)</v>
      </c>
      <c r="S47" s="772">
        <f>INDEX(Disaggregation_1B!R$11:R$150,MATCH($C47,'Disaggregation1B_Import-Export'!$C$8:$C$239,0))</f>
        <v>0</v>
      </c>
      <c r="T47" s="791" t="str">
        <f>IFERROR(IF(INDEX(Disaggregation_1B!S$11:S$150,MATCH($C47,Disaggregation_1B!B$11:B$150,0))="","",INDEX(Disaggregation_1B!S$11:S$150,MATCH($C47,Disaggregation_1B!B$11:B$150,0))),"")</f>
        <v/>
      </c>
      <c r="U47" s="785" t="str">
        <f>IFERROR(IF(INDEX(Disaggregation_1B!T$11:T$150,MATCH($C47,Disaggregation_1B!B$11:B$150,0))="","",INDEX(Disaggregation_1B!T$11:T$150,MATCH($C47,Disaggregation_1B!B$11:B$150,0))),"")</f>
        <v/>
      </c>
      <c r="V47" s="800" t="str">
        <f>IFERROR(IF(INDEX(Disaggregation_1B!U$11:U$150,MATCH($C47,Disaggregation_1B!B$11:B$150,0))="","",INDEX(Disaggregation_1B!U$11:U$150,MATCH($C47,Disaggregation_1B!B$11:B$150,0))),"")</f>
        <v/>
      </c>
      <c r="W47" s="786" t="str">
        <f>IFERROR(IF(INDEX(Disaggregation_1B!V$11:V$150,MATCH($C47,Disaggregation_1B!B$11:B$150,0))="","",INDEX(Disaggregation_1B!V$11:V$150,MATCH($C47,Disaggregation_1B!B$11:B$150,0))),"")</f>
        <v/>
      </c>
      <c r="X47" s="786" t="str">
        <f>IFERROR(IF(INDEX(Disaggregation_1B!W$11:W$150,MATCH($C47,Disaggregation_1B!B$11:B$150,0))="","",INDEX(Disaggregation_1B!W$11:W$150,MATCH($C47,Disaggregation_1B!B$11:B$150,0))),"")</f>
        <v/>
      </c>
      <c r="Y47" s="772">
        <f>INDEX(Disaggregation_1B!X$11:X$150,MATCH($C47,'Disaggregation1B_Import-Export'!$C$8:$C$239,0))</f>
        <v>0</v>
      </c>
      <c r="Z47" s="772"/>
      <c r="AA47" s="772"/>
      <c r="AB47" s="772"/>
      <c r="AC47" s="772">
        <f>INDEX(Disaggregation_1B!AB$11:AB$150,MATCH($C47,'Disaggregation1B_Import-Export'!$C$8:$C$239,0))</f>
        <v>0</v>
      </c>
      <c r="AD47" s="772">
        <f>INDEX(Disaggregation_1B!AC$11:AC$150,MATCH($C47,'Disaggregation1B_Import-Export'!$C$8:$C$239,0))</f>
        <v>0</v>
      </c>
      <c r="AE47" s="785">
        <v>20</v>
      </c>
      <c r="AF47" s="772" t="str">
        <f t="shared" si="0"/>
        <v>HTS-1: Nombre de personnes dépistées pour le VIH et ayant reçu leurs résultats durant la période de rapportage</v>
      </c>
      <c r="AG47" s="772" t="str">
        <f t="shared" si="1"/>
        <v>Négatif</v>
      </c>
      <c r="AH47" s="772" t="str">
        <f t="shared" si="2"/>
        <v>Résultat du test VIH</v>
      </c>
      <c r="AI47" s="786" t="s">
        <v>513</v>
      </c>
      <c r="AJ47" s="786" t="s">
        <v>512</v>
      </c>
      <c r="AK47" s="786" t="s">
        <v>632</v>
      </c>
      <c r="AL47" s="786" t="s">
        <v>633</v>
      </c>
      <c r="AM47" s="786" t="s">
        <v>628</v>
      </c>
      <c r="AN47" s="786" t="s">
        <v>629</v>
      </c>
      <c r="AO47" s="786" t="s">
        <v>732</v>
      </c>
      <c r="AP47" s="786" t="s">
        <v>690</v>
      </c>
      <c r="AQ47" s="786" t="s">
        <v>37</v>
      </c>
    </row>
    <row r="48" spans="1:43" x14ac:dyDescent="0.2">
      <c r="D48" s="1079"/>
      <c r="E48" s="1077"/>
      <c r="F48" s="1077"/>
      <c r="G48" s="1077"/>
      <c r="H48" s="1077"/>
      <c r="I48" s="1077"/>
      <c r="J48" s="1077"/>
      <c r="K48" s="1077"/>
      <c r="L48" s="1077"/>
      <c r="M48" s="1077"/>
      <c r="N48" s="1059"/>
      <c r="O48" s="1059"/>
      <c r="P48" s="1059"/>
      <c r="Q48" s="1059"/>
      <c r="R48" s="1059"/>
      <c r="S48" s="1059"/>
      <c r="T48" s="1059"/>
      <c r="U48" s="1059"/>
      <c r="V48" s="1059"/>
      <c r="W48" s="1059"/>
      <c r="X48" s="1059"/>
      <c r="Y48" s="1059"/>
      <c r="Z48" s="1059"/>
      <c r="AA48" s="1059"/>
      <c r="AB48" s="1059"/>
      <c r="AC48" s="1078"/>
      <c r="AD48" s="1060"/>
    </row>
    <row r="49" spans="4:30" x14ac:dyDescent="0.2">
      <c r="D49" s="1079"/>
      <c r="E49" s="1077"/>
      <c r="F49" s="1077"/>
      <c r="G49" s="1077"/>
      <c r="H49" s="1077"/>
      <c r="I49" s="1077"/>
      <c r="J49" s="1077"/>
      <c r="K49" s="1077"/>
      <c r="L49" s="1077"/>
      <c r="M49" s="1077"/>
      <c r="N49" s="1059"/>
      <c r="O49" s="1059"/>
      <c r="P49" s="1059"/>
      <c r="Q49" s="1059"/>
      <c r="R49" s="1059"/>
      <c r="S49" s="1059"/>
      <c r="T49" s="1059"/>
      <c r="U49" s="1059"/>
      <c r="V49" s="1059"/>
      <c r="W49" s="1059"/>
      <c r="X49" s="1059"/>
      <c r="Y49" s="1059"/>
      <c r="Z49" s="1059"/>
      <c r="AA49" s="1059"/>
      <c r="AB49" s="1059"/>
      <c r="AC49" s="1078"/>
      <c r="AD49" s="1060"/>
    </row>
    <row r="50" spans="4:30" x14ac:dyDescent="0.2">
      <c r="D50" s="1079"/>
      <c r="E50" s="1077"/>
      <c r="F50" s="1077"/>
      <c r="G50" s="1077"/>
      <c r="H50" s="1077"/>
      <c r="I50" s="1077"/>
      <c r="J50" s="1077"/>
      <c r="K50" s="1077"/>
      <c r="L50" s="1077"/>
      <c r="M50" s="1077"/>
      <c r="N50" s="1059"/>
      <c r="O50" s="1059"/>
      <c r="P50" s="1059"/>
      <c r="Q50" s="1059"/>
      <c r="R50" s="1059"/>
      <c r="S50" s="1059"/>
      <c r="T50" s="1059"/>
      <c r="U50" s="1059"/>
      <c r="V50" s="1059"/>
      <c r="W50" s="1059"/>
      <c r="X50" s="1059"/>
      <c r="Y50" s="1059"/>
      <c r="Z50" s="1059"/>
      <c r="AA50" s="1059"/>
      <c r="AB50" s="1059"/>
      <c r="AC50" s="1078"/>
      <c r="AD50" s="1060"/>
    </row>
    <row r="51" spans="4:30" x14ac:dyDescent="0.2">
      <c r="D51" s="1079"/>
      <c r="E51" s="1077"/>
      <c r="F51" s="1077"/>
      <c r="G51" s="1077"/>
      <c r="H51" s="1077"/>
      <c r="I51" s="1077"/>
      <c r="J51" s="1077"/>
      <c r="K51" s="1077"/>
      <c r="L51" s="1077"/>
      <c r="M51" s="1077"/>
      <c r="N51" s="1059"/>
      <c r="O51" s="1059"/>
      <c r="P51" s="1059"/>
      <c r="Q51" s="1059"/>
      <c r="R51" s="1059"/>
      <c r="S51" s="1059"/>
      <c r="T51" s="1059"/>
      <c r="U51" s="1059"/>
      <c r="V51" s="1059"/>
      <c r="W51" s="1059"/>
      <c r="X51" s="1059"/>
      <c r="Y51" s="1059"/>
      <c r="Z51" s="1059"/>
      <c r="AA51" s="1059"/>
      <c r="AB51" s="1059"/>
      <c r="AC51" s="1078"/>
      <c r="AD51" s="1060"/>
    </row>
    <row r="52" spans="4:30" x14ac:dyDescent="0.2">
      <c r="D52" s="1079"/>
      <c r="E52" s="1077"/>
      <c r="F52" s="1077"/>
      <c r="G52" s="1077"/>
      <c r="H52" s="1077"/>
      <c r="I52" s="1077"/>
      <c r="J52" s="1077"/>
      <c r="K52" s="1077"/>
      <c r="L52" s="1077"/>
      <c r="M52" s="1077"/>
      <c r="N52" s="1059"/>
      <c r="O52" s="1059"/>
      <c r="P52" s="1059"/>
      <c r="Q52" s="1059"/>
      <c r="R52" s="1059"/>
      <c r="S52" s="1059"/>
      <c r="T52" s="1059"/>
      <c r="U52" s="1059"/>
      <c r="V52" s="1059"/>
      <c r="W52" s="1059"/>
      <c r="X52" s="1059"/>
      <c r="Y52" s="1059"/>
      <c r="Z52" s="1059"/>
      <c r="AA52" s="1059"/>
      <c r="AB52" s="1059"/>
      <c r="AC52" s="1078"/>
      <c r="AD52" s="1060"/>
    </row>
    <row r="53" spans="4:30" x14ac:dyDescent="0.2">
      <c r="D53" s="1079"/>
      <c r="E53" s="1077"/>
      <c r="F53" s="1077"/>
      <c r="G53" s="1077"/>
      <c r="H53" s="1077"/>
      <c r="I53" s="1077"/>
      <c r="J53" s="1077"/>
      <c r="K53" s="1077"/>
      <c r="L53" s="1077"/>
      <c r="M53" s="1077"/>
      <c r="N53" s="1059"/>
      <c r="O53" s="1059"/>
      <c r="P53" s="1059"/>
      <c r="Q53" s="1059"/>
      <c r="R53" s="1059"/>
      <c r="S53" s="1059"/>
      <c r="T53" s="1059"/>
      <c r="U53" s="1059"/>
      <c r="V53" s="1059"/>
      <c r="W53" s="1059"/>
      <c r="X53" s="1059"/>
      <c r="Y53" s="1059"/>
      <c r="Z53" s="1059"/>
      <c r="AA53" s="1059"/>
      <c r="AB53" s="1059"/>
      <c r="AC53" s="1078"/>
      <c r="AD53" s="1060"/>
    </row>
    <row r="54" spans="4:30" x14ac:dyDescent="0.2">
      <c r="D54" s="1079"/>
      <c r="E54" s="1077"/>
      <c r="F54" s="1077"/>
      <c r="G54" s="1077"/>
      <c r="H54" s="1077"/>
      <c r="I54" s="1077"/>
      <c r="J54" s="1077"/>
      <c r="K54" s="1077"/>
      <c r="L54" s="1077"/>
      <c r="M54" s="1077"/>
      <c r="N54" s="1059"/>
      <c r="O54" s="1059"/>
      <c r="P54" s="1059"/>
      <c r="Q54" s="1059"/>
      <c r="R54" s="1059"/>
      <c r="S54" s="1059"/>
      <c r="T54" s="1059"/>
      <c r="U54" s="1059"/>
      <c r="V54" s="1059"/>
      <c r="W54" s="1059"/>
      <c r="X54" s="1059"/>
      <c r="Y54" s="1059"/>
      <c r="Z54" s="1059"/>
      <c r="AA54" s="1059"/>
      <c r="AB54" s="1059"/>
      <c r="AC54" s="1078"/>
      <c r="AD54" s="1060"/>
    </row>
    <row r="55" spans="4:30" x14ac:dyDescent="0.2">
      <c r="D55" s="1079"/>
      <c r="E55" s="1077"/>
      <c r="F55" s="1077"/>
      <c r="G55" s="1077"/>
      <c r="H55" s="1077"/>
      <c r="I55" s="1077"/>
      <c r="J55" s="1077"/>
      <c r="K55" s="1077"/>
      <c r="L55" s="1077"/>
      <c r="M55" s="1077"/>
      <c r="N55" s="1059"/>
      <c r="O55" s="1059"/>
      <c r="P55" s="1059"/>
      <c r="Q55" s="1059"/>
      <c r="R55" s="1059"/>
      <c r="S55" s="1059"/>
      <c r="T55" s="1059"/>
      <c r="U55" s="1059"/>
      <c r="V55" s="1059"/>
      <c r="W55" s="1059"/>
      <c r="X55" s="1059"/>
      <c r="Y55" s="1059"/>
      <c r="Z55" s="1059"/>
      <c r="AA55" s="1059"/>
      <c r="AB55" s="1059"/>
      <c r="AC55" s="1078"/>
      <c r="AD55" s="1060"/>
    </row>
    <row r="56" spans="4:30" x14ac:dyDescent="0.2">
      <c r="D56" s="1079"/>
      <c r="E56" s="1077"/>
      <c r="F56" s="1077"/>
      <c r="G56" s="1077"/>
      <c r="H56" s="1077"/>
      <c r="I56" s="1077"/>
      <c r="J56" s="1077"/>
      <c r="K56" s="1077"/>
      <c r="L56" s="1077"/>
      <c r="M56" s="1077"/>
      <c r="N56" s="1059"/>
      <c r="O56" s="1059"/>
      <c r="P56" s="1059"/>
      <c r="Q56" s="1059"/>
      <c r="R56" s="1059"/>
      <c r="S56" s="1059"/>
      <c r="T56" s="1059"/>
      <c r="U56" s="1059"/>
      <c r="V56" s="1059"/>
      <c r="W56" s="1059"/>
      <c r="X56" s="1059"/>
      <c r="Y56" s="1059"/>
      <c r="Z56" s="1059"/>
      <c r="AA56" s="1059"/>
      <c r="AB56" s="1059"/>
      <c r="AC56" s="1078"/>
      <c r="AD56" s="1060"/>
    </row>
    <row r="57" spans="4:30" x14ac:dyDescent="0.2">
      <c r="D57" s="1079"/>
      <c r="E57" s="1077"/>
      <c r="F57" s="1077"/>
      <c r="G57" s="1077"/>
      <c r="H57" s="1077"/>
      <c r="I57" s="1077"/>
      <c r="J57" s="1077"/>
      <c r="K57" s="1077"/>
      <c r="L57" s="1077"/>
      <c r="M57" s="1077"/>
      <c r="N57" s="1059"/>
      <c r="O57" s="1059"/>
      <c r="P57" s="1059"/>
      <c r="Q57" s="1059"/>
      <c r="R57" s="1059"/>
      <c r="S57" s="1059"/>
      <c r="T57" s="1059"/>
      <c r="U57" s="1059"/>
      <c r="V57" s="1059"/>
      <c r="W57" s="1059"/>
      <c r="X57" s="1059"/>
      <c r="Y57" s="1059"/>
      <c r="Z57" s="1059"/>
      <c r="AA57" s="1059"/>
      <c r="AB57" s="1059"/>
      <c r="AC57" s="1078"/>
      <c r="AD57" s="1060"/>
    </row>
    <row r="58" spans="4:30" x14ac:dyDescent="0.2">
      <c r="D58" s="1079"/>
      <c r="E58" s="1077"/>
      <c r="F58" s="1077"/>
      <c r="G58" s="1077"/>
      <c r="H58" s="1077"/>
      <c r="I58" s="1077"/>
      <c r="J58" s="1077"/>
      <c r="K58" s="1077"/>
      <c r="L58" s="1077"/>
      <c r="M58" s="1077"/>
      <c r="N58" s="1059"/>
      <c r="O58" s="1059"/>
      <c r="P58" s="1059"/>
      <c r="Q58" s="1059"/>
      <c r="R58" s="1059"/>
      <c r="S58" s="1059"/>
      <c r="T58" s="1059"/>
      <c r="U58" s="1059"/>
      <c r="V58" s="1059"/>
      <c r="W58" s="1059"/>
      <c r="X58" s="1059"/>
      <c r="Y58" s="1059"/>
      <c r="Z58" s="1059"/>
      <c r="AA58" s="1059"/>
      <c r="AB58" s="1059"/>
      <c r="AC58" s="1078"/>
      <c r="AD58" s="1060"/>
    </row>
    <row r="59" spans="4:30" x14ac:dyDescent="0.2">
      <c r="D59" s="1079"/>
      <c r="E59" s="1077"/>
      <c r="F59" s="1077"/>
      <c r="G59" s="1077"/>
      <c r="H59" s="1077"/>
      <c r="I59" s="1077"/>
      <c r="J59" s="1077"/>
      <c r="K59" s="1077"/>
      <c r="L59" s="1077"/>
      <c r="M59" s="1077"/>
      <c r="N59" s="1059"/>
      <c r="O59" s="1059"/>
      <c r="P59" s="1059"/>
      <c r="Q59" s="1059"/>
      <c r="R59" s="1059"/>
      <c r="S59" s="1059"/>
      <c r="T59" s="1059"/>
      <c r="U59" s="1059"/>
      <c r="V59" s="1059"/>
      <c r="W59" s="1059"/>
      <c r="X59" s="1059"/>
      <c r="Y59" s="1059"/>
      <c r="Z59" s="1059"/>
      <c r="AA59" s="1059"/>
      <c r="AB59" s="1059"/>
      <c r="AC59" s="1078"/>
      <c r="AD59" s="1060"/>
    </row>
    <row r="60" spans="4:30" x14ac:dyDescent="0.2">
      <c r="D60" s="1079"/>
      <c r="E60" s="1077"/>
      <c r="F60" s="1077"/>
      <c r="G60" s="1077"/>
      <c r="H60" s="1077"/>
      <c r="I60" s="1077"/>
      <c r="J60" s="1077"/>
      <c r="K60" s="1077"/>
      <c r="L60" s="1077"/>
      <c r="M60" s="1077"/>
      <c r="N60" s="1059"/>
      <c r="O60" s="1059"/>
      <c r="P60" s="1059"/>
      <c r="Q60" s="1059"/>
      <c r="R60" s="1059"/>
      <c r="S60" s="1059"/>
      <c r="T60" s="1059"/>
      <c r="U60" s="1059"/>
      <c r="V60" s="1059"/>
      <c r="W60" s="1059"/>
      <c r="X60" s="1059"/>
      <c r="Y60" s="1059"/>
      <c r="Z60" s="1059"/>
      <c r="AA60" s="1059"/>
      <c r="AB60" s="1059"/>
      <c r="AC60" s="1078"/>
      <c r="AD60" s="1060"/>
    </row>
    <row r="61" spans="4:30" x14ac:dyDescent="0.2">
      <c r="D61" s="1079"/>
      <c r="E61" s="1077"/>
      <c r="F61" s="1077"/>
      <c r="G61" s="1077"/>
      <c r="H61" s="1077"/>
      <c r="I61" s="1077"/>
      <c r="J61" s="1077"/>
      <c r="K61" s="1077"/>
      <c r="L61" s="1077"/>
      <c r="M61" s="1077"/>
      <c r="N61" s="1059"/>
      <c r="O61" s="1059"/>
      <c r="P61" s="1059"/>
      <c r="Q61" s="1059"/>
      <c r="R61" s="1059"/>
      <c r="S61" s="1059"/>
      <c r="T61" s="1059"/>
      <c r="U61" s="1059"/>
      <c r="V61" s="1059"/>
      <c r="W61" s="1059"/>
      <c r="X61" s="1059"/>
      <c r="Y61" s="1059"/>
      <c r="Z61" s="1059"/>
      <c r="AA61" s="1059"/>
      <c r="AB61" s="1059"/>
      <c r="AC61" s="1078"/>
      <c r="AD61" s="1060"/>
    </row>
    <row r="62" spans="4:30" x14ac:dyDescent="0.2">
      <c r="D62" s="1079"/>
      <c r="E62" s="1077"/>
      <c r="F62" s="1077"/>
      <c r="G62" s="1077"/>
      <c r="H62" s="1077"/>
      <c r="I62" s="1077"/>
      <c r="J62" s="1077"/>
      <c r="K62" s="1077"/>
      <c r="L62" s="1077"/>
      <c r="M62" s="1077"/>
      <c r="N62" s="1059"/>
      <c r="O62" s="1059"/>
      <c r="P62" s="1059"/>
      <c r="Q62" s="1059"/>
      <c r="R62" s="1059"/>
      <c r="S62" s="1059"/>
      <c r="T62" s="1059"/>
      <c r="U62" s="1059"/>
      <c r="V62" s="1059"/>
      <c r="W62" s="1059"/>
      <c r="X62" s="1059"/>
      <c r="Y62" s="1059"/>
      <c r="Z62" s="1059"/>
      <c r="AA62" s="1059"/>
      <c r="AB62" s="1059"/>
      <c r="AC62" s="1078"/>
      <c r="AD62" s="1060"/>
    </row>
    <row r="63" spans="4:30" x14ac:dyDescent="0.2">
      <c r="D63" s="1079"/>
      <c r="E63" s="1077"/>
      <c r="F63" s="1077"/>
      <c r="G63" s="1077"/>
      <c r="H63" s="1077"/>
      <c r="I63" s="1077"/>
      <c r="J63" s="1077"/>
      <c r="K63" s="1077"/>
      <c r="L63" s="1077"/>
      <c r="M63" s="1077"/>
      <c r="N63" s="1059"/>
      <c r="O63" s="1059"/>
      <c r="P63" s="1059"/>
      <c r="Q63" s="1059"/>
      <c r="R63" s="1059"/>
      <c r="S63" s="1059"/>
      <c r="T63" s="1059"/>
      <c r="U63" s="1059"/>
      <c r="V63" s="1059"/>
      <c r="W63" s="1059"/>
      <c r="X63" s="1059"/>
      <c r="Y63" s="1059"/>
      <c r="Z63" s="1059"/>
      <c r="AA63" s="1059"/>
      <c r="AB63" s="1059"/>
      <c r="AC63" s="1078"/>
      <c r="AD63" s="1060"/>
    </row>
    <row r="64" spans="4:30" x14ac:dyDescent="0.2">
      <c r="D64" s="1079"/>
      <c r="E64" s="1077"/>
      <c r="F64" s="1077"/>
      <c r="G64" s="1077"/>
      <c r="H64" s="1077"/>
      <c r="I64" s="1077"/>
      <c r="J64" s="1077"/>
      <c r="K64" s="1077"/>
      <c r="L64" s="1077"/>
      <c r="M64" s="1077"/>
      <c r="N64" s="1059"/>
      <c r="O64" s="1059"/>
      <c r="P64" s="1059"/>
      <c r="Q64" s="1059"/>
      <c r="R64" s="1059"/>
      <c r="S64" s="1059"/>
      <c r="T64" s="1059"/>
      <c r="U64" s="1059"/>
      <c r="V64" s="1059"/>
      <c r="W64" s="1059"/>
      <c r="X64" s="1059"/>
      <c r="Y64" s="1059"/>
      <c r="Z64" s="1059"/>
      <c r="AA64" s="1059"/>
      <c r="AB64" s="1059"/>
      <c r="AC64" s="1078"/>
      <c r="AD64" s="1060"/>
    </row>
    <row r="65" spans="4:30" x14ac:dyDescent="0.2">
      <c r="D65" s="1079"/>
      <c r="E65" s="1077"/>
      <c r="F65" s="1077"/>
      <c r="G65" s="1077"/>
      <c r="H65" s="1077"/>
      <c r="I65" s="1077"/>
      <c r="J65" s="1077"/>
      <c r="K65" s="1077"/>
      <c r="L65" s="1077"/>
      <c r="M65" s="1077"/>
      <c r="N65" s="1059"/>
      <c r="O65" s="1059"/>
      <c r="P65" s="1059"/>
      <c r="Q65" s="1059"/>
      <c r="R65" s="1059"/>
      <c r="S65" s="1059"/>
      <c r="T65" s="1059"/>
      <c r="U65" s="1059"/>
      <c r="V65" s="1059"/>
      <c r="W65" s="1059"/>
      <c r="X65" s="1059"/>
      <c r="Y65" s="1059"/>
      <c r="Z65" s="1059"/>
      <c r="AA65" s="1059"/>
      <c r="AB65" s="1059"/>
      <c r="AC65" s="1078"/>
      <c r="AD65" s="1060"/>
    </row>
    <row r="66" spans="4:30" x14ac:dyDescent="0.2">
      <c r="D66" s="1079"/>
      <c r="E66" s="1077"/>
      <c r="F66" s="1077"/>
      <c r="G66" s="1077"/>
      <c r="H66" s="1077"/>
      <c r="I66" s="1077"/>
      <c r="J66" s="1077"/>
      <c r="K66" s="1077"/>
      <c r="L66" s="1077"/>
      <c r="M66" s="1077"/>
      <c r="N66" s="1059"/>
      <c r="O66" s="1059"/>
      <c r="P66" s="1059"/>
      <c r="Q66" s="1059"/>
      <c r="R66" s="1059"/>
      <c r="S66" s="1059"/>
      <c r="T66" s="1059"/>
      <c r="U66" s="1059"/>
      <c r="V66" s="1059"/>
      <c r="W66" s="1059"/>
      <c r="X66" s="1059"/>
      <c r="Y66" s="1059"/>
      <c r="Z66" s="1059"/>
      <c r="AA66" s="1059"/>
      <c r="AB66" s="1059"/>
      <c r="AC66" s="1078"/>
      <c r="AD66" s="1060"/>
    </row>
    <row r="67" spans="4:30" x14ac:dyDescent="0.2">
      <c r="D67" s="1079"/>
      <c r="E67" s="1077"/>
      <c r="F67" s="1077"/>
      <c r="G67" s="1077"/>
      <c r="H67" s="1077"/>
      <c r="I67" s="1077"/>
      <c r="J67" s="1077"/>
      <c r="K67" s="1077"/>
      <c r="L67" s="1077"/>
      <c r="M67" s="1077"/>
      <c r="N67" s="1059"/>
      <c r="O67" s="1059"/>
      <c r="P67" s="1059"/>
      <c r="Q67" s="1059"/>
      <c r="R67" s="1059"/>
      <c r="S67" s="1059"/>
      <c r="T67" s="1059"/>
      <c r="U67" s="1059"/>
      <c r="V67" s="1059"/>
      <c r="W67" s="1059"/>
      <c r="X67" s="1059"/>
      <c r="Y67" s="1059"/>
      <c r="Z67" s="1059"/>
      <c r="AA67" s="1059"/>
      <c r="AB67" s="1059"/>
      <c r="AC67" s="1078"/>
      <c r="AD67" s="1060"/>
    </row>
    <row r="68" spans="4:30" x14ac:dyDescent="0.2">
      <c r="D68" s="1079"/>
      <c r="E68" s="1077"/>
      <c r="F68" s="1077"/>
      <c r="G68" s="1077"/>
      <c r="H68" s="1077"/>
      <c r="I68" s="1077"/>
      <c r="J68" s="1077"/>
      <c r="K68" s="1077"/>
      <c r="L68" s="1077"/>
      <c r="M68" s="1077"/>
      <c r="N68" s="1059"/>
      <c r="O68" s="1059"/>
      <c r="P68" s="1059"/>
      <c r="Q68" s="1059"/>
      <c r="R68" s="1059"/>
      <c r="S68" s="1059"/>
      <c r="T68" s="1059"/>
      <c r="U68" s="1059"/>
      <c r="V68" s="1059"/>
      <c r="W68" s="1059"/>
      <c r="X68" s="1059"/>
      <c r="Y68" s="1059"/>
      <c r="Z68" s="1059"/>
      <c r="AA68" s="1059"/>
      <c r="AB68" s="1059"/>
      <c r="AC68" s="1078"/>
      <c r="AD68" s="1060"/>
    </row>
    <row r="69" spans="4:30" x14ac:dyDescent="0.2">
      <c r="D69" s="1079"/>
      <c r="E69" s="1077"/>
      <c r="F69" s="1077"/>
      <c r="G69" s="1077"/>
      <c r="H69" s="1077"/>
      <c r="I69" s="1077"/>
      <c r="J69" s="1077"/>
      <c r="K69" s="1077"/>
      <c r="L69" s="1077"/>
      <c r="M69" s="1077"/>
      <c r="N69" s="1059"/>
      <c r="O69" s="1059"/>
      <c r="P69" s="1059"/>
      <c r="Q69" s="1059"/>
      <c r="R69" s="1059"/>
      <c r="S69" s="1059"/>
      <c r="T69" s="1059"/>
      <c r="U69" s="1059"/>
      <c r="V69" s="1059"/>
      <c r="W69" s="1059"/>
      <c r="X69" s="1059"/>
      <c r="Y69" s="1059"/>
      <c r="Z69" s="1059"/>
      <c r="AA69" s="1059"/>
      <c r="AB69" s="1059"/>
      <c r="AC69" s="1078"/>
      <c r="AD69" s="1060"/>
    </row>
    <row r="70" spans="4:30" x14ac:dyDescent="0.2">
      <c r="D70" s="1079"/>
      <c r="E70" s="1077"/>
      <c r="F70" s="1077"/>
      <c r="G70" s="1077"/>
      <c r="H70" s="1077"/>
      <c r="I70" s="1077"/>
      <c r="J70" s="1077"/>
      <c r="K70" s="1077"/>
      <c r="L70" s="1077"/>
      <c r="M70" s="1077"/>
      <c r="N70" s="1059"/>
      <c r="O70" s="1059"/>
      <c r="P70" s="1059"/>
      <c r="Q70" s="1059"/>
      <c r="R70" s="1059"/>
      <c r="S70" s="1059"/>
      <c r="T70" s="1059"/>
      <c r="U70" s="1059"/>
      <c r="V70" s="1059"/>
      <c r="W70" s="1059"/>
      <c r="X70" s="1059"/>
      <c r="Y70" s="1059"/>
      <c r="Z70" s="1059"/>
      <c r="AA70" s="1059"/>
      <c r="AB70" s="1059"/>
      <c r="AC70" s="1078"/>
      <c r="AD70" s="1060"/>
    </row>
    <row r="71" spans="4:30" x14ac:dyDescent="0.2">
      <c r="D71" s="1079"/>
      <c r="E71" s="1077"/>
      <c r="F71" s="1077"/>
      <c r="G71" s="1077"/>
      <c r="H71" s="1077"/>
      <c r="I71" s="1077"/>
      <c r="J71" s="1077"/>
      <c r="K71" s="1077"/>
      <c r="L71" s="1077"/>
      <c r="M71" s="1077"/>
      <c r="N71" s="1059"/>
      <c r="O71" s="1059"/>
      <c r="P71" s="1059"/>
      <c r="Q71" s="1059"/>
      <c r="R71" s="1059"/>
      <c r="S71" s="1059"/>
      <c r="T71" s="1059"/>
      <c r="U71" s="1059"/>
      <c r="V71" s="1059"/>
      <c r="W71" s="1059"/>
      <c r="X71" s="1059"/>
      <c r="Y71" s="1059"/>
      <c r="Z71" s="1059"/>
      <c r="AA71" s="1059"/>
      <c r="AB71" s="1059"/>
      <c r="AC71" s="1078"/>
      <c r="AD71" s="1060"/>
    </row>
    <row r="72" spans="4:30" x14ac:dyDescent="0.2">
      <c r="D72" s="1079"/>
      <c r="E72" s="1077"/>
      <c r="F72" s="1077"/>
      <c r="G72" s="1077"/>
      <c r="H72" s="1077"/>
      <c r="I72" s="1077"/>
      <c r="J72" s="1077"/>
      <c r="K72" s="1077"/>
      <c r="L72" s="1077"/>
      <c r="M72" s="1077"/>
      <c r="N72" s="1059"/>
      <c r="O72" s="1059"/>
      <c r="P72" s="1059"/>
      <c r="Q72" s="1059"/>
      <c r="R72" s="1059"/>
      <c r="S72" s="1059"/>
      <c r="T72" s="1059"/>
      <c r="U72" s="1059"/>
      <c r="V72" s="1059"/>
      <c r="W72" s="1059"/>
      <c r="X72" s="1059"/>
      <c r="Y72" s="1059"/>
      <c r="Z72" s="1059"/>
      <c r="AA72" s="1059"/>
      <c r="AB72" s="1059"/>
      <c r="AC72" s="1078"/>
      <c r="AD72" s="1060"/>
    </row>
    <row r="73" spans="4:30" x14ac:dyDescent="0.2">
      <c r="D73" s="1079"/>
      <c r="E73" s="1077"/>
      <c r="F73" s="1077"/>
      <c r="G73" s="1077"/>
      <c r="H73" s="1077"/>
      <c r="I73" s="1077"/>
      <c r="J73" s="1077"/>
      <c r="K73" s="1077"/>
      <c r="L73" s="1077"/>
      <c r="M73" s="1077"/>
      <c r="N73" s="1059"/>
      <c r="O73" s="1059"/>
      <c r="P73" s="1059"/>
      <c r="Q73" s="1059"/>
      <c r="R73" s="1059"/>
      <c r="S73" s="1059"/>
      <c r="T73" s="1059"/>
      <c r="U73" s="1059"/>
      <c r="V73" s="1059"/>
      <c r="W73" s="1059"/>
      <c r="X73" s="1059"/>
      <c r="Y73" s="1059"/>
      <c r="Z73" s="1059"/>
      <c r="AA73" s="1059"/>
      <c r="AB73" s="1059"/>
      <c r="AC73" s="1078"/>
      <c r="AD73" s="1060"/>
    </row>
    <row r="74" spans="4:30" x14ac:dyDescent="0.2">
      <c r="D74" s="1079"/>
      <c r="E74" s="1077"/>
      <c r="F74" s="1077"/>
      <c r="G74" s="1077"/>
      <c r="H74" s="1077"/>
      <c r="I74" s="1077"/>
      <c r="J74" s="1077"/>
      <c r="K74" s="1077"/>
      <c r="L74" s="1077"/>
      <c r="M74" s="1077"/>
      <c r="N74" s="1059"/>
      <c r="O74" s="1059"/>
      <c r="P74" s="1059"/>
      <c r="Q74" s="1059"/>
      <c r="R74" s="1059"/>
      <c r="S74" s="1059"/>
      <c r="T74" s="1059"/>
      <c r="U74" s="1059"/>
      <c r="V74" s="1059"/>
      <c r="W74" s="1059"/>
      <c r="X74" s="1059"/>
      <c r="Y74" s="1059"/>
      <c r="Z74" s="1059"/>
      <c r="AA74" s="1059"/>
      <c r="AB74" s="1059"/>
      <c r="AC74" s="1078"/>
      <c r="AD74" s="1060"/>
    </row>
    <row r="75" spans="4:30" x14ac:dyDescent="0.2">
      <c r="D75" s="1079"/>
      <c r="E75" s="1077"/>
      <c r="F75" s="1077"/>
      <c r="G75" s="1077"/>
      <c r="H75" s="1077"/>
      <c r="I75" s="1077"/>
      <c r="J75" s="1077"/>
      <c r="K75" s="1077"/>
      <c r="L75" s="1077"/>
      <c r="M75" s="1077"/>
      <c r="N75" s="1059"/>
      <c r="O75" s="1059"/>
      <c r="P75" s="1059"/>
      <c r="Q75" s="1059"/>
      <c r="R75" s="1059"/>
      <c r="S75" s="1059"/>
      <c r="T75" s="1059"/>
      <c r="U75" s="1059"/>
      <c r="V75" s="1059"/>
      <c r="W75" s="1059"/>
      <c r="X75" s="1059"/>
      <c r="Y75" s="1059"/>
      <c r="Z75" s="1059"/>
      <c r="AA75" s="1059"/>
      <c r="AB75" s="1059"/>
      <c r="AC75" s="1078"/>
      <c r="AD75" s="1060"/>
    </row>
    <row r="76" spans="4:30" x14ac:dyDescent="0.2">
      <c r="D76" s="1079"/>
      <c r="E76" s="1077"/>
      <c r="F76" s="1077"/>
      <c r="G76" s="1077"/>
      <c r="H76" s="1077"/>
      <c r="I76" s="1077"/>
      <c r="J76" s="1077"/>
      <c r="K76" s="1077"/>
      <c r="L76" s="1077"/>
      <c r="M76" s="1077"/>
      <c r="N76" s="1059"/>
      <c r="O76" s="1059"/>
      <c r="P76" s="1059"/>
      <c r="Q76" s="1059"/>
      <c r="R76" s="1059"/>
      <c r="S76" s="1059"/>
      <c r="T76" s="1059"/>
      <c r="U76" s="1059"/>
      <c r="V76" s="1059"/>
      <c r="W76" s="1059"/>
      <c r="X76" s="1059"/>
      <c r="Y76" s="1059"/>
      <c r="Z76" s="1059"/>
      <c r="AA76" s="1059"/>
      <c r="AB76" s="1059"/>
      <c r="AC76" s="1078"/>
      <c r="AD76" s="1060"/>
    </row>
    <row r="77" spans="4:30" x14ac:dyDescent="0.2">
      <c r="D77" s="1079"/>
      <c r="E77" s="1077"/>
      <c r="F77" s="1077"/>
      <c r="G77" s="1077"/>
      <c r="H77" s="1077"/>
      <c r="I77" s="1077"/>
      <c r="J77" s="1077"/>
      <c r="K77" s="1077"/>
      <c r="L77" s="1077"/>
      <c r="M77" s="1077"/>
      <c r="N77" s="1059"/>
      <c r="O77" s="1059"/>
      <c r="P77" s="1059"/>
      <c r="Q77" s="1059"/>
      <c r="R77" s="1059"/>
      <c r="S77" s="1059"/>
      <c r="T77" s="1059"/>
      <c r="U77" s="1059"/>
      <c r="V77" s="1059"/>
      <c r="W77" s="1059"/>
      <c r="X77" s="1059"/>
      <c r="Y77" s="1059"/>
      <c r="Z77" s="1059"/>
      <c r="AA77" s="1059"/>
      <c r="AB77" s="1059"/>
      <c r="AC77" s="1078"/>
      <c r="AD77" s="1060"/>
    </row>
    <row r="78" spans="4:30" x14ac:dyDescent="0.2">
      <c r="D78" s="1079"/>
      <c r="E78" s="1077"/>
      <c r="F78" s="1077"/>
      <c r="G78" s="1077"/>
      <c r="H78" s="1077"/>
      <c r="I78" s="1077"/>
      <c r="J78" s="1077"/>
      <c r="K78" s="1077"/>
      <c r="L78" s="1077"/>
      <c r="M78" s="1077"/>
      <c r="N78" s="1059"/>
      <c r="O78" s="1059"/>
      <c r="P78" s="1059"/>
      <c r="Q78" s="1059"/>
      <c r="R78" s="1059"/>
      <c r="S78" s="1059"/>
      <c r="T78" s="1059"/>
      <c r="U78" s="1059"/>
      <c r="V78" s="1059"/>
      <c r="W78" s="1059"/>
      <c r="X78" s="1059"/>
      <c r="Y78" s="1059"/>
      <c r="Z78" s="1059"/>
      <c r="AA78" s="1059"/>
      <c r="AB78" s="1059"/>
      <c r="AC78" s="1078"/>
      <c r="AD78" s="1060"/>
    </row>
    <row r="79" spans="4:30" x14ac:dyDescent="0.2">
      <c r="D79" s="1079"/>
      <c r="E79" s="1077"/>
      <c r="F79" s="1077"/>
      <c r="G79" s="1077"/>
      <c r="H79" s="1077"/>
      <c r="I79" s="1077"/>
      <c r="J79" s="1077"/>
      <c r="K79" s="1077"/>
      <c r="L79" s="1077"/>
      <c r="M79" s="1077"/>
      <c r="N79" s="1059"/>
      <c r="O79" s="1059"/>
      <c r="P79" s="1059"/>
      <c r="Q79" s="1059"/>
      <c r="R79" s="1059"/>
      <c r="S79" s="1059"/>
      <c r="T79" s="1059"/>
      <c r="U79" s="1059"/>
      <c r="V79" s="1059"/>
      <c r="W79" s="1059"/>
      <c r="X79" s="1059"/>
      <c r="Y79" s="1059"/>
      <c r="Z79" s="1059"/>
      <c r="AA79" s="1059"/>
      <c r="AB79" s="1059"/>
      <c r="AC79" s="1078"/>
      <c r="AD79" s="1060"/>
    </row>
    <row r="80" spans="4:30" x14ac:dyDescent="0.2">
      <c r="D80" s="1079"/>
      <c r="E80" s="1077"/>
      <c r="F80" s="1077"/>
      <c r="G80" s="1077"/>
      <c r="H80" s="1077"/>
      <c r="I80" s="1077"/>
      <c r="J80" s="1077"/>
      <c r="K80" s="1077"/>
      <c r="L80" s="1077"/>
      <c r="M80" s="1077"/>
      <c r="N80" s="1059"/>
      <c r="O80" s="1059"/>
      <c r="P80" s="1059"/>
      <c r="Q80" s="1059"/>
      <c r="R80" s="1059"/>
      <c r="S80" s="1059"/>
      <c r="T80" s="1059"/>
      <c r="U80" s="1059"/>
      <c r="V80" s="1059"/>
      <c r="W80" s="1059"/>
      <c r="X80" s="1059"/>
      <c r="Y80" s="1059"/>
      <c r="Z80" s="1059"/>
      <c r="AA80" s="1059"/>
      <c r="AB80" s="1059"/>
      <c r="AC80" s="1078"/>
      <c r="AD80" s="1060"/>
    </row>
    <row r="81" spans="4:30" x14ac:dyDescent="0.2">
      <c r="D81" s="1079"/>
      <c r="E81" s="1077"/>
      <c r="F81" s="1077"/>
      <c r="G81" s="1077"/>
      <c r="H81" s="1077"/>
      <c r="I81" s="1077"/>
      <c r="J81" s="1077"/>
      <c r="K81" s="1077"/>
      <c r="L81" s="1077"/>
      <c r="M81" s="1077"/>
      <c r="N81" s="1059"/>
      <c r="O81" s="1059"/>
      <c r="P81" s="1059"/>
      <c r="Q81" s="1059"/>
      <c r="R81" s="1059"/>
      <c r="S81" s="1059"/>
      <c r="T81" s="1059"/>
      <c r="U81" s="1059"/>
      <c r="V81" s="1059"/>
      <c r="W81" s="1059"/>
      <c r="X81" s="1059"/>
      <c r="Y81" s="1059"/>
      <c r="Z81" s="1059"/>
      <c r="AA81" s="1059"/>
      <c r="AB81" s="1059"/>
      <c r="AC81" s="1078"/>
      <c r="AD81" s="1060"/>
    </row>
    <row r="82" spans="4:30" x14ac:dyDescent="0.2">
      <c r="D82" s="1079"/>
      <c r="E82" s="1077"/>
      <c r="F82" s="1077"/>
      <c r="G82" s="1077"/>
      <c r="H82" s="1077"/>
      <c r="I82" s="1077"/>
      <c r="J82" s="1077"/>
      <c r="K82" s="1077"/>
      <c r="L82" s="1077"/>
      <c r="M82" s="1077"/>
      <c r="N82" s="1059"/>
      <c r="O82" s="1059"/>
      <c r="P82" s="1059"/>
      <c r="Q82" s="1059"/>
      <c r="R82" s="1059"/>
      <c r="S82" s="1059"/>
      <c r="T82" s="1059"/>
      <c r="U82" s="1059"/>
      <c r="V82" s="1059"/>
      <c r="W82" s="1059"/>
      <c r="X82" s="1059"/>
      <c r="Y82" s="1059"/>
      <c r="Z82" s="1059"/>
      <c r="AA82" s="1059"/>
      <c r="AB82" s="1059"/>
      <c r="AC82" s="1078"/>
      <c r="AD82" s="1060"/>
    </row>
    <row r="83" spans="4:30" x14ac:dyDescent="0.2">
      <c r="D83" s="1079"/>
      <c r="E83" s="1077"/>
      <c r="F83" s="1077"/>
      <c r="G83" s="1077"/>
      <c r="H83" s="1077"/>
      <c r="I83" s="1077"/>
      <c r="J83" s="1077"/>
      <c r="K83" s="1077"/>
      <c r="L83" s="1077"/>
      <c r="M83" s="1077"/>
      <c r="N83" s="1059"/>
      <c r="O83" s="1059"/>
      <c r="P83" s="1059"/>
      <c r="Q83" s="1059"/>
      <c r="R83" s="1059"/>
      <c r="S83" s="1059"/>
      <c r="T83" s="1059"/>
      <c r="U83" s="1059"/>
      <c r="V83" s="1059"/>
      <c r="W83" s="1059"/>
      <c r="X83" s="1059"/>
      <c r="Y83" s="1059"/>
      <c r="Z83" s="1059"/>
      <c r="AA83" s="1059"/>
      <c r="AB83" s="1059"/>
      <c r="AC83" s="1078"/>
      <c r="AD83" s="1060"/>
    </row>
    <row r="84" spans="4:30" x14ac:dyDescent="0.2">
      <c r="D84" s="1079"/>
      <c r="E84" s="1077"/>
      <c r="F84" s="1077"/>
      <c r="G84" s="1077"/>
      <c r="H84" s="1077"/>
      <c r="I84" s="1077"/>
      <c r="J84" s="1077"/>
      <c r="K84" s="1077"/>
      <c r="L84" s="1077"/>
      <c r="M84" s="1077"/>
      <c r="N84" s="1059"/>
      <c r="O84" s="1059"/>
      <c r="P84" s="1059"/>
      <c r="Q84" s="1059"/>
      <c r="R84" s="1059"/>
      <c r="S84" s="1059"/>
      <c r="T84" s="1059"/>
      <c r="U84" s="1059"/>
      <c r="V84" s="1059"/>
      <c r="W84" s="1059"/>
      <c r="X84" s="1059"/>
      <c r="Y84" s="1059"/>
      <c r="Z84" s="1059"/>
      <c r="AA84" s="1059"/>
      <c r="AB84" s="1059"/>
      <c r="AC84" s="1078"/>
      <c r="AD84" s="1060"/>
    </row>
    <row r="85" spans="4:30" x14ac:dyDescent="0.2">
      <c r="D85" s="1079"/>
      <c r="E85" s="1077"/>
      <c r="F85" s="1077"/>
      <c r="G85" s="1077"/>
      <c r="H85" s="1077"/>
      <c r="I85" s="1077"/>
      <c r="J85" s="1077"/>
      <c r="K85" s="1077"/>
      <c r="L85" s="1077"/>
      <c r="M85" s="1077"/>
      <c r="N85" s="1059"/>
      <c r="O85" s="1059"/>
      <c r="P85" s="1059"/>
      <c r="Q85" s="1059"/>
      <c r="R85" s="1059"/>
      <c r="S85" s="1059"/>
      <c r="T85" s="1059"/>
      <c r="U85" s="1059"/>
      <c r="V85" s="1059"/>
      <c r="W85" s="1059"/>
      <c r="X85" s="1059"/>
      <c r="Y85" s="1059"/>
      <c r="Z85" s="1059"/>
      <c r="AA85" s="1059"/>
      <c r="AB85" s="1059"/>
      <c r="AC85" s="1078"/>
      <c r="AD85" s="1060"/>
    </row>
    <row r="86" spans="4:30" x14ac:dyDescent="0.2">
      <c r="D86" s="1079"/>
      <c r="E86" s="1077"/>
      <c r="F86" s="1077"/>
      <c r="G86" s="1077"/>
      <c r="H86" s="1077"/>
      <c r="I86" s="1077"/>
      <c r="J86" s="1077"/>
      <c r="K86" s="1077"/>
      <c r="L86" s="1077"/>
      <c r="M86" s="1077"/>
      <c r="N86" s="1059"/>
      <c r="O86" s="1059"/>
      <c r="P86" s="1059"/>
      <c r="Q86" s="1059"/>
      <c r="R86" s="1059"/>
      <c r="S86" s="1059"/>
      <c r="T86" s="1059"/>
      <c r="U86" s="1059"/>
      <c r="V86" s="1059"/>
      <c r="W86" s="1059"/>
      <c r="X86" s="1059"/>
      <c r="Y86" s="1059"/>
      <c r="Z86" s="1059"/>
      <c r="AA86" s="1059"/>
      <c r="AB86" s="1059"/>
      <c r="AC86" s="1078"/>
      <c r="AD86" s="1060"/>
    </row>
    <row r="87" spans="4:30" ht="15.75" thickBot="1" x14ac:dyDescent="0.25">
      <c r="D87" s="1101"/>
      <c r="E87" s="1103"/>
      <c r="F87" s="1103"/>
      <c r="G87" s="1103"/>
      <c r="H87" s="1103"/>
      <c r="I87" s="1103"/>
      <c r="J87" s="1103"/>
      <c r="K87" s="1103"/>
      <c r="L87" s="1103"/>
      <c r="M87" s="1103"/>
      <c r="N87" s="1104"/>
      <c r="O87" s="1104"/>
      <c r="P87" s="1104"/>
      <c r="Q87" s="1104"/>
      <c r="R87" s="1104"/>
      <c r="S87" s="1104"/>
      <c r="T87" s="1104"/>
      <c r="U87" s="1104"/>
      <c r="V87" s="1104"/>
      <c r="W87" s="1104"/>
      <c r="X87" s="1104"/>
      <c r="Y87" s="1104"/>
      <c r="Z87" s="1104"/>
      <c r="AA87" s="1104"/>
      <c r="AB87" s="1104"/>
      <c r="AC87" s="1105"/>
      <c r="AD87" s="1106"/>
    </row>
  </sheetData>
  <mergeCells count="30">
    <mergeCell ref="AE6:AE7"/>
    <mergeCell ref="AC6:AC7"/>
    <mergeCell ref="AD6:AD7"/>
    <mergeCell ref="S6:S7"/>
    <mergeCell ref="T6:V6"/>
    <mergeCell ref="W6:W7"/>
    <mergeCell ref="X6:X7"/>
    <mergeCell ref="Y6:Y7"/>
    <mergeCell ref="Z6:AB6"/>
    <mergeCell ref="D2:X2"/>
    <mergeCell ref="D6:D7"/>
    <mergeCell ref="E6:E7"/>
    <mergeCell ref="F6:F7"/>
    <mergeCell ref="G6:G7"/>
    <mergeCell ref="H6:L6"/>
    <mergeCell ref="M6:M7"/>
    <mergeCell ref="N6:P6"/>
    <mergeCell ref="Q6:Q7"/>
    <mergeCell ref="R6:R7"/>
    <mergeCell ref="AF6:AF7"/>
    <mergeCell ref="AG6:AG7"/>
    <mergeCell ref="AH6:AH7"/>
    <mergeCell ref="AI6:AI7"/>
    <mergeCell ref="AJ6:AJ7"/>
    <mergeCell ref="AP6:AP7"/>
    <mergeCell ref="AK6:AK7"/>
    <mergeCell ref="AL6:AL7"/>
    <mergeCell ref="AM6:AM7"/>
    <mergeCell ref="AN6:AN7"/>
    <mergeCell ref="AO6:AO7"/>
  </mergeCells>
  <dataValidations count="12">
    <dataValidation type="custom" allowBlank="1" showInputMessage="1" showErrorMessage="1" errorTitle="X-Author for Excel" error="Id and Lookup fields are not editable." promptTitle="X-Author for Excel" sqref="A8:A47" xr:uid="{00000000-0002-0000-0B00-000000000000}">
      <formula1>""</formula1>
    </dataValidation>
    <dataValidation type="decimal" allowBlank="1" showInputMessage="1" showErrorMessage="1" errorTitle="X-Author for Excel" error="Please enter a valid numeric value. Valid range for Baseline N# is -1E+16 to 1E+16." promptTitle="X-Author for Excel" sqref="H8:H47" xr:uid="{00000000-0002-0000-0B00-000001000000}">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47" xr:uid="{00000000-0002-0000-0B00-000002000000}">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47" xr:uid="{00000000-0002-0000-0B00-000003000000}">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47" xr:uid="{00000000-0002-0000-0B00-000004000000}">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47" xr:uid="{00000000-0002-0000-0B00-000005000000}">
      <formula1>-999.9</formula1>
      <formula2>999.9</formula2>
    </dataValidation>
    <dataValidation type="list" allowBlank="1" showInputMessage="1" showErrorMessage="1" errorTitle="X-Author for Excel" error="Please select a value from the drop-down." promptTitle="X-Author for Excel" sqref="Q8:Q47" xr:uid="{00000000-0002-0000-0B00-000006000000}">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1E+16 to 1E+16." promptTitle="X-Author for Excel" sqref="T8:T47" xr:uid="{00000000-0002-0000-0B00-000007000000}">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47" xr:uid="{00000000-0002-0000-0B00-000008000000}">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47" xr:uid="{00000000-0002-0000-0B00-000009000000}">
      <formula1>-999.9</formula1>
      <formula2>999.9</formula2>
    </dataValidation>
    <dataValidation type="list" allowBlank="1" showInputMessage="1" showErrorMessage="1" errorTitle="X-Author for Excel" error="Please select a value from the drop-down." promptTitle="X-Author for Excel" sqref="W8:W47" xr:uid="{00000000-0002-0000-0B00-00000A000000}">
      <formula1>IF(IFERROR(ROWS(INDIRECT(SUBSTITUTE("AIM_Coverage_Disaggregation_Result__c.AIM_LFA_Source__c"," ","_"))),-1) &lt; 0, XAuthorInvalidPicklistData,INDIRECT(SUBSTITUTE("AIM_Coverage_Disaggregation_Result__c.AIM_LFA_Source__c"," ","_")))</formula1>
    </dataValidation>
    <dataValidation type="decimal" allowBlank="1" showInputMessage="1" showErrorMessage="1" errorTitle="X-Author for Excel" error="Please enter a valid numeric value. Valid range for Coverage Indicator Number is -1E+18 to 1E+18." promptTitle="X-Author for Excel" sqref="AE8:AE47" xr:uid="{00000000-0002-0000-0B00-00000B000000}">
      <formula1>-1000000000000000000</formula1>
      <formula2>1000000000000000000</formula2>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92D050"/>
  </sheetPr>
  <dimension ref="A1:S51"/>
  <sheetViews>
    <sheetView topLeftCell="C8" zoomScale="70" zoomScaleNormal="70" workbookViewId="0">
      <selection activeCell="H11" sqref="H11"/>
    </sheetView>
  </sheetViews>
  <sheetFormatPr baseColWidth="10" defaultColWidth="9.140625" defaultRowHeight="15" x14ac:dyDescent="0.2"/>
  <cols>
    <col min="1" max="1" width="5.85546875" style="648" hidden="1" customWidth="1"/>
    <col min="2" max="2" width="7" style="648" hidden="1" customWidth="1"/>
    <col min="3" max="3" width="34.140625" style="33" customWidth="1"/>
    <col min="4" max="4" width="43.85546875" style="33" customWidth="1"/>
    <col min="5" max="5" width="36.85546875" style="33" customWidth="1"/>
    <col min="6" max="6" width="19.85546875" style="33" customWidth="1"/>
    <col min="7" max="7" width="29.42578125" style="33" customWidth="1"/>
    <col min="8" max="8" width="18.140625" style="33" customWidth="1"/>
    <col min="9" max="9" width="23" style="33" customWidth="1"/>
    <col min="10" max="10" width="27.85546875" style="33" customWidth="1"/>
    <col min="11" max="11" width="23.140625" style="33" customWidth="1"/>
    <col min="12" max="12" width="42.140625" style="33" customWidth="1"/>
    <col min="13" max="13" width="20.42578125" style="33" customWidth="1"/>
    <col min="14" max="14" width="26.140625" style="33" customWidth="1"/>
    <col min="15" max="15" width="60.5703125" style="33" customWidth="1"/>
    <col min="16" max="17" width="19.140625" style="33" customWidth="1"/>
    <col min="18" max="18" width="43.42578125" style="33" customWidth="1"/>
    <col min="19" max="16384" width="9.140625" style="33"/>
  </cols>
  <sheetData>
    <row r="1" spans="1:19" ht="45.75" customHeight="1" thickBot="1" x14ac:dyDescent="0.25">
      <c r="C1" s="38" t="str">
        <f>CoverSheet!A1</f>
        <v>Rapport périodique sur les résultats actuels et demande de décaissement</v>
      </c>
      <c r="D1" s="39"/>
      <c r="E1" s="39"/>
      <c r="F1" s="39"/>
      <c r="G1" s="39"/>
      <c r="H1" s="39"/>
      <c r="I1" s="39"/>
      <c r="J1" s="39"/>
      <c r="K1" s="39"/>
      <c r="L1" s="39"/>
      <c r="M1" s="39"/>
      <c r="N1" s="39"/>
      <c r="O1" s="39"/>
      <c r="P1" s="39"/>
      <c r="Q1" s="39"/>
      <c r="R1" s="39"/>
    </row>
    <row r="2" spans="1:19" ht="13.5" customHeight="1" x14ac:dyDescent="0.2">
      <c r="C2" s="35"/>
      <c r="D2" s="34"/>
      <c r="E2" s="34"/>
      <c r="F2" s="34"/>
      <c r="G2" s="34"/>
      <c r="H2" s="34"/>
      <c r="I2" s="34"/>
      <c r="J2" s="34"/>
      <c r="K2" s="34"/>
      <c r="L2" s="34"/>
      <c r="M2" s="34"/>
      <c r="N2" s="34"/>
      <c r="O2" s="34"/>
      <c r="P2" s="34"/>
      <c r="Q2" s="34"/>
      <c r="R2" s="34"/>
      <c r="S2" s="34"/>
    </row>
    <row r="3" spans="1:19" ht="45" customHeight="1" x14ac:dyDescent="0.2">
      <c r="C3" s="1014" t="str">
        <f>VLOOKUP(Translations!B31,Translations!B3:H508,4,0)</f>
        <v>Section 1 : Information programmatique</v>
      </c>
      <c r="D3" s="1015"/>
      <c r="E3" s="1015"/>
      <c r="F3" s="1015"/>
      <c r="G3" s="1015"/>
      <c r="H3" s="1015"/>
      <c r="I3" s="1015"/>
      <c r="J3" s="1015"/>
      <c r="K3" s="1015"/>
      <c r="L3" s="1015"/>
      <c r="M3" s="1015"/>
      <c r="N3" s="1015"/>
      <c r="O3" s="1015"/>
      <c r="P3" s="1015"/>
      <c r="Q3" s="1015"/>
      <c r="R3" s="1015"/>
    </row>
    <row r="4" spans="1:19" x14ac:dyDescent="0.2">
      <c r="C4" s="34"/>
      <c r="D4" s="34"/>
      <c r="E4" s="34"/>
      <c r="F4" s="34"/>
      <c r="G4" s="34"/>
      <c r="H4" s="34"/>
      <c r="I4" s="34"/>
      <c r="J4" s="34"/>
      <c r="K4" s="34"/>
      <c r="L4" s="34"/>
      <c r="M4" s="34"/>
      <c r="N4" s="34"/>
      <c r="O4" s="34"/>
      <c r="P4" s="34"/>
      <c r="Q4" s="34"/>
      <c r="R4" s="34"/>
    </row>
    <row r="5" spans="1:19" ht="90.75" customHeight="1" x14ac:dyDescent="0.2">
      <c r="C5" s="1481" t="s">
        <v>733</v>
      </c>
      <c r="D5" s="1481"/>
      <c r="E5" s="1481"/>
      <c r="F5" s="1481"/>
      <c r="G5" s="1481"/>
      <c r="H5" s="1481"/>
      <c r="I5" s="1481"/>
      <c r="J5" s="1481"/>
      <c r="K5" s="1481"/>
      <c r="L5" s="1481"/>
      <c r="M5" s="1481"/>
      <c r="N5" s="1481"/>
      <c r="O5" s="1481"/>
      <c r="P5" s="1018"/>
      <c r="Q5" s="1018"/>
      <c r="R5" s="1018"/>
    </row>
    <row r="6" spans="1:19" x14ac:dyDescent="0.2">
      <c r="C6" s="34"/>
      <c r="D6" s="34"/>
      <c r="E6" s="34"/>
      <c r="F6" s="34"/>
      <c r="G6" s="34"/>
      <c r="H6" s="34"/>
      <c r="I6" s="34"/>
      <c r="J6" s="34"/>
      <c r="K6" s="34"/>
      <c r="L6" s="34"/>
      <c r="M6" s="34"/>
      <c r="N6" s="34"/>
      <c r="O6" s="34"/>
      <c r="P6" s="34"/>
      <c r="Q6" s="34"/>
      <c r="R6" s="34"/>
    </row>
    <row r="7" spans="1:19" ht="39" customHeight="1" x14ac:dyDescent="0.2">
      <c r="C7" s="1020" t="str">
        <f>VLOOKUP(Translations!B143,Translations!B3:H508,4,0)</f>
        <v>C- Mesures de suivi du plan de travail</v>
      </c>
      <c r="D7" s="1021"/>
      <c r="E7" s="1021"/>
      <c r="F7" s="1021"/>
      <c r="G7" s="1021"/>
      <c r="H7" s="1021"/>
      <c r="I7" s="1021"/>
      <c r="J7" s="1021"/>
      <c r="K7" s="1021"/>
      <c r="L7" s="1021"/>
      <c r="M7" s="1021"/>
      <c r="N7" s="1021"/>
      <c r="O7" s="1021"/>
      <c r="P7" s="1021"/>
      <c r="Q7" s="1021"/>
      <c r="R7" s="1021"/>
    </row>
    <row r="8" spans="1:19" ht="18.75" customHeight="1" thickBot="1" x14ac:dyDescent="0.25">
      <c r="C8" s="36"/>
      <c r="D8" s="37"/>
      <c r="E8" s="37"/>
      <c r="F8" s="37"/>
      <c r="G8" s="37"/>
      <c r="H8" s="37"/>
      <c r="I8" s="37"/>
      <c r="J8" s="37"/>
      <c r="K8" s="37"/>
      <c r="L8" s="37"/>
      <c r="M8" s="37"/>
      <c r="N8" s="37"/>
      <c r="O8" s="37"/>
      <c r="P8" s="37"/>
      <c r="Q8" s="37"/>
      <c r="R8" s="37"/>
    </row>
    <row r="9" spans="1:19" ht="28.5" customHeight="1" x14ac:dyDescent="0.2">
      <c r="C9" s="1438" t="str">
        <f>VLOOKUP(Translations!B144,Translations!B3:H508,4,0)</f>
        <v>Module</v>
      </c>
      <c r="D9" s="1433" t="str">
        <f>VLOOKUP(Translations!B145,Translations!B3:H508,4,0)</f>
        <v>Intervention</v>
      </c>
      <c r="E9" s="1433" t="str">
        <f>VLOOKUP(Translations!B146,Translations!B3:H508,4,0)</f>
        <v>Intervention personnalisé</v>
      </c>
      <c r="F9" s="1462" t="str">
        <f>VLOOKUP(Translations!B147,Translations!B3:H508,4,0)</f>
        <v>Activité</v>
      </c>
      <c r="G9" s="1466" t="str">
        <f>VLOOKUP(Translations!B148,Translations!B3:H508,4,0)</f>
        <v>Détails de l'activité- étapes clés/cibles</v>
      </c>
      <c r="H9" s="1462" t="str">
        <f>VLOOKUP(Translations!B149,Translations!B3:H508,4,0)</f>
        <v>Critère d'achèvement</v>
      </c>
      <c r="I9" s="1466" t="str">
        <f>VLOOKUP(Translations!B150,Translations!B3:H508,4,0)</f>
        <v>Pays (pour les subventions multipays)</v>
      </c>
      <c r="J9" s="1469" t="str">
        <f>VLOOKUP(Translations!B151,Translations!B3:H508,4,0)</f>
        <v>Progress Status</v>
      </c>
      <c r="K9" s="1491" t="str">
        <f>VLOOKUP(Translations!B152,Translations!B3:H508,4,0)</f>
        <v>Note</v>
      </c>
      <c r="L9" s="1419" t="str">
        <f>VLOOKUP(Translations!B153,Translations!B3:H508,4,0)</f>
        <v>Motifs de l'écart par rapport aux activités et étapes clés du plan de travail</v>
      </c>
      <c r="M9" s="1421" t="s">
        <v>734</v>
      </c>
      <c r="N9" s="1421" t="s">
        <v>735</v>
      </c>
      <c r="O9" s="1421" t="s">
        <v>736</v>
      </c>
      <c r="P9" s="1477" t="s">
        <v>737</v>
      </c>
      <c r="Q9" s="1477" t="s">
        <v>738</v>
      </c>
      <c r="R9" s="1423" t="s">
        <v>328</v>
      </c>
    </row>
    <row r="10" spans="1:19" ht="54" customHeight="1" thickBot="1" x14ac:dyDescent="0.25">
      <c r="C10" s="1482"/>
      <c r="D10" s="1483"/>
      <c r="E10" s="1483"/>
      <c r="F10" s="1484"/>
      <c r="G10" s="1485"/>
      <c r="H10" s="1486"/>
      <c r="I10" s="1487"/>
      <c r="J10" s="1488"/>
      <c r="K10" s="1492"/>
      <c r="L10" s="1493"/>
      <c r="M10" s="1494"/>
      <c r="N10" s="1494"/>
      <c r="O10" s="1494"/>
      <c r="P10" s="1489"/>
      <c r="Q10" s="1489"/>
      <c r="R10" s="1490"/>
    </row>
    <row r="11" spans="1:19" ht="185.25" customHeight="1" thickBot="1" x14ac:dyDescent="0.25">
      <c r="A11" s="648">
        <f>A10+1</f>
        <v>1</v>
      </c>
      <c r="B11" s="648" t="str">
        <f>"WPTM"&amp;A11</f>
        <v>WPTM1</v>
      </c>
      <c r="C11" s="510" t="str">
        <f>IFERROR(INDEX('WPTM_1C  Import-Export'!Z$8:Z201,MATCH($B11,'WPTM_1C  Import-Export'!$C$8:$C$201,0)),"")</f>
        <v>Programmes de prévention complets destinés aux consommateurs de drogues injectables et à leurs partenaires</v>
      </c>
      <c r="D11" s="511" t="str">
        <f>IFERROR(IF(INDEX('WPTM_1C  Import-Export'!E$8:E201,MATCH($B11,'WPTM_1C  Import-Export'!$C$8:$C$201,0))="","",INDEX('WPTM_1C  Import-Export'!E$8:E201,MATCH($B11,'WPTM_1C  Import-Export'!$C$8:$C$201,0))),"")</f>
        <v>Interventions pour le changement de comportement ciblant les consommateurs de drogues injectables</v>
      </c>
      <c r="E11" s="511" t="str">
        <f>IFERROR(IF(INDEX('WPTM_1C  Import-Export'!F$8:F201,MATCH($B11,'WPTM_1C  Import-Export'!$C$8:$C$201,0))="","",INDEX('WPTM_1C  Import-Export'!F$8:F201,MATCH($B11,'WPTM_1C  Import-Export'!$C$8:$C$201,0))),"")</f>
        <v/>
      </c>
      <c r="F11" s="511" t="str">
        <f>IFERROR(IF(INDEX('WPTM_1C  Import-Export'!AA$8:AA201,MATCH($B11,'WPTM_1C  Import-Export'!$C$8:$C$201,0))="","",INDEX('WPTM_1C  Import-Export'!AA$8:AA201,MATCH($B11,'WPTM_1C  Import-Export'!$C$8:$C$201,0))),"")</f>
        <v>- Formations des pairs éducateurs (30) pour atteindre 400-478 UDI chaque année.
- Création de 2 centres de convivialité pilotes à Gitega et Bujumbura; et
- Recrutement des conseillers pour les centres de convivialité.</v>
      </c>
      <c r="G11" s="511" t="str">
        <f>IFERROR(IF(INDEX('WPTM_1C  Import-Export'!AB$8:AB201,MATCH($B11,'WPTM_1C  Import-Export'!$C$8:$C$201,0))="","",INDEX('WPTM_1C  Import-Export'!AB$8:AB201,MATCH($B11,'WPTM_1C  Import-Export'!$C$8:$C$201,0))),"")</f>
        <v>438 UDI atteints (cumulatif annuel) avec le paquet de services de prévention (pair éducation, préservatifs, gels, accès au dépistage VIH et services VIH et IST).</v>
      </c>
      <c r="H11" s="511" t="str">
        <f>IFERROR(IF(INDEX('WPTM_1C  Import-Export'!I$8:I201,MATCH($B11,'WPTM_1C  Import-Export'!$C$8:$C$201,0))="","",INDEX('WPTM_1C  Import-Export'!I$8:I201,MATCH($B11,'WPTM_1C  Import-Export'!$C$8:$C$201,0))),"")</f>
        <v>438 UDI atteints (cumulatif annuel), tels que documentés à travers le rapportage des PE, compilé par le programme (SSR et SR CRB).
non commencé = 0-15% UDI atteints
commencé = 15-50% UDI atteints 
avancé = 50-80% UDI atteints 
complété = 80-100% UDI atteints avec le paquet de prévention</v>
      </c>
      <c r="I11" s="511"/>
      <c r="J11" s="662"/>
      <c r="K11" s="664" t="str">
        <f>IFERROR(IF(J11="Not Started",0,IF(J11="Started",1,IF(J11="Advancing",2,IF(J11="Completed",3," "))))," ")</f>
        <v xml:space="preserve"> </v>
      </c>
      <c r="L11" s="662"/>
      <c r="M11" s="662"/>
      <c r="N11" s="664" t="str">
        <f>IFERROR(IF(M11="Not Started",0,IF(M11="Started",1,IF(M11="Advancing",2,IF(M11="Completed",3," "))))," ")</f>
        <v xml:space="preserve"> </v>
      </c>
      <c r="O11" s="662"/>
      <c r="P11" s="662"/>
      <c r="Q11" s="664" t="str">
        <f>IFERROR(IF(P11="Not Started",0,IF(P11="Started",1,IF(P11="Advancing",2,IF(P11="Completed",3," "))))," ")</f>
        <v xml:space="preserve"> </v>
      </c>
      <c r="R11" s="663"/>
    </row>
    <row r="12" spans="1:19" ht="60" customHeight="1" thickBot="1" x14ac:dyDescent="0.25">
      <c r="A12" s="648">
        <f t="shared" ref="A12:A51" si="0">A11+1</f>
        <v>2</v>
      </c>
      <c r="B12" s="648" t="str">
        <f t="shared" ref="B12:B51" si="1">"WPTM"&amp;A12</f>
        <v>WPTM2</v>
      </c>
      <c r="C12" s="510" t="str">
        <f>IFERROR(INDEX('WPTM_1C  Import-Export'!Z$8:Z202,MATCH($B12,'WPTM_1C  Import-Export'!$C$8:$C$201,0)),"")</f>
        <v/>
      </c>
      <c r="D12" s="511" t="str">
        <f>IFERROR(IF(INDEX('WPTM_1C  Import-Export'!E$8:E202,MATCH($B12,'WPTM_1C  Import-Export'!$C$8:$C$201,0))="","",INDEX('WPTM_1C  Import-Export'!E$8:E202,MATCH($B12,'WPTM_1C  Import-Export'!$C$8:$C$201,0))),"")</f>
        <v/>
      </c>
      <c r="E12" s="511" t="str">
        <f>IFERROR(IF(INDEX('WPTM_1C  Import-Export'!F$8:F202,MATCH($B12,'WPTM_1C  Import-Export'!$C$8:$C$201,0))="","",INDEX('WPTM_1C  Import-Export'!F$8:F202,MATCH($B12,'WPTM_1C  Import-Export'!$C$8:$C$201,0))),"")</f>
        <v/>
      </c>
      <c r="F12" s="511" t="str">
        <f>IFERROR(IF(INDEX('WPTM_1C  Import-Export'!AA$8:AA202,MATCH($B12,'WPTM_1C  Import-Export'!$C$8:$C$201,0))="","",INDEX('WPTM_1C  Import-Export'!AA$8:AA202,MATCH($B12,'WPTM_1C  Import-Export'!$C$8:$C$201,0))),"")</f>
        <v/>
      </c>
      <c r="G12" s="511" t="str">
        <f>IFERROR(IF(INDEX('WPTM_1C  Import-Export'!AB$8:AB202,MATCH($B12,'WPTM_1C  Import-Export'!$C$8:$C$201,0))="","",INDEX('WPTM_1C  Import-Export'!AB$8:AB202,MATCH($B12,'WPTM_1C  Import-Export'!$C$8:$C$201,0))),"")</f>
        <v/>
      </c>
      <c r="H12" s="511" t="str">
        <f>IFERROR(IF(INDEX('WPTM_1C  Import-Export'!I$8:I202,MATCH($B12,'WPTM_1C  Import-Export'!$C$8:$C$201,0))="","",INDEX('WPTM_1C  Import-Export'!I$8:I202,MATCH($B12,'WPTM_1C  Import-Export'!$C$8:$C$201,0))),"")</f>
        <v/>
      </c>
      <c r="I12" s="511"/>
      <c r="J12" s="662"/>
      <c r="K12" s="664" t="str">
        <f t="shared" ref="K12:K51" si="2">IFERROR(IF(J12="Not Started",0,IF(J12="Started",1,IF(J12="Advancing",2,IF(J12="Completed",3," "))))," ")</f>
        <v xml:space="preserve"> </v>
      </c>
      <c r="L12" s="662"/>
      <c r="M12" s="662"/>
      <c r="N12" s="664" t="str">
        <f t="shared" ref="N12:N51" si="3">IFERROR(IF(M12="Not Started",0,IF(M12="Started",1,IF(M12="Advancing",2,IF(M12="Completed",3," "))))," ")</f>
        <v xml:space="preserve"> </v>
      </c>
      <c r="O12" s="662"/>
      <c r="P12" s="662"/>
      <c r="Q12" s="664" t="str">
        <f t="shared" ref="Q12:Q51" si="4">IFERROR(IF(P12="Not Started",0,IF(P12="Started",1,IF(P12="Advancing",2,IF(P12="Completed",3," "))))," ")</f>
        <v xml:space="preserve"> </v>
      </c>
      <c r="R12" s="663"/>
    </row>
    <row r="13" spans="1:19" ht="60" customHeight="1" thickBot="1" x14ac:dyDescent="0.25">
      <c r="A13" s="648">
        <f t="shared" si="0"/>
        <v>3</v>
      </c>
      <c r="B13" s="648" t="str">
        <f t="shared" si="1"/>
        <v>WPTM3</v>
      </c>
      <c r="C13" s="510" t="str">
        <f>IFERROR(INDEX('WPTM_1C  Import-Export'!Z$8:Z203,MATCH($B13,'WPTM_1C  Import-Export'!$C$8:$C$201,0)),"")</f>
        <v/>
      </c>
      <c r="D13" s="511" t="str">
        <f>IFERROR(IF(INDEX('WPTM_1C  Import-Export'!E$8:E203,MATCH($B13,'WPTM_1C  Import-Export'!$C$8:$C$201,0))="","",INDEX('WPTM_1C  Import-Export'!E$8:E203,MATCH($B13,'WPTM_1C  Import-Export'!$C$8:$C$201,0))),"")</f>
        <v/>
      </c>
      <c r="E13" s="511" t="str">
        <f>IFERROR(IF(INDEX('WPTM_1C  Import-Export'!F$8:F203,MATCH($B13,'WPTM_1C  Import-Export'!$C$8:$C$201,0))="","",INDEX('WPTM_1C  Import-Export'!F$8:F203,MATCH($B13,'WPTM_1C  Import-Export'!$C$8:$C$201,0))),"")</f>
        <v/>
      </c>
      <c r="F13" s="511" t="str">
        <f>IFERROR(IF(INDEX('WPTM_1C  Import-Export'!AA$8:AA203,MATCH($B13,'WPTM_1C  Import-Export'!$C$8:$C$201,0))="","",INDEX('WPTM_1C  Import-Export'!AA$8:AA203,MATCH($B13,'WPTM_1C  Import-Export'!$C$8:$C$201,0))),"")</f>
        <v/>
      </c>
      <c r="G13" s="511" t="str">
        <f>IFERROR(IF(INDEX('WPTM_1C  Import-Export'!AB$8:AB203,MATCH($B13,'WPTM_1C  Import-Export'!$C$8:$C$201,0))="","",INDEX('WPTM_1C  Import-Export'!AB$8:AB203,MATCH($B13,'WPTM_1C  Import-Export'!$C$8:$C$201,0))),"")</f>
        <v/>
      </c>
      <c r="H13" s="511" t="str">
        <f>IFERROR(IF(INDEX('WPTM_1C  Import-Export'!I$8:I203,MATCH($B13,'WPTM_1C  Import-Export'!$C$8:$C$201,0))="","",INDEX('WPTM_1C  Import-Export'!I$8:I203,MATCH($B13,'WPTM_1C  Import-Export'!$C$8:$C$201,0))),"")</f>
        <v/>
      </c>
      <c r="I13" s="511"/>
      <c r="J13" s="662"/>
      <c r="K13" s="664" t="str">
        <f t="shared" si="2"/>
        <v xml:space="preserve"> </v>
      </c>
      <c r="L13" s="662"/>
      <c r="M13" s="662"/>
      <c r="N13" s="664" t="str">
        <f t="shared" si="3"/>
        <v xml:space="preserve"> </v>
      </c>
      <c r="O13" s="662"/>
      <c r="P13" s="662"/>
      <c r="Q13" s="664" t="str">
        <f t="shared" si="4"/>
        <v xml:space="preserve"> </v>
      </c>
      <c r="R13" s="663"/>
    </row>
    <row r="14" spans="1:19" ht="60" customHeight="1" thickBot="1" x14ac:dyDescent="0.25">
      <c r="A14" s="648">
        <f t="shared" si="0"/>
        <v>4</v>
      </c>
      <c r="B14" s="648" t="str">
        <f t="shared" si="1"/>
        <v>WPTM4</v>
      </c>
      <c r="C14" s="510" t="str">
        <f>IFERROR(INDEX('WPTM_1C  Import-Export'!Z$8:Z204,MATCH($B14,'WPTM_1C  Import-Export'!$C$8:$C$201,0)),"")</f>
        <v/>
      </c>
      <c r="D14" s="511" t="str">
        <f>IFERROR(IF(INDEX('WPTM_1C  Import-Export'!E$8:E204,MATCH($B14,'WPTM_1C  Import-Export'!$C$8:$C$201,0))="","",INDEX('WPTM_1C  Import-Export'!E$8:E204,MATCH($B14,'WPTM_1C  Import-Export'!$C$8:$C$201,0))),"")</f>
        <v/>
      </c>
      <c r="E14" s="511" t="str">
        <f>IFERROR(IF(INDEX('WPTM_1C  Import-Export'!F$8:F204,MATCH($B14,'WPTM_1C  Import-Export'!$C$8:$C$201,0))="","",INDEX('WPTM_1C  Import-Export'!F$8:F204,MATCH($B14,'WPTM_1C  Import-Export'!$C$8:$C$201,0))),"")</f>
        <v/>
      </c>
      <c r="F14" s="511" t="str">
        <f>IFERROR(IF(INDEX('WPTM_1C  Import-Export'!AA$8:AA204,MATCH($B14,'WPTM_1C  Import-Export'!$C$8:$C$201,0))="","",INDEX('WPTM_1C  Import-Export'!AA$8:AA204,MATCH($B14,'WPTM_1C  Import-Export'!$C$8:$C$201,0))),"")</f>
        <v/>
      </c>
      <c r="G14" s="511" t="str">
        <f>IFERROR(IF(INDEX('WPTM_1C  Import-Export'!AB$8:AB204,MATCH($B14,'WPTM_1C  Import-Export'!$C$8:$C$201,0))="","",INDEX('WPTM_1C  Import-Export'!AB$8:AB204,MATCH($B14,'WPTM_1C  Import-Export'!$C$8:$C$201,0))),"")</f>
        <v/>
      </c>
      <c r="H14" s="511" t="str">
        <f>IFERROR(IF(INDEX('WPTM_1C  Import-Export'!I$8:I204,MATCH($B14,'WPTM_1C  Import-Export'!$C$8:$C$201,0))="","",INDEX('WPTM_1C  Import-Export'!I$8:I204,MATCH($B14,'WPTM_1C  Import-Export'!$C$8:$C$201,0))),"")</f>
        <v/>
      </c>
      <c r="I14" s="511"/>
      <c r="J14" s="662"/>
      <c r="K14" s="664" t="str">
        <f t="shared" si="2"/>
        <v xml:space="preserve"> </v>
      </c>
      <c r="L14" s="662"/>
      <c r="M14" s="662"/>
      <c r="N14" s="664" t="str">
        <f t="shared" si="3"/>
        <v xml:space="preserve"> </v>
      </c>
      <c r="O14" s="662"/>
      <c r="P14" s="662"/>
      <c r="Q14" s="664" t="str">
        <f t="shared" si="4"/>
        <v xml:space="preserve"> </v>
      </c>
      <c r="R14" s="663"/>
    </row>
    <row r="15" spans="1:19" ht="60" customHeight="1" thickBot="1" x14ac:dyDescent="0.25">
      <c r="A15" s="648">
        <f t="shared" si="0"/>
        <v>5</v>
      </c>
      <c r="B15" s="648" t="str">
        <f t="shared" si="1"/>
        <v>WPTM5</v>
      </c>
      <c r="C15" s="510" t="str">
        <f>IFERROR(INDEX('WPTM_1C  Import-Export'!Z$8:Z205,MATCH($B15,'WPTM_1C  Import-Export'!$C$8:$C$201,0)),"")</f>
        <v/>
      </c>
      <c r="D15" s="511" t="str">
        <f>IFERROR(IF(INDEX('WPTM_1C  Import-Export'!E$8:E205,MATCH($B15,'WPTM_1C  Import-Export'!$C$8:$C$201,0))="","",INDEX('WPTM_1C  Import-Export'!E$8:E205,MATCH($B15,'WPTM_1C  Import-Export'!$C$8:$C$201,0))),"")</f>
        <v/>
      </c>
      <c r="E15" s="511" t="str">
        <f>IFERROR(IF(INDEX('WPTM_1C  Import-Export'!F$8:F205,MATCH($B15,'WPTM_1C  Import-Export'!$C$8:$C$201,0))="","",INDEX('WPTM_1C  Import-Export'!F$8:F205,MATCH($B15,'WPTM_1C  Import-Export'!$C$8:$C$201,0))),"")</f>
        <v/>
      </c>
      <c r="F15" s="511" t="str">
        <f>IFERROR(IF(INDEX('WPTM_1C  Import-Export'!AA$8:AA205,MATCH($B15,'WPTM_1C  Import-Export'!$C$8:$C$201,0))="","",INDEX('WPTM_1C  Import-Export'!AA$8:AA205,MATCH($B15,'WPTM_1C  Import-Export'!$C$8:$C$201,0))),"")</f>
        <v/>
      </c>
      <c r="G15" s="511" t="str">
        <f>IFERROR(IF(INDEX('WPTM_1C  Import-Export'!AB$8:AB205,MATCH($B15,'WPTM_1C  Import-Export'!$C$8:$C$201,0))="","",INDEX('WPTM_1C  Import-Export'!AB$8:AB205,MATCH($B15,'WPTM_1C  Import-Export'!$C$8:$C$201,0))),"")</f>
        <v/>
      </c>
      <c r="H15" s="511" t="str">
        <f>IFERROR(IF(INDEX('WPTM_1C  Import-Export'!I$8:I205,MATCH($B15,'WPTM_1C  Import-Export'!$C$8:$C$201,0))="","",INDEX('WPTM_1C  Import-Export'!I$8:I205,MATCH($B15,'WPTM_1C  Import-Export'!$C$8:$C$201,0))),"")</f>
        <v/>
      </c>
      <c r="I15" s="511"/>
      <c r="J15" s="662"/>
      <c r="K15" s="664" t="str">
        <f t="shared" si="2"/>
        <v xml:space="preserve"> </v>
      </c>
      <c r="L15" s="662"/>
      <c r="M15" s="662"/>
      <c r="N15" s="664" t="str">
        <f t="shared" si="3"/>
        <v xml:space="preserve"> </v>
      </c>
      <c r="O15" s="662"/>
      <c r="P15" s="662"/>
      <c r="Q15" s="664" t="str">
        <f t="shared" si="4"/>
        <v xml:space="preserve"> </v>
      </c>
      <c r="R15" s="663"/>
    </row>
    <row r="16" spans="1:19" ht="60" customHeight="1" thickBot="1" x14ac:dyDescent="0.25">
      <c r="A16" s="648">
        <f t="shared" si="0"/>
        <v>6</v>
      </c>
      <c r="B16" s="648" t="str">
        <f t="shared" si="1"/>
        <v>WPTM6</v>
      </c>
      <c r="C16" s="510" t="str">
        <f>IFERROR(INDEX('WPTM_1C  Import-Export'!Z$8:Z206,MATCH($B16,'WPTM_1C  Import-Export'!$C$8:$C$201,0)),"")</f>
        <v/>
      </c>
      <c r="D16" s="511" t="str">
        <f>IFERROR(IF(INDEX('WPTM_1C  Import-Export'!E$8:E206,MATCH($B16,'WPTM_1C  Import-Export'!$C$8:$C$201,0))="","",INDEX('WPTM_1C  Import-Export'!E$8:E206,MATCH($B16,'WPTM_1C  Import-Export'!$C$8:$C$201,0))),"")</f>
        <v/>
      </c>
      <c r="E16" s="511" t="str">
        <f>IFERROR(IF(INDEX('WPTM_1C  Import-Export'!F$8:F206,MATCH($B16,'WPTM_1C  Import-Export'!$C$8:$C$201,0))="","",INDEX('WPTM_1C  Import-Export'!F$8:F206,MATCH($B16,'WPTM_1C  Import-Export'!$C$8:$C$201,0))),"")</f>
        <v/>
      </c>
      <c r="F16" s="511" t="str">
        <f>IFERROR(IF(INDEX('WPTM_1C  Import-Export'!AA$8:AA206,MATCH($B16,'WPTM_1C  Import-Export'!$C$8:$C$201,0))="","",INDEX('WPTM_1C  Import-Export'!AA$8:AA206,MATCH($B16,'WPTM_1C  Import-Export'!$C$8:$C$201,0))),"")</f>
        <v/>
      </c>
      <c r="G16" s="511" t="str">
        <f>IFERROR(IF(INDEX('WPTM_1C  Import-Export'!AB$8:AB206,MATCH($B16,'WPTM_1C  Import-Export'!$C$8:$C$201,0))="","",INDEX('WPTM_1C  Import-Export'!AB$8:AB206,MATCH($B16,'WPTM_1C  Import-Export'!$C$8:$C$201,0))),"")</f>
        <v/>
      </c>
      <c r="H16" s="511" t="str">
        <f>IFERROR(IF(INDEX('WPTM_1C  Import-Export'!I$8:I206,MATCH($B16,'WPTM_1C  Import-Export'!$C$8:$C$201,0))="","",INDEX('WPTM_1C  Import-Export'!I$8:I206,MATCH($B16,'WPTM_1C  Import-Export'!$C$8:$C$201,0))),"")</f>
        <v/>
      </c>
      <c r="I16" s="511"/>
      <c r="J16" s="662"/>
      <c r="K16" s="664" t="str">
        <f t="shared" si="2"/>
        <v xml:space="preserve"> </v>
      </c>
      <c r="L16" s="662"/>
      <c r="M16" s="662"/>
      <c r="N16" s="664" t="str">
        <f t="shared" si="3"/>
        <v xml:space="preserve"> </v>
      </c>
      <c r="O16" s="662"/>
      <c r="P16" s="662"/>
      <c r="Q16" s="664" t="str">
        <f t="shared" si="4"/>
        <v xml:space="preserve"> </v>
      </c>
      <c r="R16" s="663"/>
    </row>
    <row r="17" spans="1:18" ht="60" customHeight="1" thickBot="1" x14ac:dyDescent="0.25">
      <c r="A17" s="648">
        <f t="shared" si="0"/>
        <v>7</v>
      </c>
      <c r="B17" s="648" t="str">
        <f t="shared" si="1"/>
        <v>WPTM7</v>
      </c>
      <c r="C17" s="510" t="str">
        <f>IFERROR(INDEX('WPTM_1C  Import-Export'!Z$8:Z207,MATCH($B17,'WPTM_1C  Import-Export'!$C$8:$C$201,0)),"")</f>
        <v/>
      </c>
      <c r="D17" s="511" t="str">
        <f>IFERROR(IF(INDEX('WPTM_1C  Import-Export'!E$8:E207,MATCH($B17,'WPTM_1C  Import-Export'!$C$8:$C$201,0))="","",INDEX('WPTM_1C  Import-Export'!E$8:E207,MATCH($B17,'WPTM_1C  Import-Export'!$C$8:$C$201,0))),"")</f>
        <v/>
      </c>
      <c r="E17" s="511" t="str">
        <f>IFERROR(IF(INDEX('WPTM_1C  Import-Export'!F$8:F207,MATCH($B17,'WPTM_1C  Import-Export'!$C$8:$C$201,0))="","",INDEX('WPTM_1C  Import-Export'!F$8:F207,MATCH($B17,'WPTM_1C  Import-Export'!$C$8:$C$201,0))),"")</f>
        <v/>
      </c>
      <c r="F17" s="511" t="str">
        <f>IFERROR(IF(INDEX('WPTM_1C  Import-Export'!AA$8:AA207,MATCH($B17,'WPTM_1C  Import-Export'!$C$8:$C$201,0))="","",INDEX('WPTM_1C  Import-Export'!AA$8:AA207,MATCH($B17,'WPTM_1C  Import-Export'!$C$8:$C$201,0))),"")</f>
        <v/>
      </c>
      <c r="G17" s="511" t="str">
        <f>IFERROR(IF(INDEX('WPTM_1C  Import-Export'!AB$8:AB207,MATCH($B17,'WPTM_1C  Import-Export'!$C$8:$C$201,0))="","",INDEX('WPTM_1C  Import-Export'!AB$8:AB207,MATCH($B17,'WPTM_1C  Import-Export'!$C$8:$C$201,0))),"")</f>
        <v/>
      </c>
      <c r="H17" s="511" t="str">
        <f>IFERROR(IF(INDEX('WPTM_1C  Import-Export'!I$8:I207,MATCH($B17,'WPTM_1C  Import-Export'!$C$8:$C$201,0))="","",INDEX('WPTM_1C  Import-Export'!I$8:I207,MATCH($B17,'WPTM_1C  Import-Export'!$C$8:$C$201,0))),"")</f>
        <v/>
      </c>
      <c r="I17" s="511"/>
      <c r="J17" s="662"/>
      <c r="K17" s="664" t="str">
        <f t="shared" si="2"/>
        <v xml:space="preserve"> </v>
      </c>
      <c r="L17" s="662"/>
      <c r="M17" s="662"/>
      <c r="N17" s="664" t="str">
        <f t="shared" si="3"/>
        <v xml:space="preserve"> </v>
      </c>
      <c r="O17" s="662"/>
      <c r="P17" s="662"/>
      <c r="Q17" s="664" t="str">
        <f t="shared" si="4"/>
        <v xml:space="preserve"> </v>
      </c>
      <c r="R17" s="663"/>
    </row>
    <row r="18" spans="1:18" ht="60" customHeight="1" thickBot="1" x14ac:dyDescent="0.25">
      <c r="A18" s="648">
        <f t="shared" si="0"/>
        <v>8</v>
      </c>
      <c r="B18" s="648" t="str">
        <f t="shared" si="1"/>
        <v>WPTM8</v>
      </c>
      <c r="C18" s="510" t="str">
        <f>IFERROR(INDEX('WPTM_1C  Import-Export'!Z$8:Z208,MATCH($B18,'WPTM_1C  Import-Export'!$C$8:$C$201,0)),"")</f>
        <v/>
      </c>
      <c r="D18" s="511" t="str">
        <f>IFERROR(IF(INDEX('WPTM_1C  Import-Export'!E$8:E208,MATCH($B18,'WPTM_1C  Import-Export'!$C$8:$C$201,0))="","",INDEX('WPTM_1C  Import-Export'!E$8:E208,MATCH($B18,'WPTM_1C  Import-Export'!$C$8:$C$201,0))),"")</f>
        <v/>
      </c>
      <c r="E18" s="511" t="str">
        <f>IFERROR(IF(INDEX('WPTM_1C  Import-Export'!F$8:F208,MATCH($B18,'WPTM_1C  Import-Export'!$C$8:$C$201,0))="","",INDEX('WPTM_1C  Import-Export'!F$8:F208,MATCH($B18,'WPTM_1C  Import-Export'!$C$8:$C$201,0))),"")</f>
        <v/>
      </c>
      <c r="F18" s="511" t="str">
        <f>IFERROR(IF(INDEX('WPTM_1C  Import-Export'!AA$8:AA208,MATCH($B18,'WPTM_1C  Import-Export'!$C$8:$C$201,0))="","",INDEX('WPTM_1C  Import-Export'!AA$8:AA208,MATCH($B18,'WPTM_1C  Import-Export'!$C$8:$C$201,0))),"")</f>
        <v/>
      </c>
      <c r="G18" s="511" t="str">
        <f>IFERROR(IF(INDEX('WPTM_1C  Import-Export'!AB$8:AB208,MATCH($B18,'WPTM_1C  Import-Export'!$C$8:$C$201,0))="","",INDEX('WPTM_1C  Import-Export'!AB$8:AB208,MATCH($B18,'WPTM_1C  Import-Export'!$C$8:$C$201,0))),"")</f>
        <v/>
      </c>
      <c r="H18" s="511" t="str">
        <f>IFERROR(IF(INDEX('WPTM_1C  Import-Export'!I$8:I208,MATCH($B18,'WPTM_1C  Import-Export'!$C$8:$C$201,0))="","",INDEX('WPTM_1C  Import-Export'!I$8:I208,MATCH($B18,'WPTM_1C  Import-Export'!$C$8:$C$201,0))),"")</f>
        <v/>
      </c>
      <c r="I18" s="511"/>
      <c r="J18" s="662"/>
      <c r="K18" s="664" t="str">
        <f t="shared" si="2"/>
        <v xml:space="preserve"> </v>
      </c>
      <c r="L18" s="662"/>
      <c r="M18" s="662"/>
      <c r="N18" s="664" t="str">
        <f t="shared" si="3"/>
        <v xml:space="preserve"> </v>
      </c>
      <c r="O18" s="662"/>
      <c r="P18" s="662"/>
      <c r="Q18" s="664" t="str">
        <f t="shared" si="4"/>
        <v xml:space="preserve"> </v>
      </c>
      <c r="R18" s="663"/>
    </row>
    <row r="19" spans="1:18" ht="60" customHeight="1" thickBot="1" x14ac:dyDescent="0.25">
      <c r="A19" s="648">
        <f t="shared" si="0"/>
        <v>9</v>
      </c>
      <c r="B19" s="648" t="str">
        <f t="shared" si="1"/>
        <v>WPTM9</v>
      </c>
      <c r="C19" s="510" t="str">
        <f>IFERROR(INDEX('WPTM_1C  Import-Export'!Z$8:Z209,MATCH($B19,'WPTM_1C  Import-Export'!$C$8:$C$201,0)),"")</f>
        <v/>
      </c>
      <c r="D19" s="511" t="str">
        <f>IFERROR(IF(INDEX('WPTM_1C  Import-Export'!E$8:E209,MATCH($B19,'WPTM_1C  Import-Export'!$C$8:$C$201,0))="","",INDEX('WPTM_1C  Import-Export'!E$8:E209,MATCH($B19,'WPTM_1C  Import-Export'!$C$8:$C$201,0))),"")</f>
        <v/>
      </c>
      <c r="E19" s="511" t="str">
        <f>IFERROR(IF(INDEX('WPTM_1C  Import-Export'!F$8:F209,MATCH($B19,'WPTM_1C  Import-Export'!$C$8:$C$201,0))="","",INDEX('WPTM_1C  Import-Export'!F$8:F209,MATCH($B19,'WPTM_1C  Import-Export'!$C$8:$C$201,0))),"")</f>
        <v/>
      </c>
      <c r="F19" s="511" t="str">
        <f>IFERROR(IF(INDEX('WPTM_1C  Import-Export'!AA$8:AA209,MATCH($B19,'WPTM_1C  Import-Export'!$C$8:$C$201,0))="","",INDEX('WPTM_1C  Import-Export'!AA$8:AA209,MATCH($B19,'WPTM_1C  Import-Export'!$C$8:$C$201,0))),"")</f>
        <v/>
      </c>
      <c r="G19" s="511" t="str">
        <f>IFERROR(IF(INDEX('WPTM_1C  Import-Export'!AB$8:AB209,MATCH($B19,'WPTM_1C  Import-Export'!$C$8:$C$201,0))="","",INDEX('WPTM_1C  Import-Export'!AB$8:AB209,MATCH($B19,'WPTM_1C  Import-Export'!$C$8:$C$201,0))),"")</f>
        <v/>
      </c>
      <c r="H19" s="511" t="str">
        <f>IFERROR(IF(INDEX('WPTM_1C  Import-Export'!I$8:I209,MATCH($B19,'WPTM_1C  Import-Export'!$C$8:$C$201,0))="","",INDEX('WPTM_1C  Import-Export'!I$8:I209,MATCH($B19,'WPTM_1C  Import-Export'!$C$8:$C$201,0))),"")</f>
        <v/>
      </c>
      <c r="I19" s="511"/>
      <c r="J19" s="662"/>
      <c r="K19" s="664" t="str">
        <f t="shared" si="2"/>
        <v xml:space="preserve"> </v>
      </c>
      <c r="L19" s="662"/>
      <c r="M19" s="662"/>
      <c r="N19" s="664" t="str">
        <f t="shared" si="3"/>
        <v xml:space="preserve"> </v>
      </c>
      <c r="O19" s="662"/>
      <c r="P19" s="662"/>
      <c r="Q19" s="664" t="str">
        <f t="shared" si="4"/>
        <v xml:space="preserve"> </v>
      </c>
      <c r="R19" s="663"/>
    </row>
    <row r="20" spans="1:18" ht="60" customHeight="1" thickBot="1" x14ac:dyDescent="0.25">
      <c r="A20" s="648">
        <f t="shared" si="0"/>
        <v>10</v>
      </c>
      <c r="B20" s="648" t="str">
        <f t="shared" si="1"/>
        <v>WPTM10</v>
      </c>
      <c r="C20" s="510" t="str">
        <f>IFERROR(INDEX('WPTM_1C  Import-Export'!Z$8:Z210,MATCH($B20,'WPTM_1C  Import-Export'!$C$8:$C$201,0)),"")</f>
        <v/>
      </c>
      <c r="D20" s="511" t="str">
        <f>IFERROR(IF(INDEX('WPTM_1C  Import-Export'!E$8:E210,MATCH($B20,'WPTM_1C  Import-Export'!$C$8:$C$201,0))="","",INDEX('WPTM_1C  Import-Export'!E$8:E210,MATCH($B20,'WPTM_1C  Import-Export'!$C$8:$C$201,0))),"")</f>
        <v/>
      </c>
      <c r="E20" s="511" t="str">
        <f>IFERROR(IF(INDEX('WPTM_1C  Import-Export'!F$8:F210,MATCH($B20,'WPTM_1C  Import-Export'!$C$8:$C$201,0))="","",INDEX('WPTM_1C  Import-Export'!F$8:F210,MATCH($B20,'WPTM_1C  Import-Export'!$C$8:$C$201,0))),"")</f>
        <v/>
      </c>
      <c r="F20" s="511" t="str">
        <f>IFERROR(IF(INDEX('WPTM_1C  Import-Export'!AA$8:AA210,MATCH($B20,'WPTM_1C  Import-Export'!$C$8:$C$201,0))="","",INDEX('WPTM_1C  Import-Export'!AA$8:AA210,MATCH($B20,'WPTM_1C  Import-Export'!$C$8:$C$201,0))),"")</f>
        <v/>
      </c>
      <c r="G20" s="511" t="str">
        <f>IFERROR(IF(INDEX('WPTM_1C  Import-Export'!AB$8:AB210,MATCH($B20,'WPTM_1C  Import-Export'!$C$8:$C$201,0))="","",INDEX('WPTM_1C  Import-Export'!AB$8:AB210,MATCH($B20,'WPTM_1C  Import-Export'!$C$8:$C$201,0))),"")</f>
        <v/>
      </c>
      <c r="H20" s="511" t="str">
        <f>IFERROR(IF(INDEX('WPTM_1C  Import-Export'!I$8:I210,MATCH($B20,'WPTM_1C  Import-Export'!$C$8:$C$201,0))="","",INDEX('WPTM_1C  Import-Export'!I$8:I210,MATCH($B20,'WPTM_1C  Import-Export'!$C$8:$C$201,0))),"")</f>
        <v/>
      </c>
      <c r="I20" s="511"/>
      <c r="J20" s="662"/>
      <c r="K20" s="664" t="str">
        <f t="shared" si="2"/>
        <v xml:space="preserve"> </v>
      </c>
      <c r="L20" s="662"/>
      <c r="M20" s="662"/>
      <c r="N20" s="664" t="str">
        <f t="shared" si="3"/>
        <v xml:space="preserve"> </v>
      </c>
      <c r="O20" s="662"/>
      <c r="P20" s="662"/>
      <c r="Q20" s="664" t="str">
        <f t="shared" si="4"/>
        <v xml:space="preserve"> </v>
      </c>
      <c r="R20" s="663"/>
    </row>
    <row r="21" spans="1:18" ht="60" customHeight="1" thickBot="1" x14ac:dyDescent="0.25">
      <c r="A21" s="648">
        <f t="shared" si="0"/>
        <v>11</v>
      </c>
      <c r="B21" s="648" t="str">
        <f t="shared" si="1"/>
        <v>WPTM11</v>
      </c>
      <c r="C21" s="510" t="str">
        <f>IFERROR(INDEX('WPTM_1C  Import-Export'!Z$8:Z211,MATCH($B21,'WPTM_1C  Import-Export'!$C$8:$C$201,0)),"")</f>
        <v/>
      </c>
      <c r="D21" s="511" t="str">
        <f>IFERROR(IF(INDEX('WPTM_1C  Import-Export'!E$8:E211,MATCH($B21,'WPTM_1C  Import-Export'!$C$8:$C$201,0))="","",INDEX('WPTM_1C  Import-Export'!E$8:E211,MATCH($B21,'WPTM_1C  Import-Export'!$C$8:$C$201,0))),"")</f>
        <v/>
      </c>
      <c r="E21" s="511" t="str">
        <f>IFERROR(IF(INDEX('WPTM_1C  Import-Export'!F$8:F211,MATCH($B21,'WPTM_1C  Import-Export'!$C$8:$C$201,0))="","",INDEX('WPTM_1C  Import-Export'!F$8:F211,MATCH($B21,'WPTM_1C  Import-Export'!$C$8:$C$201,0))),"")</f>
        <v/>
      </c>
      <c r="F21" s="511" t="str">
        <f>IFERROR(IF(INDEX('WPTM_1C  Import-Export'!AA$8:AA211,MATCH($B21,'WPTM_1C  Import-Export'!$C$8:$C$201,0))="","",INDEX('WPTM_1C  Import-Export'!AA$8:AA211,MATCH($B21,'WPTM_1C  Import-Export'!$C$8:$C$201,0))),"")</f>
        <v/>
      </c>
      <c r="G21" s="511" t="str">
        <f>IFERROR(IF(INDEX('WPTM_1C  Import-Export'!AB$8:AB211,MATCH($B21,'WPTM_1C  Import-Export'!$C$8:$C$201,0))="","",INDEX('WPTM_1C  Import-Export'!AB$8:AB211,MATCH($B21,'WPTM_1C  Import-Export'!$C$8:$C$201,0))),"")</f>
        <v/>
      </c>
      <c r="H21" s="511" t="str">
        <f>IFERROR(IF(INDEX('WPTM_1C  Import-Export'!I$8:I211,MATCH($B21,'WPTM_1C  Import-Export'!$C$8:$C$201,0))="","",INDEX('WPTM_1C  Import-Export'!I$8:I211,MATCH($B21,'WPTM_1C  Import-Export'!$C$8:$C$201,0))),"")</f>
        <v/>
      </c>
      <c r="I21" s="511"/>
      <c r="J21" s="662"/>
      <c r="K21" s="664" t="str">
        <f t="shared" si="2"/>
        <v xml:space="preserve"> </v>
      </c>
      <c r="L21" s="662"/>
      <c r="M21" s="662"/>
      <c r="N21" s="664" t="str">
        <f t="shared" si="3"/>
        <v xml:space="preserve"> </v>
      </c>
      <c r="O21" s="662"/>
      <c r="P21" s="662"/>
      <c r="Q21" s="664" t="str">
        <f t="shared" si="4"/>
        <v xml:space="preserve"> </v>
      </c>
      <c r="R21" s="663"/>
    </row>
    <row r="22" spans="1:18" ht="60" customHeight="1" thickBot="1" x14ac:dyDescent="0.25">
      <c r="A22" s="648">
        <f t="shared" si="0"/>
        <v>12</v>
      </c>
      <c r="B22" s="648" t="str">
        <f t="shared" si="1"/>
        <v>WPTM12</v>
      </c>
      <c r="C22" s="510" t="str">
        <f>IFERROR(INDEX('WPTM_1C  Import-Export'!Z$8:Z212,MATCH($B22,'WPTM_1C  Import-Export'!$C$8:$C$201,0)),"")</f>
        <v/>
      </c>
      <c r="D22" s="511" t="str">
        <f>IFERROR(IF(INDEX('WPTM_1C  Import-Export'!E$8:E212,MATCH($B22,'WPTM_1C  Import-Export'!$C$8:$C$201,0))="","",INDEX('WPTM_1C  Import-Export'!E$8:E212,MATCH($B22,'WPTM_1C  Import-Export'!$C$8:$C$201,0))),"")</f>
        <v/>
      </c>
      <c r="E22" s="511" t="str">
        <f>IFERROR(IF(INDEX('WPTM_1C  Import-Export'!F$8:F212,MATCH($B22,'WPTM_1C  Import-Export'!$C$8:$C$201,0))="","",INDEX('WPTM_1C  Import-Export'!F$8:F212,MATCH($B22,'WPTM_1C  Import-Export'!$C$8:$C$201,0))),"")</f>
        <v/>
      </c>
      <c r="F22" s="511" t="str">
        <f>IFERROR(IF(INDEX('WPTM_1C  Import-Export'!AA$8:AA212,MATCH($B22,'WPTM_1C  Import-Export'!$C$8:$C$201,0))="","",INDEX('WPTM_1C  Import-Export'!AA$8:AA212,MATCH($B22,'WPTM_1C  Import-Export'!$C$8:$C$201,0))),"")</f>
        <v/>
      </c>
      <c r="G22" s="511" t="str">
        <f>IFERROR(IF(INDEX('WPTM_1C  Import-Export'!AB$8:AB212,MATCH($B22,'WPTM_1C  Import-Export'!$C$8:$C$201,0))="","",INDEX('WPTM_1C  Import-Export'!AB$8:AB212,MATCH($B22,'WPTM_1C  Import-Export'!$C$8:$C$201,0))),"")</f>
        <v/>
      </c>
      <c r="H22" s="511" t="str">
        <f>IFERROR(IF(INDEX('WPTM_1C  Import-Export'!I$8:I212,MATCH($B22,'WPTM_1C  Import-Export'!$C$8:$C$201,0))="","",INDEX('WPTM_1C  Import-Export'!I$8:I212,MATCH($B22,'WPTM_1C  Import-Export'!$C$8:$C$201,0))),"")</f>
        <v/>
      </c>
      <c r="I22" s="511"/>
      <c r="J22" s="662"/>
      <c r="K22" s="664" t="str">
        <f t="shared" si="2"/>
        <v xml:space="preserve"> </v>
      </c>
      <c r="L22" s="662"/>
      <c r="M22" s="662"/>
      <c r="N22" s="664" t="str">
        <f t="shared" si="3"/>
        <v xml:space="preserve"> </v>
      </c>
      <c r="O22" s="662"/>
      <c r="P22" s="662"/>
      <c r="Q22" s="664" t="str">
        <f t="shared" si="4"/>
        <v xml:space="preserve"> </v>
      </c>
      <c r="R22" s="663"/>
    </row>
    <row r="23" spans="1:18" ht="60" customHeight="1" thickBot="1" x14ac:dyDescent="0.25">
      <c r="A23" s="648">
        <f t="shared" si="0"/>
        <v>13</v>
      </c>
      <c r="B23" s="648" t="str">
        <f t="shared" si="1"/>
        <v>WPTM13</v>
      </c>
      <c r="C23" s="510" t="str">
        <f>IFERROR(INDEX('WPTM_1C  Import-Export'!Z$8:Z213,MATCH($B23,'WPTM_1C  Import-Export'!$C$8:$C$201,0)),"")</f>
        <v/>
      </c>
      <c r="D23" s="511" t="str">
        <f>IFERROR(IF(INDEX('WPTM_1C  Import-Export'!E$8:E213,MATCH($B23,'WPTM_1C  Import-Export'!$C$8:$C$201,0))="","",INDEX('WPTM_1C  Import-Export'!E$8:E213,MATCH($B23,'WPTM_1C  Import-Export'!$C$8:$C$201,0))),"")</f>
        <v/>
      </c>
      <c r="E23" s="511" t="str">
        <f>IFERROR(IF(INDEX('WPTM_1C  Import-Export'!F$8:F213,MATCH($B23,'WPTM_1C  Import-Export'!$C$8:$C$201,0))="","",INDEX('WPTM_1C  Import-Export'!F$8:F213,MATCH($B23,'WPTM_1C  Import-Export'!$C$8:$C$201,0))),"")</f>
        <v/>
      </c>
      <c r="F23" s="511" t="str">
        <f>IFERROR(IF(INDEX('WPTM_1C  Import-Export'!AA$8:AA213,MATCH($B23,'WPTM_1C  Import-Export'!$C$8:$C$201,0))="","",INDEX('WPTM_1C  Import-Export'!AA$8:AA213,MATCH($B23,'WPTM_1C  Import-Export'!$C$8:$C$201,0))),"")</f>
        <v/>
      </c>
      <c r="G23" s="511" t="str">
        <f>IFERROR(IF(INDEX('WPTM_1C  Import-Export'!AB$8:AB213,MATCH($B23,'WPTM_1C  Import-Export'!$C$8:$C$201,0))="","",INDEX('WPTM_1C  Import-Export'!AB$8:AB213,MATCH($B23,'WPTM_1C  Import-Export'!$C$8:$C$201,0))),"")</f>
        <v/>
      </c>
      <c r="H23" s="511" t="str">
        <f>IFERROR(IF(INDEX('WPTM_1C  Import-Export'!I$8:I213,MATCH($B23,'WPTM_1C  Import-Export'!$C$8:$C$201,0))="","",INDEX('WPTM_1C  Import-Export'!I$8:I213,MATCH($B23,'WPTM_1C  Import-Export'!$C$8:$C$201,0))),"")</f>
        <v/>
      </c>
      <c r="I23" s="511"/>
      <c r="J23" s="662"/>
      <c r="K23" s="664" t="str">
        <f t="shared" si="2"/>
        <v xml:space="preserve"> </v>
      </c>
      <c r="L23" s="662"/>
      <c r="M23" s="662"/>
      <c r="N23" s="664" t="str">
        <f t="shared" si="3"/>
        <v xml:space="preserve"> </v>
      </c>
      <c r="O23" s="662"/>
      <c r="P23" s="662"/>
      <c r="Q23" s="664" t="str">
        <f t="shared" si="4"/>
        <v xml:space="preserve"> </v>
      </c>
      <c r="R23" s="663"/>
    </row>
    <row r="24" spans="1:18" ht="60" customHeight="1" thickBot="1" x14ac:dyDescent="0.25">
      <c r="A24" s="648">
        <f t="shared" si="0"/>
        <v>14</v>
      </c>
      <c r="B24" s="648" t="str">
        <f t="shared" si="1"/>
        <v>WPTM14</v>
      </c>
      <c r="C24" s="510" t="str">
        <f>IFERROR(INDEX('WPTM_1C  Import-Export'!Z$8:Z214,MATCH($B24,'WPTM_1C  Import-Export'!$C$8:$C$201,0)),"")</f>
        <v/>
      </c>
      <c r="D24" s="511" t="str">
        <f>IFERROR(IF(INDEX('WPTM_1C  Import-Export'!E$8:E214,MATCH($B24,'WPTM_1C  Import-Export'!$C$8:$C$201,0))="","",INDEX('WPTM_1C  Import-Export'!E$8:E214,MATCH($B24,'WPTM_1C  Import-Export'!$C$8:$C$201,0))),"")</f>
        <v/>
      </c>
      <c r="E24" s="511" t="str">
        <f>IFERROR(IF(INDEX('WPTM_1C  Import-Export'!F$8:F214,MATCH($B24,'WPTM_1C  Import-Export'!$C$8:$C$201,0))="","",INDEX('WPTM_1C  Import-Export'!F$8:F214,MATCH($B24,'WPTM_1C  Import-Export'!$C$8:$C$201,0))),"")</f>
        <v/>
      </c>
      <c r="F24" s="511" t="str">
        <f>IFERROR(IF(INDEX('WPTM_1C  Import-Export'!AA$8:AA214,MATCH($B24,'WPTM_1C  Import-Export'!$C$8:$C$201,0))="","",INDEX('WPTM_1C  Import-Export'!AA$8:AA214,MATCH($B24,'WPTM_1C  Import-Export'!$C$8:$C$201,0))),"")</f>
        <v/>
      </c>
      <c r="G24" s="511" t="str">
        <f>IFERROR(IF(INDEX('WPTM_1C  Import-Export'!AB$8:AB214,MATCH($B24,'WPTM_1C  Import-Export'!$C$8:$C$201,0))="","",INDEX('WPTM_1C  Import-Export'!AB$8:AB214,MATCH($B24,'WPTM_1C  Import-Export'!$C$8:$C$201,0))),"")</f>
        <v/>
      </c>
      <c r="H24" s="511" t="str">
        <f>IFERROR(IF(INDEX('WPTM_1C  Import-Export'!I$8:I214,MATCH($B24,'WPTM_1C  Import-Export'!$C$8:$C$201,0))="","",INDEX('WPTM_1C  Import-Export'!I$8:I214,MATCH($B24,'WPTM_1C  Import-Export'!$C$8:$C$201,0))),"")</f>
        <v/>
      </c>
      <c r="I24" s="511"/>
      <c r="J24" s="662"/>
      <c r="K24" s="664" t="str">
        <f t="shared" si="2"/>
        <v xml:space="preserve"> </v>
      </c>
      <c r="L24" s="662"/>
      <c r="M24" s="662"/>
      <c r="N24" s="664" t="str">
        <f t="shared" si="3"/>
        <v xml:space="preserve"> </v>
      </c>
      <c r="O24" s="662"/>
      <c r="P24" s="662"/>
      <c r="Q24" s="664" t="str">
        <f t="shared" si="4"/>
        <v xml:space="preserve"> </v>
      </c>
      <c r="R24" s="663"/>
    </row>
    <row r="25" spans="1:18" ht="60" customHeight="1" thickBot="1" x14ac:dyDescent="0.25">
      <c r="A25" s="648">
        <f t="shared" si="0"/>
        <v>15</v>
      </c>
      <c r="B25" s="648" t="str">
        <f t="shared" si="1"/>
        <v>WPTM15</v>
      </c>
      <c r="C25" s="510" t="str">
        <f>IFERROR(INDEX('WPTM_1C  Import-Export'!Z$8:Z215,MATCH($B25,'WPTM_1C  Import-Export'!$C$8:$C$201,0)),"")</f>
        <v/>
      </c>
      <c r="D25" s="511" t="str">
        <f>IFERROR(IF(INDEX('WPTM_1C  Import-Export'!E$8:E215,MATCH($B25,'WPTM_1C  Import-Export'!$C$8:$C$201,0))="","",INDEX('WPTM_1C  Import-Export'!E$8:E215,MATCH($B25,'WPTM_1C  Import-Export'!$C$8:$C$201,0))),"")</f>
        <v/>
      </c>
      <c r="E25" s="511" t="str">
        <f>IFERROR(IF(INDEX('WPTM_1C  Import-Export'!F$8:F215,MATCH($B25,'WPTM_1C  Import-Export'!$C$8:$C$201,0))="","",INDEX('WPTM_1C  Import-Export'!F$8:F215,MATCH($B25,'WPTM_1C  Import-Export'!$C$8:$C$201,0))),"")</f>
        <v/>
      </c>
      <c r="F25" s="511" t="str">
        <f>IFERROR(IF(INDEX('WPTM_1C  Import-Export'!AA$8:AA215,MATCH($B25,'WPTM_1C  Import-Export'!$C$8:$C$201,0))="","",INDEX('WPTM_1C  Import-Export'!AA$8:AA215,MATCH($B25,'WPTM_1C  Import-Export'!$C$8:$C$201,0))),"")</f>
        <v/>
      </c>
      <c r="G25" s="511" t="str">
        <f>IFERROR(IF(INDEX('WPTM_1C  Import-Export'!AB$8:AB215,MATCH($B25,'WPTM_1C  Import-Export'!$C$8:$C$201,0))="","",INDEX('WPTM_1C  Import-Export'!AB$8:AB215,MATCH($B25,'WPTM_1C  Import-Export'!$C$8:$C$201,0))),"")</f>
        <v/>
      </c>
      <c r="H25" s="511" t="str">
        <f>IFERROR(IF(INDEX('WPTM_1C  Import-Export'!I$8:I215,MATCH($B25,'WPTM_1C  Import-Export'!$C$8:$C$201,0))="","",INDEX('WPTM_1C  Import-Export'!I$8:I215,MATCH($B25,'WPTM_1C  Import-Export'!$C$8:$C$201,0))),"")</f>
        <v/>
      </c>
      <c r="I25" s="511"/>
      <c r="J25" s="662"/>
      <c r="K25" s="664" t="str">
        <f t="shared" si="2"/>
        <v xml:space="preserve"> </v>
      </c>
      <c r="L25" s="662"/>
      <c r="M25" s="662"/>
      <c r="N25" s="664" t="str">
        <f t="shared" si="3"/>
        <v xml:space="preserve"> </v>
      </c>
      <c r="O25" s="662"/>
      <c r="P25" s="662"/>
      <c r="Q25" s="664" t="str">
        <f t="shared" si="4"/>
        <v xml:space="preserve"> </v>
      </c>
      <c r="R25" s="663"/>
    </row>
    <row r="26" spans="1:18" ht="60" customHeight="1" thickBot="1" x14ac:dyDescent="0.25">
      <c r="A26" s="648">
        <f t="shared" si="0"/>
        <v>16</v>
      </c>
      <c r="B26" s="648" t="str">
        <f t="shared" si="1"/>
        <v>WPTM16</v>
      </c>
      <c r="C26" s="510" t="str">
        <f>IFERROR(INDEX('WPTM_1C  Import-Export'!Z$8:Z216,MATCH($B26,'WPTM_1C  Import-Export'!$C$8:$C$201,0)),"")</f>
        <v/>
      </c>
      <c r="D26" s="511" t="str">
        <f>IFERROR(IF(INDEX('WPTM_1C  Import-Export'!E$8:E216,MATCH($B26,'WPTM_1C  Import-Export'!$C$8:$C$201,0))="","",INDEX('WPTM_1C  Import-Export'!E$8:E216,MATCH($B26,'WPTM_1C  Import-Export'!$C$8:$C$201,0))),"")</f>
        <v/>
      </c>
      <c r="E26" s="511" t="str">
        <f>IFERROR(IF(INDEX('WPTM_1C  Import-Export'!F$8:F216,MATCH($B26,'WPTM_1C  Import-Export'!$C$8:$C$201,0))="","",INDEX('WPTM_1C  Import-Export'!F$8:F216,MATCH($B26,'WPTM_1C  Import-Export'!$C$8:$C$201,0))),"")</f>
        <v/>
      </c>
      <c r="F26" s="511" t="str">
        <f>IFERROR(IF(INDEX('WPTM_1C  Import-Export'!AA$8:AA216,MATCH($B26,'WPTM_1C  Import-Export'!$C$8:$C$201,0))="","",INDEX('WPTM_1C  Import-Export'!AA$8:AA216,MATCH($B26,'WPTM_1C  Import-Export'!$C$8:$C$201,0))),"")</f>
        <v/>
      </c>
      <c r="G26" s="511" t="str">
        <f>IFERROR(IF(INDEX('WPTM_1C  Import-Export'!AB$8:AB216,MATCH($B26,'WPTM_1C  Import-Export'!$C$8:$C$201,0))="","",INDEX('WPTM_1C  Import-Export'!AB$8:AB216,MATCH($B26,'WPTM_1C  Import-Export'!$C$8:$C$201,0))),"")</f>
        <v/>
      </c>
      <c r="H26" s="511" t="str">
        <f>IFERROR(IF(INDEX('WPTM_1C  Import-Export'!I$8:I216,MATCH($B26,'WPTM_1C  Import-Export'!$C$8:$C$201,0))="","",INDEX('WPTM_1C  Import-Export'!I$8:I216,MATCH($B26,'WPTM_1C  Import-Export'!$C$8:$C$201,0))),"")</f>
        <v/>
      </c>
      <c r="I26" s="511"/>
      <c r="J26" s="662"/>
      <c r="K26" s="664" t="str">
        <f t="shared" si="2"/>
        <v xml:space="preserve"> </v>
      </c>
      <c r="L26" s="662"/>
      <c r="M26" s="662"/>
      <c r="N26" s="664" t="str">
        <f t="shared" si="3"/>
        <v xml:space="preserve"> </v>
      </c>
      <c r="O26" s="662"/>
      <c r="P26" s="662"/>
      <c r="Q26" s="664" t="str">
        <f t="shared" si="4"/>
        <v xml:space="preserve"> </v>
      </c>
      <c r="R26" s="663"/>
    </row>
    <row r="27" spans="1:18" ht="60" customHeight="1" thickBot="1" x14ac:dyDescent="0.25">
      <c r="A27" s="648">
        <f t="shared" si="0"/>
        <v>17</v>
      </c>
      <c r="B27" s="648" t="str">
        <f t="shared" si="1"/>
        <v>WPTM17</v>
      </c>
      <c r="C27" s="510" t="str">
        <f>IFERROR(INDEX('WPTM_1C  Import-Export'!Z$8:Z217,MATCH($B27,'WPTM_1C  Import-Export'!$C$8:$C$201,0)),"")</f>
        <v/>
      </c>
      <c r="D27" s="511" t="str">
        <f>IFERROR(IF(INDEX('WPTM_1C  Import-Export'!E$8:E217,MATCH($B27,'WPTM_1C  Import-Export'!$C$8:$C$201,0))="","",INDEX('WPTM_1C  Import-Export'!E$8:E217,MATCH($B27,'WPTM_1C  Import-Export'!$C$8:$C$201,0))),"")</f>
        <v/>
      </c>
      <c r="E27" s="511" t="str">
        <f>IFERROR(IF(INDEX('WPTM_1C  Import-Export'!F$8:F217,MATCH($B27,'WPTM_1C  Import-Export'!$C$8:$C$201,0))="","",INDEX('WPTM_1C  Import-Export'!F$8:F217,MATCH($B27,'WPTM_1C  Import-Export'!$C$8:$C$201,0))),"")</f>
        <v/>
      </c>
      <c r="F27" s="511" t="str">
        <f>IFERROR(IF(INDEX('WPTM_1C  Import-Export'!AA$8:AA217,MATCH($B27,'WPTM_1C  Import-Export'!$C$8:$C$201,0))="","",INDEX('WPTM_1C  Import-Export'!AA$8:AA217,MATCH($B27,'WPTM_1C  Import-Export'!$C$8:$C$201,0))),"")</f>
        <v/>
      </c>
      <c r="G27" s="511" t="str">
        <f>IFERROR(IF(INDEX('WPTM_1C  Import-Export'!AB$8:AB217,MATCH($B27,'WPTM_1C  Import-Export'!$C$8:$C$201,0))="","",INDEX('WPTM_1C  Import-Export'!AB$8:AB217,MATCH($B27,'WPTM_1C  Import-Export'!$C$8:$C$201,0))),"")</f>
        <v/>
      </c>
      <c r="H27" s="511" t="str">
        <f>IFERROR(IF(INDEX('WPTM_1C  Import-Export'!I$8:I217,MATCH($B27,'WPTM_1C  Import-Export'!$C$8:$C$201,0))="","",INDEX('WPTM_1C  Import-Export'!I$8:I217,MATCH($B27,'WPTM_1C  Import-Export'!$C$8:$C$201,0))),"")</f>
        <v/>
      </c>
      <c r="I27" s="511"/>
      <c r="J27" s="662"/>
      <c r="K27" s="664" t="str">
        <f t="shared" si="2"/>
        <v xml:space="preserve"> </v>
      </c>
      <c r="L27" s="662"/>
      <c r="M27" s="662"/>
      <c r="N27" s="664" t="str">
        <f t="shared" si="3"/>
        <v xml:space="preserve"> </v>
      </c>
      <c r="O27" s="662"/>
      <c r="P27" s="662"/>
      <c r="Q27" s="664" t="str">
        <f t="shared" si="4"/>
        <v xml:space="preserve"> </v>
      </c>
      <c r="R27" s="663"/>
    </row>
    <row r="28" spans="1:18" ht="60" customHeight="1" thickBot="1" x14ac:dyDescent="0.25">
      <c r="A28" s="648">
        <f t="shared" si="0"/>
        <v>18</v>
      </c>
      <c r="B28" s="648" t="str">
        <f t="shared" si="1"/>
        <v>WPTM18</v>
      </c>
      <c r="C28" s="510" t="str">
        <f>IFERROR(INDEX('WPTM_1C  Import-Export'!Z$8:Z218,MATCH($B28,'WPTM_1C  Import-Export'!$C$8:$C$201,0)),"")</f>
        <v/>
      </c>
      <c r="D28" s="511" t="str">
        <f>IFERROR(IF(INDEX('WPTM_1C  Import-Export'!E$8:E218,MATCH($B28,'WPTM_1C  Import-Export'!$C$8:$C$201,0))="","",INDEX('WPTM_1C  Import-Export'!E$8:E218,MATCH($B28,'WPTM_1C  Import-Export'!$C$8:$C$201,0))),"")</f>
        <v/>
      </c>
      <c r="E28" s="511" t="str">
        <f>IFERROR(IF(INDEX('WPTM_1C  Import-Export'!F$8:F218,MATCH($B28,'WPTM_1C  Import-Export'!$C$8:$C$201,0))="","",INDEX('WPTM_1C  Import-Export'!F$8:F218,MATCH($B28,'WPTM_1C  Import-Export'!$C$8:$C$201,0))),"")</f>
        <v/>
      </c>
      <c r="F28" s="511" t="str">
        <f>IFERROR(IF(INDEX('WPTM_1C  Import-Export'!AA$8:AA218,MATCH($B28,'WPTM_1C  Import-Export'!$C$8:$C$201,0))="","",INDEX('WPTM_1C  Import-Export'!AA$8:AA218,MATCH($B28,'WPTM_1C  Import-Export'!$C$8:$C$201,0))),"")</f>
        <v/>
      </c>
      <c r="G28" s="511" t="str">
        <f>IFERROR(IF(INDEX('WPTM_1C  Import-Export'!AB$8:AB218,MATCH($B28,'WPTM_1C  Import-Export'!$C$8:$C$201,0))="","",INDEX('WPTM_1C  Import-Export'!AB$8:AB218,MATCH($B28,'WPTM_1C  Import-Export'!$C$8:$C$201,0))),"")</f>
        <v/>
      </c>
      <c r="H28" s="511" t="str">
        <f>IFERROR(IF(INDEX('WPTM_1C  Import-Export'!I$8:I218,MATCH($B28,'WPTM_1C  Import-Export'!$C$8:$C$201,0))="","",INDEX('WPTM_1C  Import-Export'!I$8:I218,MATCH($B28,'WPTM_1C  Import-Export'!$C$8:$C$201,0))),"")</f>
        <v/>
      </c>
      <c r="I28" s="511"/>
      <c r="J28" s="662"/>
      <c r="K28" s="664" t="str">
        <f t="shared" si="2"/>
        <v xml:space="preserve"> </v>
      </c>
      <c r="L28" s="662"/>
      <c r="M28" s="662"/>
      <c r="N28" s="664" t="str">
        <f t="shared" si="3"/>
        <v xml:space="preserve"> </v>
      </c>
      <c r="O28" s="662"/>
      <c r="P28" s="662"/>
      <c r="Q28" s="664" t="str">
        <f t="shared" si="4"/>
        <v xml:space="preserve"> </v>
      </c>
      <c r="R28" s="663"/>
    </row>
    <row r="29" spans="1:18" ht="60" customHeight="1" thickBot="1" x14ac:dyDescent="0.25">
      <c r="A29" s="648">
        <f t="shared" si="0"/>
        <v>19</v>
      </c>
      <c r="B29" s="648" t="str">
        <f t="shared" si="1"/>
        <v>WPTM19</v>
      </c>
      <c r="C29" s="510" t="str">
        <f>IFERROR(INDEX('WPTM_1C  Import-Export'!Z$8:Z219,MATCH($B29,'WPTM_1C  Import-Export'!$C$8:$C$201,0)),"")</f>
        <v/>
      </c>
      <c r="D29" s="511" t="str">
        <f>IFERROR(IF(INDEX('WPTM_1C  Import-Export'!E$8:E219,MATCH($B29,'WPTM_1C  Import-Export'!$C$8:$C$201,0))="","",INDEX('WPTM_1C  Import-Export'!E$8:E219,MATCH($B29,'WPTM_1C  Import-Export'!$C$8:$C$201,0))),"")</f>
        <v/>
      </c>
      <c r="E29" s="511" t="str">
        <f>IFERROR(IF(INDEX('WPTM_1C  Import-Export'!F$8:F219,MATCH($B29,'WPTM_1C  Import-Export'!$C$8:$C$201,0))="","",INDEX('WPTM_1C  Import-Export'!F$8:F219,MATCH($B29,'WPTM_1C  Import-Export'!$C$8:$C$201,0))),"")</f>
        <v/>
      </c>
      <c r="F29" s="511" t="str">
        <f>IFERROR(IF(INDEX('WPTM_1C  Import-Export'!AA$8:AA219,MATCH($B29,'WPTM_1C  Import-Export'!$C$8:$C$201,0))="","",INDEX('WPTM_1C  Import-Export'!AA$8:AA219,MATCH($B29,'WPTM_1C  Import-Export'!$C$8:$C$201,0))),"")</f>
        <v/>
      </c>
      <c r="G29" s="511" t="str">
        <f>IFERROR(IF(INDEX('WPTM_1C  Import-Export'!AB$8:AB219,MATCH($B29,'WPTM_1C  Import-Export'!$C$8:$C$201,0))="","",INDEX('WPTM_1C  Import-Export'!AB$8:AB219,MATCH($B29,'WPTM_1C  Import-Export'!$C$8:$C$201,0))),"")</f>
        <v/>
      </c>
      <c r="H29" s="511" t="str">
        <f>IFERROR(IF(INDEX('WPTM_1C  Import-Export'!I$8:I219,MATCH($B29,'WPTM_1C  Import-Export'!$C$8:$C$201,0))="","",INDEX('WPTM_1C  Import-Export'!I$8:I219,MATCH($B29,'WPTM_1C  Import-Export'!$C$8:$C$201,0))),"")</f>
        <v/>
      </c>
      <c r="I29" s="511"/>
      <c r="J29" s="662"/>
      <c r="K29" s="664" t="str">
        <f t="shared" si="2"/>
        <v xml:space="preserve"> </v>
      </c>
      <c r="L29" s="662"/>
      <c r="M29" s="662"/>
      <c r="N29" s="664" t="str">
        <f t="shared" si="3"/>
        <v xml:space="preserve"> </v>
      </c>
      <c r="O29" s="662"/>
      <c r="P29" s="662"/>
      <c r="Q29" s="664" t="str">
        <f t="shared" si="4"/>
        <v xml:space="preserve"> </v>
      </c>
      <c r="R29" s="663"/>
    </row>
    <row r="30" spans="1:18" ht="60" customHeight="1" thickBot="1" x14ac:dyDescent="0.25">
      <c r="A30" s="648">
        <f t="shared" si="0"/>
        <v>20</v>
      </c>
      <c r="B30" s="648" t="str">
        <f t="shared" si="1"/>
        <v>WPTM20</v>
      </c>
      <c r="C30" s="510" t="str">
        <f>IFERROR(INDEX('WPTM_1C  Import-Export'!Z$8:Z220,MATCH($B30,'WPTM_1C  Import-Export'!$C$8:$C$201,0)),"")</f>
        <v/>
      </c>
      <c r="D30" s="511" t="str">
        <f>IFERROR(IF(INDEX('WPTM_1C  Import-Export'!E$8:E220,MATCH($B30,'WPTM_1C  Import-Export'!$C$8:$C$201,0))="","",INDEX('WPTM_1C  Import-Export'!E$8:E220,MATCH($B30,'WPTM_1C  Import-Export'!$C$8:$C$201,0))),"")</f>
        <v/>
      </c>
      <c r="E30" s="511" t="str">
        <f>IFERROR(IF(INDEX('WPTM_1C  Import-Export'!F$8:F220,MATCH($B30,'WPTM_1C  Import-Export'!$C$8:$C$201,0))="","",INDEX('WPTM_1C  Import-Export'!F$8:F220,MATCH($B30,'WPTM_1C  Import-Export'!$C$8:$C$201,0))),"")</f>
        <v/>
      </c>
      <c r="F30" s="511" t="str">
        <f>IFERROR(IF(INDEX('WPTM_1C  Import-Export'!AA$8:AA220,MATCH($B30,'WPTM_1C  Import-Export'!$C$8:$C$201,0))="","",INDEX('WPTM_1C  Import-Export'!AA$8:AA220,MATCH($B30,'WPTM_1C  Import-Export'!$C$8:$C$201,0))),"")</f>
        <v/>
      </c>
      <c r="G30" s="511" t="str">
        <f>IFERROR(IF(INDEX('WPTM_1C  Import-Export'!AB$8:AB220,MATCH($B30,'WPTM_1C  Import-Export'!$C$8:$C$201,0))="","",INDEX('WPTM_1C  Import-Export'!AB$8:AB220,MATCH($B30,'WPTM_1C  Import-Export'!$C$8:$C$201,0))),"")</f>
        <v/>
      </c>
      <c r="H30" s="511" t="str">
        <f>IFERROR(IF(INDEX('WPTM_1C  Import-Export'!I$8:I220,MATCH($B30,'WPTM_1C  Import-Export'!$C$8:$C$201,0))="","",INDEX('WPTM_1C  Import-Export'!I$8:I220,MATCH($B30,'WPTM_1C  Import-Export'!$C$8:$C$201,0))),"")</f>
        <v/>
      </c>
      <c r="I30" s="511"/>
      <c r="J30" s="662"/>
      <c r="K30" s="664" t="str">
        <f t="shared" si="2"/>
        <v xml:space="preserve"> </v>
      </c>
      <c r="L30" s="662"/>
      <c r="M30" s="662"/>
      <c r="N30" s="664" t="str">
        <f t="shared" si="3"/>
        <v xml:space="preserve"> </v>
      </c>
      <c r="O30" s="662"/>
      <c r="P30" s="662"/>
      <c r="Q30" s="664" t="str">
        <f t="shared" si="4"/>
        <v xml:space="preserve"> </v>
      </c>
      <c r="R30" s="663"/>
    </row>
    <row r="31" spans="1:18" ht="60" customHeight="1" thickBot="1" x14ac:dyDescent="0.25">
      <c r="A31" s="648">
        <f t="shared" si="0"/>
        <v>21</v>
      </c>
      <c r="B31" s="648" t="str">
        <f t="shared" si="1"/>
        <v>WPTM21</v>
      </c>
      <c r="C31" s="510" t="str">
        <f>IFERROR(INDEX('WPTM_1C  Import-Export'!Z$8:Z221,MATCH($B31,'WPTM_1C  Import-Export'!$C$8:$C$201,0)),"")</f>
        <v/>
      </c>
      <c r="D31" s="511" t="str">
        <f>IFERROR(IF(INDEX('WPTM_1C  Import-Export'!E$8:E221,MATCH($B31,'WPTM_1C  Import-Export'!$C$8:$C$201,0))="","",INDEX('WPTM_1C  Import-Export'!E$8:E221,MATCH($B31,'WPTM_1C  Import-Export'!$C$8:$C$201,0))),"")</f>
        <v/>
      </c>
      <c r="E31" s="511" t="str">
        <f>IFERROR(IF(INDEX('WPTM_1C  Import-Export'!F$8:F221,MATCH($B31,'WPTM_1C  Import-Export'!$C$8:$C$201,0))="","",INDEX('WPTM_1C  Import-Export'!F$8:F221,MATCH($B31,'WPTM_1C  Import-Export'!$C$8:$C$201,0))),"")</f>
        <v/>
      </c>
      <c r="F31" s="511" t="str">
        <f>IFERROR(IF(INDEX('WPTM_1C  Import-Export'!AA$8:AA221,MATCH($B31,'WPTM_1C  Import-Export'!$C$8:$C$201,0))="","",INDEX('WPTM_1C  Import-Export'!AA$8:AA221,MATCH($B31,'WPTM_1C  Import-Export'!$C$8:$C$201,0))),"")</f>
        <v/>
      </c>
      <c r="G31" s="511" t="str">
        <f>IFERROR(IF(INDEX('WPTM_1C  Import-Export'!AB$8:AB221,MATCH($B31,'WPTM_1C  Import-Export'!$C$8:$C$201,0))="","",INDEX('WPTM_1C  Import-Export'!AB$8:AB221,MATCH($B31,'WPTM_1C  Import-Export'!$C$8:$C$201,0))),"")</f>
        <v/>
      </c>
      <c r="H31" s="511" t="str">
        <f>IFERROR(IF(INDEX('WPTM_1C  Import-Export'!I$8:I221,MATCH($B31,'WPTM_1C  Import-Export'!$C$8:$C$201,0))="","",INDEX('WPTM_1C  Import-Export'!I$8:I221,MATCH($B31,'WPTM_1C  Import-Export'!$C$8:$C$201,0))),"")</f>
        <v/>
      </c>
      <c r="I31" s="511"/>
      <c r="J31" s="662"/>
      <c r="K31" s="664" t="str">
        <f t="shared" si="2"/>
        <v xml:space="preserve"> </v>
      </c>
      <c r="L31" s="662"/>
      <c r="M31" s="662"/>
      <c r="N31" s="664" t="str">
        <f t="shared" si="3"/>
        <v xml:space="preserve"> </v>
      </c>
      <c r="O31" s="662"/>
      <c r="P31" s="662"/>
      <c r="Q31" s="664" t="str">
        <f t="shared" si="4"/>
        <v xml:space="preserve"> </v>
      </c>
      <c r="R31" s="663"/>
    </row>
    <row r="32" spans="1:18" ht="60" customHeight="1" thickBot="1" x14ac:dyDescent="0.25">
      <c r="A32" s="648">
        <f t="shared" si="0"/>
        <v>22</v>
      </c>
      <c r="B32" s="648" t="str">
        <f t="shared" si="1"/>
        <v>WPTM22</v>
      </c>
      <c r="C32" s="510" t="str">
        <f>IFERROR(INDEX('WPTM_1C  Import-Export'!Z$8:Z222,MATCH($B32,'WPTM_1C  Import-Export'!$C$8:$C$201,0)),"")</f>
        <v/>
      </c>
      <c r="D32" s="511" t="str">
        <f>IFERROR(IF(INDEX('WPTM_1C  Import-Export'!E$8:E222,MATCH($B32,'WPTM_1C  Import-Export'!$C$8:$C$201,0))="","",INDEX('WPTM_1C  Import-Export'!E$8:E222,MATCH($B32,'WPTM_1C  Import-Export'!$C$8:$C$201,0))),"")</f>
        <v/>
      </c>
      <c r="E32" s="511" t="str">
        <f>IFERROR(IF(INDEX('WPTM_1C  Import-Export'!F$8:F222,MATCH($B32,'WPTM_1C  Import-Export'!$C$8:$C$201,0))="","",INDEX('WPTM_1C  Import-Export'!F$8:F222,MATCH($B32,'WPTM_1C  Import-Export'!$C$8:$C$201,0))),"")</f>
        <v/>
      </c>
      <c r="F32" s="511" t="str">
        <f>IFERROR(IF(INDEX('WPTM_1C  Import-Export'!AA$8:AA222,MATCH($B32,'WPTM_1C  Import-Export'!$C$8:$C$201,0))="","",INDEX('WPTM_1C  Import-Export'!AA$8:AA222,MATCH($B32,'WPTM_1C  Import-Export'!$C$8:$C$201,0))),"")</f>
        <v/>
      </c>
      <c r="G32" s="511" t="str">
        <f>IFERROR(IF(INDEX('WPTM_1C  Import-Export'!AB$8:AB222,MATCH($B32,'WPTM_1C  Import-Export'!$C$8:$C$201,0))="","",INDEX('WPTM_1C  Import-Export'!AB$8:AB222,MATCH($B32,'WPTM_1C  Import-Export'!$C$8:$C$201,0))),"")</f>
        <v/>
      </c>
      <c r="H32" s="511" t="str">
        <f>IFERROR(IF(INDEX('WPTM_1C  Import-Export'!I$8:I222,MATCH($B32,'WPTM_1C  Import-Export'!$C$8:$C$201,0))="","",INDEX('WPTM_1C  Import-Export'!I$8:I222,MATCH($B32,'WPTM_1C  Import-Export'!$C$8:$C$201,0))),"")</f>
        <v/>
      </c>
      <c r="I32" s="511"/>
      <c r="J32" s="662"/>
      <c r="K32" s="664" t="str">
        <f t="shared" si="2"/>
        <v xml:space="preserve"> </v>
      </c>
      <c r="L32" s="662"/>
      <c r="M32" s="662"/>
      <c r="N32" s="664" t="str">
        <f t="shared" si="3"/>
        <v xml:space="preserve"> </v>
      </c>
      <c r="O32" s="662"/>
      <c r="P32" s="662"/>
      <c r="Q32" s="664" t="str">
        <f t="shared" si="4"/>
        <v xml:space="preserve"> </v>
      </c>
      <c r="R32" s="663"/>
    </row>
    <row r="33" spans="1:18" ht="60" customHeight="1" thickBot="1" x14ac:dyDescent="0.25">
      <c r="A33" s="648">
        <f t="shared" si="0"/>
        <v>23</v>
      </c>
      <c r="B33" s="648" t="str">
        <f t="shared" si="1"/>
        <v>WPTM23</v>
      </c>
      <c r="C33" s="510" t="str">
        <f>IFERROR(INDEX('WPTM_1C  Import-Export'!Z$8:Z223,MATCH($B33,'WPTM_1C  Import-Export'!$C$8:$C$201,0)),"")</f>
        <v/>
      </c>
      <c r="D33" s="511" t="str">
        <f>IFERROR(IF(INDEX('WPTM_1C  Import-Export'!E$8:E223,MATCH($B33,'WPTM_1C  Import-Export'!$C$8:$C$201,0))="","",INDEX('WPTM_1C  Import-Export'!E$8:E223,MATCH($B33,'WPTM_1C  Import-Export'!$C$8:$C$201,0))),"")</f>
        <v/>
      </c>
      <c r="E33" s="511" t="str">
        <f>IFERROR(IF(INDEX('WPTM_1C  Import-Export'!F$8:F223,MATCH($B33,'WPTM_1C  Import-Export'!$C$8:$C$201,0))="","",INDEX('WPTM_1C  Import-Export'!F$8:F223,MATCH($B33,'WPTM_1C  Import-Export'!$C$8:$C$201,0))),"")</f>
        <v/>
      </c>
      <c r="F33" s="511" t="str">
        <f>IFERROR(IF(INDEX('WPTM_1C  Import-Export'!AA$8:AA223,MATCH($B33,'WPTM_1C  Import-Export'!$C$8:$C$201,0))="","",INDEX('WPTM_1C  Import-Export'!AA$8:AA223,MATCH($B33,'WPTM_1C  Import-Export'!$C$8:$C$201,0))),"")</f>
        <v/>
      </c>
      <c r="G33" s="511" t="str">
        <f>IFERROR(IF(INDEX('WPTM_1C  Import-Export'!AB$8:AB223,MATCH($B33,'WPTM_1C  Import-Export'!$C$8:$C$201,0))="","",INDEX('WPTM_1C  Import-Export'!AB$8:AB223,MATCH($B33,'WPTM_1C  Import-Export'!$C$8:$C$201,0))),"")</f>
        <v/>
      </c>
      <c r="H33" s="511" t="str">
        <f>IFERROR(IF(INDEX('WPTM_1C  Import-Export'!I$8:I223,MATCH($B33,'WPTM_1C  Import-Export'!$C$8:$C$201,0))="","",INDEX('WPTM_1C  Import-Export'!I$8:I223,MATCH($B33,'WPTM_1C  Import-Export'!$C$8:$C$201,0))),"")</f>
        <v/>
      </c>
      <c r="I33" s="511"/>
      <c r="J33" s="662"/>
      <c r="K33" s="664" t="str">
        <f t="shared" si="2"/>
        <v xml:space="preserve"> </v>
      </c>
      <c r="L33" s="662"/>
      <c r="M33" s="662"/>
      <c r="N33" s="664" t="str">
        <f t="shared" si="3"/>
        <v xml:space="preserve"> </v>
      </c>
      <c r="O33" s="662"/>
      <c r="P33" s="662"/>
      <c r="Q33" s="664" t="str">
        <f t="shared" si="4"/>
        <v xml:space="preserve"> </v>
      </c>
      <c r="R33" s="663"/>
    </row>
    <row r="34" spans="1:18" ht="60" customHeight="1" thickBot="1" x14ac:dyDescent="0.25">
      <c r="A34" s="648">
        <f t="shared" si="0"/>
        <v>24</v>
      </c>
      <c r="B34" s="648" t="str">
        <f t="shared" si="1"/>
        <v>WPTM24</v>
      </c>
      <c r="C34" s="510" t="str">
        <f>IFERROR(INDEX('WPTM_1C  Import-Export'!Z$8:Z224,MATCH($B34,'WPTM_1C  Import-Export'!$C$8:$C$201,0)),"")</f>
        <v/>
      </c>
      <c r="D34" s="511" t="str">
        <f>IFERROR(IF(INDEX('WPTM_1C  Import-Export'!E$8:E224,MATCH($B34,'WPTM_1C  Import-Export'!$C$8:$C$201,0))="","",INDEX('WPTM_1C  Import-Export'!E$8:E224,MATCH($B34,'WPTM_1C  Import-Export'!$C$8:$C$201,0))),"")</f>
        <v/>
      </c>
      <c r="E34" s="511" t="str">
        <f>IFERROR(IF(INDEX('WPTM_1C  Import-Export'!F$8:F224,MATCH($B34,'WPTM_1C  Import-Export'!$C$8:$C$201,0))="","",INDEX('WPTM_1C  Import-Export'!F$8:F224,MATCH($B34,'WPTM_1C  Import-Export'!$C$8:$C$201,0))),"")</f>
        <v/>
      </c>
      <c r="F34" s="511" t="str">
        <f>IFERROR(IF(INDEX('WPTM_1C  Import-Export'!AA$8:AA224,MATCH($B34,'WPTM_1C  Import-Export'!$C$8:$C$201,0))="","",INDEX('WPTM_1C  Import-Export'!AA$8:AA224,MATCH($B34,'WPTM_1C  Import-Export'!$C$8:$C$201,0))),"")</f>
        <v/>
      </c>
      <c r="G34" s="511" t="str">
        <f>IFERROR(IF(INDEX('WPTM_1C  Import-Export'!AB$8:AB224,MATCH($B34,'WPTM_1C  Import-Export'!$C$8:$C$201,0))="","",INDEX('WPTM_1C  Import-Export'!AB$8:AB224,MATCH($B34,'WPTM_1C  Import-Export'!$C$8:$C$201,0))),"")</f>
        <v/>
      </c>
      <c r="H34" s="511" t="str">
        <f>IFERROR(IF(INDEX('WPTM_1C  Import-Export'!I$8:I224,MATCH($B34,'WPTM_1C  Import-Export'!$C$8:$C$201,0))="","",INDEX('WPTM_1C  Import-Export'!I$8:I224,MATCH($B34,'WPTM_1C  Import-Export'!$C$8:$C$201,0))),"")</f>
        <v/>
      </c>
      <c r="I34" s="511"/>
      <c r="J34" s="662"/>
      <c r="K34" s="664" t="str">
        <f t="shared" si="2"/>
        <v xml:space="preserve"> </v>
      </c>
      <c r="L34" s="662"/>
      <c r="M34" s="662"/>
      <c r="N34" s="664" t="str">
        <f t="shared" si="3"/>
        <v xml:space="preserve"> </v>
      </c>
      <c r="O34" s="662"/>
      <c r="P34" s="662"/>
      <c r="Q34" s="664" t="str">
        <f t="shared" si="4"/>
        <v xml:space="preserve"> </v>
      </c>
      <c r="R34" s="663"/>
    </row>
    <row r="35" spans="1:18" ht="60" customHeight="1" thickBot="1" x14ac:dyDescent="0.25">
      <c r="A35" s="648">
        <f t="shared" si="0"/>
        <v>25</v>
      </c>
      <c r="B35" s="648" t="str">
        <f t="shared" si="1"/>
        <v>WPTM25</v>
      </c>
      <c r="C35" s="510" t="str">
        <f>IFERROR(INDEX('WPTM_1C  Import-Export'!Z$8:Z225,MATCH($B35,'WPTM_1C  Import-Export'!$C$8:$C$201,0)),"")</f>
        <v/>
      </c>
      <c r="D35" s="511" t="str">
        <f>IFERROR(IF(INDEX('WPTM_1C  Import-Export'!E$8:E225,MATCH($B35,'WPTM_1C  Import-Export'!$C$8:$C$201,0))="","",INDEX('WPTM_1C  Import-Export'!E$8:E225,MATCH($B35,'WPTM_1C  Import-Export'!$C$8:$C$201,0))),"")</f>
        <v/>
      </c>
      <c r="E35" s="511" t="str">
        <f>IFERROR(IF(INDEX('WPTM_1C  Import-Export'!F$8:F225,MATCH($B35,'WPTM_1C  Import-Export'!$C$8:$C$201,0))="","",INDEX('WPTM_1C  Import-Export'!F$8:F225,MATCH($B35,'WPTM_1C  Import-Export'!$C$8:$C$201,0))),"")</f>
        <v/>
      </c>
      <c r="F35" s="511" t="str">
        <f>IFERROR(IF(INDEX('WPTM_1C  Import-Export'!AA$8:AA225,MATCH($B35,'WPTM_1C  Import-Export'!$C$8:$C$201,0))="","",INDEX('WPTM_1C  Import-Export'!AA$8:AA225,MATCH($B35,'WPTM_1C  Import-Export'!$C$8:$C$201,0))),"")</f>
        <v/>
      </c>
      <c r="G35" s="511" t="str">
        <f>IFERROR(IF(INDEX('WPTM_1C  Import-Export'!AB$8:AB225,MATCH($B35,'WPTM_1C  Import-Export'!$C$8:$C$201,0))="","",INDEX('WPTM_1C  Import-Export'!AB$8:AB225,MATCH($B35,'WPTM_1C  Import-Export'!$C$8:$C$201,0))),"")</f>
        <v/>
      </c>
      <c r="H35" s="511" t="str">
        <f>IFERROR(IF(INDEX('WPTM_1C  Import-Export'!I$8:I225,MATCH($B35,'WPTM_1C  Import-Export'!$C$8:$C$201,0))="","",INDEX('WPTM_1C  Import-Export'!I$8:I225,MATCH($B35,'WPTM_1C  Import-Export'!$C$8:$C$201,0))),"")</f>
        <v/>
      </c>
      <c r="I35" s="511"/>
      <c r="J35" s="662"/>
      <c r="K35" s="664" t="str">
        <f t="shared" si="2"/>
        <v xml:space="preserve"> </v>
      </c>
      <c r="L35" s="662"/>
      <c r="M35" s="662"/>
      <c r="N35" s="664" t="str">
        <f t="shared" si="3"/>
        <v xml:space="preserve"> </v>
      </c>
      <c r="O35" s="662"/>
      <c r="P35" s="662"/>
      <c r="Q35" s="664" t="str">
        <f t="shared" si="4"/>
        <v xml:space="preserve"> </v>
      </c>
      <c r="R35" s="663"/>
    </row>
    <row r="36" spans="1:18" ht="60" customHeight="1" thickBot="1" x14ac:dyDescent="0.25">
      <c r="A36" s="648">
        <f t="shared" si="0"/>
        <v>26</v>
      </c>
      <c r="B36" s="648" t="str">
        <f t="shared" si="1"/>
        <v>WPTM26</v>
      </c>
      <c r="C36" s="510" t="str">
        <f>IFERROR(INDEX('WPTM_1C  Import-Export'!Z$8:Z226,MATCH($B36,'WPTM_1C  Import-Export'!$C$8:$C$201,0)),"")</f>
        <v/>
      </c>
      <c r="D36" s="511" t="str">
        <f>IFERROR(IF(INDEX('WPTM_1C  Import-Export'!E$8:E226,MATCH($B36,'WPTM_1C  Import-Export'!$C$8:$C$201,0))="","",INDEX('WPTM_1C  Import-Export'!E$8:E226,MATCH($B36,'WPTM_1C  Import-Export'!$C$8:$C$201,0))),"")</f>
        <v/>
      </c>
      <c r="E36" s="511" t="str">
        <f>IFERROR(IF(INDEX('WPTM_1C  Import-Export'!F$8:F226,MATCH($B36,'WPTM_1C  Import-Export'!$C$8:$C$201,0))="","",INDEX('WPTM_1C  Import-Export'!F$8:F226,MATCH($B36,'WPTM_1C  Import-Export'!$C$8:$C$201,0))),"")</f>
        <v/>
      </c>
      <c r="F36" s="511" t="str">
        <f>IFERROR(IF(INDEX('WPTM_1C  Import-Export'!AA$8:AA226,MATCH($B36,'WPTM_1C  Import-Export'!$C$8:$C$201,0))="","",INDEX('WPTM_1C  Import-Export'!AA$8:AA226,MATCH($B36,'WPTM_1C  Import-Export'!$C$8:$C$201,0))),"")</f>
        <v/>
      </c>
      <c r="G36" s="511" t="str">
        <f>IFERROR(IF(INDEX('WPTM_1C  Import-Export'!AB$8:AB226,MATCH($B36,'WPTM_1C  Import-Export'!$C$8:$C$201,0))="","",INDEX('WPTM_1C  Import-Export'!AB$8:AB226,MATCH($B36,'WPTM_1C  Import-Export'!$C$8:$C$201,0))),"")</f>
        <v/>
      </c>
      <c r="H36" s="511" t="str">
        <f>IFERROR(IF(INDEX('WPTM_1C  Import-Export'!I$8:I226,MATCH($B36,'WPTM_1C  Import-Export'!$C$8:$C$201,0))="","",INDEX('WPTM_1C  Import-Export'!I$8:I226,MATCH($B36,'WPTM_1C  Import-Export'!$C$8:$C$201,0))),"")</f>
        <v/>
      </c>
      <c r="I36" s="511"/>
      <c r="J36" s="662"/>
      <c r="K36" s="664" t="str">
        <f t="shared" si="2"/>
        <v xml:space="preserve"> </v>
      </c>
      <c r="L36" s="662"/>
      <c r="M36" s="662"/>
      <c r="N36" s="664" t="str">
        <f t="shared" si="3"/>
        <v xml:space="preserve"> </v>
      </c>
      <c r="O36" s="662"/>
      <c r="P36" s="662"/>
      <c r="Q36" s="664" t="str">
        <f t="shared" si="4"/>
        <v xml:space="preserve"> </v>
      </c>
      <c r="R36" s="663"/>
    </row>
    <row r="37" spans="1:18" ht="60" customHeight="1" thickBot="1" x14ac:dyDescent="0.25">
      <c r="A37" s="648">
        <f t="shared" si="0"/>
        <v>27</v>
      </c>
      <c r="B37" s="648" t="str">
        <f t="shared" si="1"/>
        <v>WPTM27</v>
      </c>
      <c r="C37" s="510" t="str">
        <f>IFERROR(INDEX('WPTM_1C  Import-Export'!Z$8:Z227,MATCH($B37,'WPTM_1C  Import-Export'!$C$8:$C$201,0)),"")</f>
        <v/>
      </c>
      <c r="D37" s="511" t="str">
        <f>IFERROR(IF(INDEX('WPTM_1C  Import-Export'!E$8:E227,MATCH($B37,'WPTM_1C  Import-Export'!$C$8:$C$201,0))="","",INDEX('WPTM_1C  Import-Export'!E$8:E227,MATCH($B37,'WPTM_1C  Import-Export'!$C$8:$C$201,0))),"")</f>
        <v/>
      </c>
      <c r="E37" s="511" t="str">
        <f>IFERROR(IF(INDEX('WPTM_1C  Import-Export'!F$8:F227,MATCH($B37,'WPTM_1C  Import-Export'!$C$8:$C$201,0))="","",INDEX('WPTM_1C  Import-Export'!F$8:F227,MATCH($B37,'WPTM_1C  Import-Export'!$C$8:$C$201,0))),"")</f>
        <v/>
      </c>
      <c r="F37" s="511" t="str">
        <f>IFERROR(IF(INDEX('WPTM_1C  Import-Export'!AA$8:AA227,MATCH($B37,'WPTM_1C  Import-Export'!$C$8:$C$201,0))="","",INDEX('WPTM_1C  Import-Export'!AA$8:AA227,MATCH($B37,'WPTM_1C  Import-Export'!$C$8:$C$201,0))),"")</f>
        <v/>
      </c>
      <c r="G37" s="511" t="str">
        <f>IFERROR(IF(INDEX('WPTM_1C  Import-Export'!AB$8:AB227,MATCH($B37,'WPTM_1C  Import-Export'!$C$8:$C$201,0))="","",INDEX('WPTM_1C  Import-Export'!AB$8:AB227,MATCH($B37,'WPTM_1C  Import-Export'!$C$8:$C$201,0))),"")</f>
        <v/>
      </c>
      <c r="H37" s="511" t="str">
        <f>IFERROR(IF(INDEX('WPTM_1C  Import-Export'!I$8:I227,MATCH($B37,'WPTM_1C  Import-Export'!$C$8:$C$201,0))="","",INDEX('WPTM_1C  Import-Export'!I$8:I227,MATCH($B37,'WPTM_1C  Import-Export'!$C$8:$C$201,0))),"")</f>
        <v/>
      </c>
      <c r="I37" s="511"/>
      <c r="J37" s="662"/>
      <c r="K37" s="664" t="str">
        <f t="shared" si="2"/>
        <v xml:space="preserve"> </v>
      </c>
      <c r="L37" s="662"/>
      <c r="M37" s="662"/>
      <c r="N37" s="664" t="str">
        <f t="shared" si="3"/>
        <v xml:space="preserve"> </v>
      </c>
      <c r="O37" s="662"/>
      <c r="P37" s="662"/>
      <c r="Q37" s="664" t="str">
        <f t="shared" si="4"/>
        <v xml:space="preserve"> </v>
      </c>
      <c r="R37" s="663"/>
    </row>
    <row r="38" spans="1:18" ht="60" customHeight="1" thickBot="1" x14ac:dyDescent="0.25">
      <c r="A38" s="648">
        <f t="shared" si="0"/>
        <v>28</v>
      </c>
      <c r="B38" s="648" t="str">
        <f t="shared" si="1"/>
        <v>WPTM28</v>
      </c>
      <c r="C38" s="510" t="str">
        <f>IFERROR(INDEX('WPTM_1C  Import-Export'!Z$8:Z228,MATCH($B38,'WPTM_1C  Import-Export'!$C$8:$C$201,0)),"")</f>
        <v/>
      </c>
      <c r="D38" s="511" t="str">
        <f>IFERROR(IF(INDEX('WPTM_1C  Import-Export'!E$8:E228,MATCH($B38,'WPTM_1C  Import-Export'!$C$8:$C$201,0))="","",INDEX('WPTM_1C  Import-Export'!E$8:E228,MATCH($B38,'WPTM_1C  Import-Export'!$C$8:$C$201,0))),"")</f>
        <v/>
      </c>
      <c r="E38" s="511" t="str">
        <f>IFERROR(IF(INDEX('WPTM_1C  Import-Export'!F$8:F228,MATCH($B38,'WPTM_1C  Import-Export'!$C$8:$C$201,0))="","",INDEX('WPTM_1C  Import-Export'!F$8:F228,MATCH($B38,'WPTM_1C  Import-Export'!$C$8:$C$201,0))),"")</f>
        <v/>
      </c>
      <c r="F38" s="511" t="str">
        <f>IFERROR(IF(INDEX('WPTM_1C  Import-Export'!AA$8:AA228,MATCH($B38,'WPTM_1C  Import-Export'!$C$8:$C$201,0))="","",INDEX('WPTM_1C  Import-Export'!AA$8:AA228,MATCH($B38,'WPTM_1C  Import-Export'!$C$8:$C$201,0))),"")</f>
        <v/>
      </c>
      <c r="G38" s="511" t="str">
        <f>IFERROR(IF(INDEX('WPTM_1C  Import-Export'!AB$8:AB228,MATCH($B38,'WPTM_1C  Import-Export'!$C$8:$C$201,0))="","",INDEX('WPTM_1C  Import-Export'!AB$8:AB228,MATCH($B38,'WPTM_1C  Import-Export'!$C$8:$C$201,0))),"")</f>
        <v/>
      </c>
      <c r="H38" s="511" t="str">
        <f>IFERROR(IF(INDEX('WPTM_1C  Import-Export'!I$8:I228,MATCH($B38,'WPTM_1C  Import-Export'!$C$8:$C$201,0))="","",INDEX('WPTM_1C  Import-Export'!I$8:I228,MATCH($B38,'WPTM_1C  Import-Export'!$C$8:$C$201,0))),"")</f>
        <v/>
      </c>
      <c r="I38" s="511"/>
      <c r="J38" s="662"/>
      <c r="K38" s="664" t="str">
        <f t="shared" si="2"/>
        <v xml:space="preserve"> </v>
      </c>
      <c r="L38" s="662"/>
      <c r="M38" s="662"/>
      <c r="N38" s="664" t="str">
        <f t="shared" si="3"/>
        <v xml:space="preserve"> </v>
      </c>
      <c r="O38" s="662"/>
      <c r="P38" s="662"/>
      <c r="Q38" s="664" t="str">
        <f t="shared" si="4"/>
        <v xml:space="preserve"> </v>
      </c>
      <c r="R38" s="663"/>
    </row>
    <row r="39" spans="1:18" ht="60" customHeight="1" thickBot="1" x14ac:dyDescent="0.25">
      <c r="A39" s="648">
        <f t="shared" si="0"/>
        <v>29</v>
      </c>
      <c r="B39" s="648" t="str">
        <f t="shared" si="1"/>
        <v>WPTM29</v>
      </c>
      <c r="C39" s="510" t="str">
        <f>IFERROR(INDEX('WPTM_1C  Import-Export'!Z$8:Z229,MATCH($B39,'WPTM_1C  Import-Export'!$C$8:$C$201,0)),"")</f>
        <v/>
      </c>
      <c r="D39" s="511" t="str">
        <f>IFERROR(IF(INDEX('WPTM_1C  Import-Export'!E$8:E229,MATCH($B39,'WPTM_1C  Import-Export'!$C$8:$C$201,0))="","",INDEX('WPTM_1C  Import-Export'!E$8:E229,MATCH($B39,'WPTM_1C  Import-Export'!$C$8:$C$201,0))),"")</f>
        <v/>
      </c>
      <c r="E39" s="511" t="str">
        <f>IFERROR(IF(INDEX('WPTM_1C  Import-Export'!F$8:F229,MATCH($B39,'WPTM_1C  Import-Export'!$C$8:$C$201,0))="","",INDEX('WPTM_1C  Import-Export'!F$8:F229,MATCH($B39,'WPTM_1C  Import-Export'!$C$8:$C$201,0))),"")</f>
        <v/>
      </c>
      <c r="F39" s="511" t="str">
        <f>IFERROR(IF(INDEX('WPTM_1C  Import-Export'!AA$8:AA229,MATCH($B39,'WPTM_1C  Import-Export'!$C$8:$C$201,0))="","",INDEX('WPTM_1C  Import-Export'!AA$8:AA229,MATCH($B39,'WPTM_1C  Import-Export'!$C$8:$C$201,0))),"")</f>
        <v/>
      </c>
      <c r="G39" s="511" t="str">
        <f>IFERROR(IF(INDEX('WPTM_1C  Import-Export'!AB$8:AB229,MATCH($B39,'WPTM_1C  Import-Export'!$C$8:$C$201,0))="","",INDEX('WPTM_1C  Import-Export'!AB$8:AB229,MATCH($B39,'WPTM_1C  Import-Export'!$C$8:$C$201,0))),"")</f>
        <v/>
      </c>
      <c r="H39" s="511" t="str">
        <f>IFERROR(IF(INDEX('WPTM_1C  Import-Export'!I$8:I229,MATCH($B39,'WPTM_1C  Import-Export'!$C$8:$C$201,0))="","",INDEX('WPTM_1C  Import-Export'!I$8:I229,MATCH($B39,'WPTM_1C  Import-Export'!$C$8:$C$201,0))),"")</f>
        <v/>
      </c>
      <c r="I39" s="511"/>
      <c r="J39" s="662"/>
      <c r="K39" s="664" t="str">
        <f t="shared" si="2"/>
        <v xml:space="preserve"> </v>
      </c>
      <c r="L39" s="662"/>
      <c r="M39" s="662"/>
      <c r="N39" s="664" t="str">
        <f t="shared" si="3"/>
        <v xml:space="preserve"> </v>
      </c>
      <c r="O39" s="662"/>
      <c r="P39" s="662"/>
      <c r="Q39" s="664" t="str">
        <f t="shared" si="4"/>
        <v xml:space="preserve"> </v>
      </c>
      <c r="R39" s="663"/>
    </row>
    <row r="40" spans="1:18" ht="60" customHeight="1" thickBot="1" x14ac:dyDescent="0.25">
      <c r="A40" s="648">
        <f t="shared" si="0"/>
        <v>30</v>
      </c>
      <c r="B40" s="648" t="str">
        <f t="shared" si="1"/>
        <v>WPTM30</v>
      </c>
      <c r="C40" s="510" t="str">
        <f>IFERROR(INDEX('WPTM_1C  Import-Export'!Z$8:Z230,MATCH($B40,'WPTM_1C  Import-Export'!$C$8:$C$201,0)),"")</f>
        <v/>
      </c>
      <c r="D40" s="511" t="str">
        <f>IFERROR(IF(INDEX('WPTM_1C  Import-Export'!E$8:E230,MATCH($B40,'WPTM_1C  Import-Export'!$C$8:$C$201,0))="","",INDEX('WPTM_1C  Import-Export'!E$8:E230,MATCH($B40,'WPTM_1C  Import-Export'!$C$8:$C$201,0))),"")</f>
        <v/>
      </c>
      <c r="E40" s="511" t="str">
        <f>IFERROR(IF(INDEX('WPTM_1C  Import-Export'!F$8:F230,MATCH($B40,'WPTM_1C  Import-Export'!$C$8:$C$201,0))="","",INDEX('WPTM_1C  Import-Export'!F$8:F230,MATCH($B40,'WPTM_1C  Import-Export'!$C$8:$C$201,0))),"")</f>
        <v/>
      </c>
      <c r="F40" s="511" t="str">
        <f>IFERROR(IF(INDEX('WPTM_1C  Import-Export'!AA$8:AA230,MATCH($B40,'WPTM_1C  Import-Export'!$C$8:$C$201,0))="","",INDEX('WPTM_1C  Import-Export'!AA$8:AA230,MATCH($B40,'WPTM_1C  Import-Export'!$C$8:$C$201,0))),"")</f>
        <v/>
      </c>
      <c r="G40" s="511" t="str">
        <f>IFERROR(IF(INDEX('WPTM_1C  Import-Export'!AB$8:AB230,MATCH($B40,'WPTM_1C  Import-Export'!$C$8:$C$201,0))="","",INDEX('WPTM_1C  Import-Export'!AB$8:AB230,MATCH($B40,'WPTM_1C  Import-Export'!$C$8:$C$201,0))),"")</f>
        <v/>
      </c>
      <c r="H40" s="511" t="str">
        <f>IFERROR(IF(INDEX('WPTM_1C  Import-Export'!I$8:I230,MATCH($B40,'WPTM_1C  Import-Export'!$C$8:$C$201,0))="","",INDEX('WPTM_1C  Import-Export'!I$8:I230,MATCH($B40,'WPTM_1C  Import-Export'!$C$8:$C$201,0))),"")</f>
        <v/>
      </c>
      <c r="I40" s="511"/>
      <c r="J40" s="662"/>
      <c r="K40" s="664" t="str">
        <f t="shared" si="2"/>
        <v xml:space="preserve"> </v>
      </c>
      <c r="L40" s="662"/>
      <c r="M40" s="662"/>
      <c r="N40" s="664" t="str">
        <f t="shared" si="3"/>
        <v xml:space="preserve"> </v>
      </c>
      <c r="O40" s="662"/>
      <c r="P40" s="662"/>
      <c r="Q40" s="664" t="str">
        <f t="shared" si="4"/>
        <v xml:space="preserve"> </v>
      </c>
      <c r="R40" s="663"/>
    </row>
    <row r="41" spans="1:18" ht="60" customHeight="1" thickBot="1" x14ac:dyDescent="0.25">
      <c r="A41" s="648">
        <f t="shared" si="0"/>
        <v>31</v>
      </c>
      <c r="B41" s="648" t="str">
        <f t="shared" si="1"/>
        <v>WPTM31</v>
      </c>
      <c r="C41" s="510" t="str">
        <f>IFERROR(INDEX('WPTM_1C  Import-Export'!Z$8:Z231,MATCH($B41,'WPTM_1C  Import-Export'!$C$8:$C$201,0)),"")</f>
        <v/>
      </c>
      <c r="D41" s="511" t="str">
        <f>IFERROR(IF(INDEX('WPTM_1C  Import-Export'!E$8:E231,MATCH($B41,'WPTM_1C  Import-Export'!$C$8:$C$201,0))="","",INDEX('WPTM_1C  Import-Export'!E$8:E231,MATCH($B41,'WPTM_1C  Import-Export'!$C$8:$C$201,0))),"")</f>
        <v/>
      </c>
      <c r="E41" s="511" t="str">
        <f>IFERROR(IF(INDEX('WPTM_1C  Import-Export'!F$8:F231,MATCH($B41,'WPTM_1C  Import-Export'!$C$8:$C$201,0))="","",INDEX('WPTM_1C  Import-Export'!F$8:F231,MATCH($B41,'WPTM_1C  Import-Export'!$C$8:$C$201,0))),"")</f>
        <v/>
      </c>
      <c r="F41" s="511" t="str">
        <f>IFERROR(IF(INDEX('WPTM_1C  Import-Export'!AA$8:AA231,MATCH($B41,'WPTM_1C  Import-Export'!$C$8:$C$201,0))="","",INDEX('WPTM_1C  Import-Export'!AA$8:AA231,MATCH($B41,'WPTM_1C  Import-Export'!$C$8:$C$201,0))),"")</f>
        <v/>
      </c>
      <c r="G41" s="511" t="str">
        <f>IFERROR(IF(INDEX('WPTM_1C  Import-Export'!AB$8:AB231,MATCH($B41,'WPTM_1C  Import-Export'!$C$8:$C$201,0))="","",INDEX('WPTM_1C  Import-Export'!AB$8:AB231,MATCH($B41,'WPTM_1C  Import-Export'!$C$8:$C$201,0))),"")</f>
        <v/>
      </c>
      <c r="H41" s="511" t="str">
        <f>IFERROR(IF(INDEX('WPTM_1C  Import-Export'!I$8:I231,MATCH($B41,'WPTM_1C  Import-Export'!$C$8:$C$201,0))="","",INDEX('WPTM_1C  Import-Export'!I$8:I231,MATCH($B41,'WPTM_1C  Import-Export'!$C$8:$C$201,0))),"")</f>
        <v/>
      </c>
      <c r="I41" s="511"/>
      <c r="J41" s="662"/>
      <c r="K41" s="664" t="str">
        <f t="shared" si="2"/>
        <v xml:space="preserve"> </v>
      </c>
      <c r="L41" s="662"/>
      <c r="M41" s="662"/>
      <c r="N41" s="664" t="str">
        <f t="shared" si="3"/>
        <v xml:space="preserve"> </v>
      </c>
      <c r="O41" s="662"/>
      <c r="P41" s="662"/>
      <c r="Q41" s="664" t="str">
        <f t="shared" si="4"/>
        <v xml:space="preserve"> </v>
      </c>
      <c r="R41" s="663"/>
    </row>
    <row r="42" spans="1:18" ht="60" customHeight="1" thickBot="1" x14ac:dyDescent="0.25">
      <c r="A42" s="648">
        <f t="shared" si="0"/>
        <v>32</v>
      </c>
      <c r="B42" s="648" t="str">
        <f t="shared" si="1"/>
        <v>WPTM32</v>
      </c>
      <c r="C42" s="510" t="str">
        <f>IFERROR(INDEX('WPTM_1C  Import-Export'!Z$8:Z232,MATCH($B42,'WPTM_1C  Import-Export'!$C$8:$C$201,0)),"")</f>
        <v/>
      </c>
      <c r="D42" s="511" t="str">
        <f>IFERROR(IF(INDEX('WPTM_1C  Import-Export'!E$8:E232,MATCH($B42,'WPTM_1C  Import-Export'!$C$8:$C$201,0))="","",INDEX('WPTM_1C  Import-Export'!E$8:E232,MATCH($B42,'WPTM_1C  Import-Export'!$C$8:$C$201,0))),"")</f>
        <v/>
      </c>
      <c r="E42" s="511" t="str">
        <f>IFERROR(IF(INDEX('WPTM_1C  Import-Export'!F$8:F232,MATCH($B42,'WPTM_1C  Import-Export'!$C$8:$C$201,0))="","",INDEX('WPTM_1C  Import-Export'!F$8:F232,MATCH($B42,'WPTM_1C  Import-Export'!$C$8:$C$201,0))),"")</f>
        <v/>
      </c>
      <c r="F42" s="511" t="str">
        <f>IFERROR(IF(INDEX('WPTM_1C  Import-Export'!AA$8:AA232,MATCH($B42,'WPTM_1C  Import-Export'!$C$8:$C$201,0))="","",INDEX('WPTM_1C  Import-Export'!AA$8:AA232,MATCH($B42,'WPTM_1C  Import-Export'!$C$8:$C$201,0))),"")</f>
        <v/>
      </c>
      <c r="G42" s="511" t="str">
        <f>IFERROR(IF(INDEX('WPTM_1C  Import-Export'!AB$8:AB232,MATCH($B42,'WPTM_1C  Import-Export'!$C$8:$C$201,0))="","",INDEX('WPTM_1C  Import-Export'!AB$8:AB232,MATCH($B42,'WPTM_1C  Import-Export'!$C$8:$C$201,0))),"")</f>
        <v/>
      </c>
      <c r="H42" s="511" t="str">
        <f>IFERROR(IF(INDEX('WPTM_1C  Import-Export'!I$8:I232,MATCH($B42,'WPTM_1C  Import-Export'!$C$8:$C$201,0))="","",INDEX('WPTM_1C  Import-Export'!I$8:I232,MATCH($B42,'WPTM_1C  Import-Export'!$C$8:$C$201,0))),"")</f>
        <v/>
      </c>
      <c r="I42" s="511"/>
      <c r="J42" s="662"/>
      <c r="K42" s="664" t="str">
        <f t="shared" si="2"/>
        <v xml:space="preserve"> </v>
      </c>
      <c r="L42" s="662"/>
      <c r="M42" s="662"/>
      <c r="N42" s="664" t="str">
        <f t="shared" si="3"/>
        <v xml:space="preserve"> </v>
      </c>
      <c r="O42" s="662"/>
      <c r="P42" s="662"/>
      <c r="Q42" s="664" t="str">
        <f t="shared" si="4"/>
        <v xml:space="preserve"> </v>
      </c>
      <c r="R42" s="663"/>
    </row>
    <row r="43" spans="1:18" ht="60" customHeight="1" thickBot="1" x14ac:dyDescent="0.25">
      <c r="A43" s="648">
        <f t="shared" si="0"/>
        <v>33</v>
      </c>
      <c r="B43" s="648" t="str">
        <f t="shared" si="1"/>
        <v>WPTM33</v>
      </c>
      <c r="C43" s="510" t="str">
        <f>IFERROR(INDEX('WPTM_1C  Import-Export'!Z$8:Z233,MATCH($B43,'WPTM_1C  Import-Export'!$C$8:$C$201,0)),"")</f>
        <v/>
      </c>
      <c r="D43" s="511" t="str">
        <f>IFERROR(IF(INDEX('WPTM_1C  Import-Export'!E$8:E233,MATCH($B43,'WPTM_1C  Import-Export'!$C$8:$C$201,0))="","",INDEX('WPTM_1C  Import-Export'!E$8:E233,MATCH($B43,'WPTM_1C  Import-Export'!$C$8:$C$201,0))),"")</f>
        <v/>
      </c>
      <c r="E43" s="511" t="str">
        <f>IFERROR(IF(INDEX('WPTM_1C  Import-Export'!F$8:F233,MATCH($B43,'WPTM_1C  Import-Export'!$C$8:$C$201,0))="","",INDEX('WPTM_1C  Import-Export'!F$8:F233,MATCH($B43,'WPTM_1C  Import-Export'!$C$8:$C$201,0))),"")</f>
        <v/>
      </c>
      <c r="F43" s="511" t="str">
        <f>IFERROR(IF(INDEX('WPTM_1C  Import-Export'!AA$8:AA233,MATCH($B43,'WPTM_1C  Import-Export'!$C$8:$C$201,0))="","",INDEX('WPTM_1C  Import-Export'!AA$8:AA233,MATCH($B43,'WPTM_1C  Import-Export'!$C$8:$C$201,0))),"")</f>
        <v/>
      </c>
      <c r="G43" s="511" t="str">
        <f>IFERROR(IF(INDEX('WPTM_1C  Import-Export'!AB$8:AB233,MATCH($B43,'WPTM_1C  Import-Export'!$C$8:$C$201,0))="","",INDEX('WPTM_1C  Import-Export'!AB$8:AB233,MATCH($B43,'WPTM_1C  Import-Export'!$C$8:$C$201,0))),"")</f>
        <v/>
      </c>
      <c r="H43" s="511" t="str">
        <f>IFERROR(IF(INDEX('WPTM_1C  Import-Export'!I$8:I233,MATCH($B43,'WPTM_1C  Import-Export'!$C$8:$C$201,0))="","",INDEX('WPTM_1C  Import-Export'!I$8:I233,MATCH($B43,'WPTM_1C  Import-Export'!$C$8:$C$201,0))),"")</f>
        <v/>
      </c>
      <c r="I43" s="511"/>
      <c r="J43" s="662"/>
      <c r="K43" s="664" t="str">
        <f t="shared" si="2"/>
        <v xml:space="preserve"> </v>
      </c>
      <c r="L43" s="662"/>
      <c r="M43" s="662"/>
      <c r="N43" s="664" t="str">
        <f t="shared" si="3"/>
        <v xml:space="preserve"> </v>
      </c>
      <c r="O43" s="662"/>
      <c r="P43" s="662"/>
      <c r="Q43" s="664" t="str">
        <f t="shared" si="4"/>
        <v xml:space="preserve"> </v>
      </c>
      <c r="R43" s="663"/>
    </row>
    <row r="44" spans="1:18" ht="60" customHeight="1" thickBot="1" x14ac:dyDescent="0.25">
      <c r="A44" s="648">
        <f t="shared" si="0"/>
        <v>34</v>
      </c>
      <c r="B44" s="648" t="str">
        <f t="shared" si="1"/>
        <v>WPTM34</v>
      </c>
      <c r="C44" s="510" t="str">
        <f>IFERROR(INDEX('WPTM_1C  Import-Export'!Z$8:Z234,MATCH($B44,'WPTM_1C  Import-Export'!$C$8:$C$201,0)),"")</f>
        <v/>
      </c>
      <c r="D44" s="511" t="str">
        <f>IFERROR(IF(INDEX('WPTM_1C  Import-Export'!E$8:E234,MATCH($B44,'WPTM_1C  Import-Export'!$C$8:$C$201,0))="","",INDEX('WPTM_1C  Import-Export'!E$8:E234,MATCH($B44,'WPTM_1C  Import-Export'!$C$8:$C$201,0))),"")</f>
        <v/>
      </c>
      <c r="E44" s="511" t="str">
        <f>IFERROR(IF(INDEX('WPTM_1C  Import-Export'!F$8:F234,MATCH($B44,'WPTM_1C  Import-Export'!$C$8:$C$201,0))="","",INDEX('WPTM_1C  Import-Export'!F$8:F234,MATCH($B44,'WPTM_1C  Import-Export'!$C$8:$C$201,0))),"")</f>
        <v/>
      </c>
      <c r="F44" s="511" t="str">
        <f>IFERROR(IF(INDEX('WPTM_1C  Import-Export'!AA$8:AA234,MATCH($B44,'WPTM_1C  Import-Export'!$C$8:$C$201,0))="","",INDEX('WPTM_1C  Import-Export'!AA$8:AA234,MATCH($B44,'WPTM_1C  Import-Export'!$C$8:$C$201,0))),"")</f>
        <v/>
      </c>
      <c r="G44" s="511" t="str">
        <f>IFERROR(IF(INDEX('WPTM_1C  Import-Export'!AB$8:AB234,MATCH($B44,'WPTM_1C  Import-Export'!$C$8:$C$201,0))="","",INDEX('WPTM_1C  Import-Export'!AB$8:AB234,MATCH($B44,'WPTM_1C  Import-Export'!$C$8:$C$201,0))),"")</f>
        <v/>
      </c>
      <c r="H44" s="511" t="str">
        <f>IFERROR(IF(INDEX('WPTM_1C  Import-Export'!I$8:I234,MATCH($B44,'WPTM_1C  Import-Export'!$C$8:$C$201,0))="","",INDEX('WPTM_1C  Import-Export'!I$8:I234,MATCH($B44,'WPTM_1C  Import-Export'!$C$8:$C$201,0))),"")</f>
        <v/>
      </c>
      <c r="I44" s="511"/>
      <c r="J44" s="662"/>
      <c r="K44" s="664" t="str">
        <f t="shared" si="2"/>
        <v xml:space="preserve"> </v>
      </c>
      <c r="L44" s="662"/>
      <c r="M44" s="662"/>
      <c r="N44" s="664" t="str">
        <f t="shared" si="3"/>
        <v xml:space="preserve"> </v>
      </c>
      <c r="O44" s="662"/>
      <c r="P44" s="662"/>
      <c r="Q44" s="664" t="str">
        <f t="shared" si="4"/>
        <v xml:space="preserve"> </v>
      </c>
      <c r="R44" s="663"/>
    </row>
    <row r="45" spans="1:18" ht="60" customHeight="1" thickBot="1" x14ac:dyDescent="0.25">
      <c r="A45" s="648">
        <f t="shared" si="0"/>
        <v>35</v>
      </c>
      <c r="B45" s="648" t="str">
        <f t="shared" si="1"/>
        <v>WPTM35</v>
      </c>
      <c r="C45" s="510" t="str">
        <f>IFERROR(INDEX('WPTM_1C  Import-Export'!Z$8:Z235,MATCH($B45,'WPTM_1C  Import-Export'!$C$8:$C$201,0)),"")</f>
        <v/>
      </c>
      <c r="D45" s="511" t="str">
        <f>IFERROR(IF(INDEX('WPTM_1C  Import-Export'!E$8:E235,MATCH($B45,'WPTM_1C  Import-Export'!$C$8:$C$201,0))="","",INDEX('WPTM_1C  Import-Export'!E$8:E235,MATCH($B45,'WPTM_1C  Import-Export'!$C$8:$C$201,0))),"")</f>
        <v/>
      </c>
      <c r="E45" s="511" t="str">
        <f>IFERROR(IF(INDEX('WPTM_1C  Import-Export'!F$8:F235,MATCH($B45,'WPTM_1C  Import-Export'!$C$8:$C$201,0))="","",INDEX('WPTM_1C  Import-Export'!F$8:F235,MATCH($B45,'WPTM_1C  Import-Export'!$C$8:$C$201,0))),"")</f>
        <v/>
      </c>
      <c r="F45" s="511" t="str">
        <f>IFERROR(IF(INDEX('WPTM_1C  Import-Export'!AA$8:AA235,MATCH($B45,'WPTM_1C  Import-Export'!$C$8:$C$201,0))="","",INDEX('WPTM_1C  Import-Export'!AA$8:AA235,MATCH($B45,'WPTM_1C  Import-Export'!$C$8:$C$201,0))),"")</f>
        <v/>
      </c>
      <c r="G45" s="511" t="str">
        <f>IFERROR(IF(INDEX('WPTM_1C  Import-Export'!AB$8:AB235,MATCH($B45,'WPTM_1C  Import-Export'!$C$8:$C$201,0))="","",INDEX('WPTM_1C  Import-Export'!AB$8:AB235,MATCH($B45,'WPTM_1C  Import-Export'!$C$8:$C$201,0))),"")</f>
        <v/>
      </c>
      <c r="H45" s="511" t="str">
        <f>IFERROR(IF(INDEX('WPTM_1C  Import-Export'!I$8:I235,MATCH($B45,'WPTM_1C  Import-Export'!$C$8:$C$201,0))="","",INDEX('WPTM_1C  Import-Export'!I$8:I235,MATCH($B45,'WPTM_1C  Import-Export'!$C$8:$C$201,0))),"")</f>
        <v/>
      </c>
      <c r="I45" s="511"/>
      <c r="J45" s="662"/>
      <c r="K45" s="664" t="str">
        <f t="shared" si="2"/>
        <v xml:space="preserve"> </v>
      </c>
      <c r="L45" s="662"/>
      <c r="M45" s="662"/>
      <c r="N45" s="664" t="str">
        <f t="shared" si="3"/>
        <v xml:space="preserve"> </v>
      </c>
      <c r="O45" s="662"/>
      <c r="P45" s="662"/>
      <c r="Q45" s="664" t="str">
        <f t="shared" si="4"/>
        <v xml:space="preserve"> </v>
      </c>
      <c r="R45" s="663"/>
    </row>
    <row r="46" spans="1:18" ht="60" customHeight="1" thickBot="1" x14ac:dyDescent="0.25">
      <c r="A46" s="648">
        <f t="shared" si="0"/>
        <v>36</v>
      </c>
      <c r="B46" s="648" t="str">
        <f t="shared" si="1"/>
        <v>WPTM36</v>
      </c>
      <c r="C46" s="510" t="str">
        <f>IFERROR(INDEX('WPTM_1C  Import-Export'!Z$8:Z236,MATCH($B46,'WPTM_1C  Import-Export'!$C$8:$C$201,0)),"")</f>
        <v/>
      </c>
      <c r="D46" s="511" t="str">
        <f>IFERROR(IF(INDEX('WPTM_1C  Import-Export'!E$8:E236,MATCH($B46,'WPTM_1C  Import-Export'!$C$8:$C$201,0))="","",INDEX('WPTM_1C  Import-Export'!E$8:E236,MATCH($B46,'WPTM_1C  Import-Export'!$C$8:$C$201,0))),"")</f>
        <v/>
      </c>
      <c r="E46" s="511" t="str">
        <f>IFERROR(IF(INDEX('WPTM_1C  Import-Export'!F$8:F236,MATCH($B46,'WPTM_1C  Import-Export'!$C$8:$C$201,0))="","",INDEX('WPTM_1C  Import-Export'!F$8:F236,MATCH($B46,'WPTM_1C  Import-Export'!$C$8:$C$201,0))),"")</f>
        <v/>
      </c>
      <c r="F46" s="511" t="str">
        <f>IFERROR(IF(INDEX('WPTM_1C  Import-Export'!AA$8:AA236,MATCH($B46,'WPTM_1C  Import-Export'!$C$8:$C$201,0))="","",INDEX('WPTM_1C  Import-Export'!AA$8:AA236,MATCH($B46,'WPTM_1C  Import-Export'!$C$8:$C$201,0))),"")</f>
        <v/>
      </c>
      <c r="G46" s="511" t="str">
        <f>IFERROR(IF(INDEX('WPTM_1C  Import-Export'!AB$8:AB236,MATCH($B46,'WPTM_1C  Import-Export'!$C$8:$C$201,0))="","",INDEX('WPTM_1C  Import-Export'!AB$8:AB236,MATCH($B46,'WPTM_1C  Import-Export'!$C$8:$C$201,0))),"")</f>
        <v/>
      </c>
      <c r="H46" s="511" t="str">
        <f>IFERROR(IF(INDEX('WPTM_1C  Import-Export'!I$8:I236,MATCH($B46,'WPTM_1C  Import-Export'!$C$8:$C$201,0))="","",INDEX('WPTM_1C  Import-Export'!I$8:I236,MATCH($B46,'WPTM_1C  Import-Export'!$C$8:$C$201,0))),"")</f>
        <v/>
      </c>
      <c r="I46" s="511"/>
      <c r="J46" s="662"/>
      <c r="K46" s="664" t="str">
        <f t="shared" si="2"/>
        <v xml:space="preserve"> </v>
      </c>
      <c r="L46" s="662"/>
      <c r="M46" s="662"/>
      <c r="N46" s="664" t="str">
        <f t="shared" si="3"/>
        <v xml:space="preserve"> </v>
      </c>
      <c r="O46" s="662"/>
      <c r="P46" s="662"/>
      <c r="Q46" s="664" t="str">
        <f t="shared" si="4"/>
        <v xml:space="preserve"> </v>
      </c>
      <c r="R46" s="663"/>
    </row>
    <row r="47" spans="1:18" ht="60" customHeight="1" thickBot="1" x14ac:dyDescent="0.25">
      <c r="A47" s="648">
        <f t="shared" si="0"/>
        <v>37</v>
      </c>
      <c r="B47" s="648" t="str">
        <f t="shared" si="1"/>
        <v>WPTM37</v>
      </c>
      <c r="C47" s="510" t="str">
        <f>IFERROR(INDEX('WPTM_1C  Import-Export'!Z$8:Z237,MATCH($B47,'WPTM_1C  Import-Export'!$C$8:$C$201,0)),"")</f>
        <v/>
      </c>
      <c r="D47" s="511" t="str">
        <f>IFERROR(IF(INDEX('WPTM_1C  Import-Export'!E$8:E237,MATCH($B47,'WPTM_1C  Import-Export'!$C$8:$C$201,0))="","",INDEX('WPTM_1C  Import-Export'!E$8:E237,MATCH($B47,'WPTM_1C  Import-Export'!$C$8:$C$201,0))),"")</f>
        <v/>
      </c>
      <c r="E47" s="511" t="str">
        <f>IFERROR(IF(INDEX('WPTM_1C  Import-Export'!F$8:F237,MATCH($B47,'WPTM_1C  Import-Export'!$C$8:$C$201,0))="","",INDEX('WPTM_1C  Import-Export'!F$8:F237,MATCH($B47,'WPTM_1C  Import-Export'!$C$8:$C$201,0))),"")</f>
        <v/>
      </c>
      <c r="F47" s="511" t="str">
        <f>IFERROR(IF(INDEX('WPTM_1C  Import-Export'!AA$8:AA237,MATCH($B47,'WPTM_1C  Import-Export'!$C$8:$C$201,0))="","",INDEX('WPTM_1C  Import-Export'!AA$8:AA237,MATCH($B47,'WPTM_1C  Import-Export'!$C$8:$C$201,0))),"")</f>
        <v/>
      </c>
      <c r="G47" s="511" t="str">
        <f>IFERROR(IF(INDEX('WPTM_1C  Import-Export'!AB$8:AB237,MATCH($B47,'WPTM_1C  Import-Export'!$C$8:$C$201,0))="","",INDEX('WPTM_1C  Import-Export'!AB$8:AB237,MATCH($B47,'WPTM_1C  Import-Export'!$C$8:$C$201,0))),"")</f>
        <v/>
      </c>
      <c r="H47" s="511" t="str">
        <f>IFERROR(IF(INDEX('WPTM_1C  Import-Export'!I$8:I237,MATCH($B47,'WPTM_1C  Import-Export'!$C$8:$C$201,0))="","",INDEX('WPTM_1C  Import-Export'!I$8:I237,MATCH($B47,'WPTM_1C  Import-Export'!$C$8:$C$201,0))),"")</f>
        <v/>
      </c>
      <c r="I47" s="511"/>
      <c r="J47" s="662"/>
      <c r="K47" s="664" t="str">
        <f t="shared" si="2"/>
        <v xml:space="preserve"> </v>
      </c>
      <c r="L47" s="662"/>
      <c r="M47" s="662"/>
      <c r="N47" s="664" t="str">
        <f t="shared" si="3"/>
        <v xml:space="preserve"> </v>
      </c>
      <c r="O47" s="662"/>
      <c r="P47" s="662"/>
      <c r="Q47" s="664" t="str">
        <f t="shared" si="4"/>
        <v xml:space="preserve"> </v>
      </c>
      <c r="R47" s="663"/>
    </row>
    <row r="48" spans="1:18" ht="60" customHeight="1" thickBot="1" x14ac:dyDescent="0.25">
      <c r="A48" s="648">
        <f t="shared" si="0"/>
        <v>38</v>
      </c>
      <c r="B48" s="648" t="str">
        <f t="shared" si="1"/>
        <v>WPTM38</v>
      </c>
      <c r="C48" s="510" t="str">
        <f>IFERROR(INDEX('WPTM_1C  Import-Export'!Z$8:Z238,MATCH($B48,'WPTM_1C  Import-Export'!$C$8:$C$201,0)),"")</f>
        <v/>
      </c>
      <c r="D48" s="511" t="str">
        <f>IFERROR(IF(INDEX('WPTM_1C  Import-Export'!E$8:E238,MATCH($B48,'WPTM_1C  Import-Export'!$C$8:$C$201,0))="","",INDEX('WPTM_1C  Import-Export'!E$8:E238,MATCH($B48,'WPTM_1C  Import-Export'!$C$8:$C$201,0))),"")</f>
        <v/>
      </c>
      <c r="E48" s="511" t="str">
        <f>IFERROR(IF(INDEX('WPTM_1C  Import-Export'!F$8:F238,MATCH($B48,'WPTM_1C  Import-Export'!$C$8:$C$201,0))="","",INDEX('WPTM_1C  Import-Export'!F$8:F238,MATCH($B48,'WPTM_1C  Import-Export'!$C$8:$C$201,0))),"")</f>
        <v/>
      </c>
      <c r="F48" s="511" t="str">
        <f>IFERROR(IF(INDEX('WPTM_1C  Import-Export'!AA$8:AA238,MATCH($B48,'WPTM_1C  Import-Export'!$C$8:$C$201,0))="","",INDEX('WPTM_1C  Import-Export'!AA$8:AA238,MATCH($B48,'WPTM_1C  Import-Export'!$C$8:$C$201,0))),"")</f>
        <v/>
      </c>
      <c r="G48" s="511" t="str">
        <f>IFERROR(IF(INDEX('WPTM_1C  Import-Export'!AB$8:AB238,MATCH($B48,'WPTM_1C  Import-Export'!$C$8:$C$201,0))="","",INDEX('WPTM_1C  Import-Export'!AB$8:AB238,MATCH($B48,'WPTM_1C  Import-Export'!$C$8:$C$201,0))),"")</f>
        <v/>
      </c>
      <c r="H48" s="511" t="str">
        <f>IFERROR(IF(INDEX('WPTM_1C  Import-Export'!I$8:I238,MATCH($B48,'WPTM_1C  Import-Export'!$C$8:$C$201,0))="","",INDEX('WPTM_1C  Import-Export'!I$8:I238,MATCH($B48,'WPTM_1C  Import-Export'!$C$8:$C$201,0))),"")</f>
        <v/>
      </c>
      <c r="I48" s="511"/>
      <c r="J48" s="662"/>
      <c r="K48" s="664" t="str">
        <f t="shared" si="2"/>
        <v xml:space="preserve"> </v>
      </c>
      <c r="L48" s="662"/>
      <c r="M48" s="662"/>
      <c r="N48" s="664" t="str">
        <f t="shared" si="3"/>
        <v xml:space="preserve"> </v>
      </c>
      <c r="O48" s="662"/>
      <c r="P48" s="662"/>
      <c r="Q48" s="664" t="str">
        <f t="shared" si="4"/>
        <v xml:space="preserve"> </v>
      </c>
      <c r="R48" s="663"/>
    </row>
    <row r="49" spans="1:18" ht="60" customHeight="1" thickBot="1" x14ac:dyDescent="0.25">
      <c r="A49" s="648">
        <f t="shared" si="0"/>
        <v>39</v>
      </c>
      <c r="B49" s="648" t="str">
        <f t="shared" si="1"/>
        <v>WPTM39</v>
      </c>
      <c r="C49" s="510" t="str">
        <f>IFERROR(INDEX('WPTM_1C  Import-Export'!Z$8:Z239,MATCH($B49,'WPTM_1C  Import-Export'!$C$8:$C$201,0)),"")</f>
        <v/>
      </c>
      <c r="D49" s="511" t="str">
        <f>IFERROR(IF(INDEX('WPTM_1C  Import-Export'!E$8:E239,MATCH($B49,'WPTM_1C  Import-Export'!$C$8:$C$201,0))="","",INDEX('WPTM_1C  Import-Export'!E$8:E239,MATCH($B49,'WPTM_1C  Import-Export'!$C$8:$C$201,0))),"")</f>
        <v/>
      </c>
      <c r="E49" s="511" t="str">
        <f>IFERROR(IF(INDEX('WPTM_1C  Import-Export'!F$8:F239,MATCH($B49,'WPTM_1C  Import-Export'!$C$8:$C$201,0))="","",INDEX('WPTM_1C  Import-Export'!F$8:F239,MATCH($B49,'WPTM_1C  Import-Export'!$C$8:$C$201,0))),"")</f>
        <v/>
      </c>
      <c r="F49" s="511" t="str">
        <f>IFERROR(IF(INDEX('WPTM_1C  Import-Export'!AA$8:AA239,MATCH($B49,'WPTM_1C  Import-Export'!$C$8:$C$201,0))="","",INDEX('WPTM_1C  Import-Export'!AA$8:AA239,MATCH($B49,'WPTM_1C  Import-Export'!$C$8:$C$201,0))),"")</f>
        <v/>
      </c>
      <c r="G49" s="511" t="str">
        <f>IFERROR(IF(INDEX('WPTM_1C  Import-Export'!AB$8:AB239,MATCH($B49,'WPTM_1C  Import-Export'!$C$8:$C$201,0))="","",INDEX('WPTM_1C  Import-Export'!AB$8:AB239,MATCH($B49,'WPTM_1C  Import-Export'!$C$8:$C$201,0))),"")</f>
        <v/>
      </c>
      <c r="H49" s="511" t="str">
        <f>IFERROR(IF(INDEX('WPTM_1C  Import-Export'!I$8:I239,MATCH($B49,'WPTM_1C  Import-Export'!$C$8:$C$201,0))="","",INDEX('WPTM_1C  Import-Export'!I$8:I239,MATCH($B49,'WPTM_1C  Import-Export'!$C$8:$C$201,0))),"")</f>
        <v/>
      </c>
      <c r="I49" s="511"/>
      <c r="J49" s="662"/>
      <c r="K49" s="664" t="str">
        <f t="shared" si="2"/>
        <v xml:space="preserve"> </v>
      </c>
      <c r="L49" s="662"/>
      <c r="M49" s="662"/>
      <c r="N49" s="664" t="str">
        <f t="shared" si="3"/>
        <v xml:space="preserve"> </v>
      </c>
      <c r="O49" s="662"/>
      <c r="P49" s="662"/>
      <c r="Q49" s="664" t="str">
        <f t="shared" si="4"/>
        <v xml:space="preserve"> </v>
      </c>
      <c r="R49" s="663"/>
    </row>
    <row r="50" spans="1:18" ht="60" customHeight="1" thickBot="1" x14ac:dyDescent="0.25">
      <c r="A50" s="648">
        <f t="shared" si="0"/>
        <v>40</v>
      </c>
      <c r="B50" s="648" t="str">
        <f t="shared" si="1"/>
        <v>WPTM40</v>
      </c>
      <c r="C50" s="510" t="str">
        <f>IFERROR(INDEX('WPTM_1C  Import-Export'!Z$8:Z240,MATCH($B50,'WPTM_1C  Import-Export'!$C$8:$C$201,0)),"")</f>
        <v/>
      </c>
      <c r="D50" s="511" t="str">
        <f>IFERROR(IF(INDEX('WPTM_1C  Import-Export'!E$8:E240,MATCH($B50,'WPTM_1C  Import-Export'!$C$8:$C$201,0))="","",INDEX('WPTM_1C  Import-Export'!E$8:E240,MATCH($B50,'WPTM_1C  Import-Export'!$C$8:$C$201,0))),"")</f>
        <v/>
      </c>
      <c r="E50" s="511" t="str">
        <f>IFERROR(IF(INDEX('WPTM_1C  Import-Export'!F$8:F240,MATCH($B50,'WPTM_1C  Import-Export'!$C$8:$C$201,0))="","",INDEX('WPTM_1C  Import-Export'!F$8:F240,MATCH($B50,'WPTM_1C  Import-Export'!$C$8:$C$201,0))),"")</f>
        <v/>
      </c>
      <c r="F50" s="511" t="str">
        <f>IFERROR(IF(INDEX('WPTM_1C  Import-Export'!AA$8:AA240,MATCH($B50,'WPTM_1C  Import-Export'!$C$8:$C$201,0))="","",INDEX('WPTM_1C  Import-Export'!AA$8:AA240,MATCH($B50,'WPTM_1C  Import-Export'!$C$8:$C$201,0))),"")</f>
        <v/>
      </c>
      <c r="G50" s="511" t="str">
        <f>IFERROR(IF(INDEX('WPTM_1C  Import-Export'!AB$8:AB240,MATCH($B50,'WPTM_1C  Import-Export'!$C$8:$C$201,0))="","",INDEX('WPTM_1C  Import-Export'!AB$8:AB240,MATCH($B50,'WPTM_1C  Import-Export'!$C$8:$C$201,0))),"")</f>
        <v/>
      </c>
      <c r="H50" s="511" t="str">
        <f>IFERROR(IF(INDEX('WPTM_1C  Import-Export'!I$8:I240,MATCH($B50,'WPTM_1C  Import-Export'!$C$8:$C$201,0))="","",INDEX('WPTM_1C  Import-Export'!I$8:I240,MATCH($B50,'WPTM_1C  Import-Export'!$C$8:$C$201,0))),"")</f>
        <v/>
      </c>
      <c r="I50" s="511"/>
      <c r="J50" s="662"/>
      <c r="K50" s="664" t="str">
        <f t="shared" si="2"/>
        <v xml:space="preserve"> </v>
      </c>
      <c r="L50" s="662"/>
      <c r="M50" s="662"/>
      <c r="N50" s="664" t="str">
        <f t="shared" si="3"/>
        <v xml:space="preserve"> </v>
      </c>
      <c r="O50" s="662"/>
      <c r="P50" s="662"/>
      <c r="Q50" s="664" t="str">
        <f t="shared" si="4"/>
        <v xml:space="preserve"> </v>
      </c>
      <c r="R50" s="663"/>
    </row>
    <row r="51" spans="1:18" ht="60" customHeight="1" x14ac:dyDescent="0.2">
      <c r="A51" s="648">
        <f t="shared" si="0"/>
        <v>41</v>
      </c>
      <c r="B51" s="648" t="str">
        <f t="shared" si="1"/>
        <v>WPTM41</v>
      </c>
      <c r="C51" s="510" t="str">
        <f>IFERROR(INDEX('WPTM_1C  Import-Export'!Z$8:Z241,MATCH($B51,'WPTM_1C  Import-Export'!$C$8:$C$201,0)),"")</f>
        <v/>
      </c>
      <c r="D51" s="511" t="str">
        <f>IFERROR(IF(INDEX('WPTM_1C  Import-Export'!E$8:E241,MATCH($B51,'WPTM_1C  Import-Export'!$C$8:$C$201,0))="","",INDEX('WPTM_1C  Import-Export'!E$8:E241,MATCH($B51,'WPTM_1C  Import-Export'!$C$8:$C$201,0))),"")</f>
        <v/>
      </c>
      <c r="E51" s="511" t="str">
        <f>IFERROR(IF(INDEX('WPTM_1C  Import-Export'!F$8:F241,MATCH($B51,'WPTM_1C  Import-Export'!$C$8:$C$201,0))="","",INDEX('WPTM_1C  Import-Export'!F$8:F241,MATCH($B51,'WPTM_1C  Import-Export'!$C$8:$C$201,0))),"")</f>
        <v/>
      </c>
      <c r="F51" s="511" t="str">
        <f>IFERROR(IF(INDEX('WPTM_1C  Import-Export'!AA$8:AA241,MATCH($B51,'WPTM_1C  Import-Export'!$C$8:$C$201,0))="","",INDEX('WPTM_1C  Import-Export'!AA$8:AA241,MATCH($B51,'WPTM_1C  Import-Export'!$C$8:$C$201,0))),"")</f>
        <v/>
      </c>
      <c r="G51" s="511" t="str">
        <f>IFERROR(IF(INDEX('WPTM_1C  Import-Export'!AB$8:AB241,MATCH($B51,'WPTM_1C  Import-Export'!$C$8:$C$201,0))="","",INDEX('WPTM_1C  Import-Export'!AB$8:AB241,MATCH($B51,'WPTM_1C  Import-Export'!$C$8:$C$201,0))),"")</f>
        <v/>
      </c>
      <c r="H51" s="511" t="str">
        <f>IFERROR(IF(INDEX('WPTM_1C  Import-Export'!I$8:I241,MATCH($B51,'WPTM_1C  Import-Export'!$C$8:$C$201,0))="","",INDEX('WPTM_1C  Import-Export'!I$8:I241,MATCH($B51,'WPTM_1C  Import-Export'!$C$8:$C$201,0))),"")</f>
        <v/>
      </c>
      <c r="I51" s="511"/>
      <c r="J51" s="662"/>
      <c r="K51" s="664" t="str">
        <f t="shared" si="2"/>
        <v xml:space="preserve"> </v>
      </c>
      <c r="L51" s="662"/>
      <c r="M51" s="662"/>
      <c r="N51" s="664" t="str">
        <f t="shared" si="3"/>
        <v xml:space="preserve"> </v>
      </c>
      <c r="O51" s="662"/>
      <c r="P51" s="662"/>
      <c r="Q51" s="664" t="str">
        <f t="shared" si="4"/>
        <v xml:space="preserve"> </v>
      </c>
      <c r="R51" s="663"/>
    </row>
  </sheetData>
  <sheetProtection algorithmName="SHA-512" hashValue="QMO8nU7BaoUy/N5N/EUsLmYuNp5VDgLrWJgJKSmkYxCg2FRHrHOQc6QT1lIy6KmSK/ZJfO/HmD/XErOPVnzRoQ==" saltValue="CG04+iBKeoAIZFAYh3eSLw==" spinCount="100000" sheet="1" formatColumns="0" formatRows="0" autoFilter="0"/>
  <mergeCells count="17">
    <mergeCell ref="Q9:Q10"/>
    <mergeCell ref="R9:R10"/>
    <mergeCell ref="K9:K10"/>
    <mergeCell ref="L9:L10"/>
    <mergeCell ref="M9:M10"/>
    <mergeCell ref="N9:N10"/>
    <mergeCell ref="O9:O10"/>
    <mergeCell ref="P9:P10"/>
    <mergeCell ref="C5:O5"/>
    <mergeCell ref="C9:C10"/>
    <mergeCell ref="D9:D10"/>
    <mergeCell ref="E9:E10"/>
    <mergeCell ref="F9:F10"/>
    <mergeCell ref="G9:G10"/>
    <mergeCell ref="H9:H10"/>
    <mergeCell ref="I9:I10"/>
    <mergeCell ref="J9:J10"/>
  </mergeCells>
  <dataValidations count="1">
    <dataValidation type="list" allowBlank="1" showInputMessage="1" showErrorMessage="1" sqref="M11:M51 P11:P51 J11:J51" xr:uid="{00000000-0002-0000-0C00-000000000000}">
      <formula1>WPTM_Progress</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tabColor theme="0"/>
  </sheetPr>
  <dimension ref="A1:AJ49"/>
  <sheetViews>
    <sheetView zoomScale="60" zoomScaleNormal="60" workbookViewId="0">
      <pane xSplit="5" ySplit="7" topLeftCell="I8" activePane="bottomRight" state="frozen"/>
      <selection pane="topRight" activeCell="H35" sqref="H35"/>
      <selection pane="bottomLeft" activeCell="H35" sqref="H35"/>
      <selection pane="bottomRight" activeCell="O8" sqref="O8"/>
    </sheetView>
  </sheetViews>
  <sheetFormatPr baseColWidth="10" defaultColWidth="9.140625" defaultRowHeight="15" x14ac:dyDescent="0.2"/>
  <cols>
    <col min="1" max="2" width="9.140625" style="33"/>
    <col min="3" max="3" width="16.42578125" style="34" customWidth="1"/>
    <col min="4" max="4" width="34.140625" style="33" customWidth="1"/>
    <col min="5" max="6" width="43.85546875" style="33" customWidth="1"/>
    <col min="7" max="9" width="36.85546875" style="33" customWidth="1"/>
    <col min="10" max="10" width="19.85546875" style="33" customWidth="1"/>
    <col min="11" max="11" width="29.42578125" style="33" customWidth="1"/>
    <col min="12" max="12" width="18.140625" style="33" customWidth="1"/>
    <col min="13" max="13" width="18" style="33" customWidth="1"/>
    <col min="14" max="14" width="19.5703125" style="33" customWidth="1"/>
    <col min="15" max="15" width="27.85546875" style="33" customWidth="1"/>
    <col min="16" max="16" width="19.140625" style="33" customWidth="1"/>
    <col min="17" max="17" width="42.140625" style="33" customWidth="1"/>
    <col min="18" max="18" width="20.42578125" style="33" customWidth="1"/>
    <col min="19" max="19" width="26.140625" style="33" customWidth="1"/>
    <col min="20" max="20" width="60.5703125" style="33" customWidth="1"/>
    <col min="21" max="22" width="19.140625" style="33" customWidth="1"/>
    <col min="23" max="23" width="43.42578125" style="33" customWidth="1"/>
    <col min="24" max="24" width="45.42578125" style="33" bestFit="1" customWidth="1"/>
    <col min="25" max="28" width="9.140625" style="33"/>
    <col min="29" max="29" width="23.85546875" style="33" bestFit="1" customWidth="1"/>
    <col min="30" max="30" width="24" style="33" bestFit="1" customWidth="1"/>
    <col min="31" max="31" width="22.5703125" style="33" bestFit="1" customWidth="1"/>
    <col min="32" max="32" width="22.85546875" style="33" bestFit="1" customWidth="1"/>
    <col min="33" max="33" width="23" style="33" bestFit="1" customWidth="1"/>
    <col min="34" max="34" width="25.140625" style="33" bestFit="1" customWidth="1"/>
    <col min="35" max="35" width="47" style="33" bestFit="1" customWidth="1"/>
    <col min="36" max="36" width="39.85546875" style="33" bestFit="1" customWidth="1"/>
    <col min="37" max="16384" width="9.140625" style="33"/>
  </cols>
  <sheetData>
    <row r="1" spans="1:36" x14ac:dyDescent="0.2">
      <c r="D1" s="34"/>
      <c r="E1" s="34"/>
      <c r="F1" s="34"/>
      <c r="G1" s="34"/>
      <c r="H1" s="34"/>
      <c r="I1" s="34"/>
      <c r="J1" s="34"/>
      <c r="K1" s="34"/>
      <c r="L1" s="34"/>
      <c r="M1" s="34"/>
      <c r="N1" s="34"/>
      <c r="O1" s="34"/>
      <c r="P1" s="34"/>
      <c r="Q1" s="34"/>
      <c r="R1" s="34"/>
      <c r="S1" s="34"/>
      <c r="T1" s="34"/>
      <c r="U1" s="34"/>
      <c r="V1" s="34"/>
      <c r="W1" s="34"/>
    </row>
    <row r="2" spans="1:36" ht="90.75" customHeight="1" x14ac:dyDescent="0.2">
      <c r="D2" s="1495" t="s">
        <v>739</v>
      </c>
      <c r="E2" s="1480"/>
      <c r="F2" s="1480"/>
      <c r="G2" s="1480"/>
      <c r="H2" s="1480"/>
      <c r="I2" s="1480"/>
      <c r="J2" s="1480"/>
      <c r="K2" s="1480"/>
      <c r="L2" s="1480"/>
      <c r="M2" s="1480"/>
      <c r="N2" s="1480"/>
      <c r="O2" s="1480"/>
      <c r="P2" s="1480"/>
      <c r="Q2" s="1480"/>
      <c r="R2" s="1480"/>
      <c r="S2" s="1480"/>
      <c r="T2" s="1480"/>
      <c r="U2" s="1018"/>
      <c r="V2" s="1018"/>
      <c r="W2" s="1018"/>
    </row>
    <row r="3" spans="1:36" x14ac:dyDescent="0.2">
      <c r="D3" s="34"/>
      <c r="E3" s="34"/>
      <c r="F3" s="34"/>
      <c r="G3" s="34"/>
      <c r="H3" s="34"/>
      <c r="I3" s="34"/>
      <c r="J3" s="34"/>
      <c r="K3" s="34"/>
      <c r="L3" s="34"/>
      <c r="M3" s="34"/>
      <c r="N3" s="34"/>
      <c r="O3" s="34"/>
      <c r="P3" s="34"/>
      <c r="Q3" s="34"/>
      <c r="R3" s="34"/>
      <c r="S3" s="34"/>
      <c r="T3" s="34"/>
      <c r="U3" s="34"/>
      <c r="V3" s="34"/>
      <c r="W3" s="34"/>
    </row>
    <row r="4" spans="1:36" ht="39" customHeight="1" x14ac:dyDescent="0.2">
      <c r="D4" s="1020" t="s">
        <v>740</v>
      </c>
      <c r="E4" s="1021"/>
      <c r="F4" s="1021"/>
      <c r="G4" s="1021"/>
      <c r="H4" s="1021"/>
      <c r="I4" s="1021"/>
      <c r="J4" s="1021"/>
      <c r="K4" s="1021"/>
      <c r="L4" s="1021"/>
      <c r="M4" s="1021"/>
      <c r="N4" s="1021"/>
      <c r="O4" s="1021"/>
      <c r="P4" s="1021"/>
      <c r="Q4" s="1021"/>
      <c r="R4" s="1021"/>
      <c r="S4" s="1021"/>
      <c r="T4" s="1021"/>
      <c r="U4" s="1021"/>
      <c r="V4" s="1021"/>
      <c r="W4" s="1021"/>
    </row>
    <row r="5" spans="1:36" ht="18.75" customHeight="1" thickBot="1" x14ac:dyDescent="0.25">
      <c r="D5" s="36"/>
      <c r="E5" s="37"/>
      <c r="F5" s="37"/>
      <c r="G5" s="37"/>
      <c r="H5" s="37"/>
      <c r="I5" s="37"/>
      <c r="J5" s="37"/>
      <c r="K5" s="37"/>
      <c r="L5" s="37"/>
      <c r="M5" s="37"/>
      <c r="N5" s="37"/>
      <c r="O5" s="37"/>
      <c r="P5" s="37"/>
      <c r="Q5" s="37"/>
      <c r="R5" s="37"/>
      <c r="S5" s="37"/>
      <c r="T5" s="37"/>
      <c r="U5" s="37"/>
      <c r="V5" s="37"/>
      <c r="W5" s="37"/>
    </row>
    <row r="6" spans="1:36" ht="28.5" customHeight="1" x14ac:dyDescent="0.2">
      <c r="D6" s="1438" t="s">
        <v>353</v>
      </c>
      <c r="E6" s="1433" t="s">
        <v>741</v>
      </c>
      <c r="F6" s="1433" t="s">
        <v>742</v>
      </c>
      <c r="G6" s="1433" t="s">
        <v>743</v>
      </c>
      <c r="H6" s="1433" t="s">
        <v>744</v>
      </c>
      <c r="I6" s="1433" t="s">
        <v>745</v>
      </c>
      <c r="J6" s="1462" t="s">
        <v>746</v>
      </c>
      <c r="K6" s="1466" t="s">
        <v>747</v>
      </c>
      <c r="L6" s="1484" t="s">
        <v>748</v>
      </c>
      <c r="M6" s="1496" t="s">
        <v>749</v>
      </c>
      <c r="N6" s="1496" t="s">
        <v>160</v>
      </c>
      <c r="O6" s="1469" t="s">
        <v>734</v>
      </c>
      <c r="P6" s="1491" t="s">
        <v>750</v>
      </c>
      <c r="Q6" s="1419" t="s">
        <v>751</v>
      </c>
      <c r="R6" s="1421" t="s">
        <v>734</v>
      </c>
      <c r="S6" s="1421" t="s">
        <v>735</v>
      </c>
      <c r="T6" s="1421" t="s">
        <v>736</v>
      </c>
      <c r="U6" s="1477" t="s">
        <v>737</v>
      </c>
      <c r="V6" s="1477" t="s">
        <v>738</v>
      </c>
      <c r="W6" s="1423" t="s">
        <v>328</v>
      </c>
      <c r="X6" s="1438" t="s">
        <v>752</v>
      </c>
      <c r="Y6" s="1438" t="s">
        <v>753</v>
      </c>
      <c r="Z6" s="1438" t="s">
        <v>754</v>
      </c>
      <c r="AA6" s="1438" t="s">
        <v>755</v>
      </c>
      <c r="AB6" s="1438" t="s">
        <v>756</v>
      </c>
      <c r="AC6" s="1438" t="s">
        <v>363</v>
      </c>
      <c r="AD6" s="1438" t="s">
        <v>364</v>
      </c>
      <c r="AE6" s="1438" t="s">
        <v>757</v>
      </c>
      <c r="AF6" s="1438" t="s">
        <v>758</v>
      </c>
      <c r="AG6" s="1438" t="s">
        <v>298</v>
      </c>
      <c r="AH6" s="1438" t="s">
        <v>759</v>
      </c>
      <c r="AI6" s="1438" t="s">
        <v>760</v>
      </c>
      <c r="AJ6" s="1438" t="s">
        <v>761</v>
      </c>
    </row>
    <row r="7" spans="1:36" ht="24" customHeight="1" x14ac:dyDescent="0.2">
      <c r="A7" s="772" t="s">
        <v>122</v>
      </c>
      <c r="B7" s="772">
        <v>-1</v>
      </c>
      <c r="C7" s="771"/>
      <c r="D7" s="1474"/>
      <c r="E7" s="1474"/>
      <c r="F7" s="1474"/>
      <c r="G7" s="1474"/>
      <c r="H7" s="1474"/>
      <c r="I7" s="1474"/>
      <c r="J7" s="1474"/>
      <c r="K7" s="1474"/>
      <c r="L7" s="1474"/>
      <c r="M7" s="1474"/>
      <c r="N7" s="1474"/>
      <c r="O7" s="1476"/>
      <c r="P7" s="1476"/>
      <c r="Q7" s="1476"/>
      <c r="R7" s="1475"/>
      <c r="S7" s="1475"/>
      <c r="T7" s="1475"/>
      <c r="U7" s="1478"/>
      <c r="V7" s="1478"/>
      <c r="W7" s="1478"/>
      <c r="X7" s="1474" t="s">
        <v>752</v>
      </c>
      <c r="Y7" s="1474"/>
      <c r="Z7" s="1474"/>
      <c r="AA7" s="1474"/>
      <c r="AB7" s="1474"/>
      <c r="AC7" s="1474" t="s">
        <v>363</v>
      </c>
      <c r="AD7" s="1474" t="s">
        <v>364</v>
      </c>
      <c r="AE7" s="1474" t="s">
        <v>757</v>
      </c>
      <c r="AF7" s="1474" t="s">
        <v>758</v>
      </c>
      <c r="AG7" s="1474" t="s">
        <v>298</v>
      </c>
      <c r="AH7" s="1474" t="s">
        <v>759</v>
      </c>
      <c r="AI7" s="1474" t="s">
        <v>760</v>
      </c>
      <c r="AJ7" s="1474" t="s">
        <v>761</v>
      </c>
    </row>
    <row r="8" spans="1:36" hidden="1" x14ac:dyDescent="0.2">
      <c r="A8" s="772" t="s">
        <v>371</v>
      </c>
      <c r="B8" s="772">
        <f>B7+1</f>
        <v>0</v>
      </c>
      <c r="C8" s="771" t="str">
        <f>"WPTM"&amp;B8</f>
        <v>WPTM0</v>
      </c>
      <c r="D8" s="798" t="s">
        <v>596</v>
      </c>
      <c r="E8" s="799" t="str">
        <f>IF(LangOffset=0,CONCATENATE(Y8),IF(LangOffset=1,CONCATENATE(AF8),IF(LangOffset=2,AE8)))</f>
        <v>[Intervention FR]</v>
      </c>
      <c r="F8" s="798" t="str">
        <f>IF(LangOffset=0,CONCATENATE(G8),IF(LangOffset=1,CONCATENATE(H8),IF(LangOffset=2,H8)))</f>
        <v>[Custom Intervention - Local]</v>
      </c>
      <c r="G8" s="798" t="s">
        <v>762</v>
      </c>
      <c r="H8" s="798" t="s">
        <v>763</v>
      </c>
      <c r="I8" s="799" t="str">
        <f>IF(LangOffset=0,CONCATENATE(L8),IF(LangOffset=1,CONCATENATE(AJ8),IF(LangOffset=2,AJ8)))</f>
        <v>[Criterion for Completion Local]</v>
      </c>
      <c r="J8" s="798" t="s">
        <v>764</v>
      </c>
      <c r="K8" s="798" t="s">
        <v>765</v>
      </c>
      <c r="L8" s="798" t="s">
        <v>766</v>
      </c>
      <c r="M8" s="798" t="s">
        <v>767</v>
      </c>
      <c r="N8" s="798" t="s">
        <v>308</v>
      </c>
      <c r="O8" s="786" t="str">
        <f>IFERROR(IF(INDEX(WPTM_1C!J$11:J$200,MATCH($C8,WPTM_1C!$B$11:$B$200,0))="","",INDEX(WPTM_1C!J$11:J$200,MATCH($C8,WPTM_1C!$B$11:$B$200,0))),"")</f>
        <v/>
      </c>
      <c r="P8" s="772" t="str">
        <f>IFERROR(IF(INDEX(WPTM_1C!K$11:K$200,MATCH($C8,WPTM_1C!$B$11:$B$200,0))="","",INDEX(WPTM_1C!K$11:K$200,MATCH($C8,WPTM_1C!$B$11:$B$200,0))),"")</f>
        <v/>
      </c>
      <c r="Q8" s="786" t="str">
        <f>IFERROR(IF(INDEX(WPTM_1C!L$11:L$200,MATCH($C8,WPTM_1C!$B$11:$B$200,0))="","",INDEX(WPTM_1C!L$11:L$200,MATCH($C8,WPTM_1C!$B$11:$B$200,0))),"")</f>
        <v/>
      </c>
      <c r="R8" s="786" t="str">
        <f>IFERROR(IF(INDEX(WPTM_1C!M$11:M$200,MATCH($C8,WPTM_1C!$B$11:$B$200,0))="","",INDEX(WPTM_1C!M$11:M$200,MATCH($C8,WPTM_1C!$B$11:$B$200,0))),"")</f>
        <v/>
      </c>
      <c r="S8" s="772" t="str">
        <f>IFERROR(INDEX(WPTM_1C!N$11:N$200,MATCH($C8,WPTM_1C!$B$11:$B$200,0)),"")</f>
        <v/>
      </c>
      <c r="T8" s="786" t="str">
        <f>IFERROR(IF(INDEX(WPTM_1C!O$11:O$200,MATCH($C8,WPTM_1C!$B$11:$B$200,0))="","",INDEX(WPTM_1C!O$11:O$200,MATCH($C8,WPTM_1C!$B$11:$B$200,0))),"")</f>
        <v/>
      </c>
      <c r="U8" s="772" t="str">
        <f>IFERROR(INDEX(WPTM_1C!P$11:P$200,MATCH($C8,WPTM_1C!$B$11:$B$200,0)),"")</f>
        <v/>
      </c>
      <c r="V8" s="772" t="str">
        <f>IFERROR(INDEX(WPTM_1C!Q$11:Q$200,MATCH($C8,WPTM_1C!$B$11:$B$200,0)),"")</f>
        <v/>
      </c>
      <c r="W8" s="772" t="str">
        <f>IFERROR(INDEX(WPTM_1C!R$11:R$200,MATCH($C8,WPTM_1C!$B$11:$B$200,0)),"")</f>
        <v/>
      </c>
      <c r="X8" s="785" t="s">
        <v>768</v>
      </c>
      <c r="Y8" s="786" t="s">
        <v>769</v>
      </c>
      <c r="Z8" s="772" t="str">
        <f>IF(LangOffset=0,CONCATENATE(D8),IF(LangOffset=1,CONCATENATE(AD8),IF(LangOffset=2,AC8)))</f>
        <v>[Module Name FR]</v>
      </c>
      <c r="AA8" s="772" t="str">
        <f>IF(LangOffset=0,CONCATENATE(J8),IF(LangOffset=1,CONCATENATE(AH8),IF(LangOffset=2,AH8)))</f>
        <v>[Key Activity Local]</v>
      </c>
      <c r="AB8" s="772" t="str">
        <f>IF(LangOffset=0,CONCATENATE(K8),IF(LangOffset=1,CONCATENATE(AI8),IF(LangOffset-2,AI8)))</f>
        <v>[Milestone / Target Description Local]</v>
      </c>
      <c r="AC8" s="786" t="s">
        <v>386</v>
      </c>
      <c r="AD8" s="786" t="s">
        <v>387</v>
      </c>
      <c r="AE8" s="786" t="s">
        <v>770</v>
      </c>
      <c r="AF8" s="786" t="s">
        <v>771</v>
      </c>
      <c r="AG8" s="786" t="s">
        <v>313</v>
      </c>
      <c r="AH8" s="786" t="s">
        <v>772</v>
      </c>
      <c r="AI8" s="786" t="s">
        <v>773</v>
      </c>
      <c r="AJ8" s="786" t="s">
        <v>774</v>
      </c>
    </row>
    <row r="9" spans="1:36" ht="409.5" x14ac:dyDescent="0.2">
      <c r="A9" s="772" t="s">
        <v>775</v>
      </c>
      <c r="B9" s="772">
        <f>B8+1</f>
        <v>1</v>
      </c>
      <c r="C9" s="771" t="str">
        <f>"WPTM"&amp;B9</f>
        <v>WPTM1</v>
      </c>
      <c r="D9" s="798" t="s">
        <v>776</v>
      </c>
      <c r="E9" s="799" t="str">
        <f>IF(LangOffset=0,CONCATENATE(Y9),IF(LangOffset=1,CONCATENATE(AF9),IF(LangOffset=2,AE9)))</f>
        <v>Interventions pour le changement de comportement ciblant les consommateurs de drogues injectables</v>
      </c>
      <c r="F9" s="798"/>
      <c r="G9" s="798"/>
      <c r="H9" s="798"/>
      <c r="I9" s="799" t="str">
        <f>IF(LangOffset=0,CONCATENATE(L9),IF(LangOffset=1,CONCATENATE(AJ9),IF(LangOffset=2,AJ9)))</f>
        <v>438 UDI atteints (cumulatif annuel), tels que documentés à travers le rapportage des PE, compilé par le programme (SSR et SR CRB).
non commencé = 0-15% UDI atteints
commencé = 15-50% UDI atteints 
avancé = 50-80% UDI atteints 
complété = 80-100% UDI atteints avec le paquet de prévention</v>
      </c>
      <c r="J9" s="801" t="s">
        <v>777</v>
      </c>
      <c r="K9" s="798" t="s">
        <v>778</v>
      </c>
      <c r="L9" s="801" t="s">
        <v>779</v>
      </c>
      <c r="M9" s="798" t="s">
        <v>780</v>
      </c>
      <c r="N9" s="801" t="s">
        <v>781</v>
      </c>
      <c r="O9" s="786" t="str">
        <f>IFERROR(IF(INDEX(WPTM_1C!J$11:J$200,MATCH($C9,WPTM_1C!$B$11:$B$200,0))="","",INDEX(WPTM_1C!J$11:J$200,MATCH($C9,WPTM_1C!$B$11:$B$200,0))),"")</f>
        <v/>
      </c>
      <c r="P9" s="772" t="str">
        <f>IFERROR(IF(INDEX(WPTM_1C!K$11:K$200,MATCH($C9,WPTM_1C!$B$11:$B$200,0))="","",INDEX(WPTM_1C!K$11:K$200,MATCH($C9,WPTM_1C!$B$11:$B$200,0))),"")</f>
        <v xml:space="preserve"> </v>
      </c>
      <c r="Q9" s="786" t="str">
        <f>IFERROR(IF(INDEX(WPTM_1C!L$11:L$200,MATCH($C9,WPTM_1C!$B$11:$B$200,0))="","",INDEX(WPTM_1C!L$11:L$200,MATCH($C9,WPTM_1C!$B$11:$B$200,0))),"")</f>
        <v/>
      </c>
      <c r="R9" s="786" t="str">
        <f>IFERROR(IF(INDEX(WPTM_1C!M$11:M$200,MATCH($C9,WPTM_1C!$B$11:$B$200,0))="","",INDEX(WPTM_1C!M$11:M$200,MATCH($C9,WPTM_1C!$B$11:$B$200,0))),"")</f>
        <v/>
      </c>
      <c r="S9" s="772" t="str">
        <f>IFERROR(INDEX(WPTM_1C!N$11:N$200,MATCH($C9,WPTM_1C!$B$11:$B$200,0)),"")</f>
        <v xml:space="preserve"> </v>
      </c>
      <c r="T9" s="786" t="str">
        <f>IFERROR(IF(INDEX(WPTM_1C!O$11:O$200,MATCH($C9,WPTM_1C!$B$11:$B$200,0))="","",INDEX(WPTM_1C!O$11:O$200,MATCH($C9,WPTM_1C!$B$11:$B$200,0))),"")</f>
        <v/>
      </c>
      <c r="U9" s="772">
        <f>IFERROR(INDEX(WPTM_1C!P$11:P$200,MATCH($C9,WPTM_1C!$B$11:$B$200,0)),"")</f>
        <v>0</v>
      </c>
      <c r="V9" s="772" t="str">
        <f>IFERROR(INDEX(WPTM_1C!Q$11:Q$200,MATCH($C9,WPTM_1C!$B$11:$B$200,0)),"")</f>
        <v xml:space="preserve"> </v>
      </c>
      <c r="W9" s="772">
        <f>IFERROR(INDEX(WPTM_1C!R$11:R$200,MATCH($C9,WPTM_1C!$B$11:$B$200,0)),"")</f>
        <v>0</v>
      </c>
      <c r="X9" s="785">
        <v>1</v>
      </c>
      <c r="Y9" s="786" t="s">
        <v>782</v>
      </c>
      <c r="Z9" s="772" t="str">
        <f>IF(LangOffset=0,CONCATENATE(D9),IF(LangOffset=1,CONCATENATE(AD9),IF(LangOffset=2,AC9)))</f>
        <v>Programmes de prévention complets destinés aux consommateurs de drogues injectables et à leurs partenaires</v>
      </c>
      <c r="AA9" s="772" t="str">
        <f>IF(LangOffset=0,CONCATENATE(J9),IF(LangOffset=1,CONCATENATE(AH9),IF(LangOffset=2,AH9)))</f>
        <v>- Formations des pairs éducateurs (30) pour atteindre 400-478 UDI chaque année.
- Création de 2 centres de convivialité pilotes à Gitega et Bujumbura; et
- Recrutement des conseillers pour les centres de convivialité.</v>
      </c>
      <c r="AB9" s="772" t="str">
        <f>IF(LangOffset=0,CONCATENATE(K9),IF(LangOffset=1,CONCATENATE(AI9),IF(LangOffset-2,AI9)))</f>
        <v>438 UDI atteints (cumulatif annuel) avec le paquet de services de prévention (pair éducation, préservatifs, gels, accès au dépistage VIH et services VIH et IST).</v>
      </c>
      <c r="AC9" s="786" t="s">
        <v>783</v>
      </c>
      <c r="AD9" s="786" t="s">
        <v>784</v>
      </c>
      <c r="AE9" s="786" t="s">
        <v>785</v>
      </c>
      <c r="AF9" s="786" t="s">
        <v>786</v>
      </c>
      <c r="AG9" s="788" t="s">
        <v>787</v>
      </c>
      <c r="AH9" s="788" t="s">
        <v>788</v>
      </c>
      <c r="AI9" s="786" t="s">
        <v>789</v>
      </c>
      <c r="AJ9" s="788" t="s">
        <v>790</v>
      </c>
    </row>
    <row r="10" spans="1:36" x14ac:dyDescent="0.2">
      <c r="D10" s="1079"/>
      <c r="E10" s="1077"/>
      <c r="F10" s="1077"/>
      <c r="G10" s="1077"/>
      <c r="H10" s="1077"/>
      <c r="I10" s="1077"/>
      <c r="J10" s="1077"/>
      <c r="K10" s="1077"/>
      <c r="L10" s="1077"/>
      <c r="M10" s="1077"/>
      <c r="N10" s="1077"/>
      <c r="O10" s="1059"/>
      <c r="P10" s="1059"/>
      <c r="Q10" s="1059"/>
      <c r="R10" s="1059"/>
      <c r="S10" s="1059"/>
      <c r="T10" s="1059"/>
      <c r="U10" s="1059"/>
      <c r="V10" s="1078"/>
      <c r="W10" s="1078"/>
    </row>
    <row r="11" spans="1:36" x14ac:dyDescent="0.2">
      <c r="D11" s="1079"/>
      <c r="E11" s="1077"/>
      <c r="F11" s="1077"/>
      <c r="G11" s="1077"/>
      <c r="H11" s="1077"/>
      <c r="I11" s="1077"/>
      <c r="J11" s="1077"/>
      <c r="K11" s="1077"/>
      <c r="L11" s="1077"/>
      <c r="M11" s="1077"/>
      <c r="N11" s="1077"/>
      <c r="O11" s="1059"/>
      <c r="P11" s="1059"/>
      <c r="Q11" s="1059"/>
      <c r="R11" s="1059"/>
      <c r="S11" s="1059"/>
      <c r="T11" s="1059"/>
      <c r="U11" s="1059"/>
      <c r="V11" s="1078"/>
      <c r="W11" s="1078"/>
    </row>
    <row r="12" spans="1:36" x14ac:dyDescent="0.2">
      <c r="D12" s="1079" t="s">
        <v>321</v>
      </c>
      <c r="E12" s="1077"/>
      <c r="F12" s="1077"/>
      <c r="G12" s="1077"/>
      <c r="H12" s="1077"/>
      <c r="I12" s="1077"/>
      <c r="J12" s="1077"/>
      <c r="K12" s="1077"/>
      <c r="L12" s="1077"/>
      <c r="M12" s="1077"/>
      <c r="N12" s="1077"/>
      <c r="O12" s="1059"/>
      <c r="P12" s="1059"/>
      <c r="Q12" s="1059"/>
      <c r="R12" s="1059"/>
      <c r="S12" s="1059"/>
      <c r="T12" s="1059"/>
      <c r="U12" s="1059"/>
      <c r="V12" s="1078"/>
      <c r="W12" s="1078"/>
    </row>
    <row r="13" spans="1:36" x14ac:dyDescent="0.2">
      <c r="D13" s="1079"/>
      <c r="E13" s="1077"/>
      <c r="F13" s="1077"/>
      <c r="G13" s="1077"/>
      <c r="H13" s="1077"/>
      <c r="I13" s="1077"/>
      <c r="J13" s="1077"/>
      <c r="K13" s="1077"/>
      <c r="L13" s="1077"/>
      <c r="M13" s="1077"/>
      <c r="N13" s="1077"/>
      <c r="O13" s="1059"/>
      <c r="P13" s="1059"/>
      <c r="Q13" s="1059"/>
      <c r="R13" s="1059"/>
      <c r="S13" s="1059"/>
      <c r="T13" s="1059"/>
      <c r="U13" s="1059"/>
      <c r="V13" s="1078"/>
      <c r="W13" s="1078"/>
    </row>
    <row r="14" spans="1:36" x14ac:dyDescent="0.2">
      <c r="D14" s="1079"/>
      <c r="E14" s="1077"/>
      <c r="F14" s="1077"/>
      <c r="G14" s="1077"/>
      <c r="H14" s="1077"/>
      <c r="I14" s="1077"/>
      <c r="J14" s="1077"/>
      <c r="K14" s="1077"/>
      <c r="L14" s="1077"/>
      <c r="M14" s="1077"/>
      <c r="N14" s="1077"/>
      <c r="O14" s="1059"/>
      <c r="P14" s="1059"/>
      <c r="Q14" s="1059"/>
      <c r="R14" s="1059"/>
      <c r="S14" s="1059"/>
      <c r="T14" s="1059"/>
      <c r="U14" s="1059"/>
      <c r="V14" s="1078"/>
      <c r="W14" s="1078"/>
    </row>
    <row r="15" spans="1:36" x14ac:dyDescent="0.2">
      <c r="D15" s="1079"/>
      <c r="E15" s="1077"/>
      <c r="F15" s="1077"/>
      <c r="G15" s="1077"/>
      <c r="H15" s="1077"/>
      <c r="I15" s="1077"/>
      <c r="J15" s="1077"/>
      <c r="K15" s="1077"/>
      <c r="L15" s="1077"/>
      <c r="M15" s="1077"/>
      <c r="N15" s="1077"/>
      <c r="O15" s="1059"/>
      <c r="P15" s="1059"/>
      <c r="Q15" s="1059"/>
      <c r="R15" s="1059"/>
      <c r="S15" s="1059"/>
      <c r="T15" s="1059"/>
      <c r="U15" s="1059"/>
      <c r="V15" s="1078"/>
      <c r="W15" s="1078"/>
    </row>
    <row r="16" spans="1:36" x14ac:dyDescent="0.2">
      <c r="D16" s="1079"/>
      <c r="E16" s="1077"/>
      <c r="F16" s="1077"/>
      <c r="G16" s="1077"/>
      <c r="H16" s="1077"/>
      <c r="I16" s="1077"/>
      <c r="J16" s="1077"/>
      <c r="K16" s="1077"/>
      <c r="L16" s="1077"/>
      <c r="M16" s="1077"/>
      <c r="N16" s="1077"/>
      <c r="O16" s="1059"/>
      <c r="P16" s="1059"/>
      <c r="Q16" s="1059"/>
      <c r="R16" s="1059"/>
      <c r="S16" s="1059"/>
      <c r="T16" s="1059"/>
      <c r="U16" s="1059"/>
      <c r="V16" s="1078"/>
      <c r="W16" s="1078"/>
    </row>
    <row r="17" spans="4:23" x14ac:dyDescent="0.2">
      <c r="D17" s="1079"/>
      <c r="E17" s="1077"/>
      <c r="F17" s="1077"/>
      <c r="G17" s="1077"/>
      <c r="H17" s="1077"/>
      <c r="I17" s="1077"/>
      <c r="J17" s="1077"/>
      <c r="K17" s="1077"/>
      <c r="L17" s="1077"/>
      <c r="M17" s="1077"/>
      <c r="N17" s="1077"/>
      <c r="O17" s="1059"/>
      <c r="P17" s="1059"/>
      <c r="Q17" s="1059"/>
      <c r="R17" s="1059"/>
      <c r="S17" s="1059"/>
      <c r="T17" s="1059"/>
      <c r="U17" s="1059"/>
      <c r="V17" s="1078"/>
      <c r="W17" s="1078"/>
    </row>
    <row r="18" spans="4:23" x14ac:dyDescent="0.2">
      <c r="D18" s="1079"/>
      <c r="E18" s="1077"/>
      <c r="F18" s="1077"/>
      <c r="G18" s="1077"/>
      <c r="H18" s="1077"/>
      <c r="I18" s="1077"/>
      <c r="J18" s="1077"/>
      <c r="K18" s="1077"/>
      <c r="L18" s="1077"/>
      <c r="M18" s="1077"/>
      <c r="N18" s="1077"/>
      <c r="O18" s="1059"/>
      <c r="P18" s="1059"/>
      <c r="Q18" s="1059"/>
      <c r="R18" s="1059"/>
      <c r="S18" s="1059"/>
      <c r="T18" s="1059"/>
      <c r="U18" s="1059"/>
      <c r="V18" s="1078"/>
      <c r="W18" s="1078"/>
    </row>
    <row r="19" spans="4:23" x14ac:dyDescent="0.2">
      <c r="D19" s="1079"/>
      <c r="E19" s="1077"/>
      <c r="F19" s="1077"/>
      <c r="G19" s="1077"/>
      <c r="H19" s="1077"/>
      <c r="I19" s="1077"/>
      <c r="J19" s="1077"/>
      <c r="K19" s="1077"/>
      <c r="L19" s="1077"/>
      <c r="M19" s="1077"/>
      <c r="N19" s="1077"/>
      <c r="O19" s="1059"/>
      <c r="P19" s="1059"/>
      <c r="Q19" s="1059"/>
      <c r="R19" s="1059"/>
      <c r="S19" s="1059"/>
      <c r="T19" s="1059"/>
      <c r="U19" s="1059"/>
      <c r="V19" s="1078"/>
      <c r="W19" s="1078"/>
    </row>
    <row r="20" spans="4:23" x14ac:dyDescent="0.2">
      <c r="D20" s="1079"/>
      <c r="E20" s="1077"/>
      <c r="F20" s="1077"/>
      <c r="G20" s="1077"/>
      <c r="H20" s="1077"/>
      <c r="I20" s="1077"/>
      <c r="J20" s="1077"/>
      <c r="K20" s="1077"/>
      <c r="L20" s="1077"/>
      <c r="M20" s="1077"/>
      <c r="N20" s="1077"/>
      <c r="O20" s="1059"/>
      <c r="P20" s="1059"/>
      <c r="Q20" s="1059"/>
      <c r="R20" s="1059"/>
      <c r="S20" s="1059"/>
      <c r="T20" s="1059"/>
      <c r="U20" s="1059"/>
      <c r="V20" s="1078"/>
      <c r="W20" s="1078"/>
    </row>
    <row r="21" spans="4:23" x14ac:dyDescent="0.2">
      <c r="D21" s="1079"/>
      <c r="E21" s="1077"/>
      <c r="F21" s="1077"/>
      <c r="G21" s="1077"/>
      <c r="H21" s="1077"/>
      <c r="I21" s="1077"/>
      <c r="J21" s="1077"/>
      <c r="K21" s="1077"/>
      <c r="L21" s="1077"/>
      <c r="M21" s="1077"/>
      <c r="N21" s="1077"/>
      <c r="O21" s="1059"/>
      <c r="P21" s="1059"/>
      <c r="Q21" s="1059"/>
      <c r="R21" s="1059"/>
      <c r="S21" s="1059"/>
      <c r="T21" s="1059"/>
      <c r="U21" s="1059"/>
      <c r="V21" s="1078"/>
      <c r="W21" s="1078"/>
    </row>
    <row r="22" spans="4:23" x14ac:dyDescent="0.2">
      <c r="D22" s="1079"/>
      <c r="E22" s="1077"/>
      <c r="F22" s="1077"/>
      <c r="G22" s="1077"/>
      <c r="H22" s="1077"/>
      <c r="I22" s="1077"/>
      <c r="J22" s="1077"/>
      <c r="K22" s="1077"/>
      <c r="L22" s="1077"/>
      <c r="M22" s="1077"/>
      <c r="N22" s="1077"/>
      <c r="O22" s="1059"/>
      <c r="P22" s="1059"/>
      <c r="Q22" s="1059"/>
      <c r="R22" s="1059"/>
      <c r="S22" s="1059"/>
      <c r="T22" s="1059"/>
      <c r="U22" s="1059"/>
      <c r="V22" s="1078"/>
      <c r="W22" s="1078"/>
    </row>
    <row r="23" spans="4:23" x14ac:dyDescent="0.2">
      <c r="D23" s="1079"/>
      <c r="E23" s="1077"/>
      <c r="F23" s="1077"/>
      <c r="G23" s="1077"/>
      <c r="H23" s="1077"/>
      <c r="I23" s="1077"/>
      <c r="J23" s="1077"/>
      <c r="K23" s="1077"/>
      <c r="L23" s="1077"/>
      <c r="M23" s="1077"/>
      <c r="N23" s="1077"/>
      <c r="O23" s="1059"/>
      <c r="P23" s="1059"/>
      <c r="Q23" s="1059"/>
      <c r="R23" s="1059"/>
      <c r="S23" s="1059"/>
      <c r="T23" s="1059"/>
      <c r="U23" s="1059"/>
      <c r="V23" s="1078"/>
      <c r="W23" s="1078"/>
    </row>
    <row r="24" spans="4:23" x14ac:dyDescent="0.2">
      <c r="D24" s="1079"/>
      <c r="E24" s="1077"/>
      <c r="F24" s="1077"/>
      <c r="G24" s="1077"/>
      <c r="H24" s="1077"/>
      <c r="I24" s="1077"/>
      <c r="J24" s="1077"/>
      <c r="K24" s="1077"/>
      <c r="L24" s="1077"/>
      <c r="M24" s="1077"/>
      <c r="N24" s="1077"/>
      <c r="O24" s="1059"/>
      <c r="P24" s="1059"/>
      <c r="Q24" s="1059"/>
      <c r="R24" s="1059"/>
      <c r="S24" s="1059"/>
      <c r="T24" s="1059"/>
      <c r="U24" s="1059"/>
      <c r="V24" s="1078"/>
      <c r="W24" s="1078"/>
    </row>
    <row r="25" spans="4:23" x14ac:dyDescent="0.2">
      <c r="D25" s="1079"/>
      <c r="E25" s="1077"/>
      <c r="F25" s="1077"/>
      <c r="G25" s="1077"/>
      <c r="H25" s="1077"/>
      <c r="I25" s="1077"/>
      <c r="J25" s="1077"/>
      <c r="K25" s="1077"/>
      <c r="L25" s="1077"/>
      <c r="M25" s="1077"/>
      <c r="N25" s="1077"/>
      <c r="O25" s="1059"/>
      <c r="P25" s="1059"/>
      <c r="Q25" s="1059"/>
      <c r="R25" s="1059"/>
      <c r="S25" s="1059"/>
      <c r="T25" s="1059"/>
      <c r="U25" s="1059"/>
      <c r="V25" s="1078"/>
      <c r="W25" s="1078"/>
    </row>
    <row r="26" spans="4:23" x14ac:dyDescent="0.2">
      <c r="D26" s="1079"/>
      <c r="E26" s="1077"/>
      <c r="F26" s="1077"/>
      <c r="G26" s="1077"/>
      <c r="H26" s="1077"/>
      <c r="I26" s="1077"/>
      <c r="J26" s="1077"/>
      <c r="K26" s="1077"/>
      <c r="L26" s="1077"/>
      <c r="M26" s="1077"/>
      <c r="N26" s="1077"/>
      <c r="O26" s="1059"/>
      <c r="P26" s="1059"/>
      <c r="Q26" s="1059"/>
      <c r="R26" s="1059"/>
      <c r="S26" s="1059"/>
      <c r="T26" s="1059"/>
      <c r="U26" s="1059"/>
      <c r="V26" s="1078"/>
      <c r="W26" s="1078"/>
    </row>
    <row r="27" spans="4:23" x14ac:dyDescent="0.2">
      <c r="D27" s="1079"/>
      <c r="E27" s="1077"/>
      <c r="F27" s="1077"/>
      <c r="G27" s="1077"/>
      <c r="H27" s="1077"/>
      <c r="I27" s="1077"/>
      <c r="J27" s="1077"/>
      <c r="K27" s="1077"/>
      <c r="L27" s="1077"/>
      <c r="M27" s="1077"/>
      <c r="N27" s="1077"/>
      <c r="O27" s="1059"/>
      <c r="P27" s="1059"/>
      <c r="Q27" s="1059"/>
      <c r="R27" s="1059"/>
      <c r="S27" s="1059"/>
      <c r="T27" s="1059"/>
      <c r="U27" s="1059"/>
      <c r="V27" s="1078"/>
      <c r="W27" s="1078"/>
    </row>
    <row r="28" spans="4:23" x14ac:dyDescent="0.2">
      <c r="D28" s="1079"/>
      <c r="E28" s="1077"/>
      <c r="F28" s="1077"/>
      <c r="G28" s="1077"/>
      <c r="H28" s="1077"/>
      <c r="I28" s="1077"/>
      <c r="J28" s="1077"/>
      <c r="K28" s="1077"/>
      <c r="L28" s="1077"/>
      <c r="M28" s="1077"/>
      <c r="N28" s="1077"/>
      <c r="O28" s="1059"/>
      <c r="P28" s="1059"/>
      <c r="Q28" s="1059"/>
      <c r="R28" s="1059"/>
      <c r="S28" s="1059"/>
      <c r="T28" s="1059"/>
      <c r="U28" s="1059"/>
      <c r="V28" s="1078"/>
      <c r="W28" s="1078"/>
    </row>
    <row r="29" spans="4:23" x14ac:dyDescent="0.2">
      <c r="D29" s="1079"/>
      <c r="E29" s="1077"/>
      <c r="F29" s="1077"/>
      <c r="G29" s="1077"/>
      <c r="H29" s="1077"/>
      <c r="I29" s="1077"/>
      <c r="J29" s="1077"/>
      <c r="K29" s="1077"/>
      <c r="L29" s="1077"/>
      <c r="M29" s="1077"/>
      <c r="N29" s="1077"/>
      <c r="O29" s="1059"/>
      <c r="P29" s="1059"/>
      <c r="Q29" s="1059"/>
      <c r="R29" s="1059"/>
      <c r="S29" s="1059"/>
      <c r="T29" s="1059"/>
      <c r="U29" s="1059"/>
      <c r="V29" s="1078"/>
      <c r="W29" s="1078"/>
    </row>
    <row r="30" spans="4:23" x14ac:dyDescent="0.2">
      <c r="D30" s="1079"/>
      <c r="E30" s="1077"/>
      <c r="F30" s="1077"/>
      <c r="G30" s="1077"/>
      <c r="H30" s="1077"/>
      <c r="I30" s="1077"/>
      <c r="J30" s="1077"/>
      <c r="K30" s="1077"/>
      <c r="L30" s="1077"/>
      <c r="M30" s="1077"/>
      <c r="N30" s="1077"/>
      <c r="O30" s="1059"/>
      <c r="P30" s="1059"/>
      <c r="Q30" s="1059"/>
      <c r="R30" s="1059"/>
      <c r="S30" s="1059"/>
      <c r="T30" s="1059"/>
      <c r="U30" s="1059"/>
      <c r="V30" s="1078"/>
      <c r="W30" s="1078"/>
    </row>
    <row r="31" spans="4:23" x14ac:dyDescent="0.2">
      <c r="D31" s="1079"/>
      <c r="E31" s="1077"/>
      <c r="F31" s="1077"/>
      <c r="G31" s="1077"/>
      <c r="H31" s="1077"/>
      <c r="I31" s="1077"/>
      <c r="J31" s="1077"/>
      <c r="K31" s="1077"/>
      <c r="L31" s="1077"/>
      <c r="M31" s="1077"/>
      <c r="N31" s="1077"/>
      <c r="O31" s="1059"/>
      <c r="P31" s="1059"/>
      <c r="Q31" s="1059"/>
      <c r="R31" s="1059"/>
      <c r="S31" s="1059"/>
      <c r="T31" s="1059"/>
      <c r="U31" s="1059"/>
      <c r="V31" s="1078"/>
      <c r="W31" s="1078"/>
    </row>
    <row r="32" spans="4:23" x14ac:dyDescent="0.2">
      <c r="D32" s="1079"/>
      <c r="E32" s="1077"/>
      <c r="F32" s="1077"/>
      <c r="G32" s="1077"/>
      <c r="H32" s="1077"/>
      <c r="I32" s="1077"/>
      <c r="J32" s="1077"/>
      <c r="K32" s="1077"/>
      <c r="L32" s="1077"/>
      <c r="M32" s="1077"/>
      <c r="N32" s="1077"/>
      <c r="O32" s="1059"/>
      <c r="P32" s="1059"/>
      <c r="Q32" s="1059"/>
      <c r="R32" s="1059"/>
      <c r="S32" s="1059"/>
      <c r="T32" s="1059"/>
      <c r="U32" s="1059"/>
      <c r="V32" s="1078"/>
      <c r="W32" s="1078"/>
    </row>
    <row r="33" spans="4:23" x14ac:dyDescent="0.2">
      <c r="D33" s="1079"/>
      <c r="E33" s="1077"/>
      <c r="F33" s="1077"/>
      <c r="G33" s="1077"/>
      <c r="H33" s="1077"/>
      <c r="I33" s="1077"/>
      <c r="J33" s="1077"/>
      <c r="K33" s="1077"/>
      <c r="L33" s="1077"/>
      <c r="M33" s="1077"/>
      <c r="N33" s="1077"/>
      <c r="O33" s="1059"/>
      <c r="P33" s="1059"/>
      <c r="Q33" s="1059"/>
      <c r="R33" s="1059"/>
      <c r="S33" s="1059"/>
      <c r="T33" s="1059"/>
      <c r="U33" s="1059"/>
      <c r="V33" s="1078"/>
      <c r="W33" s="1078"/>
    </row>
    <row r="34" spans="4:23" x14ac:dyDescent="0.2">
      <c r="D34" s="1079"/>
      <c r="E34" s="1077"/>
      <c r="F34" s="1077"/>
      <c r="G34" s="1077"/>
      <c r="H34" s="1077"/>
      <c r="I34" s="1077"/>
      <c r="J34" s="1077"/>
      <c r="K34" s="1077"/>
      <c r="L34" s="1077"/>
      <c r="M34" s="1077"/>
      <c r="N34" s="1077"/>
      <c r="O34" s="1059"/>
      <c r="P34" s="1059"/>
      <c r="Q34" s="1059"/>
      <c r="R34" s="1059"/>
      <c r="S34" s="1059"/>
      <c r="T34" s="1059"/>
      <c r="U34" s="1059"/>
      <c r="V34" s="1078"/>
      <c r="W34" s="1078"/>
    </row>
    <row r="35" spans="4:23" x14ac:dyDescent="0.2">
      <c r="D35" s="1079"/>
      <c r="E35" s="1077"/>
      <c r="F35" s="1077"/>
      <c r="G35" s="1077"/>
      <c r="H35" s="1077"/>
      <c r="I35" s="1077"/>
      <c r="J35" s="1077"/>
      <c r="K35" s="1077"/>
      <c r="L35" s="1077"/>
      <c r="M35" s="1077"/>
      <c r="N35" s="1077"/>
      <c r="O35" s="1059"/>
      <c r="P35" s="1059"/>
      <c r="Q35" s="1059"/>
      <c r="R35" s="1059"/>
      <c r="S35" s="1059"/>
      <c r="T35" s="1059"/>
      <c r="U35" s="1059"/>
      <c r="V35" s="1078"/>
      <c r="W35" s="1078"/>
    </row>
    <row r="36" spans="4:23" x14ac:dyDescent="0.2">
      <c r="D36" s="1079"/>
      <c r="E36" s="1077"/>
      <c r="F36" s="1077"/>
      <c r="G36" s="1077"/>
      <c r="H36" s="1077"/>
      <c r="I36" s="1077"/>
      <c r="J36" s="1077"/>
      <c r="K36" s="1077"/>
      <c r="L36" s="1077"/>
      <c r="M36" s="1077"/>
      <c r="N36" s="1077"/>
      <c r="O36" s="1059"/>
      <c r="P36" s="1059"/>
      <c r="Q36" s="1059"/>
      <c r="R36" s="1059"/>
      <c r="S36" s="1059"/>
      <c r="T36" s="1059"/>
      <c r="U36" s="1059"/>
      <c r="V36" s="1078"/>
      <c r="W36" s="1078"/>
    </row>
    <row r="37" spans="4:23" x14ac:dyDescent="0.2">
      <c r="D37" s="1079"/>
      <c r="E37" s="1077"/>
      <c r="F37" s="1077"/>
      <c r="G37" s="1077"/>
      <c r="H37" s="1077"/>
      <c r="I37" s="1077"/>
      <c r="J37" s="1077"/>
      <c r="K37" s="1077"/>
      <c r="L37" s="1077"/>
      <c r="M37" s="1077"/>
      <c r="N37" s="1077"/>
      <c r="O37" s="1059"/>
      <c r="P37" s="1059"/>
      <c r="Q37" s="1059"/>
      <c r="R37" s="1059"/>
      <c r="S37" s="1059"/>
      <c r="T37" s="1059"/>
      <c r="U37" s="1059"/>
      <c r="V37" s="1078"/>
      <c r="W37" s="1078"/>
    </row>
    <row r="38" spans="4:23" x14ac:dyDescent="0.2">
      <c r="D38" s="1079"/>
      <c r="E38" s="1077"/>
      <c r="F38" s="1077"/>
      <c r="G38" s="1077"/>
      <c r="H38" s="1077"/>
      <c r="I38" s="1077"/>
      <c r="J38" s="1077"/>
      <c r="K38" s="1077"/>
      <c r="L38" s="1077"/>
      <c r="M38" s="1077"/>
      <c r="N38" s="1077"/>
      <c r="O38" s="1059"/>
      <c r="P38" s="1059"/>
      <c r="Q38" s="1059"/>
      <c r="R38" s="1059"/>
      <c r="S38" s="1059"/>
      <c r="T38" s="1059"/>
      <c r="U38" s="1059"/>
      <c r="V38" s="1078"/>
      <c r="W38" s="1078"/>
    </row>
    <row r="39" spans="4:23" x14ac:dyDescent="0.2">
      <c r="D39" s="1079"/>
      <c r="E39" s="1077"/>
      <c r="F39" s="1077"/>
      <c r="G39" s="1077"/>
      <c r="H39" s="1077"/>
      <c r="I39" s="1077"/>
      <c r="J39" s="1077"/>
      <c r="K39" s="1077"/>
      <c r="L39" s="1077"/>
      <c r="M39" s="1077"/>
      <c r="N39" s="1077"/>
      <c r="O39" s="1059"/>
      <c r="P39" s="1059"/>
      <c r="Q39" s="1059"/>
      <c r="R39" s="1059"/>
      <c r="S39" s="1059"/>
      <c r="T39" s="1059"/>
      <c r="U39" s="1059"/>
      <c r="V39" s="1078"/>
      <c r="W39" s="1078"/>
    </row>
    <row r="40" spans="4:23" x14ac:dyDescent="0.2">
      <c r="D40" s="1079"/>
      <c r="E40" s="1077"/>
      <c r="F40" s="1077"/>
      <c r="G40" s="1077"/>
      <c r="H40" s="1077"/>
      <c r="I40" s="1077"/>
      <c r="J40" s="1077"/>
      <c r="K40" s="1077"/>
      <c r="L40" s="1077"/>
      <c r="M40" s="1077"/>
      <c r="N40" s="1077"/>
      <c r="O40" s="1059"/>
      <c r="P40" s="1059"/>
      <c r="Q40" s="1059"/>
      <c r="R40" s="1059"/>
      <c r="S40" s="1059"/>
      <c r="T40" s="1059"/>
      <c r="U40" s="1059"/>
      <c r="V40" s="1078"/>
      <c r="W40" s="1078"/>
    </row>
    <row r="41" spans="4:23" x14ac:dyDescent="0.2">
      <c r="D41" s="1079"/>
      <c r="E41" s="1077"/>
      <c r="F41" s="1077"/>
      <c r="G41" s="1077"/>
      <c r="H41" s="1077"/>
      <c r="I41" s="1077"/>
      <c r="J41" s="1077"/>
      <c r="K41" s="1077"/>
      <c r="L41" s="1077"/>
      <c r="M41" s="1077"/>
      <c r="N41" s="1077"/>
      <c r="O41" s="1059"/>
      <c r="P41" s="1059"/>
      <c r="Q41" s="1059"/>
      <c r="R41" s="1059"/>
      <c r="S41" s="1059"/>
      <c r="T41" s="1059"/>
      <c r="U41" s="1059"/>
      <c r="V41" s="1078"/>
      <c r="W41" s="1078"/>
    </row>
    <row r="42" spans="4:23" x14ac:dyDescent="0.2">
      <c r="D42" s="1079"/>
      <c r="E42" s="1077"/>
      <c r="F42" s="1077"/>
      <c r="G42" s="1077"/>
      <c r="H42" s="1077"/>
      <c r="I42" s="1077"/>
      <c r="J42" s="1077"/>
      <c r="K42" s="1077"/>
      <c r="L42" s="1077"/>
      <c r="M42" s="1077"/>
      <c r="N42" s="1077"/>
      <c r="O42" s="1059"/>
      <c r="P42" s="1059"/>
      <c r="Q42" s="1059"/>
      <c r="R42" s="1059"/>
      <c r="S42" s="1059"/>
      <c r="T42" s="1059"/>
      <c r="U42" s="1059"/>
      <c r="V42" s="1078"/>
      <c r="W42" s="1078"/>
    </row>
    <row r="43" spans="4:23" x14ac:dyDescent="0.2">
      <c r="D43" s="1079"/>
      <c r="E43" s="1077"/>
      <c r="F43" s="1077"/>
      <c r="G43" s="1077"/>
      <c r="H43" s="1077"/>
      <c r="I43" s="1077"/>
      <c r="J43" s="1077"/>
      <c r="K43" s="1077"/>
      <c r="L43" s="1077"/>
      <c r="M43" s="1077"/>
      <c r="N43" s="1077"/>
      <c r="O43" s="1059"/>
      <c r="P43" s="1059"/>
      <c r="Q43" s="1059"/>
      <c r="R43" s="1059"/>
      <c r="S43" s="1059"/>
      <c r="T43" s="1059"/>
      <c r="U43" s="1059"/>
      <c r="V43" s="1078"/>
      <c r="W43" s="1078"/>
    </row>
    <row r="44" spans="4:23" x14ac:dyDescent="0.2">
      <c r="D44" s="1079"/>
      <c r="E44" s="1077"/>
      <c r="F44" s="1077"/>
      <c r="G44" s="1077"/>
      <c r="H44" s="1077"/>
      <c r="I44" s="1077"/>
      <c r="J44" s="1077"/>
      <c r="K44" s="1077"/>
      <c r="L44" s="1077"/>
      <c r="M44" s="1077"/>
      <c r="N44" s="1077"/>
      <c r="O44" s="1059"/>
      <c r="P44" s="1059"/>
      <c r="Q44" s="1059"/>
      <c r="R44" s="1059"/>
      <c r="S44" s="1059"/>
      <c r="T44" s="1059"/>
      <c r="U44" s="1059"/>
      <c r="V44" s="1078"/>
      <c r="W44" s="1078"/>
    </row>
    <row r="45" spans="4:23" x14ac:dyDescent="0.2">
      <c r="D45" s="1079"/>
      <c r="E45" s="1077"/>
      <c r="F45" s="1077"/>
      <c r="G45" s="1077"/>
      <c r="H45" s="1077"/>
      <c r="I45" s="1077"/>
      <c r="J45" s="1077"/>
      <c r="K45" s="1077"/>
      <c r="L45" s="1077"/>
      <c r="M45" s="1077"/>
      <c r="N45" s="1077"/>
      <c r="O45" s="1059"/>
      <c r="P45" s="1059"/>
      <c r="Q45" s="1059"/>
      <c r="R45" s="1059"/>
      <c r="S45" s="1059"/>
      <c r="T45" s="1059"/>
      <c r="U45" s="1059"/>
      <c r="V45" s="1078"/>
      <c r="W45" s="1078"/>
    </row>
    <row r="46" spans="4:23" x14ac:dyDescent="0.2">
      <c r="D46" s="1079"/>
      <c r="E46" s="1077"/>
      <c r="F46" s="1077"/>
      <c r="G46" s="1077"/>
      <c r="H46" s="1077"/>
      <c r="I46" s="1077"/>
      <c r="J46" s="1077"/>
      <c r="K46" s="1077"/>
      <c r="L46" s="1077"/>
      <c r="M46" s="1077"/>
      <c r="N46" s="1077"/>
      <c r="O46" s="1059"/>
      <c r="P46" s="1059"/>
      <c r="Q46" s="1059"/>
      <c r="R46" s="1059"/>
      <c r="S46" s="1059"/>
      <c r="T46" s="1059"/>
      <c r="U46" s="1059"/>
      <c r="V46" s="1078"/>
      <c r="W46" s="1078"/>
    </row>
    <row r="47" spans="4:23" x14ac:dyDescent="0.2">
      <c r="D47" s="1079"/>
      <c r="E47" s="1077"/>
      <c r="F47" s="1077"/>
      <c r="G47" s="1077"/>
      <c r="H47" s="1077"/>
      <c r="I47" s="1077"/>
      <c r="J47" s="1077"/>
      <c r="K47" s="1077"/>
      <c r="L47" s="1077"/>
      <c r="M47" s="1077"/>
      <c r="N47" s="1077"/>
      <c r="O47" s="1059"/>
      <c r="P47" s="1059"/>
      <c r="Q47" s="1059"/>
      <c r="R47" s="1059"/>
      <c r="S47" s="1059"/>
      <c r="T47" s="1059"/>
      <c r="U47" s="1059"/>
      <c r="V47" s="1078"/>
      <c r="W47" s="1078"/>
    </row>
    <row r="48" spans="4:23" x14ac:dyDescent="0.2">
      <c r="D48" s="1079"/>
      <c r="E48" s="1077"/>
      <c r="F48" s="1077"/>
      <c r="G48" s="1077"/>
      <c r="H48" s="1077"/>
      <c r="I48" s="1077"/>
      <c r="J48" s="1077"/>
      <c r="K48" s="1077"/>
      <c r="L48" s="1077"/>
      <c r="M48" s="1077"/>
      <c r="N48" s="1077"/>
      <c r="O48" s="1059"/>
      <c r="P48" s="1059"/>
      <c r="Q48" s="1059"/>
      <c r="R48" s="1059"/>
      <c r="S48" s="1059"/>
      <c r="T48" s="1059"/>
      <c r="U48" s="1059"/>
      <c r="V48" s="1078"/>
      <c r="W48" s="1078"/>
    </row>
    <row r="49" spans="4:23" ht="15.75" thickBot="1" x14ac:dyDescent="0.25">
      <c r="D49" s="1101"/>
      <c r="E49" s="1103"/>
      <c r="F49" s="1103"/>
      <c r="G49" s="1103"/>
      <c r="H49" s="1103"/>
      <c r="I49" s="1103"/>
      <c r="J49" s="1103"/>
      <c r="K49" s="1103"/>
      <c r="L49" s="1103"/>
      <c r="M49" s="1103"/>
      <c r="N49" s="1103"/>
      <c r="O49" s="1104"/>
      <c r="P49" s="1104"/>
      <c r="Q49" s="1104"/>
      <c r="R49" s="1104"/>
      <c r="S49" s="1104"/>
      <c r="T49" s="1104"/>
      <c r="U49" s="1104"/>
      <c r="V49" s="1105"/>
      <c r="W49" s="1105"/>
    </row>
  </sheetData>
  <mergeCells count="34">
    <mergeCell ref="X6:X7"/>
    <mergeCell ref="S6:S7"/>
    <mergeCell ref="T6:T7"/>
    <mergeCell ref="U6:U7"/>
    <mergeCell ref="V6:V7"/>
    <mergeCell ref="W6:W7"/>
    <mergeCell ref="R6:R7"/>
    <mergeCell ref="D2:T2"/>
    <mergeCell ref="D6:D7"/>
    <mergeCell ref="E6:E7"/>
    <mergeCell ref="F6:F7"/>
    <mergeCell ref="G6:G7"/>
    <mergeCell ref="H6:H7"/>
    <mergeCell ref="I6:I7"/>
    <mergeCell ref="J6:J7"/>
    <mergeCell ref="K6:K7"/>
    <mergeCell ref="L6:L7"/>
    <mergeCell ref="M6:M7"/>
    <mergeCell ref="N6:N7"/>
    <mergeCell ref="O6:O7"/>
    <mergeCell ref="P6:P7"/>
    <mergeCell ref="Q6:Q7"/>
    <mergeCell ref="Y6:Y7"/>
    <mergeCell ref="Z6:Z7"/>
    <mergeCell ref="AA6:AA7"/>
    <mergeCell ref="AB6:AB7"/>
    <mergeCell ref="AC6:AC7"/>
    <mergeCell ref="AI6:AI7"/>
    <mergeCell ref="AJ6:AJ7"/>
    <mergeCell ref="AD6:AD7"/>
    <mergeCell ref="AE6:AE7"/>
    <mergeCell ref="AF6:AF7"/>
    <mergeCell ref="AG6:AG7"/>
    <mergeCell ref="AH6:AH7"/>
  </mergeCells>
  <dataValidations count="6">
    <dataValidation type="custom" allowBlank="1" showInputMessage="1" showErrorMessage="1" errorTitle="X-Author for Excel" error="Id and Lookup fields are not editable." promptTitle="X-Author for Excel" sqref="A8:A9" xr:uid="{00000000-0002-0000-0D00-000000000000}">
      <formula1>""</formula1>
    </dataValidation>
    <dataValidation type="list" allowBlank="1" showInputMessage="1" showErrorMessage="1" errorTitle="X-Author for Excel" error="Please select a value from the drop-down." promptTitle="X-Author for Excel" sqref="O8:O9" xr:uid="{00000000-0002-0000-0D00-000001000000}">
      <formula1>IF(IFERROR(ROWS(INDIRECT(SUBSTITUTE("AIM_WPTM_Results__c.AIM_Progress_Status_PR__c"," ","_"))),-1) &lt; 0, XAuthorInvalidPicklistData,INDIRECT(SUBSTITUTE("AIM_WPTM_Results__c.AIM_Progress_Status_PR__c"," ","_")))</formula1>
    </dataValidation>
    <dataValidation type="decimal" allowBlank="1" showInputMessage="1" showErrorMessage="1" errorTitle="X-Author for Excel" error="Please enter a valid numeric value. Valid range for Score  (PR) is -1E+18 to 1E+18." promptTitle="X-Author for Excel" sqref="P8:P9" xr:uid="{00000000-0002-0000-0D00-000002000000}">
      <formula1>-1000000000000000000</formula1>
      <formula2>1000000000000000000</formula2>
    </dataValidation>
    <dataValidation type="list" allowBlank="1" showInputMessage="1" showErrorMessage="1" errorTitle="X-Author for Excel" error="Please select a value from the drop-down." promptTitle="X-Author for Excel" sqref="R8:R9" xr:uid="{00000000-0002-0000-0D00-000003000000}">
      <formula1>IF(IFERROR(ROWS(INDIRECT(SUBSTITUTE("AIM_WPTM_Results__c.AIM_Progress_Status_LFA__c"," ","_"))),-1) &lt; 0, XAuthorInvalidPicklistData,INDIRECT(SUBSTITUTE("AIM_WPTM_Results__c.AIM_Progress_Status_LFA__c"," ","_")))</formula1>
    </dataValidation>
    <dataValidation type="decimal" allowBlank="1" showInputMessage="1" showErrorMessage="1" errorTitle="X-Author for Excel" error="Please enter a valid numeric value. Valid range for Score (LFA) is -1E+18 to 1E+18." promptTitle="X-Author for Excel" sqref="S8:S9" xr:uid="{00000000-0002-0000-0D00-000004000000}">
      <formula1>-1000000000000000000</formula1>
      <formula2>1000000000000000000</formula2>
    </dataValidation>
    <dataValidation type="decimal" allowBlank="1" showInputMessage="1" showErrorMessage="1" errorTitle="X-Author for Excel" error="Please enter a valid numeric value. Valid range for Key Activity Milestone Number is -1E+18 to 1E+18." promptTitle="X-Author for Excel" sqref="X8:X9" xr:uid="{00000000-0002-0000-0D00-000005000000}">
      <formula1>-1000000000000000000</formula1>
      <formula2>1000000000000000000</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M54"/>
  <sheetViews>
    <sheetView showGridLines="0" topLeftCell="A37" zoomScale="70" zoomScaleNormal="70" zoomScaleSheetLayoutView="55" workbookViewId="0">
      <selection activeCell="E43" sqref="E43"/>
    </sheetView>
  </sheetViews>
  <sheetFormatPr baseColWidth="10" defaultColWidth="9.140625" defaultRowHeight="12.75" x14ac:dyDescent="0.2"/>
  <cols>
    <col min="1" max="1" width="7.85546875" style="61" customWidth="1"/>
    <col min="2" max="2" width="65.42578125" style="62" customWidth="1"/>
    <col min="3" max="3" width="29.5703125" style="61" customWidth="1"/>
    <col min="4" max="4" width="26" style="61" customWidth="1"/>
    <col min="5" max="5" width="40.5703125" style="61" customWidth="1"/>
    <col min="6" max="6" width="26" style="61" customWidth="1"/>
    <col min="7" max="7" width="24.42578125" style="61" customWidth="1"/>
    <col min="8" max="8" width="25.140625" style="61" customWidth="1"/>
    <col min="9" max="9" width="36.140625" style="61" customWidth="1"/>
    <col min="10" max="10" width="23.140625" style="61" customWidth="1"/>
    <col min="11" max="11" width="30.140625" style="61" customWidth="1"/>
    <col min="12" max="12" width="0.140625" style="61" customWidth="1"/>
    <col min="13" max="16384" width="9.140625" style="60"/>
  </cols>
  <sheetData>
    <row r="1" spans="1:13" ht="44.25" customHeight="1" thickBot="1" x14ac:dyDescent="0.25">
      <c r="A1" s="1497" t="str">
        <f>CoverSheet!A1</f>
        <v>Rapport périodique sur les résultats actuels et demande de décaissement</v>
      </c>
      <c r="B1" s="1498"/>
      <c r="C1" s="1498"/>
      <c r="D1" s="1498"/>
      <c r="E1" s="1498"/>
      <c r="F1" s="1498"/>
      <c r="G1" s="1498"/>
      <c r="H1" s="1498"/>
      <c r="I1" s="1498"/>
      <c r="J1" s="1498"/>
      <c r="K1" s="1499"/>
      <c r="L1" s="38"/>
    </row>
    <row r="2" spans="1:13" ht="33.75" customHeight="1" x14ac:dyDescent="0.2">
      <c r="A2" s="1515" t="str">
        <f>VLOOKUP(Translations!B158,Translations!B3:H617,4,0)</f>
        <v>Section 2 : Information financière</v>
      </c>
      <c r="B2" s="1516"/>
      <c r="C2" s="1519" t="str">
        <f>CoverSheet!F12</f>
        <v>Période couverte par le rapport sur les information financière</v>
      </c>
      <c r="D2" s="1519"/>
      <c r="E2" s="516" t="str">
        <f>CoverSheet!I12</f>
        <v>Date de début:</v>
      </c>
      <c r="F2" s="517">
        <f>CoverSheet!J12</f>
        <v>43466</v>
      </c>
      <c r="G2" s="516" t="str">
        <f>CoverSheet!K12</f>
        <v>Date de fin:</v>
      </c>
      <c r="H2" s="518">
        <f>CoverSheet!L12</f>
        <v>43830</v>
      </c>
      <c r="I2" s="1500"/>
      <c r="J2" s="1501"/>
      <c r="K2" s="1502"/>
      <c r="L2" s="130"/>
    </row>
    <row r="3" spans="1:13" ht="47.25" customHeight="1" thickBot="1" x14ac:dyDescent="0.25">
      <c r="A3" s="1517"/>
      <c r="B3" s="1518"/>
      <c r="C3" s="1520" t="str">
        <f>VLOOKUP(Translations!B29,Translations!B3:H508,4,0)</f>
        <v>Période cumulative de rapport sur les information financière</v>
      </c>
      <c r="D3" s="1520"/>
      <c r="E3" s="1114" t="str">
        <f>CoverSheet!I12</f>
        <v>Date de début:</v>
      </c>
      <c r="F3" s="1115">
        <f>CoverSheet!D13</f>
        <v>43101</v>
      </c>
      <c r="G3" s="1114" t="str">
        <f>CoverSheet!K12</f>
        <v>Date de fin:</v>
      </c>
      <c r="H3" s="1116">
        <f>CoverSheet!L12</f>
        <v>43830</v>
      </c>
      <c r="I3" s="1503"/>
      <c r="J3" s="1504"/>
      <c r="K3" s="1505"/>
      <c r="L3" s="130"/>
    </row>
    <row r="4" spans="1:13" ht="29.25" customHeight="1" thickBot="1" x14ac:dyDescent="0.25">
      <c r="B4" s="1521" t="str">
        <f>VLOOKUP(Translations!B651,Translations!B3:H893,4,0)</f>
        <v>A. État de rapprochement de la trésorerie du récipiendaire principal dans la monnaie de la subvention</v>
      </c>
      <c r="C4" s="1522"/>
      <c r="D4" s="1522"/>
      <c r="E4" s="1522"/>
      <c r="F4" s="1522"/>
      <c r="G4" s="1522"/>
      <c r="H4" s="1522"/>
      <c r="I4" s="1522"/>
      <c r="J4" s="1522"/>
      <c r="K4" s="1522"/>
      <c r="L4" s="1523"/>
      <c r="M4" s="98"/>
    </row>
    <row r="5" spans="1:13" ht="29.25" customHeight="1" x14ac:dyDescent="0.2">
      <c r="A5" s="63"/>
      <c r="B5" s="97"/>
      <c r="C5" s="1506" t="str">
        <f>VLOOKUP(Translations!B9,Translations!B3:H508,4,0)</f>
        <v>Récipiendaire principal:</v>
      </c>
      <c r="D5" s="1507"/>
      <c r="E5" s="1508"/>
      <c r="F5" s="1509" t="s">
        <v>791</v>
      </c>
      <c r="G5" s="1510"/>
      <c r="H5" s="1510"/>
      <c r="I5" s="1511"/>
      <c r="J5" s="1512" t="s">
        <v>792</v>
      </c>
      <c r="K5" s="1513"/>
      <c r="L5" s="1514"/>
    </row>
    <row r="6" spans="1:13" ht="76.5" customHeight="1" x14ac:dyDescent="0.2">
      <c r="A6" s="1117" t="s">
        <v>793</v>
      </c>
      <c r="B6" s="1118" t="s">
        <v>794</v>
      </c>
      <c r="C6" s="1119" t="str">
        <f>VLOOKUP(Translations!B573,Translations!B3:H893,4,0)</f>
        <v>Montant cumulé pour les périodes précédentes</v>
      </c>
      <c r="D6" s="1119" t="str">
        <f>VLOOKUP(Translations!B518,Translations!B3:H893,4,0)</f>
        <v>Période visée par le rapport</v>
      </c>
      <c r="E6" s="1120" t="str">
        <f>VLOOKUP(Translations!B519,Translations!B3:H893,4,0)</f>
        <v>Commentaires</v>
      </c>
      <c r="F6" s="1121" t="s">
        <v>795</v>
      </c>
      <c r="G6" s="1122" t="s">
        <v>796</v>
      </c>
      <c r="H6" s="1123" t="s">
        <v>797</v>
      </c>
      <c r="I6" s="1124" t="s">
        <v>160</v>
      </c>
      <c r="J6" s="1125" t="s">
        <v>798</v>
      </c>
      <c r="K6" s="1126" t="s">
        <v>799</v>
      </c>
      <c r="L6" s="1127" t="s">
        <v>160</v>
      </c>
    </row>
    <row r="7" spans="1:13" ht="43.5" customHeight="1" thickBot="1" x14ac:dyDescent="0.25">
      <c r="A7" s="66" t="s">
        <v>800</v>
      </c>
      <c r="B7" s="1128" t="str">
        <f>VLOOKUP(Translations!B590,Translations!B3:H893,4,0)</f>
        <v>Solde de trésorerie : Début de la période</v>
      </c>
      <c r="C7" s="1129">
        <v>0</v>
      </c>
      <c r="D7" s="96">
        <v>1500956.9900000012</v>
      </c>
      <c r="E7" s="95" t="s">
        <v>801</v>
      </c>
      <c r="F7" s="1130"/>
      <c r="G7" s="1131">
        <v>0</v>
      </c>
      <c r="H7" s="1132">
        <f>D7+G7</f>
        <v>1500956.9900000012</v>
      </c>
      <c r="I7" s="1133"/>
      <c r="J7" s="1134">
        <v>0</v>
      </c>
      <c r="K7" s="1135">
        <f>H7+J7</f>
        <v>1500956.9900000012</v>
      </c>
      <c r="L7" s="1136"/>
    </row>
    <row r="8" spans="1:13" ht="39.75" customHeight="1" x14ac:dyDescent="0.2">
      <c r="A8" s="93"/>
      <c r="B8" s="91" t="str">
        <f>VLOOKUP(Translations!B527,Translations!B3:H893,4,0)</f>
        <v>2. Recettes de la subvention</v>
      </c>
      <c r="C8" s="1137"/>
      <c r="D8" s="87"/>
      <c r="E8" s="87"/>
      <c r="F8" s="87"/>
      <c r="G8" s="87"/>
      <c r="H8" s="87"/>
      <c r="I8" s="94"/>
      <c r="J8" s="87"/>
      <c r="K8" s="936"/>
      <c r="L8" s="937"/>
    </row>
    <row r="9" spans="1:13" ht="39.75" customHeight="1" x14ac:dyDescent="0.2">
      <c r="A9" s="93"/>
      <c r="B9" s="1138" t="str">
        <f>VLOOKUP(Translations!B591,Translations!B3:H893,4,0)</f>
        <v xml:space="preserve">Plus : </v>
      </c>
      <c r="C9" s="1139"/>
      <c r="D9" s="1139"/>
      <c r="E9" s="1139"/>
      <c r="F9" s="1139"/>
      <c r="G9" s="1139"/>
      <c r="H9" s="1139"/>
      <c r="I9" s="1140"/>
      <c r="J9" s="1139"/>
      <c r="K9" s="1139"/>
      <c r="L9" s="1141"/>
    </row>
    <row r="10" spans="1:13" ht="39.75" customHeight="1" x14ac:dyDescent="0.2">
      <c r="A10" s="66" t="s">
        <v>802</v>
      </c>
      <c r="B10" s="1142" t="str">
        <f>VLOOKUP(Translations!B528,Translations!B3:H893,4,0)</f>
        <v>Décaissement au récipiendaire principal</v>
      </c>
      <c r="C10" s="1143">
        <v>8431301.3200000003</v>
      </c>
      <c r="D10" s="1144">
        <v>18059264.43</v>
      </c>
      <c r="E10" s="1145" t="s">
        <v>803</v>
      </c>
      <c r="F10" s="1134">
        <v>0</v>
      </c>
      <c r="G10" s="1146">
        <v>0</v>
      </c>
      <c r="H10" s="1147">
        <f>D10+G10</f>
        <v>18059264.43</v>
      </c>
      <c r="I10" s="1148"/>
      <c r="J10" s="1134">
        <v>0</v>
      </c>
      <c r="K10" s="1147">
        <f>H10+J10</f>
        <v>18059264.43</v>
      </c>
      <c r="L10" s="1149"/>
    </row>
    <row r="11" spans="1:13" ht="39.75" customHeight="1" x14ac:dyDescent="0.2">
      <c r="A11" s="66" t="s">
        <v>804</v>
      </c>
      <c r="B11" s="1142" t="str">
        <f>VLOOKUP(Translations!B529,Translations!B3:H893,4,0)</f>
        <v>Décaissements à des tiers par le Fonds mondial au nom du récipiendaire principal</v>
      </c>
      <c r="C11" s="1143">
        <v>0</v>
      </c>
      <c r="D11" s="1144">
        <v>0</v>
      </c>
      <c r="E11" s="1145"/>
      <c r="F11" s="1134">
        <v>0</v>
      </c>
      <c r="G11" s="1146">
        <v>0</v>
      </c>
      <c r="H11" s="1147">
        <f>D11+G11</f>
        <v>0</v>
      </c>
      <c r="I11" s="1148"/>
      <c r="J11" s="1150">
        <v>0</v>
      </c>
      <c r="K11" s="1147">
        <f>H11+J11</f>
        <v>0</v>
      </c>
      <c r="L11" s="1149"/>
    </row>
    <row r="12" spans="1:13" ht="39.75" customHeight="1" x14ac:dyDescent="0.2">
      <c r="A12" s="66" t="s">
        <v>805</v>
      </c>
      <c r="B12" s="1151" t="str">
        <f>VLOOKUP(Translations!B592,Translations!B3:H893,4,0)</f>
        <v>Intérêts perçus sur compte bancaire</v>
      </c>
      <c r="C12" s="1152">
        <v>43492.06</v>
      </c>
      <c r="D12" s="1144">
        <f>174905.52+0.19</f>
        <v>174905.71</v>
      </c>
      <c r="E12" s="1145" t="s">
        <v>806</v>
      </c>
      <c r="F12" s="1134">
        <v>0</v>
      </c>
      <c r="G12" s="1146">
        <v>0</v>
      </c>
      <c r="H12" s="1147">
        <f>D12+G12</f>
        <v>174905.71</v>
      </c>
      <c r="I12" s="1148"/>
      <c r="J12" s="1134">
        <v>0</v>
      </c>
      <c r="K12" s="1147">
        <f>H12+J12</f>
        <v>174905.71</v>
      </c>
      <c r="L12" s="1149"/>
    </row>
    <row r="13" spans="1:13" ht="39.75" customHeight="1" x14ac:dyDescent="0.2">
      <c r="A13" s="66" t="s">
        <v>807</v>
      </c>
      <c r="B13" s="1142" t="str">
        <f>VLOOKUP(Translations!B593,Translations!B3:H893,4,0)</f>
        <v>Produit des activités génératrices de revenu (le cas échéant)</v>
      </c>
      <c r="C13" s="1143">
        <v>0</v>
      </c>
      <c r="D13" s="1144">
        <v>0</v>
      </c>
      <c r="E13" s="1145"/>
      <c r="F13" s="1134">
        <v>0</v>
      </c>
      <c r="G13" s="1146">
        <v>0</v>
      </c>
      <c r="H13" s="1147">
        <f>D13+G13</f>
        <v>0</v>
      </c>
      <c r="I13" s="1148"/>
      <c r="J13" s="1134">
        <v>0</v>
      </c>
      <c r="K13" s="1147">
        <f>H13+J13</f>
        <v>0</v>
      </c>
      <c r="L13" s="1149"/>
    </row>
    <row r="14" spans="1:13" ht="166.5" customHeight="1" x14ac:dyDescent="0.2">
      <c r="A14" s="66" t="s">
        <v>808</v>
      </c>
      <c r="B14" s="1142" t="str">
        <f>VLOOKUP(Translations!B530,Translations!B3:H893,4,0)</f>
        <v>Autres recettes, le cas échéant (par ex. remboursements de TVA/d’autres impôts, produit de la cession d’actifs, etc.)</v>
      </c>
      <c r="C14" s="1143">
        <v>763.55</v>
      </c>
      <c r="D14" s="1153">
        <f>60465.92+31753.78+18333.67</f>
        <v>110553.37</v>
      </c>
      <c r="E14" s="1154" t="s">
        <v>809</v>
      </c>
      <c r="F14" s="1150">
        <v>0</v>
      </c>
      <c r="G14" s="1146">
        <v>0</v>
      </c>
      <c r="H14" s="1147">
        <f>D14+G14</f>
        <v>110553.37</v>
      </c>
      <c r="I14" s="1148"/>
      <c r="J14" s="1134">
        <v>0</v>
      </c>
      <c r="K14" s="1147">
        <f>H14+J14</f>
        <v>110553.37</v>
      </c>
      <c r="L14" s="1149"/>
    </row>
    <row r="15" spans="1:13" ht="39.75" customHeight="1" thickBot="1" x14ac:dyDescent="0.25">
      <c r="A15" s="66" t="s">
        <v>810</v>
      </c>
      <c r="B15" s="1128" t="str">
        <f>VLOOKUP(Translations!B553,Translations!B3:H893,4,0)</f>
        <v>Recettes totales de la subvention</v>
      </c>
      <c r="C15" s="1155">
        <f>SUM(C10:C14)</f>
        <v>8475556.9300000016</v>
      </c>
      <c r="D15" s="1156">
        <f>SUM(D10:D14)</f>
        <v>18344723.510000002</v>
      </c>
      <c r="E15" s="1157"/>
      <c r="F15" s="1158">
        <f>SUM(F10:F14)</f>
        <v>0</v>
      </c>
      <c r="G15" s="1159">
        <f>SUM(G10:G14)</f>
        <v>0</v>
      </c>
      <c r="H15" s="1156">
        <f>SUM(H10:H14)</f>
        <v>18344723.510000002</v>
      </c>
      <c r="I15" s="1160"/>
      <c r="J15" s="1161">
        <f>SUM(J10:J14)</f>
        <v>0</v>
      </c>
      <c r="K15" s="1132">
        <f>SUM(K10:K14)</f>
        <v>18344723.510000002</v>
      </c>
      <c r="L15" s="92"/>
    </row>
    <row r="16" spans="1:13" ht="39.75" customHeight="1" x14ac:dyDescent="0.2">
      <c r="A16" s="66"/>
      <c r="B16" s="91" t="str">
        <f>VLOOKUP(Translations!B594,Translations!B3:H893,4,0)</f>
        <v>3. Engagements financiers</v>
      </c>
      <c r="C16" s="936"/>
      <c r="D16" s="936"/>
      <c r="E16" s="87"/>
      <c r="F16" s="87"/>
      <c r="G16" s="936"/>
      <c r="H16" s="936"/>
      <c r="I16" s="938"/>
      <c r="J16" s="87"/>
      <c r="K16" s="87"/>
      <c r="L16" s="86"/>
    </row>
    <row r="17" spans="1:12" ht="39.75" customHeight="1" x14ac:dyDescent="0.2">
      <c r="A17" s="66"/>
      <c r="B17" s="1138" t="str">
        <f>VLOOKUP(Translations!B595,Translations!B3:H893,4,0)</f>
        <v>Moins :</v>
      </c>
      <c r="C17" s="1139"/>
      <c r="D17" s="1139"/>
      <c r="E17" s="1139"/>
      <c r="F17" s="1139"/>
      <c r="G17" s="1139"/>
      <c r="H17" s="1139"/>
      <c r="I17" s="1140"/>
      <c r="J17" s="1139"/>
      <c r="K17" s="1139"/>
      <c r="L17" s="1141"/>
    </row>
    <row r="18" spans="1:12" ht="106.5" customHeight="1" x14ac:dyDescent="0.2">
      <c r="A18" s="66" t="s">
        <v>811</v>
      </c>
      <c r="B18" s="1151" t="str">
        <f>VLOOKUP(Translations!B596,Translations!B3:H893,4,0)</f>
        <v>Dépenses du récipiendaire principal (y compris les paiements et autres avances)</v>
      </c>
      <c r="C18" s="1143">
        <v>4066961.25</v>
      </c>
      <c r="D18" s="1146">
        <v>8799672.3200000003</v>
      </c>
      <c r="E18" s="1154" t="s">
        <v>812</v>
      </c>
      <c r="F18" s="1146">
        <v>0</v>
      </c>
      <c r="G18" s="1146">
        <v>0</v>
      </c>
      <c r="H18" s="1147">
        <f>D18+G18</f>
        <v>8799672.3200000003</v>
      </c>
      <c r="I18" s="1162"/>
      <c r="J18" s="1146">
        <v>0</v>
      </c>
      <c r="K18" s="1147">
        <f>H18+J18</f>
        <v>8799672.3200000003</v>
      </c>
      <c r="L18" s="1163"/>
    </row>
    <row r="19" spans="1:12" ht="39.75" customHeight="1" x14ac:dyDescent="0.2">
      <c r="A19" s="66" t="s">
        <v>216</v>
      </c>
      <c r="B19" s="1142" t="str">
        <f>VLOOKUP(Translations!B597,Translations!B3:H893,4,0)</f>
        <v xml:space="preserve">Décaissements à des tiers par le Fonds mondial au nom du récipiendaire principal </v>
      </c>
      <c r="C19" s="1164">
        <f>C11</f>
        <v>0</v>
      </c>
      <c r="D19" s="1147">
        <f>D11</f>
        <v>0</v>
      </c>
      <c r="E19" s="1154"/>
      <c r="F19" s="1165">
        <f>F11</f>
        <v>0</v>
      </c>
      <c r="G19" s="1146">
        <f>G11</f>
        <v>0</v>
      </c>
      <c r="H19" s="1147">
        <f>D19+G19</f>
        <v>0</v>
      </c>
      <c r="I19" s="1148"/>
      <c r="J19" s="1165">
        <f>J11</f>
        <v>0</v>
      </c>
      <c r="K19" s="1147">
        <f>H19+J19</f>
        <v>0</v>
      </c>
      <c r="L19" s="1149"/>
    </row>
    <row r="20" spans="1:12" ht="39.75" customHeight="1" x14ac:dyDescent="0.2">
      <c r="A20" s="66" t="s">
        <v>813</v>
      </c>
      <c r="B20" s="1142" t="str">
        <f>VLOOKUP(Translations!B598,Translations!B3:H893,4,0)</f>
        <v>Décaissements du récipiendaire principal en faveur des sous-récipiendaires</v>
      </c>
      <c r="C20" s="1143">
        <v>2908416.8200000008</v>
      </c>
      <c r="D20" s="1146">
        <f>+'SR_Cash Reconciliation_2E'!F109</f>
        <v>1912946.49</v>
      </c>
      <c r="E20" s="1154" t="s">
        <v>814</v>
      </c>
      <c r="F20" s="1150">
        <v>0</v>
      </c>
      <c r="G20" s="1146">
        <v>0</v>
      </c>
      <c r="H20" s="1147">
        <f>D20+G20</f>
        <v>1912946.49</v>
      </c>
      <c r="I20" s="1148"/>
      <c r="J20" s="1166">
        <v>0</v>
      </c>
      <c r="K20" s="1147">
        <f>H20+J20</f>
        <v>1912946.49</v>
      </c>
      <c r="L20" s="1148"/>
    </row>
    <row r="21" spans="1:12" ht="39.75" customHeight="1" x14ac:dyDescent="0.2">
      <c r="A21" s="66" t="s">
        <v>815</v>
      </c>
      <c r="B21" s="1151" t="str">
        <f>VLOOKUP(Translations!B599,Translations!B3:H893,4,0)</f>
        <v>Frais bancaires relatifs aux décaissements et paiements</v>
      </c>
      <c r="C21" s="1152">
        <v>14.83</v>
      </c>
      <c r="D21" s="1146">
        <v>192</v>
      </c>
      <c r="E21" s="1145" t="s">
        <v>816</v>
      </c>
      <c r="F21" s="1134">
        <v>0</v>
      </c>
      <c r="G21" s="1146">
        <v>0</v>
      </c>
      <c r="H21" s="1147">
        <f>D21+G21</f>
        <v>192</v>
      </c>
      <c r="I21" s="1148"/>
      <c r="J21" s="1166">
        <v>0</v>
      </c>
      <c r="K21" s="1147">
        <f>H21+J21</f>
        <v>192</v>
      </c>
      <c r="L21" s="1149"/>
    </row>
    <row r="22" spans="1:12" ht="39.75" customHeight="1" thickBot="1" x14ac:dyDescent="0.25">
      <c r="A22" s="66" t="s">
        <v>817</v>
      </c>
      <c r="B22" s="90" t="str">
        <f>VLOOKUP(Translations!B600,Translations!B3:H893,4,0)</f>
        <v>Sorties de fonds totales de la subvention</v>
      </c>
      <c r="C22" s="1167">
        <f>SUM(C18:C21)</f>
        <v>6975392.9000000004</v>
      </c>
      <c r="D22" s="89">
        <f>SUM(D18:D21)</f>
        <v>10712810.810000001</v>
      </c>
      <c r="E22" s="1168"/>
      <c r="F22" s="1169">
        <f>SUM(F18:F21)</f>
        <v>0</v>
      </c>
      <c r="G22" s="1159">
        <f>SUM(G18:G21)</f>
        <v>0</v>
      </c>
      <c r="H22" s="1159">
        <f>SUM(H18:H21)</f>
        <v>10712810.810000001</v>
      </c>
      <c r="I22" s="1170"/>
      <c r="J22" s="1161">
        <f>SUM(J18:J21)</f>
        <v>0</v>
      </c>
      <c r="K22" s="1135">
        <f>SUM(K18:K21)</f>
        <v>10712810.810000001</v>
      </c>
      <c r="L22" s="1136"/>
    </row>
    <row r="23" spans="1:12" ht="39.75" customHeight="1" x14ac:dyDescent="0.2">
      <c r="A23" s="66"/>
      <c r="B23" s="88" t="str">
        <f>VLOOKUP(Translations!B601,Translations!B3:H893,4,0)</f>
        <v>4. Ajustements de rapprochement</v>
      </c>
      <c r="C23" s="87"/>
      <c r="D23" s="87"/>
      <c r="E23" s="87"/>
      <c r="F23" s="87"/>
      <c r="G23" s="936"/>
      <c r="H23" s="936"/>
      <c r="I23" s="938"/>
      <c r="J23" s="87"/>
      <c r="K23" s="936"/>
      <c r="L23" s="86"/>
    </row>
    <row r="24" spans="1:12" ht="39.75" customHeight="1" x14ac:dyDescent="0.2">
      <c r="A24" s="66" t="s">
        <v>818</v>
      </c>
      <c r="B24" s="1142" t="str">
        <f>VLOOKUP(Translations!B562,Translations!B3:H893,4,0)</f>
        <v>Autres ajustements de rapprochement (y compris pour les périodes précédentes)</v>
      </c>
      <c r="C24" s="1171">
        <v>0</v>
      </c>
      <c r="D24" s="1172">
        <v>0</v>
      </c>
      <c r="E24" s="1145"/>
      <c r="F24" s="1171">
        <v>0</v>
      </c>
      <c r="G24" s="1173">
        <v>0</v>
      </c>
      <c r="H24" s="1147">
        <f>D24+G24</f>
        <v>0</v>
      </c>
      <c r="I24" s="1148"/>
      <c r="J24" s="1166">
        <v>0</v>
      </c>
      <c r="K24" s="1147">
        <f>H24+J24</f>
        <v>0</v>
      </c>
      <c r="L24" s="1149"/>
    </row>
    <row r="25" spans="1:12" ht="39.75" customHeight="1" x14ac:dyDescent="0.2">
      <c r="A25" s="66" t="s">
        <v>819</v>
      </c>
      <c r="B25" s="1151" t="str">
        <f>VLOOKUP(Translations!B602,Translations!B3:H893,4,0)</f>
        <v>Gains/pertes de change nets liés à la conversion des soldes</v>
      </c>
      <c r="C25" s="1166">
        <v>792.96</v>
      </c>
      <c r="D25" s="1172">
        <v>1077.8900000000001</v>
      </c>
      <c r="E25" s="1154" t="s">
        <v>820</v>
      </c>
      <c r="F25" s="1166">
        <v>0</v>
      </c>
      <c r="G25" s="1173">
        <v>0</v>
      </c>
      <c r="H25" s="1147">
        <f>D25+G25</f>
        <v>1077.8900000000001</v>
      </c>
      <c r="I25" s="1148"/>
      <c r="J25" s="1166">
        <v>0</v>
      </c>
      <c r="K25" s="1147">
        <f>H25+J25</f>
        <v>1077.8900000000001</v>
      </c>
      <c r="L25" s="1149"/>
    </row>
    <row r="26" spans="1:12" ht="39.75" customHeight="1" x14ac:dyDescent="0.2">
      <c r="A26" s="66" t="s">
        <v>821</v>
      </c>
      <c r="B26" s="1151" t="str">
        <f>VLOOKUP(Translations!B563,Translations!B3:H893,4,0)</f>
        <v>Transactions non recevables de périodes précédentes dont la justification a été approuvée par le Fonds mondial</v>
      </c>
      <c r="C26" s="1166">
        <v>0</v>
      </c>
      <c r="D26" s="1172">
        <v>0</v>
      </c>
      <c r="E26" s="1145"/>
      <c r="F26" s="1171">
        <v>0</v>
      </c>
      <c r="G26" s="1173">
        <v>0</v>
      </c>
      <c r="H26" s="1147">
        <f>D26+G26</f>
        <v>0</v>
      </c>
      <c r="I26" s="1148"/>
      <c r="J26" s="1166">
        <v>0</v>
      </c>
      <c r="K26" s="1147">
        <f>H26+J26</f>
        <v>0</v>
      </c>
      <c r="L26" s="1149"/>
    </row>
    <row r="27" spans="1:12" ht="39.75" customHeight="1" x14ac:dyDescent="0.2">
      <c r="A27" s="66" t="s">
        <v>822</v>
      </c>
      <c r="B27" s="1151" t="str">
        <f>VLOOKUP(Translations!B564,Translations!B3:H893,4,0)</f>
        <v>Remboursement de transactions non recevables des périodes précédentes</v>
      </c>
      <c r="C27" s="1166">
        <v>0</v>
      </c>
      <c r="D27" s="1172">
        <v>0</v>
      </c>
      <c r="E27" s="1145"/>
      <c r="F27" s="1171">
        <v>0</v>
      </c>
      <c r="G27" s="1173">
        <v>0</v>
      </c>
      <c r="H27" s="1147">
        <f>D27+G27</f>
        <v>0</v>
      </c>
      <c r="I27" s="1148"/>
      <c r="J27" s="1174">
        <v>0</v>
      </c>
      <c r="K27" s="1175">
        <f>H27+J27</f>
        <v>0</v>
      </c>
      <c r="L27" s="1176"/>
    </row>
    <row r="28" spans="1:12" ht="39.75" customHeight="1" thickBot="1" x14ac:dyDescent="0.25">
      <c r="A28" s="66" t="s">
        <v>823</v>
      </c>
      <c r="B28" s="1151" t="str">
        <f>VLOOKUP(Translations!B567,Translations!B3:H893,4,0)</f>
        <v>Paiement anticipé pour la prochaine période de mise en œuvre</v>
      </c>
      <c r="C28" s="1166">
        <v>0</v>
      </c>
      <c r="D28" s="1172">
        <v>0</v>
      </c>
      <c r="E28" s="1145"/>
      <c r="F28" s="1171">
        <v>0</v>
      </c>
      <c r="G28" s="1173">
        <v>0</v>
      </c>
      <c r="H28" s="1147">
        <f>D28+G28</f>
        <v>0</v>
      </c>
      <c r="I28" s="1148"/>
      <c r="J28" s="1174">
        <v>0</v>
      </c>
      <c r="K28" s="1175">
        <f>H28+J28</f>
        <v>0</v>
      </c>
      <c r="L28" s="85"/>
    </row>
    <row r="29" spans="1:12" ht="39.75" customHeight="1" x14ac:dyDescent="0.2">
      <c r="A29" s="66"/>
      <c r="B29" s="1524" t="str">
        <f>VLOOKUP(Translations!B603,Translations!B3:H893,4,0)</f>
        <v>5. Soldes de trésorerie totaux : fin de la période de rapport</v>
      </c>
      <c r="C29" s="1525"/>
      <c r="D29" s="1525"/>
      <c r="E29" s="1525"/>
      <c r="F29" s="1525"/>
      <c r="G29" s="1525"/>
      <c r="H29" s="1525"/>
      <c r="I29" s="1525"/>
      <c r="J29" s="1525"/>
      <c r="K29" s="1525"/>
      <c r="L29" s="1526"/>
    </row>
    <row r="30" spans="1:12" ht="39.75" customHeight="1" x14ac:dyDescent="0.2">
      <c r="A30" s="66" t="s">
        <v>824</v>
      </c>
      <c r="B30" s="1138" t="str">
        <f>VLOOKUP(Translations!B604,Translations!B3:H893,4,0)</f>
        <v>Solde de trésorerie du récipiendaire principal</v>
      </c>
      <c r="C30" s="1129">
        <v>0</v>
      </c>
      <c r="D30" s="84">
        <f>(D7+D15-D22)+D24+D25+D27-D28</f>
        <v>9133947.5800000038</v>
      </c>
      <c r="E30" s="1177"/>
      <c r="F30" s="1178"/>
      <c r="G30" s="84">
        <f>G7+(G15-G22)+G25+G24-G26-G28</f>
        <v>0</v>
      </c>
      <c r="H30" s="84">
        <f>(H7+H15-H22)+H24+H25-H26-H28</f>
        <v>9133947.5800000038</v>
      </c>
      <c r="I30" s="1179"/>
      <c r="J30" s="84">
        <f>J7+(J15-J22)+J25+J24-J26-J28</f>
        <v>0</v>
      </c>
      <c r="K30" s="84">
        <f>K7+K15-K22+K25+K24-K26-K28</f>
        <v>9133947.5800000038</v>
      </c>
      <c r="L30" s="1180"/>
    </row>
    <row r="31" spans="1:12" ht="39.75" customHeight="1" x14ac:dyDescent="0.2">
      <c r="A31" s="66" t="s">
        <v>825</v>
      </c>
      <c r="B31" s="1138" t="str">
        <f>VLOOKUP(Translations!B605,Translations!B3:H893,4,0)</f>
        <v>Solde de trésorerie des sous-récipiendaires</v>
      </c>
      <c r="C31" s="1129">
        <v>0</v>
      </c>
      <c r="D31" s="933">
        <f>'SR_Cash Reconciliation_2E'!J109</f>
        <v>148975.98000000016</v>
      </c>
      <c r="E31" s="1177" t="s">
        <v>826</v>
      </c>
      <c r="F31" s="1181"/>
      <c r="G31" s="84">
        <f>'SR_Cash Reconciliation_2E'!N109</f>
        <v>0</v>
      </c>
      <c r="H31" s="84">
        <f>'SR_Cash Reconciliation_2E'!O109</f>
        <v>148975.98000000016</v>
      </c>
      <c r="I31" s="1179"/>
      <c r="J31" s="1182">
        <v>0</v>
      </c>
      <c r="K31" s="84">
        <f>+H31+J31</f>
        <v>148975.98000000016</v>
      </c>
      <c r="L31" s="1183"/>
    </row>
    <row r="32" spans="1:12" ht="39.75" customHeight="1" thickBot="1" x14ac:dyDescent="0.25">
      <c r="A32" s="66" t="s">
        <v>827</v>
      </c>
      <c r="B32" s="83" t="str">
        <f>VLOOKUP(Translations!B606,Translations!B3:H893,4,0)</f>
        <v>Solde de trésorerie total</v>
      </c>
      <c r="C32" s="82">
        <f>C30+C31</f>
        <v>0</v>
      </c>
      <c r="D32" s="1156">
        <f>D30+D31</f>
        <v>9282923.5600000042</v>
      </c>
      <c r="E32" s="1184"/>
      <c r="F32" s="1185">
        <f>F30+F31</f>
        <v>0</v>
      </c>
      <c r="G32" s="1156">
        <f>G30+G31</f>
        <v>0</v>
      </c>
      <c r="H32" s="1156">
        <f>H30+H31</f>
        <v>9282923.5600000042</v>
      </c>
      <c r="I32" s="1186"/>
      <c r="J32" s="1155">
        <f>J30+J31</f>
        <v>0</v>
      </c>
      <c r="K32" s="1156">
        <f>K30+K31</f>
        <v>9282923.5600000042</v>
      </c>
      <c r="L32" s="1187"/>
    </row>
    <row r="33" spans="1:12" ht="15.75" thickBot="1" x14ac:dyDescent="0.25">
      <c r="A33" s="66"/>
      <c r="B33" s="73"/>
      <c r="C33" s="72"/>
      <c r="D33" s="72"/>
      <c r="E33" s="71"/>
      <c r="F33" s="72"/>
      <c r="G33" s="72"/>
      <c r="H33" s="72"/>
      <c r="I33" s="71"/>
      <c r="J33" s="72"/>
      <c r="K33" s="72"/>
      <c r="L33" s="71"/>
    </row>
    <row r="34" spans="1:12" ht="43.5" customHeight="1" thickBot="1" x14ac:dyDescent="0.25">
      <c r="A34" s="66"/>
      <c r="B34" s="1527" t="str">
        <f>VLOOKUP(Translations!B607,Translations!B3:H893,4,0)</f>
        <v>B. Solde des relevés bancaires du récipiendaire principal et fonds en transit dans la monnaie de la subvention</v>
      </c>
      <c r="C34" s="1528"/>
      <c r="D34" s="1528"/>
      <c r="E34" s="1528"/>
      <c r="F34" s="1528"/>
      <c r="G34" s="1528"/>
      <c r="H34" s="1528"/>
      <c r="I34" s="1528"/>
      <c r="J34" s="1528"/>
      <c r="K34" s="1528"/>
      <c r="L34" s="1529"/>
    </row>
    <row r="35" spans="1:12" ht="36.75" customHeight="1" x14ac:dyDescent="0.2">
      <c r="A35" s="66"/>
      <c r="B35" s="1530"/>
      <c r="C35" s="1506" t="str">
        <f>C5</f>
        <v>Récipiendaire principal:</v>
      </c>
      <c r="D35" s="1507"/>
      <c r="E35" s="1508"/>
      <c r="F35" s="1509" t="s">
        <v>791</v>
      </c>
      <c r="G35" s="1510"/>
      <c r="H35" s="1510"/>
      <c r="I35" s="1511"/>
      <c r="J35" s="1532" t="s">
        <v>792</v>
      </c>
      <c r="K35" s="1533"/>
      <c r="L35" s="1534"/>
    </row>
    <row r="36" spans="1:12" ht="50.25" customHeight="1" thickBot="1" x14ac:dyDescent="0.25">
      <c r="A36" s="66"/>
      <c r="B36" s="1531"/>
      <c r="C36" s="1119"/>
      <c r="D36" s="1119" t="str">
        <f>D6</f>
        <v>Période visée par le rapport</v>
      </c>
      <c r="E36" s="1120" t="str">
        <f>E6</f>
        <v>Commentaires</v>
      </c>
      <c r="F36" s="939"/>
      <c r="G36" s="81" t="s">
        <v>796</v>
      </c>
      <c r="H36" s="80" t="s">
        <v>797</v>
      </c>
      <c r="I36" s="79" t="s">
        <v>160</v>
      </c>
      <c r="J36" s="1188" t="s">
        <v>828</v>
      </c>
      <c r="K36" s="1126" t="s">
        <v>799</v>
      </c>
      <c r="L36" s="1127" t="s">
        <v>160</v>
      </c>
    </row>
    <row r="37" spans="1:12" ht="45.6" customHeight="1" x14ac:dyDescent="0.2">
      <c r="A37" s="66" t="s">
        <v>829</v>
      </c>
      <c r="B37" s="78" t="str">
        <f>VLOOKUP(Translations!B608,Translations!B3:H893,4,0)</f>
        <v>Solde de trésorerie du récipiendaire principal tel que figurant sur ses relevés bancaires (à titre indicatif uniquement) :</v>
      </c>
      <c r="C37" s="1189"/>
      <c r="D37" s="1172">
        <v>9133947.6199999992</v>
      </c>
      <c r="E37" s="1145" t="s">
        <v>830</v>
      </c>
      <c r="F37" s="1190"/>
      <c r="G37" s="1173">
        <v>0</v>
      </c>
      <c r="H37" s="1147">
        <f>D37+G37</f>
        <v>9133947.6199999992</v>
      </c>
      <c r="I37" s="1148"/>
      <c r="J37" s="1191">
        <v>0</v>
      </c>
      <c r="K37" s="1147">
        <f>H37+J37</f>
        <v>9133947.6199999992</v>
      </c>
      <c r="L37" s="1148"/>
    </row>
    <row r="38" spans="1:12" ht="36" customHeight="1" x14ac:dyDescent="0.2">
      <c r="A38" s="66" t="s">
        <v>831</v>
      </c>
      <c r="B38" s="1192" t="str">
        <f>VLOOKUP(Translations!B609,Translations!B3:H893,4,0)</f>
        <v>Fonds en transit pour la période de rapport</v>
      </c>
      <c r="C38" s="1189"/>
      <c r="D38" s="1172">
        <v>0</v>
      </c>
      <c r="E38" s="1154"/>
      <c r="F38" s="1193"/>
      <c r="G38" s="1173">
        <v>0</v>
      </c>
      <c r="H38" s="1147">
        <f>D38+G38</f>
        <v>0</v>
      </c>
      <c r="I38" s="1148"/>
      <c r="J38" s="1191">
        <v>0</v>
      </c>
      <c r="K38" s="1147">
        <f>H38+J38</f>
        <v>0</v>
      </c>
      <c r="L38" s="1148"/>
    </row>
    <row r="39" spans="1:12" ht="36" customHeight="1" thickBot="1" x14ac:dyDescent="0.25">
      <c r="A39" s="66" t="s">
        <v>832</v>
      </c>
      <c r="B39" s="1194" t="str">
        <f>VLOOKUP(Translations!B610,Translations!B3:H893,4,0)</f>
        <v>Fonds en transit après la période de rapport en cours</v>
      </c>
      <c r="C39" s="1195"/>
      <c r="D39" s="1196">
        <v>4483586</v>
      </c>
      <c r="E39" s="1197" t="s">
        <v>833</v>
      </c>
      <c r="F39" s="1198"/>
      <c r="G39" s="1196">
        <v>0</v>
      </c>
      <c r="H39" s="1199">
        <f>D39+G39</f>
        <v>4483586</v>
      </c>
      <c r="I39" s="1160"/>
      <c r="J39" s="1200">
        <v>0</v>
      </c>
      <c r="K39" s="1201">
        <f>H39+J39</f>
        <v>4483586</v>
      </c>
      <c r="L39" s="1160"/>
    </row>
    <row r="40" spans="1:12" ht="15.75" thickBot="1" x14ac:dyDescent="0.25">
      <c r="A40" s="66"/>
      <c r="B40" s="73"/>
      <c r="C40" s="72"/>
      <c r="D40" s="72"/>
      <c r="E40" s="71"/>
      <c r="F40" s="72"/>
      <c r="G40" s="72"/>
      <c r="H40" s="72"/>
      <c r="I40" s="77"/>
      <c r="J40" s="72"/>
      <c r="K40" s="72"/>
      <c r="L40" s="71"/>
    </row>
    <row r="41" spans="1:12" ht="43.5" customHeight="1" thickBot="1" x14ac:dyDescent="0.25">
      <c r="A41" s="66"/>
      <c r="B41" s="1535" t="str">
        <f>VLOOKUP(Translations!B613,Translations!B3:H893,4,0)</f>
        <v>C. Engagements financiers et obligations financières du récipiendaire principal</v>
      </c>
      <c r="C41" s="1528"/>
      <c r="D41" s="1528"/>
      <c r="E41" s="1528"/>
      <c r="F41" s="1528"/>
      <c r="G41" s="1528"/>
      <c r="H41" s="1528"/>
      <c r="I41" s="1528"/>
      <c r="J41" s="1528"/>
      <c r="K41" s="1528"/>
      <c r="L41" s="1529"/>
    </row>
    <row r="42" spans="1:12" ht="41.45" customHeight="1" x14ac:dyDescent="0.2">
      <c r="A42" s="66" t="s">
        <v>834</v>
      </c>
      <c r="B42" s="1138" t="str">
        <f>VLOOKUP(Translations!B612,Translations!B3:H893,4,0)</f>
        <v>Engagements financiers</v>
      </c>
      <c r="C42" s="1129">
        <v>0</v>
      </c>
      <c r="D42" s="76">
        <f>240989.37+128740.71</f>
        <v>369730.08</v>
      </c>
      <c r="E42" s="1202" t="s">
        <v>835</v>
      </c>
      <c r="F42" s="1129">
        <v>0</v>
      </c>
      <c r="G42" s="75">
        <v>0</v>
      </c>
      <c r="H42" s="74">
        <f>D42+G42</f>
        <v>369730.08</v>
      </c>
      <c r="I42" s="1203"/>
      <c r="J42" s="1166">
        <v>0</v>
      </c>
      <c r="K42" s="1204">
        <f>H42+J42</f>
        <v>369730.08</v>
      </c>
      <c r="L42" s="1149"/>
    </row>
    <row r="43" spans="1:12" ht="45.6" customHeight="1" x14ac:dyDescent="0.2">
      <c r="A43" s="66" t="s">
        <v>836</v>
      </c>
      <c r="B43" s="1138" t="str">
        <f>VLOOKUP(Translations!B614,Translations!B3:H893,4,0)</f>
        <v xml:space="preserve">Obligations financières </v>
      </c>
      <c r="C43" s="1129">
        <v>0</v>
      </c>
      <c r="D43" s="1205">
        <f>Commitments_Obligations!F114</f>
        <v>3768807.6353000002</v>
      </c>
      <c r="E43" s="1202" t="s">
        <v>837</v>
      </c>
      <c r="F43" s="1129">
        <v>0</v>
      </c>
      <c r="G43" s="1146">
        <v>0</v>
      </c>
      <c r="H43" s="1206">
        <f>D43+G43</f>
        <v>3768807.6353000002</v>
      </c>
      <c r="I43" s="1203"/>
      <c r="J43" s="1166">
        <v>0</v>
      </c>
      <c r="K43" s="1207">
        <f>H43+J43</f>
        <v>3768807.6353000002</v>
      </c>
      <c r="L43" s="1149"/>
    </row>
    <row r="44" spans="1:12" ht="33.6" customHeight="1" thickBot="1" x14ac:dyDescent="0.25">
      <c r="A44" s="66" t="s">
        <v>838</v>
      </c>
      <c r="B44" s="1208" t="str">
        <f>VLOOKUP(Translations!B615,Translations!B3:H893,4,0)</f>
        <v>Total des engagements et obligations</v>
      </c>
      <c r="C44" s="1129">
        <f>SUM(C42:C43)</f>
        <v>0</v>
      </c>
      <c r="D44" s="1209">
        <f>SUM(D42:D43)</f>
        <v>4138537.7153000003</v>
      </c>
      <c r="E44" s="1210"/>
      <c r="F44" s="1129">
        <f>SUM(F42:F43)</f>
        <v>0</v>
      </c>
      <c r="G44" s="1159">
        <f>SUM(G42:G43)</f>
        <v>0</v>
      </c>
      <c r="H44" s="1211">
        <f>SUM(H42:H43)</f>
        <v>4138537.7153000003</v>
      </c>
      <c r="I44" s="1212"/>
      <c r="J44" s="1159">
        <f>SUM(J42:J43)</f>
        <v>0</v>
      </c>
      <c r="K44" s="1135">
        <f>SUM(K42:K43)</f>
        <v>4138537.7153000003</v>
      </c>
      <c r="L44" s="1136"/>
    </row>
    <row r="45" spans="1:12" ht="15.75" thickBot="1" x14ac:dyDescent="0.25">
      <c r="A45" s="66"/>
      <c r="B45" s="73"/>
      <c r="C45" s="72"/>
      <c r="D45" s="72"/>
      <c r="E45" s="71"/>
      <c r="F45" s="72"/>
      <c r="G45" s="72"/>
      <c r="H45" s="72"/>
      <c r="I45" s="71"/>
      <c r="J45" s="72"/>
      <c r="K45" s="72"/>
      <c r="L45" s="71"/>
    </row>
    <row r="46" spans="1:12" ht="42" customHeight="1" thickBot="1" x14ac:dyDescent="0.25">
      <c r="A46" s="66"/>
      <c r="B46" s="1536" t="str">
        <f>VLOOKUP(Translations!B611,Translations!B3:H893,4,0)</f>
        <v>D. Transactions non recevables du récipiendaire principal dans la monnaie de la subvention</v>
      </c>
      <c r="C46" s="1528"/>
      <c r="D46" s="1528"/>
      <c r="E46" s="1528"/>
      <c r="F46" s="1528"/>
      <c r="G46" s="1528"/>
      <c r="H46" s="1528"/>
      <c r="I46" s="1528"/>
      <c r="J46" s="1528"/>
      <c r="K46" s="1528"/>
      <c r="L46" s="1529"/>
    </row>
    <row r="47" spans="1:12" ht="33" customHeight="1" x14ac:dyDescent="0.2">
      <c r="A47" s="66"/>
      <c r="B47" s="70"/>
      <c r="C47" s="1506" t="str">
        <f>C5</f>
        <v>Récipiendaire principal:</v>
      </c>
      <c r="D47" s="1507"/>
      <c r="E47" s="1508"/>
      <c r="F47" s="1537" t="s">
        <v>791</v>
      </c>
      <c r="G47" s="1538"/>
      <c r="H47" s="1538"/>
      <c r="I47" s="1539"/>
      <c r="J47" s="1532" t="s">
        <v>792</v>
      </c>
      <c r="K47" s="1533"/>
      <c r="L47" s="1534"/>
    </row>
    <row r="48" spans="1:12" ht="120.75" thickBot="1" x14ac:dyDescent="0.25">
      <c r="A48" s="66"/>
      <c r="B48" s="69"/>
      <c r="C48" s="1119" t="str">
        <f>C6</f>
        <v>Montant cumulé pour les périodes précédentes</v>
      </c>
      <c r="D48" s="1119" t="str">
        <f>D36</f>
        <v>Période visée par le rapport</v>
      </c>
      <c r="E48" s="1120" t="str">
        <f>E6</f>
        <v>Commentaires</v>
      </c>
      <c r="F48" s="1213" t="s">
        <v>795</v>
      </c>
      <c r="G48" s="1214" t="s">
        <v>796</v>
      </c>
      <c r="H48" s="1215" t="s">
        <v>797</v>
      </c>
      <c r="I48" s="1216" t="s">
        <v>160</v>
      </c>
      <c r="J48" s="1217" t="s">
        <v>828</v>
      </c>
      <c r="K48" s="1218" t="s">
        <v>799</v>
      </c>
      <c r="L48" s="1219" t="s">
        <v>160</v>
      </c>
    </row>
    <row r="49" spans="1:12" ht="36" customHeight="1" x14ac:dyDescent="0.2">
      <c r="A49" s="66" t="s">
        <v>839</v>
      </c>
      <c r="B49" s="68" t="str">
        <f>VLOOKUP(Translations!B583,Translations!B3:H893,4,0)</f>
        <v>Transactions non recevables validées pour la période de rapport</v>
      </c>
      <c r="C49" s="1189">
        <v>0</v>
      </c>
      <c r="D49" s="1172">
        <v>0</v>
      </c>
      <c r="E49" s="1154"/>
      <c r="F49" s="1129"/>
      <c r="G49" s="1173">
        <v>0</v>
      </c>
      <c r="H49" s="1147">
        <f>D49+G49</f>
        <v>0</v>
      </c>
      <c r="I49" s="1203"/>
      <c r="J49" s="1220">
        <v>0</v>
      </c>
      <c r="K49" s="1147">
        <f>H49+J49</f>
        <v>0</v>
      </c>
      <c r="L49" s="1148"/>
    </row>
    <row r="50" spans="1:12" ht="36" customHeight="1" x14ac:dyDescent="0.2">
      <c r="A50" s="66" t="s">
        <v>840</v>
      </c>
      <c r="B50" s="1151" t="str">
        <f>VLOOKUP(Translations!B584,Translations!B3:H893,4,0)</f>
        <v>Transactions non recevables des périodes précédentes dont la justification a été approuvée par le Fonds mondial</v>
      </c>
      <c r="C50" s="1165">
        <f>C26</f>
        <v>0</v>
      </c>
      <c r="D50" s="1147">
        <f>D26</f>
        <v>0</v>
      </c>
      <c r="E50" s="1145"/>
      <c r="F50" s="67">
        <f>F26</f>
        <v>0</v>
      </c>
      <c r="G50" s="1147">
        <f>G26</f>
        <v>0</v>
      </c>
      <c r="H50" s="1147">
        <f>D50+G50</f>
        <v>0</v>
      </c>
      <c r="I50" s="1203"/>
      <c r="J50" s="1147">
        <f>J26</f>
        <v>0</v>
      </c>
      <c r="K50" s="1147">
        <f>H50+J50</f>
        <v>0</v>
      </c>
      <c r="L50" s="1148"/>
    </row>
    <row r="51" spans="1:12" ht="36" customHeight="1" x14ac:dyDescent="0.2">
      <c r="A51" s="66" t="s">
        <v>841</v>
      </c>
      <c r="B51" s="1142" t="str">
        <f>VLOOKUP(Translations!B585,Translations!B3:H893,4,0)</f>
        <v>Remboursement de transactions non recevables des périodes précédentes</v>
      </c>
      <c r="C51" s="1221">
        <f>C27</f>
        <v>0</v>
      </c>
      <c r="D51" s="1147">
        <f>D27</f>
        <v>0</v>
      </c>
      <c r="E51" s="1145"/>
      <c r="F51" s="1221">
        <f>F27</f>
        <v>0</v>
      </c>
      <c r="G51" s="1147">
        <f>G27</f>
        <v>0</v>
      </c>
      <c r="H51" s="1147">
        <f>D51+G51</f>
        <v>0</v>
      </c>
      <c r="I51" s="1203"/>
      <c r="J51" s="1165">
        <f>J27</f>
        <v>0</v>
      </c>
      <c r="K51" s="1147">
        <f>H51+J51</f>
        <v>0</v>
      </c>
      <c r="L51" s="1148"/>
    </row>
    <row r="52" spans="1:12" ht="36" customHeight="1" x14ac:dyDescent="0.2">
      <c r="A52" s="66" t="s">
        <v>842</v>
      </c>
      <c r="B52" s="1151" t="str">
        <f>VLOOKUP(Translations!B586,Translations!B3:H893,4,0)</f>
        <v>Transactions non recevables cumulées pour la période de mise en œuvre</v>
      </c>
      <c r="C52" s="1166">
        <v>0</v>
      </c>
      <c r="D52" s="1147">
        <f>D49+C52</f>
        <v>0</v>
      </c>
      <c r="E52" s="1154"/>
      <c r="F52" s="1182">
        <v>0</v>
      </c>
      <c r="G52" s="1182">
        <f>H49</f>
        <v>0</v>
      </c>
      <c r="H52" s="1147">
        <f>F52+G52</f>
        <v>0</v>
      </c>
      <c r="I52" s="1203"/>
      <c r="J52" s="1173">
        <v>0</v>
      </c>
      <c r="K52" s="1147">
        <f>H52+J52</f>
        <v>0</v>
      </c>
      <c r="L52" s="1222"/>
    </row>
    <row r="53" spans="1:12" ht="36" customHeight="1" thickBot="1" x14ac:dyDescent="0.25">
      <c r="A53" s="66" t="s">
        <v>843</v>
      </c>
      <c r="B53" s="1208" t="str">
        <f>VLOOKUP(Translations!B587,Translations!B3:H893,4,0)</f>
        <v>Transactions non recevables ouvertes à justifier et/ou rembourser</v>
      </c>
      <c r="C53" s="1223">
        <f>C52-C50-C51</f>
        <v>0</v>
      </c>
      <c r="D53" s="1224">
        <f>C53+D49-D50-D51</f>
        <v>0</v>
      </c>
      <c r="E53" s="1225"/>
      <c r="F53" s="1226">
        <f>F52-F50-F51</f>
        <v>0</v>
      </c>
      <c r="G53" s="1189"/>
      <c r="H53" s="1175">
        <f>H52-F50-F51-H50-H51</f>
        <v>0</v>
      </c>
      <c r="I53" s="1170"/>
      <c r="J53" s="1189">
        <v>0</v>
      </c>
      <c r="K53" s="1159">
        <f>K52-F50-F51-K50-K51</f>
        <v>0</v>
      </c>
      <c r="L53" s="1170"/>
    </row>
    <row r="54" spans="1:12" ht="15" x14ac:dyDescent="0.2">
      <c r="B54" s="65"/>
      <c r="C54" s="63"/>
      <c r="D54" s="63"/>
      <c r="E54" s="63"/>
      <c r="F54" s="63"/>
      <c r="G54" s="63"/>
      <c r="H54" s="64"/>
      <c r="I54" s="63"/>
      <c r="J54" s="63"/>
      <c r="K54" s="63"/>
      <c r="L54" s="63"/>
    </row>
  </sheetData>
  <sheetProtection password="BF22" sheet="1" formatCells="0" formatColumns="0" formatRows="0"/>
  <mergeCells count="20">
    <mergeCell ref="B41:L41"/>
    <mergeCell ref="B46:L46"/>
    <mergeCell ref="C47:E47"/>
    <mergeCell ref="F47:I47"/>
    <mergeCell ref="J47:L47"/>
    <mergeCell ref="B29:L29"/>
    <mergeCell ref="B34:L34"/>
    <mergeCell ref="B35:B36"/>
    <mergeCell ref="C35:E35"/>
    <mergeCell ref="F35:I35"/>
    <mergeCell ref="J35:L35"/>
    <mergeCell ref="A1:K1"/>
    <mergeCell ref="I2:K3"/>
    <mergeCell ref="C5:E5"/>
    <mergeCell ref="F5:I5"/>
    <mergeCell ref="J5:L5"/>
    <mergeCell ref="A2:B3"/>
    <mergeCell ref="C2:D2"/>
    <mergeCell ref="C3:D3"/>
    <mergeCell ref="B4:L4"/>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CoverSheet!$D$14="EUR"</xm:f>
            <x14:dxf>
              <numFmt numFmtId="190" formatCode="[$EUR]\ #,##0.00;[Red]\-[$EUR]\ #,##0.00"/>
            </x14:dxf>
          </x14:cfRule>
          <xm:sqref>C7:D7 F7:H7 J7:K7 C10:D15 F10:H15 J10:K15 C18:D22 F18:H22 J18:K22 C24:D28 F24:H28 J24:K28 C30:D32 F30:H32 J30:K32 C37:D39 F37:H39 J37:K39 C42:D44 F42:H44 J42:K44 C49:D53 F49:H53 J49:K53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sheetPr>
  <dimension ref="A2:P116"/>
  <sheetViews>
    <sheetView topLeftCell="A108" zoomScale="70" zoomScaleNormal="70" workbookViewId="0">
      <selection activeCell="F55" sqref="F55"/>
    </sheetView>
  </sheetViews>
  <sheetFormatPr baseColWidth="10" defaultColWidth="9.140625" defaultRowHeight="12.75" x14ac:dyDescent="0.2"/>
  <cols>
    <col min="1" max="1" width="9" style="44" customWidth="1"/>
    <col min="2" max="3" width="27.140625" style="44" customWidth="1"/>
    <col min="4" max="4" width="37.5703125" style="44" customWidth="1"/>
    <col min="5" max="8" width="27.140625" style="44" customWidth="1"/>
    <col min="9" max="9" width="16.5703125" style="44" customWidth="1"/>
    <col min="10" max="16" width="27.140625" style="44" customWidth="1"/>
    <col min="17" max="16384" width="9.140625" style="44"/>
  </cols>
  <sheetData>
    <row r="2" spans="1:16" ht="30" x14ac:dyDescent="0.2">
      <c r="A2" s="59" t="str">
        <f>VLOOKUP(Translations!B618,Translations!B3:H893,4,0)</f>
        <v>Engagements financiers</v>
      </c>
    </row>
    <row r="3" spans="1:16" ht="13.5" thickBot="1" x14ac:dyDescent="0.25"/>
    <row r="4" spans="1:16" ht="15.75" thickBot="1" x14ac:dyDescent="0.25">
      <c r="B4" s="1543" t="str">
        <f>VLOOKUP(Translations!B9,Translations!B3:H893,4,0)</f>
        <v>Récipiendaire principal:</v>
      </c>
      <c r="C4" s="1544"/>
      <c r="D4" s="1544"/>
      <c r="E4" s="1544"/>
      <c r="F4" s="1544"/>
      <c r="G4" s="1544"/>
      <c r="H4" s="1544"/>
      <c r="I4" s="1544"/>
      <c r="J4" s="1545"/>
      <c r="K4" s="1546" t="s">
        <v>791</v>
      </c>
      <c r="L4" s="1547"/>
      <c r="M4" s="1548"/>
      <c r="N4" s="1540" t="s">
        <v>792</v>
      </c>
      <c r="O4" s="1541"/>
      <c r="P4" s="1542"/>
    </row>
    <row r="5" spans="1:16" ht="63" customHeight="1" x14ac:dyDescent="0.2">
      <c r="A5" s="1227" t="s">
        <v>844</v>
      </c>
      <c r="B5" s="58" t="str">
        <f>VLOOKUP(Translations!B622,Translations!B3:H893,4,0)</f>
        <v xml:space="preserve">Module </v>
      </c>
      <c r="C5" s="58" t="str">
        <f>VLOOKUP(Translations!B623,Translations!B3:H893,4,0)</f>
        <v>Intervention</v>
      </c>
      <c r="D5" s="58" t="str">
        <f>VLOOKUP(Translations!B624,Translations!B3:H893,4,0)</f>
        <v>Description de l'activité</v>
      </c>
      <c r="E5" s="58" t="str">
        <f>VLOOKUP(Translations!B625,Translations!B3:H893,4,0)</f>
        <v xml:space="preserve">Entrées de coûts </v>
      </c>
      <c r="F5" s="58" t="str">
        <f>VLOOKUP(Translations!B626,Translations!B3:H893,4,0)</f>
        <v>Montant en monnaie de la subvention</v>
      </c>
      <c r="G5" s="58" t="str">
        <f>VLOOKUP(Translations!B627,Translations!B3:H893,4,0)</f>
        <v>Date de livraison</v>
      </c>
      <c r="H5" s="58" t="str">
        <f>VLOOKUP(Translations!B631,Translations!B3:H893,4,0)</f>
        <v>Date de paiement prévue</v>
      </c>
      <c r="I5" s="58" t="str">
        <f>VLOOKUP(Translations!B628,Translations!B3:H893,4,0)</f>
        <v>Date de paiement effective</v>
      </c>
      <c r="J5" s="58" t="str">
        <f>VLOOKUP(Translations!B629,Translations!B3:H893,4,0)</f>
        <v>Commentaires</v>
      </c>
      <c r="K5" s="1228" t="s">
        <v>845</v>
      </c>
      <c r="L5" s="1228" t="s">
        <v>797</v>
      </c>
      <c r="M5" s="1229" t="s">
        <v>160</v>
      </c>
      <c r="N5" s="1230" t="s">
        <v>798</v>
      </c>
      <c r="O5" s="57" t="s">
        <v>799</v>
      </c>
      <c r="P5" s="56" t="s">
        <v>160</v>
      </c>
    </row>
    <row r="6" spans="1:16" ht="57" x14ac:dyDescent="0.25">
      <c r="A6" s="54">
        <v>47</v>
      </c>
      <c r="B6" s="52" t="s">
        <v>446</v>
      </c>
      <c r="C6" s="52" t="s">
        <v>846</v>
      </c>
      <c r="D6" s="52" t="s">
        <v>847</v>
      </c>
      <c r="E6" s="53" t="s">
        <v>848</v>
      </c>
      <c r="F6" s="50">
        <v>74.08536585365853</v>
      </c>
      <c r="G6" s="52" t="s">
        <v>849</v>
      </c>
      <c r="H6" s="51" t="s">
        <v>850</v>
      </c>
      <c r="I6" s="51"/>
      <c r="J6" s="1231"/>
      <c r="K6" s="50"/>
      <c r="L6" s="1232">
        <f t="shared" ref="L6:L37" si="0">F6+K6</f>
        <v>74.08536585365853</v>
      </c>
      <c r="M6" s="1231"/>
      <c r="N6" s="55"/>
      <c r="O6" s="1233">
        <f t="shared" ref="O6:O37" si="1">L6+N6</f>
        <v>74.08536585365853</v>
      </c>
      <c r="P6" s="1231"/>
    </row>
    <row r="7" spans="1:16" ht="57" x14ac:dyDescent="0.25">
      <c r="A7" s="54">
        <v>15</v>
      </c>
      <c r="B7" s="52" t="s">
        <v>399</v>
      </c>
      <c r="C7" s="52" t="s">
        <v>851</v>
      </c>
      <c r="D7" s="52" t="s">
        <v>852</v>
      </c>
      <c r="E7" s="53" t="s">
        <v>853</v>
      </c>
      <c r="F7" s="50">
        <v>250.0805357863135</v>
      </c>
      <c r="G7" s="52" t="s">
        <v>854</v>
      </c>
      <c r="H7" s="51" t="s">
        <v>855</v>
      </c>
      <c r="I7" s="51" t="s">
        <v>855</v>
      </c>
      <c r="J7" s="1231"/>
      <c r="K7" s="50"/>
      <c r="L7" s="1232">
        <f t="shared" si="0"/>
        <v>250.0805357863135</v>
      </c>
      <c r="M7" s="1231"/>
      <c r="N7" s="49"/>
      <c r="O7" s="1233">
        <f t="shared" si="1"/>
        <v>250.0805357863135</v>
      </c>
      <c r="P7" s="1231"/>
    </row>
    <row r="8" spans="1:16" ht="71.25" x14ac:dyDescent="0.25">
      <c r="A8" s="54">
        <v>22</v>
      </c>
      <c r="B8" s="52" t="s">
        <v>399</v>
      </c>
      <c r="C8" s="52" t="s">
        <v>856</v>
      </c>
      <c r="D8" s="52" t="s">
        <v>857</v>
      </c>
      <c r="E8" s="53" t="s">
        <v>858</v>
      </c>
      <c r="F8" s="50">
        <v>8701.5043096639347</v>
      </c>
      <c r="G8" s="52" t="s">
        <v>849</v>
      </c>
      <c r="H8" s="51" t="s">
        <v>850</v>
      </c>
      <c r="I8" s="51"/>
      <c r="J8" s="1231"/>
      <c r="K8" s="50"/>
      <c r="L8" s="1232">
        <f t="shared" si="0"/>
        <v>8701.5043096639347</v>
      </c>
      <c r="M8" s="1231"/>
      <c r="N8" s="49"/>
      <c r="O8" s="1233">
        <f t="shared" si="1"/>
        <v>8701.5043096639347</v>
      </c>
      <c r="P8" s="1231"/>
    </row>
    <row r="9" spans="1:16" ht="57" x14ac:dyDescent="0.25">
      <c r="A9" s="54">
        <v>23</v>
      </c>
      <c r="B9" s="52" t="s">
        <v>399</v>
      </c>
      <c r="C9" s="52" t="s">
        <v>856</v>
      </c>
      <c r="D9" s="52" t="s">
        <v>859</v>
      </c>
      <c r="E9" s="53" t="s">
        <v>858</v>
      </c>
      <c r="F9" s="50">
        <v>4826.5111346765643</v>
      </c>
      <c r="G9" s="52" t="s">
        <v>849</v>
      </c>
      <c r="H9" s="51" t="s">
        <v>850</v>
      </c>
      <c r="I9" s="51"/>
      <c r="J9" s="1231"/>
      <c r="K9" s="50"/>
      <c r="L9" s="1232">
        <f t="shared" si="0"/>
        <v>4826.5111346765643</v>
      </c>
      <c r="M9" s="1231"/>
      <c r="N9" s="49"/>
      <c r="O9" s="1233">
        <f t="shared" si="1"/>
        <v>4826.5111346765643</v>
      </c>
      <c r="P9" s="1231"/>
    </row>
    <row r="10" spans="1:16" ht="99.75" x14ac:dyDescent="0.25">
      <c r="A10" s="54">
        <v>25</v>
      </c>
      <c r="B10" s="52" t="s">
        <v>399</v>
      </c>
      <c r="C10" s="52" t="s">
        <v>856</v>
      </c>
      <c r="D10" s="52" t="s">
        <v>860</v>
      </c>
      <c r="E10" s="53" t="s">
        <v>861</v>
      </c>
      <c r="F10" s="50">
        <v>2865.5355249204667</v>
      </c>
      <c r="G10" s="52" t="s">
        <v>849</v>
      </c>
      <c r="H10" s="51" t="s">
        <v>850</v>
      </c>
      <c r="I10" s="51"/>
      <c r="J10" s="1231"/>
      <c r="K10" s="50"/>
      <c r="L10" s="1232">
        <f t="shared" si="0"/>
        <v>2865.5355249204667</v>
      </c>
      <c r="M10" s="1231"/>
      <c r="N10" s="49"/>
      <c r="O10" s="1233">
        <f t="shared" si="1"/>
        <v>2865.5355249204667</v>
      </c>
      <c r="P10" s="1231"/>
    </row>
    <row r="11" spans="1:16" ht="71.25" x14ac:dyDescent="0.25">
      <c r="A11" s="54">
        <v>43</v>
      </c>
      <c r="B11" s="52" t="s">
        <v>459</v>
      </c>
      <c r="C11" s="52" t="s">
        <v>862</v>
      </c>
      <c r="D11" s="52" t="s">
        <v>863</v>
      </c>
      <c r="E11" s="53" t="s">
        <v>864</v>
      </c>
      <c r="F11" s="50">
        <v>7326.3255567338283</v>
      </c>
      <c r="G11" s="52" t="s">
        <v>849</v>
      </c>
      <c r="H11" s="51" t="s">
        <v>850</v>
      </c>
      <c r="I11" s="51"/>
      <c r="J11" s="1231"/>
      <c r="K11" s="50"/>
      <c r="L11" s="1232">
        <f t="shared" si="0"/>
        <v>7326.3255567338283</v>
      </c>
      <c r="M11" s="1231"/>
      <c r="N11" s="49"/>
      <c r="O11" s="1233">
        <f t="shared" si="1"/>
        <v>7326.3255567338283</v>
      </c>
      <c r="P11" s="1231"/>
    </row>
    <row r="12" spans="1:16" ht="57" x14ac:dyDescent="0.25">
      <c r="A12" s="54">
        <v>108</v>
      </c>
      <c r="B12" s="52" t="s">
        <v>540</v>
      </c>
      <c r="C12" s="52" t="s">
        <v>865</v>
      </c>
      <c r="D12" s="52" t="s">
        <v>866</v>
      </c>
      <c r="E12" s="53" t="s">
        <v>867</v>
      </c>
      <c r="F12" s="50">
        <v>964.8051846096788</v>
      </c>
      <c r="G12" s="52" t="s">
        <v>854</v>
      </c>
      <c r="H12" s="51" t="s">
        <v>855</v>
      </c>
      <c r="I12" s="51" t="s">
        <v>855</v>
      </c>
      <c r="J12" s="1231"/>
      <c r="K12" s="50"/>
      <c r="L12" s="1232">
        <f t="shared" si="0"/>
        <v>964.8051846096788</v>
      </c>
      <c r="M12" s="1231"/>
      <c r="N12" s="49"/>
      <c r="O12" s="1233">
        <f t="shared" si="1"/>
        <v>964.8051846096788</v>
      </c>
      <c r="P12" s="1231"/>
    </row>
    <row r="13" spans="1:16" ht="85.5" x14ac:dyDescent="0.25">
      <c r="A13" s="54">
        <v>115</v>
      </c>
      <c r="B13" s="52" t="s">
        <v>540</v>
      </c>
      <c r="C13" s="52" t="s">
        <v>868</v>
      </c>
      <c r="D13" s="52" t="s">
        <v>869</v>
      </c>
      <c r="E13" s="53" t="s">
        <v>853</v>
      </c>
      <c r="F13" s="50">
        <v>191.15757672556381</v>
      </c>
      <c r="G13" s="52" t="s">
        <v>854</v>
      </c>
      <c r="H13" s="51" t="s">
        <v>855</v>
      </c>
      <c r="I13" s="51" t="s">
        <v>855</v>
      </c>
      <c r="J13" s="1231"/>
      <c r="K13" s="50"/>
      <c r="L13" s="1232">
        <f t="shared" si="0"/>
        <v>191.15757672556381</v>
      </c>
      <c r="M13" s="1231"/>
      <c r="N13" s="49"/>
      <c r="O13" s="1233">
        <f t="shared" si="1"/>
        <v>191.15757672556381</v>
      </c>
      <c r="P13" s="1231"/>
    </row>
    <row r="14" spans="1:16" ht="57" x14ac:dyDescent="0.25">
      <c r="A14" s="54">
        <v>120</v>
      </c>
      <c r="B14" s="52" t="s">
        <v>540</v>
      </c>
      <c r="C14" s="52" t="s">
        <v>870</v>
      </c>
      <c r="D14" s="52" t="s">
        <v>871</v>
      </c>
      <c r="E14" s="53" t="s">
        <v>872</v>
      </c>
      <c r="F14" s="50">
        <v>3012.5604478429605</v>
      </c>
      <c r="G14" s="52" t="s">
        <v>849</v>
      </c>
      <c r="H14" s="51" t="s">
        <v>850</v>
      </c>
      <c r="I14" s="51"/>
      <c r="J14" s="1231"/>
      <c r="K14" s="50"/>
      <c r="L14" s="1232">
        <f t="shared" si="0"/>
        <v>3012.5604478429605</v>
      </c>
      <c r="M14" s="1231"/>
      <c r="N14" s="49"/>
      <c r="O14" s="1233">
        <f t="shared" si="1"/>
        <v>3012.5604478429605</v>
      </c>
      <c r="P14" s="1231"/>
    </row>
    <row r="15" spans="1:16" ht="85.5" x14ac:dyDescent="0.25">
      <c r="A15" s="54">
        <v>121</v>
      </c>
      <c r="B15" s="52" t="s">
        <v>784</v>
      </c>
      <c r="C15" s="52" t="s">
        <v>786</v>
      </c>
      <c r="D15" s="52" t="s">
        <v>873</v>
      </c>
      <c r="E15" s="53" t="s">
        <v>874</v>
      </c>
      <c r="F15" s="50">
        <v>482.07774207433113</v>
      </c>
      <c r="G15" s="52" t="s">
        <v>855</v>
      </c>
      <c r="H15" s="51" t="s">
        <v>855</v>
      </c>
      <c r="I15" s="51" t="s">
        <v>855</v>
      </c>
      <c r="J15" s="1231"/>
      <c r="K15" s="50"/>
      <c r="L15" s="1232">
        <f t="shared" si="0"/>
        <v>482.07774207433113</v>
      </c>
      <c r="M15" s="1231"/>
      <c r="N15" s="49"/>
      <c r="O15" s="1233">
        <f t="shared" si="1"/>
        <v>482.07774207433113</v>
      </c>
      <c r="P15" s="1231"/>
    </row>
    <row r="16" spans="1:16" ht="85.5" x14ac:dyDescent="0.25">
      <c r="A16" s="54">
        <v>129</v>
      </c>
      <c r="B16" s="52" t="s">
        <v>784</v>
      </c>
      <c r="C16" s="52" t="s">
        <v>875</v>
      </c>
      <c r="D16" s="52" t="s">
        <v>876</v>
      </c>
      <c r="E16" s="53" t="s">
        <v>872</v>
      </c>
      <c r="F16" s="50">
        <v>81.404029692470843</v>
      </c>
      <c r="G16" s="52" t="s">
        <v>849</v>
      </c>
      <c r="H16" s="51" t="s">
        <v>850</v>
      </c>
      <c r="I16" s="51"/>
      <c r="J16" s="1231"/>
      <c r="K16" s="50"/>
      <c r="L16" s="1232">
        <f t="shared" si="0"/>
        <v>81.404029692470843</v>
      </c>
      <c r="M16" s="1231"/>
      <c r="N16" s="49"/>
      <c r="O16" s="1233">
        <f t="shared" si="1"/>
        <v>81.404029692470843</v>
      </c>
      <c r="P16" s="1231"/>
    </row>
    <row r="17" spans="1:16" ht="85.5" x14ac:dyDescent="0.25">
      <c r="A17" s="54">
        <v>131</v>
      </c>
      <c r="B17" s="52" t="s">
        <v>784</v>
      </c>
      <c r="C17" s="52" t="s">
        <v>875</v>
      </c>
      <c r="D17" s="52" t="s">
        <v>877</v>
      </c>
      <c r="E17" s="53" t="s">
        <v>878</v>
      </c>
      <c r="F17" s="50">
        <v>5531.3027286848092</v>
      </c>
      <c r="G17" s="52" t="s">
        <v>849</v>
      </c>
      <c r="H17" s="51" t="s">
        <v>850</v>
      </c>
      <c r="I17" s="51"/>
      <c r="J17" s="1231"/>
      <c r="K17" s="50"/>
      <c r="L17" s="1232">
        <f t="shared" si="0"/>
        <v>5531.3027286848092</v>
      </c>
      <c r="M17" s="1231"/>
      <c r="N17" s="49"/>
      <c r="O17" s="1233">
        <f t="shared" si="1"/>
        <v>5531.3027286848092</v>
      </c>
      <c r="P17" s="1231"/>
    </row>
    <row r="18" spans="1:16" ht="156.75" x14ac:dyDescent="0.25">
      <c r="A18" s="54">
        <v>132</v>
      </c>
      <c r="B18" s="52" t="s">
        <v>879</v>
      </c>
      <c r="C18" s="52" t="s">
        <v>880</v>
      </c>
      <c r="D18" s="52" t="s">
        <v>881</v>
      </c>
      <c r="E18" s="53" t="s">
        <v>858</v>
      </c>
      <c r="F18" s="50">
        <v>1180.5938494167551</v>
      </c>
      <c r="G18" s="52" t="s">
        <v>849</v>
      </c>
      <c r="H18" s="51" t="s">
        <v>850</v>
      </c>
      <c r="I18" s="51"/>
      <c r="J18" s="1231"/>
      <c r="K18" s="50"/>
      <c r="L18" s="1232">
        <f t="shared" si="0"/>
        <v>1180.5938494167551</v>
      </c>
      <c r="M18" s="1231"/>
      <c r="N18" s="49"/>
      <c r="O18" s="1233">
        <f t="shared" si="1"/>
        <v>1180.5938494167551</v>
      </c>
      <c r="P18" s="1231"/>
    </row>
    <row r="19" spans="1:16" ht="128.25" x14ac:dyDescent="0.25">
      <c r="A19" s="54">
        <v>135</v>
      </c>
      <c r="B19" s="52" t="s">
        <v>879</v>
      </c>
      <c r="C19" s="52" t="s">
        <v>880</v>
      </c>
      <c r="D19" s="52" t="s">
        <v>882</v>
      </c>
      <c r="E19" s="53" t="s">
        <v>858</v>
      </c>
      <c r="F19" s="50">
        <v>2652.090817296109</v>
      </c>
      <c r="G19" s="52" t="s">
        <v>855</v>
      </c>
      <c r="H19" s="51" t="s">
        <v>855</v>
      </c>
      <c r="I19" s="51"/>
      <c r="J19" s="1231"/>
      <c r="K19" s="50"/>
      <c r="L19" s="1232">
        <f t="shared" si="0"/>
        <v>2652.090817296109</v>
      </c>
      <c r="M19" s="1231"/>
      <c r="N19" s="49"/>
      <c r="O19" s="1233">
        <f t="shared" si="1"/>
        <v>2652.090817296109</v>
      </c>
      <c r="P19" s="1231"/>
    </row>
    <row r="20" spans="1:16" ht="71.25" x14ac:dyDescent="0.25">
      <c r="A20" s="54">
        <v>136</v>
      </c>
      <c r="B20" s="52" t="s">
        <v>879</v>
      </c>
      <c r="C20" s="52" t="s">
        <v>880</v>
      </c>
      <c r="D20" s="52" t="s">
        <v>883</v>
      </c>
      <c r="E20" s="53" t="s">
        <v>884</v>
      </c>
      <c r="F20" s="50">
        <v>3388.1230116648994</v>
      </c>
      <c r="G20" s="52" t="s">
        <v>849</v>
      </c>
      <c r="H20" s="51" t="s">
        <v>850</v>
      </c>
      <c r="I20" s="51" t="s">
        <v>321</v>
      </c>
      <c r="J20" s="1231"/>
      <c r="K20" s="50"/>
      <c r="L20" s="1232">
        <f t="shared" si="0"/>
        <v>3388.1230116648994</v>
      </c>
      <c r="M20" s="1231"/>
      <c r="N20" s="49"/>
      <c r="O20" s="1233">
        <f t="shared" si="1"/>
        <v>3388.1230116648994</v>
      </c>
      <c r="P20" s="1231"/>
    </row>
    <row r="21" spans="1:16" ht="71.25" x14ac:dyDescent="0.25">
      <c r="A21" s="54">
        <v>137</v>
      </c>
      <c r="B21" s="52" t="s">
        <v>885</v>
      </c>
      <c r="C21" s="52" t="s">
        <v>886</v>
      </c>
      <c r="D21" s="52" t="s">
        <v>887</v>
      </c>
      <c r="E21" s="53" t="s">
        <v>878</v>
      </c>
      <c r="F21" s="50">
        <v>7214.3822025387044</v>
      </c>
      <c r="G21" s="52" t="s">
        <v>855</v>
      </c>
      <c r="H21" s="51" t="s">
        <v>855</v>
      </c>
      <c r="I21" s="51"/>
      <c r="J21" s="1231"/>
      <c r="K21" s="50"/>
      <c r="L21" s="1232">
        <f t="shared" si="0"/>
        <v>7214.3822025387044</v>
      </c>
      <c r="M21" s="1231"/>
      <c r="N21" s="49"/>
      <c r="O21" s="1233">
        <f t="shared" si="1"/>
        <v>7214.3822025387044</v>
      </c>
      <c r="P21" s="1231"/>
    </row>
    <row r="22" spans="1:16" ht="114" x14ac:dyDescent="0.25">
      <c r="A22" s="54">
        <v>140</v>
      </c>
      <c r="B22" s="52" t="s">
        <v>879</v>
      </c>
      <c r="C22" s="52" t="s">
        <v>880</v>
      </c>
      <c r="D22" s="52" t="s">
        <v>888</v>
      </c>
      <c r="E22" s="53" t="s">
        <v>889</v>
      </c>
      <c r="F22" s="50">
        <v>1590.6585365853659</v>
      </c>
      <c r="G22" s="52" t="s">
        <v>849</v>
      </c>
      <c r="H22" s="51" t="s">
        <v>850</v>
      </c>
      <c r="I22" s="51"/>
      <c r="J22" s="1231"/>
      <c r="K22" s="50"/>
      <c r="L22" s="1232">
        <f t="shared" si="0"/>
        <v>1590.6585365853659</v>
      </c>
      <c r="M22" s="1231"/>
      <c r="N22" s="49"/>
      <c r="O22" s="1233">
        <f t="shared" si="1"/>
        <v>1590.6585365853659</v>
      </c>
      <c r="P22" s="1231"/>
    </row>
    <row r="23" spans="1:16" ht="71.25" x14ac:dyDescent="0.25">
      <c r="A23" s="54">
        <v>171</v>
      </c>
      <c r="B23" s="52" t="s">
        <v>459</v>
      </c>
      <c r="C23" s="52" t="s">
        <v>890</v>
      </c>
      <c r="D23" s="52" t="s">
        <v>891</v>
      </c>
      <c r="E23" s="53" t="s">
        <v>884</v>
      </c>
      <c r="F23" s="50">
        <v>394.12454216420633</v>
      </c>
      <c r="G23" s="52" t="s">
        <v>854</v>
      </c>
      <c r="H23" s="51" t="s">
        <v>850</v>
      </c>
      <c r="I23" s="51"/>
      <c r="J23" s="1231"/>
      <c r="K23" s="50"/>
      <c r="L23" s="1232">
        <f t="shared" si="0"/>
        <v>394.12454216420633</v>
      </c>
      <c r="M23" s="1231"/>
      <c r="N23" s="49"/>
      <c r="O23" s="1233">
        <f t="shared" si="1"/>
        <v>394.12454216420633</v>
      </c>
      <c r="P23" s="1231"/>
    </row>
    <row r="24" spans="1:16" ht="71.25" x14ac:dyDescent="0.25">
      <c r="A24" s="54">
        <v>173</v>
      </c>
      <c r="B24" s="52" t="s">
        <v>459</v>
      </c>
      <c r="C24" s="52" t="s">
        <v>890</v>
      </c>
      <c r="D24" s="52" t="s">
        <v>892</v>
      </c>
      <c r="E24" s="53" t="s">
        <v>884</v>
      </c>
      <c r="F24" s="50">
        <v>28.424395169477069</v>
      </c>
      <c r="G24" s="52" t="s">
        <v>854</v>
      </c>
      <c r="H24" s="51" t="s">
        <v>850</v>
      </c>
      <c r="I24" s="51"/>
      <c r="J24" s="1231"/>
      <c r="K24" s="50"/>
      <c r="L24" s="1232">
        <f t="shared" si="0"/>
        <v>28.424395169477069</v>
      </c>
      <c r="M24" s="1231"/>
      <c r="N24" s="49"/>
      <c r="O24" s="1233">
        <f t="shared" si="1"/>
        <v>28.424395169477069</v>
      </c>
      <c r="P24" s="1231"/>
    </row>
    <row r="25" spans="1:16" ht="71.25" x14ac:dyDescent="0.25">
      <c r="A25" s="54">
        <v>195</v>
      </c>
      <c r="B25" s="52" t="s">
        <v>459</v>
      </c>
      <c r="C25" s="52" t="s">
        <v>890</v>
      </c>
      <c r="D25" s="52" t="s">
        <v>893</v>
      </c>
      <c r="E25" s="53" t="s">
        <v>853</v>
      </c>
      <c r="F25" s="50">
        <v>478.79109225874868</v>
      </c>
      <c r="G25" s="52" t="s">
        <v>849</v>
      </c>
      <c r="H25" s="51" t="s">
        <v>850</v>
      </c>
      <c r="I25" s="51"/>
      <c r="J25" s="1231"/>
      <c r="K25" s="50"/>
      <c r="L25" s="1232">
        <f t="shared" si="0"/>
        <v>478.79109225874868</v>
      </c>
      <c r="M25" s="1231"/>
      <c r="N25" s="49"/>
      <c r="O25" s="1233">
        <f t="shared" si="1"/>
        <v>478.79109225874868</v>
      </c>
      <c r="P25" s="1231"/>
    </row>
    <row r="26" spans="1:16" ht="71.25" hidden="1" x14ac:dyDescent="0.25">
      <c r="A26" s="54">
        <v>202</v>
      </c>
      <c r="B26" s="52" t="s">
        <v>459</v>
      </c>
      <c r="C26" s="52" t="s">
        <v>894</v>
      </c>
      <c r="D26" s="52" t="s">
        <v>895</v>
      </c>
      <c r="E26" s="53" t="s">
        <v>884</v>
      </c>
      <c r="F26" s="50">
        <v>3410.9274203372483</v>
      </c>
      <c r="G26" s="52" t="s">
        <v>855</v>
      </c>
      <c r="H26" s="51" t="s">
        <v>850</v>
      </c>
      <c r="I26" s="51"/>
      <c r="J26" s="1231"/>
      <c r="K26" s="50"/>
      <c r="L26" s="1232">
        <f t="shared" si="0"/>
        <v>3410.9274203372483</v>
      </c>
      <c r="M26" s="1231"/>
      <c r="N26" s="49"/>
      <c r="O26" s="1233">
        <f t="shared" si="1"/>
        <v>3410.9274203372483</v>
      </c>
      <c r="P26" s="1231"/>
    </row>
    <row r="27" spans="1:16" ht="85.5" hidden="1" x14ac:dyDescent="0.25">
      <c r="A27" s="54">
        <v>210</v>
      </c>
      <c r="B27" s="52" t="s">
        <v>470</v>
      </c>
      <c r="C27" s="52" t="s">
        <v>896</v>
      </c>
      <c r="D27" s="52" t="s">
        <v>897</v>
      </c>
      <c r="E27" s="53" t="s">
        <v>872</v>
      </c>
      <c r="F27" s="50">
        <v>376.98833510074229</v>
      </c>
      <c r="G27" s="52" t="s">
        <v>849</v>
      </c>
      <c r="H27" s="51" t="s">
        <v>850</v>
      </c>
      <c r="I27" s="51"/>
      <c r="J27" s="1231"/>
      <c r="K27" s="50"/>
      <c r="L27" s="1232">
        <f t="shared" si="0"/>
        <v>376.98833510074229</v>
      </c>
      <c r="M27" s="1231"/>
      <c r="N27" s="49"/>
      <c r="O27" s="1233">
        <f t="shared" si="1"/>
        <v>376.98833510074229</v>
      </c>
      <c r="P27" s="1231"/>
    </row>
    <row r="28" spans="1:16" ht="85.5" hidden="1" x14ac:dyDescent="0.25">
      <c r="A28" s="54">
        <v>211</v>
      </c>
      <c r="B28" s="52" t="s">
        <v>470</v>
      </c>
      <c r="C28" s="52" t="s">
        <v>896</v>
      </c>
      <c r="D28" s="52" t="s">
        <v>898</v>
      </c>
      <c r="E28" s="53" t="s">
        <v>872</v>
      </c>
      <c r="F28" s="50">
        <v>301.59066808059384</v>
      </c>
      <c r="G28" s="52" t="s">
        <v>849</v>
      </c>
      <c r="H28" s="51" t="s">
        <v>850</v>
      </c>
      <c r="I28" s="51"/>
      <c r="J28" s="1231"/>
      <c r="K28" s="50"/>
      <c r="L28" s="1232">
        <f t="shared" si="0"/>
        <v>301.59066808059384</v>
      </c>
      <c r="M28" s="1231"/>
      <c r="N28" s="49"/>
      <c r="O28" s="1233">
        <f t="shared" si="1"/>
        <v>301.59066808059384</v>
      </c>
      <c r="P28" s="1231"/>
    </row>
    <row r="29" spans="1:16" ht="57" hidden="1" x14ac:dyDescent="0.25">
      <c r="A29" s="54">
        <v>212</v>
      </c>
      <c r="B29" s="52" t="s">
        <v>470</v>
      </c>
      <c r="C29" s="52" t="s">
        <v>896</v>
      </c>
      <c r="D29" s="52" t="s">
        <v>899</v>
      </c>
      <c r="E29" s="53" t="s">
        <v>872</v>
      </c>
      <c r="F29" s="50">
        <v>18811.953340402968</v>
      </c>
      <c r="G29" s="52" t="s">
        <v>849</v>
      </c>
      <c r="H29" s="51" t="s">
        <v>850</v>
      </c>
      <c r="I29" s="51"/>
      <c r="J29" s="1231"/>
      <c r="K29" s="50"/>
      <c r="L29" s="1232">
        <f t="shared" si="0"/>
        <v>18811.953340402968</v>
      </c>
      <c r="M29" s="1231"/>
      <c r="N29" s="49"/>
      <c r="O29" s="1233">
        <f t="shared" si="1"/>
        <v>18811.953340402968</v>
      </c>
      <c r="P29" s="1231"/>
    </row>
    <row r="30" spans="1:16" ht="57" hidden="1" x14ac:dyDescent="0.25">
      <c r="A30" s="54">
        <v>251</v>
      </c>
      <c r="B30" s="52" t="s">
        <v>470</v>
      </c>
      <c r="C30" s="52" t="s">
        <v>900</v>
      </c>
      <c r="D30" s="52" t="s">
        <v>901</v>
      </c>
      <c r="E30" s="53" t="s">
        <v>874</v>
      </c>
      <c r="F30" s="50">
        <v>357.45382389327585</v>
      </c>
      <c r="G30" s="52" t="s">
        <v>855</v>
      </c>
      <c r="H30" s="51" t="s">
        <v>855</v>
      </c>
      <c r="I30" s="51" t="s">
        <v>855</v>
      </c>
      <c r="J30" s="1231"/>
      <c r="K30" s="50"/>
      <c r="L30" s="1232">
        <f t="shared" si="0"/>
        <v>357.45382389327585</v>
      </c>
      <c r="M30" s="1231"/>
      <c r="N30" s="49"/>
      <c r="O30" s="1233">
        <f t="shared" si="1"/>
        <v>357.45382389327585</v>
      </c>
      <c r="P30" s="1231"/>
    </row>
    <row r="31" spans="1:16" ht="57" hidden="1" x14ac:dyDescent="0.25">
      <c r="A31" s="54">
        <v>255</v>
      </c>
      <c r="B31" s="52" t="s">
        <v>885</v>
      </c>
      <c r="C31" s="52" t="s">
        <v>902</v>
      </c>
      <c r="D31" s="52" t="s">
        <v>903</v>
      </c>
      <c r="E31" s="53" t="s">
        <v>904</v>
      </c>
      <c r="F31" s="50">
        <v>795.33404029692474</v>
      </c>
      <c r="G31" s="52" t="s">
        <v>849</v>
      </c>
      <c r="H31" s="51" t="s">
        <v>850</v>
      </c>
      <c r="I31" s="51"/>
      <c r="J31" s="1231"/>
      <c r="K31" s="50"/>
      <c r="L31" s="1232">
        <f t="shared" si="0"/>
        <v>795.33404029692474</v>
      </c>
      <c r="M31" s="1231"/>
      <c r="N31" s="49"/>
      <c r="O31" s="1233">
        <f t="shared" si="1"/>
        <v>795.33404029692474</v>
      </c>
      <c r="P31" s="1231"/>
    </row>
    <row r="32" spans="1:16" ht="57" hidden="1" x14ac:dyDescent="0.25">
      <c r="A32" s="54">
        <v>259</v>
      </c>
      <c r="B32" s="52" t="s">
        <v>885</v>
      </c>
      <c r="C32" s="52" t="s">
        <v>902</v>
      </c>
      <c r="D32" s="52" t="s">
        <v>905</v>
      </c>
      <c r="E32" s="53" t="s">
        <v>878</v>
      </c>
      <c r="F32" s="50">
        <v>11973.171911329964</v>
      </c>
      <c r="G32" s="52" t="s">
        <v>849</v>
      </c>
      <c r="H32" s="51" t="s">
        <v>850</v>
      </c>
      <c r="I32" s="51"/>
      <c r="J32" s="1231"/>
      <c r="K32" s="50"/>
      <c r="L32" s="1232">
        <f t="shared" si="0"/>
        <v>11973.171911329964</v>
      </c>
      <c r="M32" s="1231"/>
      <c r="N32" s="49"/>
      <c r="O32" s="1233">
        <f t="shared" si="1"/>
        <v>11973.171911329964</v>
      </c>
      <c r="P32" s="1231"/>
    </row>
    <row r="33" spans="1:16" ht="57" hidden="1" x14ac:dyDescent="0.25">
      <c r="A33" s="54">
        <v>260</v>
      </c>
      <c r="B33" s="52" t="s">
        <v>885</v>
      </c>
      <c r="C33" s="52" t="s">
        <v>902</v>
      </c>
      <c r="D33" s="52" t="s">
        <v>906</v>
      </c>
      <c r="E33" s="53" t="s">
        <v>904</v>
      </c>
      <c r="F33" s="50">
        <v>2595.644841242985</v>
      </c>
      <c r="G33" s="52" t="s">
        <v>855</v>
      </c>
      <c r="H33" s="51" t="s">
        <v>855</v>
      </c>
      <c r="I33" s="51" t="s">
        <v>855</v>
      </c>
      <c r="J33" s="1231"/>
      <c r="K33" s="50"/>
      <c r="L33" s="1232">
        <f t="shared" si="0"/>
        <v>2595.644841242985</v>
      </c>
      <c r="M33" s="1231"/>
      <c r="N33" s="49"/>
      <c r="O33" s="1233">
        <f t="shared" si="1"/>
        <v>2595.644841242985</v>
      </c>
      <c r="P33" s="1231"/>
    </row>
    <row r="34" spans="1:16" ht="57" hidden="1" x14ac:dyDescent="0.25">
      <c r="A34" s="54">
        <v>265</v>
      </c>
      <c r="B34" s="52" t="s">
        <v>885</v>
      </c>
      <c r="C34" s="52" t="s">
        <v>886</v>
      </c>
      <c r="D34" s="52" t="s">
        <v>907</v>
      </c>
      <c r="E34" s="53" t="s">
        <v>904</v>
      </c>
      <c r="F34" s="50">
        <v>12236.66177377352</v>
      </c>
      <c r="G34" s="52" t="s">
        <v>849</v>
      </c>
      <c r="H34" s="51" t="s">
        <v>850</v>
      </c>
      <c r="I34" s="51"/>
      <c r="J34" s="1231"/>
      <c r="K34" s="50"/>
      <c r="L34" s="1232">
        <f t="shared" si="0"/>
        <v>12236.66177377352</v>
      </c>
      <c r="M34" s="1231"/>
      <c r="N34" s="49"/>
      <c r="O34" s="1233">
        <f t="shared" si="1"/>
        <v>12236.66177377352</v>
      </c>
      <c r="P34" s="1231"/>
    </row>
    <row r="35" spans="1:16" ht="71.25" hidden="1" x14ac:dyDescent="0.25">
      <c r="A35" s="54">
        <v>284</v>
      </c>
      <c r="B35" s="52" t="s">
        <v>526</v>
      </c>
      <c r="C35" s="52" t="s">
        <v>908</v>
      </c>
      <c r="D35" s="52" t="s">
        <v>909</v>
      </c>
      <c r="E35" s="53" t="s">
        <v>867</v>
      </c>
      <c r="F35" s="50">
        <v>3197.173684721075</v>
      </c>
      <c r="G35" s="52" t="s">
        <v>854</v>
      </c>
      <c r="H35" s="51" t="s">
        <v>850</v>
      </c>
      <c r="I35" s="51"/>
      <c r="J35" s="1231"/>
      <c r="K35" s="50"/>
      <c r="L35" s="1232">
        <f t="shared" si="0"/>
        <v>3197.173684721075</v>
      </c>
      <c r="M35" s="1231"/>
      <c r="N35" s="49"/>
      <c r="O35" s="1233">
        <f t="shared" si="1"/>
        <v>3197.173684721075</v>
      </c>
      <c r="P35" s="1231"/>
    </row>
    <row r="36" spans="1:16" ht="57" hidden="1" x14ac:dyDescent="0.25">
      <c r="A36" s="54">
        <v>285</v>
      </c>
      <c r="B36" s="52" t="s">
        <v>540</v>
      </c>
      <c r="C36" s="52" t="s">
        <v>870</v>
      </c>
      <c r="D36" s="52" t="s">
        <v>910</v>
      </c>
      <c r="E36" s="53" t="s">
        <v>867</v>
      </c>
      <c r="F36" s="50">
        <v>2163.308589607635</v>
      </c>
      <c r="G36" s="52" t="s">
        <v>849</v>
      </c>
      <c r="H36" s="51" t="s">
        <v>850</v>
      </c>
      <c r="I36" s="51"/>
      <c r="J36" s="1231"/>
      <c r="K36" s="50"/>
      <c r="L36" s="1232">
        <f t="shared" si="0"/>
        <v>2163.308589607635</v>
      </c>
      <c r="M36" s="1231"/>
      <c r="N36" s="49"/>
      <c r="O36" s="1233">
        <f t="shared" si="1"/>
        <v>2163.308589607635</v>
      </c>
      <c r="P36" s="1231"/>
    </row>
    <row r="37" spans="1:16" ht="85.5" hidden="1" x14ac:dyDescent="0.25">
      <c r="A37" s="54">
        <v>286</v>
      </c>
      <c r="B37" s="52" t="s">
        <v>784</v>
      </c>
      <c r="C37" s="52" t="s">
        <v>875</v>
      </c>
      <c r="D37" s="52" t="s">
        <v>911</v>
      </c>
      <c r="E37" s="53" t="s">
        <v>867</v>
      </c>
      <c r="F37" s="50">
        <v>6455.0578504836503</v>
      </c>
      <c r="G37" s="52" t="s">
        <v>849</v>
      </c>
      <c r="H37" s="51"/>
      <c r="I37" s="51"/>
      <c r="J37" s="1231"/>
      <c r="K37" s="50"/>
      <c r="L37" s="1232">
        <f t="shared" si="0"/>
        <v>6455.0578504836503</v>
      </c>
      <c r="M37" s="1231"/>
      <c r="N37" s="49"/>
      <c r="O37" s="1233">
        <f t="shared" si="1"/>
        <v>6455.0578504836503</v>
      </c>
      <c r="P37" s="1231"/>
    </row>
    <row r="38" spans="1:16" ht="42.75" hidden="1" x14ac:dyDescent="0.25">
      <c r="A38" s="54">
        <v>152</v>
      </c>
      <c r="B38" s="52" t="s">
        <v>879</v>
      </c>
      <c r="C38" s="52" t="s">
        <v>912</v>
      </c>
      <c r="D38" s="52" t="s">
        <v>913</v>
      </c>
      <c r="E38" s="53" t="s">
        <v>889</v>
      </c>
      <c r="F38" s="50">
        <v>256.62778366914102</v>
      </c>
      <c r="G38" s="52" t="s">
        <v>849</v>
      </c>
      <c r="H38" s="51" t="s">
        <v>850</v>
      </c>
      <c r="I38" s="51"/>
      <c r="J38" s="1231"/>
      <c r="K38" s="50"/>
      <c r="L38" s="1232">
        <f t="shared" ref="L38:L55" si="2">F38+K38</f>
        <v>256.62778366914102</v>
      </c>
      <c r="M38" s="1231"/>
      <c r="N38" s="49"/>
      <c r="O38" s="1233">
        <f t="shared" ref="O38:O55" si="3">L38+N38</f>
        <v>256.62778366914102</v>
      </c>
      <c r="P38" s="1231"/>
    </row>
    <row r="39" spans="1:16" ht="57" x14ac:dyDescent="0.25">
      <c r="A39" s="54">
        <v>258</v>
      </c>
      <c r="B39" s="52" t="s">
        <v>885</v>
      </c>
      <c r="C39" s="52" t="s">
        <v>902</v>
      </c>
      <c r="D39" s="52" t="s">
        <v>914</v>
      </c>
      <c r="E39" s="53" t="s">
        <v>878</v>
      </c>
      <c r="F39" s="50">
        <v>5310.6237106760482</v>
      </c>
      <c r="G39" s="52" t="s">
        <v>849</v>
      </c>
      <c r="H39" s="51" t="s">
        <v>850</v>
      </c>
      <c r="I39" s="51"/>
      <c r="J39" s="1231"/>
      <c r="K39" s="50"/>
      <c r="L39" s="1232">
        <f t="shared" si="2"/>
        <v>5310.6237106760482</v>
      </c>
      <c r="M39" s="1231"/>
      <c r="N39" s="49"/>
      <c r="O39" s="1233">
        <f t="shared" si="3"/>
        <v>5310.6237106760482</v>
      </c>
      <c r="P39" s="1231"/>
    </row>
    <row r="40" spans="1:16" ht="42.75" x14ac:dyDescent="0.25">
      <c r="A40" s="54">
        <v>264</v>
      </c>
      <c r="B40" s="52" t="s">
        <v>885</v>
      </c>
      <c r="C40" s="52" t="s">
        <v>886</v>
      </c>
      <c r="D40" s="52" t="s">
        <v>915</v>
      </c>
      <c r="E40" s="53" t="s">
        <v>904</v>
      </c>
      <c r="F40" s="50">
        <v>841.36101418241958</v>
      </c>
      <c r="G40" s="52" t="s">
        <v>855</v>
      </c>
      <c r="H40" s="51" t="s">
        <v>855</v>
      </c>
      <c r="I40" s="51" t="s">
        <v>855</v>
      </c>
      <c r="J40" s="1231"/>
      <c r="K40" s="50"/>
      <c r="L40" s="1232">
        <f t="shared" si="2"/>
        <v>841.36101418241958</v>
      </c>
      <c r="M40" s="1231"/>
      <c r="N40" s="49"/>
      <c r="O40" s="1233">
        <f t="shared" si="3"/>
        <v>841.36101418241958</v>
      </c>
      <c r="P40" s="1231"/>
    </row>
    <row r="41" spans="1:16" ht="28.5" x14ac:dyDescent="0.25">
      <c r="A41" s="54">
        <v>282</v>
      </c>
      <c r="B41" s="52" t="s">
        <v>885</v>
      </c>
      <c r="C41" s="52" t="s">
        <v>886</v>
      </c>
      <c r="D41" s="52" t="s">
        <v>916</v>
      </c>
      <c r="E41" s="53" t="s">
        <v>917</v>
      </c>
      <c r="F41" s="50">
        <v>8422.2892160509928</v>
      </c>
      <c r="G41" s="52" t="s">
        <v>849</v>
      </c>
      <c r="H41" s="51" t="s">
        <v>850</v>
      </c>
      <c r="I41" s="51"/>
      <c r="J41" s="1231"/>
      <c r="K41" s="50"/>
      <c r="L41" s="1232">
        <f t="shared" si="2"/>
        <v>8422.2892160509928</v>
      </c>
      <c r="M41" s="1231"/>
      <c r="N41" s="49"/>
      <c r="O41" s="1233">
        <f t="shared" si="3"/>
        <v>8422.2892160509928</v>
      </c>
      <c r="P41" s="1231"/>
    </row>
    <row r="42" spans="1:16" ht="42.75" x14ac:dyDescent="0.25">
      <c r="A42" s="54">
        <v>10</v>
      </c>
      <c r="B42" s="52" t="s">
        <v>399</v>
      </c>
      <c r="C42" s="52" t="s">
        <v>918</v>
      </c>
      <c r="D42" s="52" t="s">
        <v>919</v>
      </c>
      <c r="E42" s="53" t="s">
        <v>920</v>
      </c>
      <c r="F42" s="50">
        <v>0.02</v>
      </c>
      <c r="G42" s="52" t="s">
        <v>849</v>
      </c>
      <c r="H42" s="51"/>
      <c r="I42" s="51"/>
      <c r="J42" s="1231"/>
      <c r="K42" s="50"/>
      <c r="L42" s="1232">
        <f t="shared" si="2"/>
        <v>0.02</v>
      </c>
      <c r="M42" s="1231"/>
      <c r="N42" s="49"/>
      <c r="O42" s="1233">
        <f t="shared" si="3"/>
        <v>0.02</v>
      </c>
      <c r="P42" s="1231"/>
    </row>
    <row r="43" spans="1:16" ht="57" x14ac:dyDescent="0.25">
      <c r="A43" s="54">
        <v>26</v>
      </c>
      <c r="B43" s="52" t="s">
        <v>399</v>
      </c>
      <c r="C43" s="52" t="s">
        <v>921</v>
      </c>
      <c r="D43" s="52" t="s">
        <v>922</v>
      </c>
      <c r="E43" s="53" t="s">
        <v>878</v>
      </c>
      <c r="F43" s="50">
        <v>1523.78</v>
      </c>
      <c r="G43" s="52" t="s">
        <v>849</v>
      </c>
      <c r="H43" s="51"/>
      <c r="I43" s="51"/>
      <c r="J43" s="1231"/>
      <c r="K43" s="50"/>
      <c r="L43" s="1232">
        <f t="shared" si="2"/>
        <v>1523.78</v>
      </c>
      <c r="M43" s="1231"/>
      <c r="N43" s="49"/>
      <c r="O43" s="1233">
        <f t="shared" si="3"/>
        <v>1523.78</v>
      </c>
      <c r="P43" s="1231"/>
    </row>
    <row r="44" spans="1:16" ht="71.25" x14ac:dyDescent="0.25">
      <c r="A44" s="54">
        <v>27</v>
      </c>
      <c r="B44" s="52" t="s">
        <v>399</v>
      </c>
      <c r="C44" s="52" t="s">
        <v>921</v>
      </c>
      <c r="D44" s="52" t="s">
        <v>923</v>
      </c>
      <c r="E44" s="53" t="s">
        <v>924</v>
      </c>
      <c r="F44" s="50">
        <v>24428</v>
      </c>
      <c r="G44" s="52" t="s">
        <v>849</v>
      </c>
      <c r="H44" s="934">
        <v>43836</v>
      </c>
      <c r="I44" s="935">
        <v>43836</v>
      </c>
      <c r="J44" s="1231"/>
      <c r="K44" s="50"/>
      <c r="L44" s="1232">
        <f t="shared" si="2"/>
        <v>24428</v>
      </c>
      <c r="M44" s="1231"/>
      <c r="N44" s="49"/>
      <c r="O44" s="1233">
        <f t="shared" si="3"/>
        <v>24428</v>
      </c>
      <c r="P44" s="1231"/>
    </row>
    <row r="45" spans="1:16" ht="42.75" x14ac:dyDescent="0.25">
      <c r="A45" s="54">
        <v>84</v>
      </c>
      <c r="B45" s="52" t="s">
        <v>879</v>
      </c>
      <c r="C45" s="52" t="s">
        <v>912</v>
      </c>
      <c r="D45" s="52" t="s">
        <v>925</v>
      </c>
      <c r="E45" s="53" t="s">
        <v>926</v>
      </c>
      <c r="F45" s="50">
        <v>7439.08</v>
      </c>
      <c r="G45" s="52" t="s">
        <v>849</v>
      </c>
      <c r="H45" s="51" t="s">
        <v>927</v>
      </c>
      <c r="I45" s="51" t="s">
        <v>927</v>
      </c>
      <c r="J45" s="1231" t="s">
        <v>928</v>
      </c>
      <c r="K45" s="50"/>
      <c r="L45" s="1232">
        <f t="shared" si="2"/>
        <v>7439.08</v>
      </c>
      <c r="M45" s="1231"/>
      <c r="N45" s="49"/>
      <c r="O45" s="1233">
        <f t="shared" si="3"/>
        <v>7439.08</v>
      </c>
      <c r="P45" s="1231"/>
    </row>
    <row r="46" spans="1:16" ht="42.75" x14ac:dyDescent="0.25">
      <c r="A46" s="54">
        <v>118</v>
      </c>
      <c r="B46" s="52" t="s">
        <v>879</v>
      </c>
      <c r="C46" s="52" t="s">
        <v>912</v>
      </c>
      <c r="D46" s="52" t="s">
        <v>929</v>
      </c>
      <c r="E46" s="53" t="s">
        <v>920</v>
      </c>
      <c r="F46" s="50">
        <v>3510</v>
      </c>
      <c r="G46" s="52" t="s">
        <v>849</v>
      </c>
      <c r="H46" s="51" t="s">
        <v>927</v>
      </c>
      <c r="I46" s="51" t="s">
        <v>927</v>
      </c>
      <c r="J46" s="1231" t="s">
        <v>928</v>
      </c>
      <c r="K46" s="50"/>
      <c r="L46" s="1232">
        <f t="shared" si="2"/>
        <v>3510</v>
      </c>
      <c r="M46" s="1231"/>
      <c r="N46" s="49"/>
      <c r="O46" s="1233">
        <f t="shared" si="3"/>
        <v>3510</v>
      </c>
      <c r="P46" s="1231"/>
    </row>
    <row r="47" spans="1:16" ht="71.25" x14ac:dyDescent="0.25">
      <c r="A47" s="54">
        <v>167</v>
      </c>
      <c r="B47" s="52" t="s">
        <v>930</v>
      </c>
      <c r="C47" s="52" t="s">
        <v>931</v>
      </c>
      <c r="D47" s="52" t="s">
        <v>932</v>
      </c>
      <c r="E47" s="53" t="s">
        <v>933</v>
      </c>
      <c r="F47" s="50">
        <v>2672</v>
      </c>
      <c r="G47" s="52" t="s">
        <v>849</v>
      </c>
      <c r="H47" s="51"/>
      <c r="I47" s="51"/>
      <c r="J47" s="1231"/>
      <c r="K47" s="50"/>
      <c r="L47" s="1232">
        <f t="shared" si="2"/>
        <v>2672</v>
      </c>
      <c r="M47" s="1231"/>
      <c r="N47" s="49"/>
      <c r="O47" s="1233">
        <f t="shared" si="3"/>
        <v>2672</v>
      </c>
      <c r="P47" s="1231"/>
    </row>
    <row r="48" spans="1:16" ht="71.25" x14ac:dyDescent="0.25">
      <c r="A48" s="54">
        <v>178</v>
      </c>
      <c r="B48" s="52" t="s">
        <v>885</v>
      </c>
      <c r="C48" s="52" t="s">
        <v>886</v>
      </c>
      <c r="D48" s="52" t="s">
        <v>934</v>
      </c>
      <c r="E48" s="53" t="s">
        <v>935</v>
      </c>
      <c r="F48" s="50">
        <v>218.66</v>
      </c>
      <c r="G48" s="52" t="s">
        <v>849</v>
      </c>
      <c r="H48" s="51"/>
      <c r="I48" s="51"/>
      <c r="J48" s="1231"/>
      <c r="K48" s="50"/>
      <c r="L48" s="1232">
        <f t="shared" si="2"/>
        <v>218.66</v>
      </c>
      <c r="M48" s="1231"/>
      <c r="N48" s="49"/>
      <c r="O48" s="1233">
        <f t="shared" si="3"/>
        <v>218.66</v>
      </c>
      <c r="P48" s="1231"/>
    </row>
    <row r="49" spans="1:16" ht="28.5" x14ac:dyDescent="0.25">
      <c r="A49" s="54">
        <v>232</v>
      </c>
      <c r="B49" s="52" t="s">
        <v>470</v>
      </c>
      <c r="C49" s="52" t="s">
        <v>936</v>
      </c>
      <c r="D49" s="52" t="s">
        <v>937</v>
      </c>
      <c r="E49" s="53" t="s">
        <v>920</v>
      </c>
      <c r="F49" s="50">
        <v>1750</v>
      </c>
      <c r="G49" s="52" t="s">
        <v>849</v>
      </c>
      <c r="H49" s="51"/>
      <c r="I49" s="51"/>
      <c r="J49" s="1231"/>
      <c r="K49" s="50"/>
      <c r="L49" s="1232">
        <f t="shared" si="2"/>
        <v>1750</v>
      </c>
      <c r="M49" s="1231"/>
      <c r="N49" s="49"/>
      <c r="O49" s="1233">
        <f t="shared" si="3"/>
        <v>1750</v>
      </c>
      <c r="P49" s="1231"/>
    </row>
    <row r="50" spans="1:16" ht="42.75" x14ac:dyDescent="0.25">
      <c r="A50" s="54">
        <v>234</v>
      </c>
      <c r="B50" s="52" t="s">
        <v>470</v>
      </c>
      <c r="C50" s="52" t="s">
        <v>936</v>
      </c>
      <c r="D50" s="52" t="s">
        <v>938</v>
      </c>
      <c r="E50" s="53" t="s">
        <v>933</v>
      </c>
      <c r="F50" s="50">
        <v>8016</v>
      </c>
      <c r="G50" s="52" t="s">
        <v>849</v>
      </c>
      <c r="H50" s="51"/>
      <c r="I50" s="51"/>
      <c r="J50" s="1231"/>
      <c r="K50" s="50"/>
      <c r="L50" s="1232">
        <f t="shared" si="2"/>
        <v>8016</v>
      </c>
      <c r="M50" s="1231"/>
      <c r="N50" s="49"/>
      <c r="O50" s="1233">
        <f t="shared" si="3"/>
        <v>8016</v>
      </c>
      <c r="P50" s="1231"/>
    </row>
    <row r="51" spans="1:16" ht="28.5" x14ac:dyDescent="0.25">
      <c r="A51" s="54">
        <v>238</v>
      </c>
      <c r="B51" s="52" t="s">
        <v>470</v>
      </c>
      <c r="C51" s="52" t="s">
        <v>939</v>
      </c>
      <c r="D51" s="52" t="s">
        <v>940</v>
      </c>
      <c r="E51" s="53" t="s">
        <v>941</v>
      </c>
      <c r="F51" s="50">
        <v>173764.33</v>
      </c>
      <c r="G51" s="52" t="s">
        <v>849</v>
      </c>
      <c r="H51" s="934">
        <v>43866</v>
      </c>
      <c r="I51" s="935"/>
      <c r="J51" s="1231" t="s">
        <v>942</v>
      </c>
      <c r="K51" s="50"/>
      <c r="L51" s="1232">
        <f t="shared" si="2"/>
        <v>173764.33</v>
      </c>
      <c r="M51" s="1231"/>
      <c r="N51" s="49"/>
      <c r="O51" s="1233">
        <f t="shared" si="3"/>
        <v>173764.33</v>
      </c>
      <c r="P51" s="1231"/>
    </row>
    <row r="52" spans="1:16" ht="28.5" x14ac:dyDescent="0.25">
      <c r="A52" s="54">
        <v>239</v>
      </c>
      <c r="B52" s="52" t="s">
        <v>470</v>
      </c>
      <c r="C52" s="52" t="s">
        <v>939</v>
      </c>
      <c r="D52" s="52" t="s">
        <v>943</v>
      </c>
      <c r="E52" s="53" t="s">
        <v>926</v>
      </c>
      <c r="F52" s="50">
        <v>15314.33</v>
      </c>
      <c r="G52" s="52" t="s">
        <v>849</v>
      </c>
      <c r="H52" s="934">
        <v>43866</v>
      </c>
      <c r="I52" s="935"/>
      <c r="J52" s="1231" t="s">
        <v>942</v>
      </c>
      <c r="K52" s="50"/>
      <c r="L52" s="1232">
        <f t="shared" si="2"/>
        <v>15314.33</v>
      </c>
      <c r="M52" s="1231"/>
      <c r="N52" s="49"/>
      <c r="O52" s="1233">
        <f t="shared" si="3"/>
        <v>15314.33</v>
      </c>
      <c r="P52" s="1231"/>
    </row>
    <row r="53" spans="1:16" ht="28.5" x14ac:dyDescent="0.25">
      <c r="A53" s="54">
        <v>241</v>
      </c>
      <c r="B53" s="52" t="s">
        <v>470</v>
      </c>
      <c r="C53" s="52" t="s">
        <v>939</v>
      </c>
      <c r="D53" s="52" t="s">
        <v>944</v>
      </c>
      <c r="E53" s="53" t="s">
        <v>920</v>
      </c>
      <c r="F53" s="50">
        <v>0.02</v>
      </c>
      <c r="G53" s="52" t="s">
        <v>849</v>
      </c>
      <c r="H53" s="934"/>
      <c r="I53" s="935"/>
      <c r="J53" s="1231" t="s">
        <v>945</v>
      </c>
      <c r="K53" s="50"/>
      <c r="L53" s="1232">
        <f t="shared" si="2"/>
        <v>0.02</v>
      </c>
      <c r="M53" s="1231"/>
      <c r="N53" s="49"/>
      <c r="O53" s="1233">
        <f t="shared" si="3"/>
        <v>0.02</v>
      </c>
      <c r="P53" s="1231"/>
    </row>
    <row r="54" spans="1:16" ht="28.5" x14ac:dyDescent="0.25">
      <c r="A54" s="54">
        <v>244</v>
      </c>
      <c r="B54" s="52" t="s">
        <v>470</v>
      </c>
      <c r="C54" s="52" t="s">
        <v>939</v>
      </c>
      <c r="D54" s="52" t="s">
        <v>946</v>
      </c>
      <c r="E54" s="53" t="s">
        <v>920</v>
      </c>
      <c r="F54" s="50">
        <v>454.05</v>
      </c>
      <c r="G54" s="52" t="s">
        <v>849</v>
      </c>
      <c r="H54" s="934">
        <v>43866</v>
      </c>
      <c r="I54" s="935"/>
      <c r="J54" s="1231" t="s">
        <v>942</v>
      </c>
      <c r="K54" s="50"/>
      <c r="L54" s="1232">
        <f t="shared" si="2"/>
        <v>454.05</v>
      </c>
      <c r="M54" s="1231"/>
      <c r="N54" s="49"/>
      <c r="O54" s="1233">
        <f t="shared" si="3"/>
        <v>454.05</v>
      </c>
      <c r="P54" s="1231"/>
    </row>
    <row r="55" spans="1:16" ht="15" x14ac:dyDescent="0.25">
      <c r="A55" s="54">
        <v>273</v>
      </c>
      <c r="B55" s="52" t="s">
        <v>885</v>
      </c>
      <c r="C55" s="52" t="s">
        <v>886</v>
      </c>
      <c r="D55" s="52" t="s">
        <v>886</v>
      </c>
      <c r="E55" s="53" t="s">
        <v>878</v>
      </c>
      <c r="F55" s="50">
        <v>1899.1</v>
      </c>
      <c r="G55" s="52" t="s">
        <v>849</v>
      </c>
      <c r="H55" s="51"/>
      <c r="I55" s="51"/>
      <c r="J55" s="1231"/>
      <c r="K55" s="50"/>
      <c r="L55" s="1232">
        <f t="shared" si="2"/>
        <v>1899.1</v>
      </c>
      <c r="M55" s="1231"/>
      <c r="N55" s="49"/>
      <c r="O55" s="1233">
        <f t="shared" si="3"/>
        <v>1899.1</v>
      </c>
      <c r="P55" s="1231"/>
    </row>
    <row r="56" spans="1:16" ht="15.75" thickBot="1" x14ac:dyDescent="0.25">
      <c r="B56" s="48" t="s">
        <v>947</v>
      </c>
      <c r="C56" s="48"/>
      <c r="D56" s="48"/>
      <c r="E56" s="48"/>
      <c r="F56" s="47">
        <f>SUM(F6:F55)</f>
        <v>369730.07658820797</v>
      </c>
      <c r="G56" s="48"/>
      <c r="H56" s="48"/>
      <c r="I56" s="48"/>
      <c r="J56" s="48"/>
      <c r="K56" s="47">
        <f>SUM(K6:K55)</f>
        <v>0</v>
      </c>
      <c r="L56" s="47">
        <f>SUM(L6:L55)</f>
        <v>369730.07658820797</v>
      </c>
      <c r="N56" s="47">
        <f>SUM(N6:N55)</f>
        <v>0</v>
      </c>
      <c r="O56" s="47">
        <f>SUM(O6:O55)</f>
        <v>369730.07658820797</v>
      </c>
    </row>
    <row r="58" spans="1:16" ht="44.25" customHeight="1" x14ac:dyDescent="0.2">
      <c r="F58" s="45" t="str">
        <f>IF(AND(ROUND(F56,0)=ROUND('PR Cash Reconciliation_2A,B,C,D'!D42,0)),"OK","WARNING -Financial Commitments not matching")</f>
        <v>OK</v>
      </c>
      <c r="L58" s="45" t="str">
        <f>IF(AND(ROUND(L56,0)=ROUND('PR Cash Reconciliation_2A,B,C,D'!H42,0)),"OK","WARNING -Financial Commitments not matching")</f>
        <v>OK</v>
      </c>
    </row>
    <row r="60" spans="1:16" ht="30" x14ac:dyDescent="0.2">
      <c r="A60" s="59" t="str">
        <f>VLOOKUP(Translations!B614,Translations!B3:H893,4,0)</f>
        <v xml:space="preserve">Obligations financières </v>
      </c>
    </row>
    <row r="61" spans="1:16" ht="13.5" thickBot="1" x14ac:dyDescent="0.25"/>
    <row r="62" spans="1:16" ht="15.75" thickBot="1" x14ac:dyDescent="0.25">
      <c r="B62" s="1543" t="str">
        <f>VLOOKUP(Translations!B9,Translations!B3:H893,4,0)</f>
        <v>Récipiendaire principal:</v>
      </c>
      <c r="C62" s="1544"/>
      <c r="D62" s="1544"/>
      <c r="E62" s="1544"/>
      <c r="F62" s="1544"/>
      <c r="G62" s="1544"/>
      <c r="H62" s="1544"/>
      <c r="I62" s="1544"/>
      <c r="J62" s="1545"/>
      <c r="K62" s="1546" t="s">
        <v>791</v>
      </c>
      <c r="L62" s="1547"/>
      <c r="M62" s="1548"/>
      <c r="N62" s="1540" t="s">
        <v>792</v>
      </c>
      <c r="O62" s="1541"/>
      <c r="P62" s="1542"/>
    </row>
    <row r="63" spans="1:16" ht="60" customHeight="1" x14ac:dyDescent="0.2">
      <c r="A63" s="1227" t="s">
        <v>844</v>
      </c>
      <c r="B63" s="58" t="str">
        <f t="shared" ref="B63:H63" si="4">B5</f>
        <v xml:space="preserve">Module </v>
      </c>
      <c r="C63" s="58" t="str">
        <f t="shared" si="4"/>
        <v>Intervention</v>
      </c>
      <c r="D63" s="58" t="str">
        <f t="shared" si="4"/>
        <v>Description de l'activité</v>
      </c>
      <c r="E63" s="58" t="str">
        <f t="shared" si="4"/>
        <v xml:space="preserve">Entrées de coûts </v>
      </c>
      <c r="F63" s="58" t="str">
        <f t="shared" si="4"/>
        <v>Montant en monnaie de la subvention</v>
      </c>
      <c r="G63" s="58" t="str">
        <f t="shared" si="4"/>
        <v>Date de livraison</v>
      </c>
      <c r="H63" s="58" t="str">
        <f t="shared" si="4"/>
        <v>Date de paiement prévue</v>
      </c>
      <c r="I63" s="1551" t="str">
        <f>J5</f>
        <v>Commentaires</v>
      </c>
      <c r="J63" s="1552"/>
      <c r="K63" s="1228" t="s">
        <v>845</v>
      </c>
      <c r="L63" s="1228" t="s">
        <v>797</v>
      </c>
      <c r="M63" s="1229" t="s">
        <v>160</v>
      </c>
      <c r="N63" s="1230" t="s">
        <v>798</v>
      </c>
      <c r="O63" s="57" t="s">
        <v>799</v>
      </c>
      <c r="P63" s="56" t="s">
        <v>160</v>
      </c>
    </row>
    <row r="64" spans="1:16" ht="42.75" x14ac:dyDescent="0.25">
      <c r="A64" s="54">
        <v>10</v>
      </c>
      <c r="B64" s="52" t="s">
        <v>399</v>
      </c>
      <c r="C64" s="52" t="s">
        <v>918</v>
      </c>
      <c r="D64" s="52" t="s">
        <v>919</v>
      </c>
      <c r="E64" s="53" t="s">
        <v>920</v>
      </c>
      <c r="F64" s="50">
        <f>66.96+502.23+600+10431.99+1125.82+5300</f>
        <v>18027</v>
      </c>
      <c r="G64" s="52" t="s">
        <v>948</v>
      </c>
      <c r="H64" s="52" t="s">
        <v>949</v>
      </c>
      <c r="I64" s="1549" t="s">
        <v>950</v>
      </c>
      <c r="J64" s="1550"/>
      <c r="K64" s="50"/>
      <c r="L64" s="1232">
        <f t="shared" ref="L64:L95" si="5">F64+K64</f>
        <v>18027</v>
      </c>
      <c r="M64" s="1231"/>
      <c r="N64" s="55"/>
      <c r="O64" s="1233">
        <f t="shared" ref="O64:O95" si="6">L64+N64</f>
        <v>18027</v>
      </c>
      <c r="P64" s="1231"/>
    </row>
    <row r="65" spans="1:16" ht="28.5" x14ac:dyDescent="0.25">
      <c r="A65" s="54">
        <v>244</v>
      </c>
      <c r="B65" s="52" t="s">
        <v>470</v>
      </c>
      <c r="C65" s="52" t="s">
        <v>939</v>
      </c>
      <c r="D65" s="52" t="s">
        <v>946</v>
      </c>
      <c r="E65" s="53" t="s">
        <v>920</v>
      </c>
      <c r="F65" s="50">
        <v>23083.16</v>
      </c>
      <c r="G65" s="52" t="s">
        <v>948</v>
      </c>
      <c r="H65" s="52" t="s">
        <v>949</v>
      </c>
      <c r="I65" s="1549" t="s">
        <v>951</v>
      </c>
      <c r="J65" s="1550"/>
      <c r="K65" s="50"/>
      <c r="L65" s="1232">
        <f t="shared" si="5"/>
        <v>23083.16</v>
      </c>
      <c r="M65" s="1231"/>
      <c r="N65" s="49"/>
      <c r="O65" s="1233">
        <f t="shared" si="6"/>
        <v>23083.16</v>
      </c>
      <c r="P65" s="1231"/>
    </row>
    <row r="66" spans="1:16" ht="57" x14ac:dyDescent="0.25">
      <c r="A66" s="54">
        <v>258</v>
      </c>
      <c r="B66" s="52" t="s">
        <v>885</v>
      </c>
      <c r="C66" s="52" t="s">
        <v>902</v>
      </c>
      <c r="D66" s="52" t="s">
        <v>914</v>
      </c>
      <c r="E66" s="53" t="s">
        <v>878</v>
      </c>
      <c r="F66" s="50">
        <v>4075.32</v>
      </c>
      <c r="G66" s="52" t="s">
        <v>952</v>
      </c>
      <c r="H66" s="52" t="s">
        <v>949</v>
      </c>
      <c r="I66" s="1549" t="s">
        <v>953</v>
      </c>
      <c r="J66" s="1550"/>
      <c r="K66" s="50"/>
      <c r="L66" s="1232">
        <f t="shared" si="5"/>
        <v>4075.32</v>
      </c>
      <c r="M66" s="1231"/>
      <c r="N66" s="49"/>
      <c r="O66" s="1233">
        <f t="shared" si="6"/>
        <v>4075.32</v>
      </c>
      <c r="P66" s="1231"/>
    </row>
    <row r="67" spans="1:16" ht="42" customHeight="1" x14ac:dyDescent="0.25">
      <c r="A67" s="54">
        <v>271</v>
      </c>
      <c r="B67" s="52" t="s">
        <v>885</v>
      </c>
      <c r="C67" s="52" t="s">
        <v>886</v>
      </c>
      <c r="D67" s="52" t="s">
        <v>886</v>
      </c>
      <c r="E67" s="53" t="s">
        <v>954</v>
      </c>
      <c r="F67" s="50">
        <v>3393.87</v>
      </c>
      <c r="G67" s="52" t="s">
        <v>952</v>
      </c>
      <c r="H67" s="52" t="s">
        <v>949</v>
      </c>
      <c r="I67" s="1549" t="s">
        <v>955</v>
      </c>
      <c r="J67" s="1550"/>
      <c r="K67" s="50"/>
      <c r="L67" s="1232">
        <f t="shared" si="5"/>
        <v>3393.87</v>
      </c>
      <c r="M67" s="1231"/>
      <c r="N67" s="49"/>
      <c r="O67" s="1233">
        <f t="shared" si="6"/>
        <v>3393.87</v>
      </c>
      <c r="P67" s="1231"/>
    </row>
    <row r="68" spans="1:16" ht="35.25" customHeight="1" x14ac:dyDescent="0.25">
      <c r="A68" s="54">
        <v>273</v>
      </c>
      <c r="B68" s="52" t="s">
        <v>885</v>
      </c>
      <c r="C68" s="52" t="s">
        <v>886</v>
      </c>
      <c r="D68" s="52" t="s">
        <v>886</v>
      </c>
      <c r="E68" s="53" t="s">
        <v>878</v>
      </c>
      <c r="F68" s="50">
        <v>1078.83</v>
      </c>
      <c r="G68" s="52" t="s">
        <v>948</v>
      </c>
      <c r="H68" s="52" t="s">
        <v>949</v>
      </c>
      <c r="I68" s="1549" t="s">
        <v>956</v>
      </c>
      <c r="J68" s="1550"/>
      <c r="K68" s="50"/>
      <c r="L68" s="1232">
        <f t="shared" si="5"/>
        <v>1078.83</v>
      </c>
      <c r="M68" s="1231"/>
      <c r="N68" s="49"/>
      <c r="O68" s="1233">
        <f t="shared" si="6"/>
        <v>1078.83</v>
      </c>
      <c r="P68" s="1231"/>
    </row>
    <row r="69" spans="1:16" ht="39.75" customHeight="1" x14ac:dyDescent="0.25">
      <c r="A69" s="54">
        <v>288</v>
      </c>
      <c r="B69" s="52" t="s">
        <v>399</v>
      </c>
      <c r="C69" s="52" t="s">
        <v>918</v>
      </c>
      <c r="D69" s="52" t="s">
        <v>957</v>
      </c>
      <c r="E69" s="53" t="s">
        <v>958</v>
      </c>
      <c r="F69" s="50">
        <v>28198.29</v>
      </c>
      <c r="G69" s="52" t="s">
        <v>959</v>
      </c>
      <c r="H69" s="52" t="s">
        <v>960</v>
      </c>
      <c r="I69" s="1549" t="s">
        <v>961</v>
      </c>
      <c r="J69" s="1550"/>
      <c r="K69" s="50"/>
      <c r="L69" s="1232">
        <f t="shared" si="5"/>
        <v>28198.29</v>
      </c>
      <c r="M69" s="1231"/>
      <c r="N69" s="49"/>
      <c r="O69" s="1233">
        <f t="shared" si="6"/>
        <v>28198.29</v>
      </c>
      <c r="P69" s="1231"/>
    </row>
    <row r="70" spans="1:16" ht="120" customHeight="1" x14ac:dyDescent="0.25">
      <c r="A70" s="54">
        <v>7</v>
      </c>
      <c r="B70" s="52" t="s">
        <v>399</v>
      </c>
      <c r="C70" s="52" t="s">
        <v>918</v>
      </c>
      <c r="D70" s="52" t="s">
        <v>962</v>
      </c>
      <c r="E70" s="53" t="s">
        <v>958</v>
      </c>
      <c r="F70" s="50">
        <v>66866</v>
      </c>
      <c r="G70" s="52" t="s">
        <v>948</v>
      </c>
      <c r="H70" s="52" t="s">
        <v>949</v>
      </c>
      <c r="I70" s="1549" t="s">
        <v>963</v>
      </c>
      <c r="J70" s="1550"/>
      <c r="K70" s="50"/>
      <c r="L70" s="1232">
        <f t="shared" si="5"/>
        <v>66866</v>
      </c>
      <c r="M70" s="1231"/>
      <c r="N70" s="49"/>
      <c r="O70" s="1233">
        <f t="shared" si="6"/>
        <v>66866</v>
      </c>
      <c r="P70" s="1231"/>
    </row>
    <row r="71" spans="1:16" ht="99.75" x14ac:dyDescent="0.25">
      <c r="A71" s="54">
        <v>8</v>
      </c>
      <c r="B71" s="52" t="s">
        <v>399</v>
      </c>
      <c r="C71" s="52" t="s">
        <v>918</v>
      </c>
      <c r="D71" s="52" t="s">
        <v>962</v>
      </c>
      <c r="E71" s="53" t="s">
        <v>964</v>
      </c>
      <c r="F71" s="50">
        <v>4500</v>
      </c>
      <c r="G71" s="52" t="s">
        <v>948</v>
      </c>
      <c r="H71" s="52" t="s">
        <v>949</v>
      </c>
      <c r="I71" s="1549" t="s">
        <v>963</v>
      </c>
      <c r="J71" s="1550"/>
      <c r="K71" s="50"/>
      <c r="L71" s="1232">
        <f t="shared" si="5"/>
        <v>4500</v>
      </c>
      <c r="M71" s="1231"/>
      <c r="N71" s="49"/>
      <c r="O71" s="1233">
        <f t="shared" si="6"/>
        <v>4500</v>
      </c>
      <c r="P71" s="1231"/>
    </row>
    <row r="72" spans="1:16" ht="42.75" x14ac:dyDescent="0.25">
      <c r="A72" s="54">
        <v>9</v>
      </c>
      <c r="B72" s="52" t="s">
        <v>399</v>
      </c>
      <c r="C72" s="52" t="s">
        <v>918</v>
      </c>
      <c r="D72" s="52" t="s">
        <v>965</v>
      </c>
      <c r="E72" s="53" t="s">
        <v>966</v>
      </c>
      <c r="F72" s="50">
        <v>28.51</v>
      </c>
      <c r="G72" s="52" t="s">
        <v>948</v>
      </c>
      <c r="H72" s="52" t="s">
        <v>949</v>
      </c>
      <c r="I72" s="1549" t="s">
        <v>967</v>
      </c>
      <c r="J72" s="1550"/>
      <c r="K72" s="50"/>
      <c r="L72" s="1232">
        <f t="shared" si="5"/>
        <v>28.51</v>
      </c>
      <c r="M72" s="1231"/>
      <c r="N72" s="49"/>
      <c r="O72" s="1233">
        <f t="shared" si="6"/>
        <v>28.51</v>
      </c>
      <c r="P72" s="1231"/>
    </row>
    <row r="73" spans="1:16" ht="71.25" x14ac:dyDescent="0.25">
      <c r="A73" s="54">
        <v>12</v>
      </c>
      <c r="B73" s="52" t="s">
        <v>399</v>
      </c>
      <c r="C73" s="52" t="s">
        <v>918</v>
      </c>
      <c r="D73" s="52" t="s">
        <v>968</v>
      </c>
      <c r="E73" s="53" t="s">
        <v>926</v>
      </c>
      <c r="F73" s="50">
        <v>57224.36</v>
      </c>
      <c r="G73" s="52" t="s">
        <v>948</v>
      </c>
      <c r="H73" s="51" t="s">
        <v>949</v>
      </c>
      <c r="I73" s="1549" t="s">
        <v>967</v>
      </c>
      <c r="J73" s="1550"/>
      <c r="K73" s="50"/>
      <c r="L73" s="1232">
        <f t="shared" si="5"/>
        <v>57224.36</v>
      </c>
      <c r="M73" s="1231"/>
      <c r="N73" s="49"/>
      <c r="O73" s="1233">
        <f t="shared" si="6"/>
        <v>57224.36</v>
      </c>
      <c r="P73" s="1231"/>
    </row>
    <row r="74" spans="1:16" ht="71.25" x14ac:dyDescent="0.25">
      <c r="A74" s="54">
        <v>5</v>
      </c>
      <c r="B74" s="52" t="s">
        <v>399</v>
      </c>
      <c r="C74" s="52" t="s">
        <v>918</v>
      </c>
      <c r="D74" s="52" t="s">
        <v>968</v>
      </c>
      <c r="E74" s="53" t="s">
        <v>941</v>
      </c>
      <c r="F74" s="50">
        <v>902.46</v>
      </c>
      <c r="G74" s="52" t="s">
        <v>948</v>
      </c>
      <c r="H74" s="51" t="s">
        <v>949</v>
      </c>
      <c r="I74" s="1549" t="s">
        <v>967</v>
      </c>
      <c r="J74" s="1550"/>
      <c r="K74" s="50"/>
      <c r="L74" s="1232">
        <f t="shared" si="5"/>
        <v>902.46</v>
      </c>
      <c r="M74" s="1231"/>
      <c r="N74" s="49"/>
      <c r="O74" s="1233">
        <f t="shared" si="6"/>
        <v>902.46</v>
      </c>
      <c r="P74" s="1231"/>
    </row>
    <row r="75" spans="1:16" ht="42.75" x14ac:dyDescent="0.25">
      <c r="A75" s="54">
        <v>21</v>
      </c>
      <c r="B75" s="52" t="s">
        <v>399</v>
      </c>
      <c r="C75" s="52" t="s">
        <v>921</v>
      </c>
      <c r="D75" s="52" t="s">
        <v>969</v>
      </c>
      <c r="E75" s="53" t="s">
        <v>924</v>
      </c>
      <c r="F75" s="50">
        <v>2728.35</v>
      </c>
      <c r="G75" s="52"/>
      <c r="H75" s="51"/>
      <c r="I75" s="1549" t="s">
        <v>970</v>
      </c>
      <c r="J75" s="1550"/>
      <c r="K75" s="50"/>
      <c r="L75" s="1232">
        <f t="shared" si="5"/>
        <v>2728.35</v>
      </c>
      <c r="M75" s="1231"/>
      <c r="N75" s="49"/>
      <c r="O75" s="1233">
        <f t="shared" si="6"/>
        <v>2728.35</v>
      </c>
      <c r="P75" s="1231"/>
    </row>
    <row r="76" spans="1:16" ht="42.75" x14ac:dyDescent="0.25">
      <c r="A76" s="54">
        <v>21</v>
      </c>
      <c r="B76" s="52" t="s">
        <v>399</v>
      </c>
      <c r="C76" s="52" t="s">
        <v>921</v>
      </c>
      <c r="D76" s="52" t="s">
        <v>969</v>
      </c>
      <c r="E76" s="53" t="s">
        <v>924</v>
      </c>
      <c r="F76" s="50">
        <v>2600</v>
      </c>
      <c r="G76" s="52"/>
      <c r="H76" s="51"/>
      <c r="I76" s="1549" t="s">
        <v>971</v>
      </c>
      <c r="J76" s="1550"/>
      <c r="K76" s="50"/>
      <c r="L76" s="1232">
        <f t="shared" si="5"/>
        <v>2600</v>
      </c>
      <c r="M76" s="1231"/>
      <c r="N76" s="49"/>
      <c r="O76" s="1233">
        <f t="shared" si="6"/>
        <v>2600</v>
      </c>
      <c r="P76" s="1231"/>
    </row>
    <row r="77" spans="1:16" ht="57" x14ac:dyDescent="0.25">
      <c r="A77" s="54">
        <v>26</v>
      </c>
      <c r="B77" s="52" t="s">
        <v>399</v>
      </c>
      <c r="C77" s="52" t="s">
        <v>921</v>
      </c>
      <c r="D77" s="52" t="s">
        <v>922</v>
      </c>
      <c r="E77" s="53" t="s">
        <v>878</v>
      </c>
      <c r="F77" s="50">
        <v>13962.38</v>
      </c>
      <c r="G77" s="52"/>
      <c r="H77" s="51"/>
      <c r="I77" s="1549" t="s">
        <v>972</v>
      </c>
      <c r="J77" s="1550"/>
      <c r="K77" s="50"/>
      <c r="L77" s="1232">
        <f t="shared" si="5"/>
        <v>13962.38</v>
      </c>
      <c r="M77" s="1231"/>
      <c r="N77" s="49"/>
      <c r="O77" s="1233">
        <f t="shared" si="6"/>
        <v>13962.38</v>
      </c>
      <c r="P77" s="1231"/>
    </row>
    <row r="78" spans="1:16" ht="71.25" x14ac:dyDescent="0.25">
      <c r="A78" s="54">
        <v>27</v>
      </c>
      <c r="B78" s="52" t="s">
        <v>399</v>
      </c>
      <c r="C78" s="52" t="s">
        <v>921</v>
      </c>
      <c r="D78" s="52" t="s">
        <v>923</v>
      </c>
      <c r="E78" s="53" t="s">
        <v>924</v>
      </c>
      <c r="F78" s="50">
        <f>286677.18+15602.33+21021.49</f>
        <v>323301</v>
      </c>
      <c r="G78" s="52"/>
      <c r="H78" s="51"/>
      <c r="I78" s="1549" t="s">
        <v>973</v>
      </c>
      <c r="J78" s="1550"/>
      <c r="K78" s="50"/>
      <c r="L78" s="1232">
        <f t="shared" si="5"/>
        <v>323301</v>
      </c>
      <c r="M78" s="1231"/>
      <c r="N78" s="49"/>
      <c r="O78" s="1233">
        <f t="shared" si="6"/>
        <v>323301</v>
      </c>
      <c r="P78" s="1231"/>
    </row>
    <row r="79" spans="1:16" ht="42.75" x14ac:dyDescent="0.25">
      <c r="A79" s="54">
        <v>28</v>
      </c>
      <c r="B79" s="52" t="s">
        <v>399</v>
      </c>
      <c r="C79" s="52" t="s">
        <v>918</v>
      </c>
      <c r="D79" s="52" t="s">
        <v>974</v>
      </c>
      <c r="E79" s="53" t="s">
        <v>975</v>
      </c>
      <c r="F79" s="50">
        <v>1300</v>
      </c>
      <c r="G79" s="52"/>
      <c r="H79" s="51"/>
      <c r="I79" s="1549" t="s">
        <v>976</v>
      </c>
      <c r="J79" s="1550"/>
      <c r="K79" s="50"/>
      <c r="L79" s="1232">
        <f t="shared" si="5"/>
        <v>1300</v>
      </c>
      <c r="M79" s="1231"/>
      <c r="N79" s="49"/>
      <c r="O79" s="1233">
        <f t="shared" si="6"/>
        <v>1300</v>
      </c>
      <c r="P79" s="1231"/>
    </row>
    <row r="80" spans="1:16" ht="42.75" x14ac:dyDescent="0.25">
      <c r="A80" s="54">
        <v>30</v>
      </c>
      <c r="B80" s="52" t="s">
        <v>399</v>
      </c>
      <c r="C80" s="52" t="s">
        <v>921</v>
      </c>
      <c r="D80" s="52" t="s">
        <v>977</v>
      </c>
      <c r="E80" s="53" t="s">
        <v>920</v>
      </c>
      <c r="F80" s="50">
        <v>149.4</v>
      </c>
      <c r="G80" s="52"/>
      <c r="H80" s="51"/>
      <c r="I80" s="1549" t="s">
        <v>978</v>
      </c>
      <c r="J80" s="1550"/>
      <c r="K80" s="50"/>
      <c r="L80" s="1232">
        <f t="shared" si="5"/>
        <v>149.4</v>
      </c>
      <c r="M80" s="1231"/>
      <c r="N80" s="49"/>
      <c r="O80" s="1233">
        <f t="shared" si="6"/>
        <v>149.4</v>
      </c>
      <c r="P80" s="1231"/>
    </row>
    <row r="81" spans="1:16" ht="71.25" x14ac:dyDescent="0.25">
      <c r="A81" s="54">
        <v>52</v>
      </c>
      <c r="B81" s="52" t="s">
        <v>446</v>
      </c>
      <c r="C81" s="52" t="s">
        <v>846</v>
      </c>
      <c r="D81" s="52" t="s">
        <v>979</v>
      </c>
      <c r="E81" s="53" t="s">
        <v>924</v>
      </c>
      <c r="F81" s="50">
        <v>67941.7</v>
      </c>
      <c r="G81" s="52"/>
      <c r="H81" s="51"/>
      <c r="I81" s="1549" t="s">
        <v>976</v>
      </c>
      <c r="J81" s="1550"/>
      <c r="K81" s="50"/>
      <c r="L81" s="1232">
        <f t="shared" si="5"/>
        <v>67941.7</v>
      </c>
      <c r="M81" s="1231"/>
      <c r="N81" s="49"/>
      <c r="O81" s="1233">
        <f t="shared" si="6"/>
        <v>67941.7</v>
      </c>
      <c r="P81" s="1231"/>
    </row>
    <row r="82" spans="1:16" ht="28.5" x14ac:dyDescent="0.25">
      <c r="A82" s="54">
        <v>53</v>
      </c>
      <c r="B82" s="52" t="s">
        <v>446</v>
      </c>
      <c r="C82" s="52" t="s">
        <v>846</v>
      </c>
      <c r="D82" s="52" t="s">
        <v>980</v>
      </c>
      <c r="E82" s="53" t="s">
        <v>966</v>
      </c>
      <c r="F82" s="50">
        <v>2908.26</v>
      </c>
      <c r="G82" s="52"/>
      <c r="H82" s="51"/>
      <c r="I82" s="1549" t="s">
        <v>976</v>
      </c>
      <c r="J82" s="1550"/>
      <c r="K82" s="50"/>
      <c r="L82" s="1232">
        <f t="shared" si="5"/>
        <v>2908.26</v>
      </c>
      <c r="M82" s="1231"/>
      <c r="N82" s="49"/>
      <c r="O82" s="1233">
        <f t="shared" si="6"/>
        <v>2908.26</v>
      </c>
      <c r="P82" s="1231"/>
    </row>
    <row r="83" spans="1:16" ht="28.5" x14ac:dyDescent="0.25">
      <c r="A83" s="54">
        <v>54</v>
      </c>
      <c r="B83" s="52" t="s">
        <v>446</v>
      </c>
      <c r="C83" s="52" t="s">
        <v>846</v>
      </c>
      <c r="D83" s="52" t="s">
        <v>981</v>
      </c>
      <c r="E83" s="53" t="s">
        <v>920</v>
      </c>
      <c r="F83" s="50">
        <f>7273.54+75</f>
        <v>7348.54</v>
      </c>
      <c r="G83" s="52"/>
      <c r="H83" s="51"/>
      <c r="I83" s="1549" t="s">
        <v>982</v>
      </c>
      <c r="J83" s="1550"/>
      <c r="K83" s="50"/>
      <c r="L83" s="1232">
        <f t="shared" si="5"/>
        <v>7348.54</v>
      </c>
      <c r="M83" s="1231"/>
      <c r="N83" s="49"/>
      <c r="O83" s="1233">
        <f t="shared" si="6"/>
        <v>7348.54</v>
      </c>
      <c r="P83" s="1231"/>
    </row>
    <row r="84" spans="1:16" ht="42.75" x14ac:dyDescent="0.25">
      <c r="A84" s="54">
        <v>55</v>
      </c>
      <c r="B84" s="52" t="s">
        <v>446</v>
      </c>
      <c r="C84" s="52" t="s">
        <v>846</v>
      </c>
      <c r="D84" s="52" t="s">
        <v>983</v>
      </c>
      <c r="E84" s="53" t="s">
        <v>933</v>
      </c>
      <c r="F84" s="50">
        <v>346.45</v>
      </c>
      <c r="G84" s="52"/>
      <c r="H84" s="51"/>
      <c r="I84" s="1549"/>
      <c r="J84" s="1550"/>
      <c r="K84" s="50"/>
      <c r="L84" s="1232">
        <f t="shared" si="5"/>
        <v>346.45</v>
      </c>
      <c r="M84" s="1231"/>
      <c r="N84" s="49"/>
      <c r="O84" s="1233">
        <f t="shared" si="6"/>
        <v>346.45</v>
      </c>
      <c r="P84" s="1231"/>
    </row>
    <row r="85" spans="1:16" ht="42.75" x14ac:dyDescent="0.25">
      <c r="A85" s="54">
        <v>84</v>
      </c>
      <c r="B85" s="52" t="s">
        <v>879</v>
      </c>
      <c r="C85" s="52" t="s">
        <v>912</v>
      </c>
      <c r="D85" s="52" t="s">
        <v>925</v>
      </c>
      <c r="E85" s="53" t="s">
        <v>926</v>
      </c>
      <c r="F85" s="50">
        <f>476793.46+58341.8+9018.11</f>
        <v>544153.37</v>
      </c>
      <c r="G85" s="52"/>
      <c r="H85" s="51"/>
      <c r="I85" s="1549" t="s">
        <v>984</v>
      </c>
      <c r="J85" s="1550"/>
      <c r="K85" s="50"/>
      <c r="L85" s="1232">
        <f t="shared" si="5"/>
        <v>544153.37</v>
      </c>
      <c r="M85" s="1231"/>
      <c r="N85" s="49"/>
      <c r="O85" s="1233">
        <f t="shared" si="6"/>
        <v>544153.37</v>
      </c>
      <c r="P85" s="1231"/>
    </row>
    <row r="86" spans="1:16" ht="85.5" x14ac:dyDescent="0.25">
      <c r="A86" s="54">
        <v>89</v>
      </c>
      <c r="B86" s="52" t="s">
        <v>985</v>
      </c>
      <c r="C86" s="52" t="s">
        <v>986</v>
      </c>
      <c r="D86" s="52" t="s">
        <v>987</v>
      </c>
      <c r="E86" s="53" t="s">
        <v>988</v>
      </c>
      <c r="F86" s="50">
        <v>2154.9499999999998</v>
      </c>
      <c r="G86" s="52"/>
      <c r="H86" s="51"/>
      <c r="I86" s="1549" t="s">
        <v>989</v>
      </c>
      <c r="J86" s="1550"/>
      <c r="K86" s="50"/>
      <c r="L86" s="1232">
        <f t="shared" si="5"/>
        <v>2154.9499999999998</v>
      </c>
      <c r="M86" s="1231"/>
      <c r="N86" s="49"/>
      <c r="O86" s="1233">
        <f t="shared" si="6"/>
        <v>2154.9499999999998</v>
      </c>
      <c r="P86" s="1231"/>
    </row>
    <row r="87" spans="1:16" ht="85.5" x14ac:dyDescent="0.25">
      <c r="A87" s="54">
        <v>90</v>
      </c>
      <c r="B87" s="52" t="s">
        <v>985</v>
      </c>
      <c r="C87" s="52" t="s">
        <v>986</v>
      </c>
      <c r="D87" s="52" t="s">
        <v>990</v>
      </c>
      <c r="E87" s="53" t="s">
        <v>926</v>
      </c>
      <c r="F87" s="50">
        <v>1522.97</v>
      </c>
      <c r="G87" s="52"/>
      <c r="H87" s="51"/>
      <c r="I87" s="1549" t="s">
        <v>989</v>
      </c>
      <c r="J87" s="1550"/>
      <c r="K87" s="50"/>
      <c r="L87" s="1232">
        <f t="shared" si="5"/>
        <v>1522.97</v>
      </c>
      <c r="M87" s="1231"/>
      <c r="N87" s="49"/>
      <c r="O87" s="1233">
        <f t="shared" si="6"/>
        <v>1522.97</v>
      </c>
      <c r="P87" s="1231"/>
    </row>
    <row r="88" spans="1:16" ht="71.25" x14ac:dyDescent="0.25">
      <c r="A88" s="54">
        <v>97</v>
      </c>
      <c r="B88" s="52" t="s">
        <v>526</v>
      </c>
      <c r="C88" s="52" t="s">
        <v>991</v>
      </c>
      <c r="D88" s="52" t="s">
        <v>992</v>
      </c>
      <c r="E88" s="53" t="s">
        <v>988</v>
      </c>
      <c r="F88" s="50">
        <v>11732.49</v>
      </c>
      <c r="G88" s="52"/>
      <c r="H88" s="51"/>
      <c r="I88" s="1549" t="s">
        <v>989</v>
      </c>
      <c r="J88" s="1550"/>
      <c r="K88" s="50"/>
      <c r="L88" s="1232">
        <f t="shared" si="5"/>
        <v>11732.49</v>
      </c>
      <c r="M88" s="1231"/>
      <c r="N88" s="49"/>
      <c r="O88" s="1233">
        <f t="shared" si="6"/>
        <v>11732.49</v>
      </c>
      <c r="P88" s="1231"/>
    </row>
    <row r="89" spans="1:16" ht="71.25" x14ac:dyDescent="0.25">
      <c r="A89" s="54">
        <v>98</v>
      </c>
      <c r="B89" s="52" t="s">
        <v>526</v>
      </c>
      <c r="C89" s="52" t="s">
        <v>991</v>
      </c>
      <c r="D89" s="52" t="s">
        <v>993</v>
      </c>
      <c r="E89" s="53" t="s">
        <v>994</v>
      </c>
      <c r="F89" s="50">
        <v>7050.1</v>
      </c>
      <c r="G89" s="52"/>
      <c r="H89" s="51"/>
      <c r="I89" s="1549" t="s">
        <v>989</v>
      </c>
      <c r="J89" s="1550"/>
      <c r="K89" s="50"/>
      <c r="L89" s="1232">
        <f t="shared" si="5"/>
        <v>7050.1</v>
      </c>
      <c r="M89" s="1231"/>
      <c r="N89" s="49"/>
      <c r="O89" s="1233">
        <f t="shared" si="6"/>
        <v>7050.1</v>
      </c>
      <c r="P89" s="1231"/>
    </row>
    <row r="90" spans="1:16" ht="71.25" x14ac:dyDescent="0.25">
      <c r="A90" s="54">
        <v>99</v>
      </c>
      <c r="B90" s="52" t="s">
        <v>526</v>
      </c>
      <c r="C90" s="52" t="s">
        <v>991</v>
      </c>
      <c r="D90" s="52" t="s">
        <v>995</v>
      </c>
      <c r="E90" s="53" t="s">
        <v>926</v>
      </c>
      <c r="F90" s="50">
        <v>8376.32</v>
      </c>
      <c r="G90" s="52"/>
      <c r="H90" s="51"/>
      <c r="I90" s="1549" t="s">
        <v>989</v>
      </c>
      <c r="J90" s="1550"/>
      <c r="K90" s="50"/>
      <c r="L90" s="1232">
        <f t="shared" si="5"/>
        <v>8376.32</v>
      </c>
      <c r="M90" s="1231"/>
      <c r="N90" s="49"/>
      <c r="O90" s="1233">
        <f t="shared" si="6"/>
        <v>8376.32</v>
      </c>
      <c r="P90" s="1231"/>
    </row>
    <row r="91" spans="1:16" ht="71.25" x14ac:dyDescent="0.25">
      <c r="A91" s="54">
        <v>103</v>
      </c>
      <c r="B91" s="52" t="s">
        <v>526</v>
      </c>
      <c r="C91" s="52" t="s">
        <v>991</v>
      </c>
      <c r="D91" s="52" t="s">
        <v>996</v>
      </c>
      <c r="E91" s="53" t="s">
        <v>966</v>
      </c>
      <c r="F91" s="50">
        <v>138228.97</v>
      </c>
      <c r="G91" s="52"/>
      <c r="H91" s="51"/>
      <c r="I91" s="1549" t="s">
        <v>989</v>
      </c>
      <c r="J91" s="1550"/>
      <c r="K91" s="50"/>
      <c r="L91" s="1232">
        <f t="shared" si="5"/>
        <v>138228.97</v>
      </c>
      <c r="M91" s="1231"/>
      <c r="N91" s="49"/>
      <c r="O91" s="1233">
        <f t="shared" si="6"/>
        <v>138228.97</v>
      </c>
      <c r="P91" s="1231"/>
    </row>
    <row r="92" spans="1:16" ht="57" x14ac:dyDescent="0.25">
      <c r="A92" s="54">
        <v>109</v>
      </c>
      <c r="B92" s="52" t="s">
        <v>540</v>
      </c>
      <c r="C92" s="52" t="s">
        <v>865</v>
      </c>
      <c r="D92" s="52" t="s">
        <v>997</v>
      </c>
      <c r="E92" s="53" t="s">
        <v>988</v>
      </c>
      <c r="F92" s="50">
        <v>160423.79</v>
      </c>
      <c r="G92" s="52"/>
      <c r="H92" s="51"/>
      <c r="I92" s="1549" t="s">
        <v>989</v>
      </c>
      <c r="J92" s="1550"/>
      <c r="K92" s="50"/>
      <c r="L92" s="1232">
        <f t="shared" si="5"/>
        <v>160423.79</v>
      </c>
      <c r="M92" s="1231"/>
      <c r="N92" s="49"/>
      <c r="O92" s="1233">
        <f t="shared" si="6"/>
        <v>160423.79</v>
      </c>
      <c r="P92" s="1231"/>
    </row>
    <row r="93" spans="1:16" ht="57" x14ac:dyDescent="0.25">
      <c r="A93" s="54">
        <v>110</v>
      </c>
      <c r="B93" s="52" t="s">
        <v>540</v>
      </c>
      <c r="C93" s="52" t="s">
        <v>865</v>
      </c>
      <c r="D93" s="52" t="s">
        <v>998</v>
      </c>
      <c r="E93" s="53" t="s">
        <v>994</v>
      </c>
      <c r="F93" s="50">
        <v>126222.2</v>
      </c>
      <c r="G93" s="52"/>
      <c r="H93" s="51"/>
      <c r="I93" s="1549" t="s">
        <v>989</v>
      </c>
      <c r="J93" s="1550"/>
      <c r="K93" s="50"/>
      <c r="L93" s="1232">
        <f t="shared" si="5"/>
        <v>126222.2</v>
      </c>
      <c r="M93" s="1231"/>
      <c r="N93" s="49"/>
      <c r="O93" s="1233">
        <f t="shared" si="6"/>
        <v>126222.2</v>
      </c>
      <c r="P93" s="1231"/>
    </row>
    <row r="94" spans="1:16" ht="57" x14ac:dyDescent="0.25">
      <c r="A94" s="54">
        <v>111</v>
      </c>
      <c r="B94" s="52" t="s">
        <v>540</v>
      </c>
      <c r="C94" s="52" t="s">
        <v>865</v>
      </c>
      <c r="D94" s="52" t="s">
        <v>999</v>
      </c>
      <c r="E94" s="53" t="s">
        <v>926</v>
      </c>
      <c r="F94" s="50">
        <v>116253.23</v>
      </c>
      <c r="G94" s="52"/>
      <c r="H94" s="51"/>
      <c r="I94" s="1549" t="s">
        <v>989</v>
      </c>
      <c r="J94" s="1550"/>
      <c r="K94" s="50"/>
      <c r="L94" s="1232">
        <f t="shared" si="5"/>
        <v>116253.23</v>
      </c>
      <c r="M94" s="1231"/>
      <c r="N94" s="49"/>
      <c r="O94" s="1233">
        <f t="shared" si="6"/>
        <v>116253.23</v>
      </c>
      <c r="P94" s="1231"/>
    </row>
    <row r="95" spans="1:16" ht="42.75" x14ac:dyDescent="0.25">
      <c r="A95" s="54">
        <v>116</v>
      </c>
      <c r="B95" s="52" t="s">
        <v>879</v>
      </c>
      <c r="C95" s="52" t="s">
        <v>912</v>
      </c>
      <c r="D95" s="52" t="s">
        <v>1000</v>
      </c>
      <c r="E95" s="53" t="s">
        <v>1001</v>
      </c>
      <c r="F95" s="50">
        <v>5972.49</v>
      </c>
      <c r="G95" s="52"/>
      <c r="H95" s="51"/>
      <c r="I95" s="1549" t="s">
        <v>989</v>
      </c>
      <c r="J95" s="1550"/>
      <c r="K95" s="50"/>
      <c r="L95" s="1232">
        <f t="shared" si="5"/>
        <v>5972.49</v>
      </c>
      <c r="M95" s="1231"/>
      <c r="N95" s="49"/>
      <c r="O95" s="1233">
        <f t="shared" si="6"/>
        <v>5972.49</v>
      </c>
      <c r="P95" s="1231"/>
    </row>
    <row r="96" spans="1:16" ht="42.75" x14ac:dyDescent="0.25">
      <c r="A96" s="54">
        <v>118</v>
      </c>
      <c r="B96" s="52" t="s">
        <v>879</v>
      </c>
      <c r="C96" s="52" t="s">
        <v>912</v>
      </c>
      <c r="D96" s="52" t="s">
        <v>929</v>
      </c>
      <c r="E96" s="53" t="s">
        <v>920</v>
      </c>
      <c r="F96" s="50">
        <v>56887.27</v>
      </c>
      <c r="G96" s="52"/>
      <c r="H96" s="51"/>
      <c r="I96" s="1549" t="s">
        <v>1002</v>
      </c>
      <c r="J96" s="1550"/>
      <c r="K96" s="50"/>
      <c r="L96" s="1232">
        <f t="shared" ref="L96:L113" si="7">F96+K96</f>
        <v>56887.27</v>
      </c>
      <c r="M96" s="1231"/>
      <c r="N96" s="49"/>
      <c r="O96" s="1233">
        <f t="shared" ref="O96:O113" si="8">L96+N96</f>
        <v>56887.27</v>
      </c>
      <c r="P96" s="1231"/>
    </row>
    <row r="97" spans="1:16" ht="85.5" x14ac:dyDescent="0.25">
      <c r="A97" s="54">
        <v>123</v>
      </c>
      <c r="B97" s="52" t="s">
        <v>784</v>
      </c>
      <c r="C97" s="52" t="s">
        <v>1003</v>
      </c>
      <c r="D97" s="52" t="s">
        <v>1004</v>
      </c>
      <c r="E97" s="53" t="s">
        <v>988</v>
      </c>
      <c r="F97" s="50">
        <v>239.44</v>
      </c>
      <c r="G97" s="52"/>
      <c r="H97" s="51"/>
      <c r="I97" s="1549" t="s">
        <v>989</v>
      </c>
      <c r="J97" s="1550"/>
      <c r="K97" s="50"/>
      <c r="L97" s="1232">
        <f t="shared" si="7"/>
        <v>239.44</v>
      </c>
      <c r="M97" s="1231"/>
      <c r="N97" s="49"/>
      <c r="O97" s="1233">
        <f t="shared" si="8"/>
        <v>239.44</v>
      </c>
      <c r="P97" s="1231"/>
    </row>
    <row r="98" spans="1:16" ht="85.5" x14ac:dyDescent="0.25">
      <c r="A98" s="54">
        <v>124</v>
      </c>
      <c r="B98" s="52" t="s">
        <v>784</v>
      </c>
      <c r="C98" s="52" t="s">
        <v>1003</v>
      </c>
      <c r="D98" s="52" t="s">
        <v>1005</v>
      </c>
      <c r="E98" s="53" t="s">
        <v>926</v>
      </c>
      <c r="F98" s="50">
        <v>126.91</v>
      </c>
      <c r="G98" s="52"/>
      <c r="H98" s="51"/>
      <c r="I98" s="1549" t="s">
        <v>989</v>
      </c>
      <c r="J98" s="1550"/>
      <c r="K98" s="50"/>
      <c r="L98" s="1232">
        <f t="shared" si="7"/>
        <v>126.91</v>
      </c>
      <c r="M98" s="1231"/>
      <c r="N98" s="49"/>
      <c r="O98" s="1233">
        <f t="shared" si="8"/>
        <v>126.91</v>
      </c>
      <c r="P98" s="1231"/>
    </row>
    <row r="99" spans="1:16" ht="57" x14ac:dyDescent="0.25">
      <c r="A99" s="54">
        <v>143</v>
      </c>
      <c r="B99" s="52" t="s">
        <v>1006</v>
      </c>
      <c r="C99" s="52" t="s">
        <v>1007</v>
      </c>
      <c r="D99" s="52" t="s">
        <v>1008</v>
      </c>
      <c r="E99" s="53" t="s">
        <v>988</v>
      </c>
      <c r="F99" s="50">
        <v>53873.66</v>
      </c>
      <c r="G99" s="52"/>
      <c r="H99" s="51"/>
      <c r="I99" s="1549" t="s">
        <v>1009</v>
      </c>
      <c r="J99" s="1550"/>
      <c r="K99" s="50"/>
      <c r="L99" s="1232">
        <f t="shared" si="7"/>
        <v>53873.66</v>
      </c>
      <c r="M99" s="1231"/>
      <c r="N99" s="49"/>
      <c r="O99" s="1233">
        <f t="shared" si="8"/>
        <v>53873.66</v>
      </c>
      <c r="P99" s="1231"/>
    </row>
    <row r="100" spans="1:16" ht="57" x14ac:dyDescent="0.25">
      <c r="A100" s="54">
        <v>144</v>
      </c>
      <c r="B100" s="52" t="s">
        <v>1010</v>
      </c>
      <c r="C100" s="52" t="s">
        <v>1011</v>
      </c>
      <c r="D100" s="52" t="s">
        <v>1012</v>
      </c>
      <c r="E100" s="53" t="s">
        <v>988</v>
      </c>
      <c r="F100" s="50">
        <v>11014.17</v>
      </c>
      <c r="G100" s="52"/>
      <c r="H100" s="51"/>
      <c r="I100" s="1549" t="s">
        <v>1009</v>
      </c>
      <c r="J100" s="1550"/>
      <c r="K100" s="50"/>
      <c r="L100" s="1232">
        <f t="shared" si="7"/>
        <v>11014.17</v>
      </c>
      <c r="M100" s="1231"/>
      <c r="N100" s="49"/>
      <c r="O100" s="1233">
        <f t="shared" si="8"/>
        <v>11014.17</v>
      </c>
      <c r="P100" s="1231"/>
    </row>
    <row r="101" spans="1:16" ht="57" x14ac:dyDescent="0.25">
      <c r="A101" s="54">
        <v>154</v>
      </c>
      <c r="B101" s="52" t="s">
        <v>1010</v>
      </c>
      <c r="C101" s="52" t="s">
        <v>1013</v>
      </c>
      <c r="D101" s="52" t="s">
        <v>1014</v>
      </c>
      <c r="E101" s="53" t="s">
        <v>926</v>
      </c>
      <c r="F101" s="50">
        <v>634.57000000000005</v>
      </c>
      <c r="G101" s="52"/>
      <c r="H101" s="51"/>
      <c r="I101" s="1549" t="s">
        <v>1009</v>
      </c>
      <c r="J101" s="1550"/>
      <c r="K101" s="50"/>
      <c r="L101" s="1232">
        <f t="shared" si="7"/>
        <v>634.57000000000005</v>
      </c>
      <c r="M101" s="1231"/>
      <c r="N101" s="49"/>
      <c r="O101" s="1233">
        <f t="shared" si="8"/>
        <v>634.57000000000005</v>
      </c>
      <c r="P101" s="1231"/>
    </row>
    <row r="102" spans="1:16" ht="57" x14ac:dyDescent="0.25">
      <c r="A102" s="54">
        <v>157</v>
      </c>
      <c r="B102" s="52" t="s">
        <v>1010</v>
      </c>
      <c r="C102" s="52" t="s">
        <v>1011</v>
      </c>
      <c r="D102" s="52" t="s">
        <v>929</v>
      </c>
      <c r="E102" s="53" t="s">
        <v>920</v>
      </c>
      <c r="F102" s="50">
        <v>24.64</v>
      </c>
      <c r="G102" s="52"/>
      <c r="H102" s="51"/>
      <c r="I102" s="1549" t="s">
        <v>1015</v>
      </c>
      <c r="J102" s="1550"/>
      <c r="K102" s="50"/>
      <c r="L102" s="1232">
        <f t="shared" si="7"/>
        <v>24.64</v>
      </c>
      <c r="M102" s="1231"/>
      <c r="N102" s="49"/>
      <c r="O102" s="1233">
        <f t="shared" si="8"/>
        <v>24.64</v>
      </c>
      <c r="P102" s="1231"/>
    </row>
    <row r="103" spans="1:16" ht="28.5" x14ac:dyDescent="0.25">
      <c r="A103" s="54">
        <v>163</v>
      </c>
      <c r="B103" s="52" t="s">
        <v>516</v>
      </c>
      <c r="C103" s="52" t="s">
        <v>1016</v>
      </c>
      <c r="D103" s="52" t="s">
        <v>1017</v>
      </c>
      <c r="E103" s="53" t="s">
        <v>1001</v>
      </c>
      <c r="F103" s="50">
        <v>42649.38</v>
      </c>
      <c r="G103" s="52"/>
      <c r="H103" s="51"/>
      <c r="I103" s="1549" t="s">
        <v>1018</v>
      </c>
      <c r="J103" s="1550"/>
      <c r="K103" s="50"/>
      <c r="L103" s="1232">
        <f t="shared" si="7"/>
        <v>42649.38</v>
      </c>
      <c r="M103" s="1231"/>
      <c r="N103" s="49"/>
      <c r="O103" s="1233">
        <f t="shared" si="8"/>
        <v>42649.38</v>
      </c>
      <c r="P103" s="1231"/>
    </row>
    <row r="104" spans="1:16" ht="42.75" x14ac:dyDescent="0.25">
      <c r="A104" s="54">
        <v>165</v>
      </c>
      <c r="B104" s="52" t="s">
        <v>516</v>
      </c>
      <c r="C104" s="52" t="s">
        <v>1016</v>
      </c>
      <c r="D104" s="52" t="s">
        <v>1019</v>
      </c>
      <c r="E104" s="53" t="s">
        <v>920</v>
      </c>
      <c r="F104" s="50">
        <v>1350.51</v>
      </c>
      <c r="G104" s="52"/>
      <c r="H104" s="51"/>
      <c r="I104" s="1549" t="s">
        <v>1020</v>
      </c>
      <c r="J104" s="1550"/>
      <c r="K104" s="50"/>
      <c r="L104" s="1232">
        <f t="shared" si="7"/>
        <v>1350.51</v>
      </c>
      <c r="M104" s="1231"/>
      <c r="N104" s="49"/>
      <c r="O104" s="1233">
        <f t="shared" si="8"/>
        <v>1350.51</v>
      </c>
      <c r="P104" s="1231"/>
    </row>
    <row r="105" spans="1:16" ht="71.25" x14ac:dyDescent="0.25">
      <c r="A105" s="54">
        <v>178</v>
      </c>
      <c r="B105" s="52" t="s">
        <v>885</v>
      </c>
      <c r="C105" s="52" t="s">
        <v>886</v>
      </c>
      <c r="D105" s="52" t="s">
        <v>934</v>
      </c>
      <c r="E105" s="53" t="s">
        <v>935</v>
      </c>
      <c r="F105" s="50">
        <v>127.25</v>
      </c>
      <c r="G105" s="52"/>
      <c r="H105" s="51"/>
      <c r="I105" s="1549" t="s">
        <v>1021</v>
      </c>
      <c r="J105" s="1550"/>
      <c r="K105" s="50"/>
      <c r="L105" s="1232">
        <f t="shared" si="7"/>
        <v>127.25</v>
      </c>
      <c r="M105" s="1231"/>
      <c r="N105" s="49"/>
      <c r="O105" s="1233">
        <f t="shared" si="8"/>
        <v>127.25</v>
      </c>
      <c r="P105" s="1231"/>
    </row>
    <row r="106" spans="1:16" ht="28.5" x14ac:dyDescent="0.25">
      <c r="A106" s="54">
        <v>230</v>
      </c>
      <c r="B106" s="52" t="s">
        <v>470</v>
      </c>
      <c r="C106" s="52" t="s">
        <v>936</v>
      </c>
      <c r="D106" s="52" t="s">
        <v>1022</v>
      </c>
      <c r="E106" s="53" t="s">
        <v>1023</v>
      </c>
      <c r="F106" s="50">
        <v>1253004.6000000001</v>
      </c>
      <c r="G106" s="52"/>
      <c r="H106" s="51"/>
      <c r="I106" s="1549" t="s">
        <v>1024</v>
      </c>
      <c r="J106" s="1550"/>
      <c r="K106" s="50"/>
      <c r="L106" s="1232">
        <f t="shared" si="7"/>
        <v>1253004.6000000001</v>
      </c>
      <c r="M106" s="1231"/>
      <c r="N106" s="49"/>
      <c r="O106" s="1233">
        <f t="shared" si="8"/>
        <v>1253004.6000000001</v>
      </c>
      <c r="P106" s="1231"/>
    </row>
    <row r="107" spans="1:16" ht="28.5" x14ac:dyDescent="0.25">
      <c r="A107" s="54">
        <v>232</v>
      </c>
      <c r="B107" s="52" t="s">
        <v>470</v>
      </c>
      <c r="C107" s="52" t="s">
        <v>936</v>
      </c>
      <c r="D107" s="52" t="s">
        <v>937</v>
      </c>
      <c r="E107" s="53" t="s">
        <v>920</v>
      </c>
      <c r="F107" s="50">
        <v>79286</v>
      </c>
      <c r="G107" s="52"/>
      <c r="H107" s="51"/>
      <c r="I107" s="1549" t="s">
        <v>1025</v>
      </c>
      <c r="J107" s="1550"/>
      <c r="K107" s="50"/>
      <c r="L107" s="1232">
        <f t="shared" si="7"/>
        <v>79286</v>
      </c>
      <c r="M107" s="1231"/>
      <c r="N107" s="49"/>
      <c r="O107" s="1233">
        <f t="shared" si="8"/>
        <v>79286</v>
      </c>
      <c r="P107" s="1231"/>
    </row>
    <row r="108" spans="1:16" ht="28.5" x14ac:dyDescent="0.25">
      <c r="A108" s="54">
        <v>237</v>
      </c>
      <c r="B108" s="52" t="s">
        <v>470</v>
      </c>
      <c r="C108" s="52" t="s">
        <v>939</v>
      </c>
      <c r="D108" s="52" t="s">
        <v>1026</v>
      </c>
      <c r="E108" s="53" t="s">
        <v>1027</v>
      </c>
      <c r="F108" s="50">
        <v>27666</v>
      </c>
      <c r="G108" s="52"/>
      <c r="H108" s="51"/>
      <c r="I108" s="1549" t="s">
        <v>1028</v>
      </c>
      <c r="J108" s="1550"/>
      <c r="K108" s="50"/>
      <c r="L108" s="1232">
        <f t="shared" si="7"/>
        <v>27666</v>
      </c>
      <c r="M108" s="1231"/>
      <c r="N108" s="49"/>
      <c r="O108" s="1233">
        <f t="shared" si="8"/>
        <v>27666</v>
      </c>
      <c r="P108" s="1231"/>
    </row>
    <row r="109" spans="1:16" ht="28.5" x14ac:dyDescent="0.25">
      <c r="A109" s="54">
        <v>238</v>
      </c>
      <c r="B109" s="52" t="s">
        <v>470</v>
      </c>
      <c r="C109" s="52" t="s">
        <v>939</v>
      </c>
      <c r="D109" s="52" t="s">
        <v>940</v>
      </c>
      <c r="E109" s="53" t="s">
        <v>941</v>
      </c>
      <c r="F109" s="50">
        <v>205691.76</v>
      </c>
      <c r="G109" s="52"/>
      <c r="H109" s="51"/>
      <c r="I109" s="1549" t="s">
        <v>1029</v>
      </c>
      <c r="J109" s="1550"/>
      <c r="K109" s="50"/>
      <c r="L109" s="1232">
        <f t="shared" si="7"/>
        <v>205691.76</v>
      </c>
      <c r="M109" s="1231"/>
      <c r="N109" s="49"/>
      <c r="O109" s="1233">
        <f t="shared" si="8"/>
        <v>205691.76</v>
      </c>
      <c r="P109" s="1231"/>
    </row>
    <row r="110" spans="1:16" ht="28.5" x14ac:dyDescent="0.25">
      <c r="A110" s="54">
        <v>239</v>
      </c>
      <c r="B110" s="52" t="s">
        <v>470</v>
      </c>
      <c r="C110" s="52" t="s">
        <v>939</v>
      </c>
      <c r="D110" s="52" t="s">
        <v>943</v>
      </c>
      <c r="E110" s="53" t="s">
        <v>926</v>
      </c>
      <c r="F110" s="50">
        <v>291.29000000000002</v>
      </c>
      <c r="G110" s="52"/>
      <c r="H110" s="51"/>
      <c r="I110" s="1549" t="s">
        <v>1030</v>
      </c>
      <c r="J110" s="1550"/>
      <c r="K110" s="50"/>
      <c r="L110" s="1232">
        <f t="shared" si="7"/>
        <v>291.29000000000002</v>
      </c>
      <c r="M110" s="1231"/>
      <c r="N110" s="49"/>
      <c r="O110" s="1233">
        <f t="shared" si="8"/>
        <v>291.29000000000002</v>
      </c>
      <c r="P110" s="1231"/>
    </row>
    <row r="111" spans="1:16" ht="28.5" x14ac:dyDescent="0.25">
      <c r="A111" s="54">
        <v>241</v>
      </c>
      <c r="B111" s="52" t="s">
        <v>470</v>
      </c>
      <c r="C111" s="52" t="s">
        <v>939</v>
      </c>
      <c r="D111" s="52" t="s">
        <v>944</v>
      </c>
      <c r="E111" s="53" t="s">
        <v>920</v>
      </c>
      <c r="F111" s="50">
        <v>4612.32</v>
      </c>
      <c r="G111" s="52"/>
      <c r="H111" s="51"/>
      <c r="I111" s="1549" t="s">
        <v>1031</v>
      </c>
      <c r="J111" s="1550"/>
      <c r="K111" s="50"/>
      <c r="L111" s="1232">
        <f t="shared" si="7"/>
        <v>4612.32</v>
      </c>
      <c r="M111" s="1231"/>
      <c r="N111" s="49"/>
      <c r="O111" s="1233">
        <f t="shared" si="8"/>
        <v>4612.32</v>
      </c>
      <c r="P111" s="1231"/>
    </row>
    <row r="112" spans="1:16" ht="28.5" x14ac:dyDescent="0.25">
      <c r="A112" s="54">
        <v>282</v>
      </c>
      <c r="B112" s="52" t="s">
        <v>885</v>
      </c>
      <c r="C112" s="52" t="s">
        <v>886</v>
      </c>
      <c r="D112" s="52" t="s">
        <v>1032</v>
      </c>
      <c r="E112" s="53" t="s">
        <v>917</v>
      </c>
      <c r="F112" s="50">
        <f>SUM(F64:F111)*7%</f>
        <v>244267.41710000002</v>
      </c>
      <c r="G112" s="52"/>
      <c r="H112" s="51"/>
      <c r="I112" s="1549"/>
      <c r="J112" s="1550"/>
      <c r="K112" s="50"/>
      <c r="L112" s="1232">
        <f t="shared" si="7"/>
        <v>244267.41710000002</v>
      </c>
      <c r="M112" s="1231"/>
      <c r="N112" s="49"/>
      <c r="O112" s="1233">
        <f t="shared" si="8"/>
        <v>244267.41710000002</v>
      </c>
      <c r="P112" s="1231"/>
    </row>
    <row r="113" spans="1:16" ht="15" x14ac:dyDescent="0.25">
      <c r="A113" s="54">
        <v>282</v>
      </c>
      <c r="B113" s="52" t="s">
        <v>885</v>
      </c>
      <c r="C113" s="52" t="s">
        <v>886</v>
      </c>
      <c r="D113" s="52" t="s">
        <v>1033</v>
      </c>
      <c r="E113" s="53" t="s">
        <v>917</v>
      </c>
      <c r="F113" s="50">
        <f>500081.26*7%</f>
        <v>35005.688200000004</v>
      </c>
      <c r="G113" s="52"/>
      <c r="H113" s="51"/>
      <c r="I113" s="1549"/>
      <c r="J113" s="1550"/>
      <c r="K113" s="50"/>
      <c r="L113" s="1232">
        <f t="shared" si="7"/>
        <v>35005.688200000004</v>
      </c>
      <c r="M113" s="1231"/>
      <c r="N113" s="49"/>
      <c r="O113" s="1233">
        <f t="shared" si="8"/>
        <v>35005.688200000004</v>
      </c>
      <c r="P113" s="1231"/>
    </row>
    <row r="114" spans="1:16" ht="17.25" customHeight="1" thickBot="1" x14ac:dyDescent="0.25">
      <c r="B114" s="48" t="s">
        <v>947</v>
      </c>
      <c r="C114" s="48"/>
      <c r="D114" s="48"/>
      <c r="E114" s="48"/>
      <c r="F114" s="47">
        <f>SUM(F64:F113)</f>
        <v>3768807.6353000002</v>
      </c>
      <c r="G114" s="48"/>
      <c r="H114" s="48"/>
      <c r="I114" s="1553"/>
      <c r="J114" s="1554"/>
      <c r="K114" s="47">
        <f>SUM(K64:K113)</f>
        <v>0</v>
      </c>
      <c r="L114" s="47">
        <f>SUM(L64:L113)</f>
        <v>3768807.6353000002</v>
      </c>
      <c r="N114" s="47">
        <f>SUM(N64:N113)</f>
        <v>0</v>
      </c>
      <c r="O114" s="47">
        <f>SUM(O64:O113)</f>
        <v>3768807.6353000002</v>
      </c>
    </row>
    <row r="116" spans="1:16" ht="14.25" x14ac:dyDescent="0.2">
      <c r="F116" s="46" t="str">
        <f>IF(AND(ROUND(F114,0)=ROUND('PR Cash Reconciliation_2A,B,C,D'!D43,0)),"OK","WARNING -Financial Obligations not matching")</f>
        <v>OK</v>
      </c>
      <c r="L116" s="45" t="str">
        <f>IF(AND(ROUND(L114,0)=ROUND('PR Cash Reconciliation_2A,B,C,D'!H43,0)),"OK","WARNING -Financial Obligations not matching")</f>
        <v>OK</v>
      </c>
    </row>
  </sheetData>
  <sheetProtection algorithmName="SHA-512" hashValue="LcN0/jw9KF3EUpj8voqfId0DhU0+8LyTJd8IdjZIEh4TTIJDRleJPQlModBBRSL5yv89OPddmCCy2e8z4wJXlQ==" saltValue="pZTybe+A1UDc0jXv8a5kdg==" spinCount="100000" sheet="1" formatCells="0" formatColumns="0" formatRows="0"/>
  <mergeCells count="58">
    <mergeCell ref="I102:J102"/>
    <mergeCell ref="I103:J103"/>
    <mergeCell ref="I111:J111"/>
    <mergeCell ref="I104:J104"/>
    <mergeCell ref="I112:J112"/>
    <mergeCell ref="I113:J113"/>
    <mergeCell ref="I114:J114"/>
    <mergeCell ref="I105:J105"/>
    <mergeCell ref="I106:J106"/>
    <mergeCell ref="I107:J107"/>
    <mergeCell ref="I108:J108"/>
    <mergeCell ref="I109:J109"/>
    <mergeCell ref="I110:J110"/>
    <mergeCell ref="I98:J98"/>
    <mergeCell ref="I99:J99"/>
    <mergeCell ref="I100:J100"/>
    <mergeCell ref="I101:J101"/>
    <mergeCell ref="I86:J86"/>
    <mergeCell ref="I87:J87"/>
    <mergeCell ref="I88:J88"/>
    <mergeCell ref="I89:J89"/>
    <mergeCell ref="I90:J90"/>
    <mergeCell ref="I91:J91"/>
    <mergeCell ref="I93:J93"/>
    <mergeCell ref="I94:J94"/>
    <mergeCell ref="I95:J95"/>
    <mergeCell ref="I96:J96"/>
    <mergeCell ref="I97:J97"/>
    <mergeCell ref="I92:J92"/>
    <mergeCell ref="I81:J81"/>
    <mergeCell ref="I82:J82"/>
    <mergeCell ref="I83:J83"/>
    <mergeCell ref="I84:J84"/>
    <mergeCell ref="I85:J85"/>
    <mergeCell ref="I67:J67"/>
    <mergeCell ref="I80:J80"/>
    <mergeCell ref="I69:J69"/>
    <mergeCell ref="I70:J70"/>
    <mergeCell ref="I71:J71"/>
    <mergeCell ref="I72:J72"/>
    <mergeCell ref="I73:J73"/>
    <mergeCell ref="I74:J74"/>
    <mergeCell ref="I75:J75"/>
    <mergeCell ref="I68:J68"/>
    <mergeCell ref="I76:J76"/>
    <mergeCell ref="I77:J77"/>
    <mergeCell ref="I78:J78"/>
    <mergeCell ref="I79:J79"/>
    <mergeCell ref="N4:P4"/>
    <mergeCell ref="B62:J62"/>
    <mergeCell ref="K62:M62"/>
    <mergeCell ref="N62:P62"/>
    <mergeCell ref="I66:J66"/>
    <mergeCell ref="I63:J63"/>
    <mergeCell ref="I64:J64"/>
    <mergeCell ref="I65:J65"/>
    <mergeCell ref="B4:J4"/>
    <mergeCell ref="K4:M4"/>
  </mergeCells>
  <conditionalFormatting sqref="L116">
    <cfRule type="expression" dxfId="153" priority="6">
      <formula>L116="WARNING -Financial Obligations not matching"</formula>
    </cfRule>
  </conditionalFormatting>
  <conditionalFormatting sqref="F116">
    <cfRule type="expression" dxfId="152" priority="5">
      <formula>F116="WARNING -Financial Obligations not matching"</formula>
    </cfRule>
  </conditionalFormatting>
  <conditionalFormatting sqref="L58">
    <cfRule type="expression" dxfId="151" priority="4">
      <formula>L58="WARNING -Financial Commitments not matching"</formula>
    </cfRule>
  </conditionalFormatting>
  <conditionalFormatting sqref="F58">
    <cfRule type="expression" dxfId="150" priority="3">
      <formula>F58="WARNING -Financial Commitments not matching"</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AFC253BA-1EFF-4A5C-BD10-30DC63DCFF88}">
            <xm:f>CoverSheet!$D$14="EUR"</xm:f>
            <x14:dxf>
              <numFmt numFmtId="190" formatCode="[$EUR]\ #,##0.00;[Red]\-[$EUR]\ #,##0.00"/>
            </x14:dxf>
          </x14:cfRule>
          <xm:sqref>F64:F67 K64:L114 N64:O114 N6:O56 K6:L56 F6:F56 F70:F114</xm:sqref>
        </x14:conditionalFormatting>
        <x14:conditionalFormatting xmlns:xm="http://schemas.microsoft.com/office/excel/2006/main">
          <x14:cfRule type="expression" priority="1" id="{E35EDD29-3104-45F6-8E55-AEBCBEE5C6C8}">
            <xm:f>CoverSheet!$D$14="EUR"</xm:f>
            <x14:dxf>
              <numFmt numFmtId="190" formatCode="[$EUR]\ #,##0.00;[Red]\-[$EUR]\ #,##0.00"/>
            </x14:dxf>
          </x14:cfRule>
          <xm:sqref>F68:F69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theme="0"/>
  </sheetPr>
  <dimension ref="A3:I40"/>
  <sheetViews>
    <sheetView workbookViewId="0">
      <selection activeCell="I26" sqref="I26"/>
    </sheetView>
  </sheetViews>
  <sheetFormatPr baseColWidth="10" defaultColWidth="9.140625" defaultRowHeight="15" x14ac:dyDescent="0.25"/>
  <cols>
    <col min="1" max="1" width="10.140625" bestFit="1" customWidth="1"/>
    <col min="2" max="2" width="12.85546875" bestFit="1" customWidth="1"/>
    <col min="3" max="3" width="20.42578125" customWidth="1"/>
    <col min="4" max="4" width="17" customWidth="1"/>
    <col min="5" max="5" width="15.85546875" customWidth="1"/>
    <col min="6" max="6" width="18.85546875" customWidth="1"/>
    <col min="7" max="7" width="20.42578125" customWidth="1"/>
    <col min="8" max="8" width="12.140625" bestFit="1" customWidth="1"/>
  </cols>
  <sheetData>
    <row r="3" spans="1:9" x14ac:dyDescent="0.25">
      <c r="A3" s="637" t="s">
        <v>122</v>
      </c>
      <c r="B3" s="637" t="s">
        <v>1034</v>
      </c>
      <c r="C3" s="637" t="s">
        <v>1035</v>
      </c>
      <c r="D3" s="637" t="s">
        <v>1036</v>
      </c>
      <c r="E3" s="637" t="s">
        <v>1037</v>
      </c>
      <c r="F3" s="637" t="s">
        <v>1038</v>
      </c>
      <c r="G3" s="637" t="s">
        <v>1039</v>
      </c>
      <c r="H3" s="637" t="s">
        <v>1040</v>
      </c>
      <c r="I3" s="637" t="s">
        <v>1041</v>
      </c>
    </row>
    <row r="4" spans="1:9" hidden="1" x14ac:dyDescent="0.25">
      <c r="A4" s="637" t="s">
        <v>371</v>
      </c>
      <c r="B4" s="769" t="s">
        <v>1042</v>
      </c>
      <c r="C4" s="770" t="str">
        <f>IFERROR(INDEX('PR Cash Reconciliation_2A,B,C,D'!$C$7:$C$55,MATCH(B4,'PR Cash Reconciliation_2A,B,C,D'!$A$7:$A$55,0)),"")</f>
        <v/>
      </c>
      <c r="D4" s="770" t="str">
        <f>IFERROR(INDEX('PR Cash Reconciliation_2A,B,C,D'!$D$7:$D$55,MATCH(B4,'PR Cash Reconciliation_2A,B,C,D'!$A$7:$A$55,0)),"")</f>
        <v/>
      </c>
      <c r="E4" s="769" t="str">
        <f>IFERROR(IF(INDEX('PR Cash Reconciliation_2A,B,C,D'!$E$7:$E$55,MATCH(B4,'PR Cash Reconciliation_2A,B,C,D'!$A$7:$A$55,0))=0,"",INDEX('PR Cash Reconciliation_2A,B,C,D'!$E$7:$E$55,MATCH(B4,'PR Cash Reconciliation_2A,B,C,D'!$A$7:$A$55,0))),"")</f>
        <v/>
      </c>
      <c r="F4" s="770" t="str">
        <f>IFERROR(INDEX('PR Cash Reconciliation_2A,B,C,D'!$F$7:$F$55,MATCH(B4,'PR Cash Reconciliation_2A,B,C,D'!$A$7:$A$55,0)),"")</f>
        <v/>
      </c>
      <c r="G4" s="770" t="str">
        <f>IFERROR(INDEX('PR Cash Reconciliation_2A,B,C,D'!$G$7:$G$55,MATCH(B4,'PR Cash Reconciliation_2A,B,C,D'!$A$7:$A$55,0)),"")</f>
        <v/>
      </c>
      <c r="H4" s="769" t="str">
        <f>IFERROR(IF(INDEX('PR Cash Reconciliation_2A,B,C,D'!$I$7:$I$55,MATCH(B4,'PR Cash Reconciliation_2A,B,C,D'!$A$7:$A$55,0))=0,"",INDEX('PR Cash Reconciliation_2A,B,C,D'!$I$7:$I$55,MATCH(B4,'PR Cash Reconciliation_2A,B,C,D'!$A$7:$A$55,0))),"")</f>
        <v/>
      </c>
      <c r="I4" s="770" t="str">
        <f>IFERROR(INDEX('PR Cash Reconciliation_2A,B,C,D'!$H$7:$H$55,MATCH(B4,'PR Cash Reconciliation_2A,B,C,D'!$A$7:$A$55,0)),"")</f>
        <v/>
      </c>
    </row>
    <row r="5" spans="1:9" x14ac:dyDescent="0.25">
      <c r="A5" s="637" t="s">
        <v>1043</v>
      </c>
      <c r="B5" s="769" t="s">
        <v>800</v>
      </c>
      <c r="C5" s="770">
        <f>IFERROR(INDEX('PR Cash Reconciliation_2A,B,C,D'!$C$7:$C$55,MATCH(B5,'PR Cash Reconciliation_2A,B,C,D'!$A$7:$A$55,0)),"")</f>
        <v>0</v>
      </c>
      <c r="D5" s="770">
        <f>IFERROR(INDEX('PR Cash Reconciliation_2A,B,C,D'!$D$7:$D$55,MATCH(B5,'PR Cash Reconciliation_2A,B,C,D'!$A$7:$A$55,0)),"")</f>
        <v>1500956.9900000012</v>
      </c>
      <c r="E5" s="769" t="str">
        <f>IFERROR(IF(INDEX('PR Cash Reconciliation_2A,B,C,D'!$E$7:$E$55,MATCH(B5,'PR Cash Reconciliation_2A,B,C,D'!$A$7:$A$55,0))=0,"",INDEX('PR Cash Reconciliation_2A,B,C,D'!$E$7:$E$55,MATCH(B5,'PR Cash Reconciliation_2A,B,C,D'!$A$7:$A$55,0))),"")</f>
        <v>Solde PR au 311218</v>
      </c>
      <c r="F5" s="770">
        <f>IFERROR(INDEX('PR Cash Reconciliation_2A,B,C,D'!$F$7:$F$55,MATCH(B5,'PR Cash Reconciliation_2A,B,C,D'!$A$7:$A$55,0)),"")</f>
        <v>0</v>
      </c>
      <c r="G5" s="770">
        <f>IFERROR(INDEX('PR Cash Reconciliation_2A,B,C,D'!$G$7:$G$55,MATCH(B5,'PR Cash Reconciliation_2A,B,C,D'!$A$7:$A$55,0)),"")</f>
        <v>0</v>
      </c>
      <c r="H5" s="769" t="str">
        <f>IFERROR(IF(INDEX('PR Cash Reconciliation_2A,B,C,D'!$I$7:$I$55,MATCH(B5,'PR Cash Reconciliation_2A,B,C,D'!$A$7:$A$55,0))=0,"",INDEX('PR Cash Reconciliation_2A,B,C,D'!$I$7:$I$55,MATCH(B5,'PR Cash Reconciliation_2A,B,C,D'!$A$7:$A$55,0))),"")</f>
        <v/>
      </c>
      <c r="I5" s="770">
        <f>IFERROR(INDEX('PR Cash Reconciliation_2A,B,C,D'!$H$7:$H$55,MATCH(B5,'PR Cash Reconciliation_2A,B,C,D'!$A$7:$A$55,0)),"")</f>
        <v>1500956.9900000012</v>
      </c>
    </row>
    <row r="6" spans="1:9" x14ac:dyDescent="0.25">
      <c r="A6" s="637" t="s">
        <v>1044</v>
      </c>
      <c r="B6" s="769" t="s">
        <v>802</v>
      </c>
      <c r="C6" s="770">
        <f>IFERROR(INDEX('PR Cash Reconciliation_2A,B,C,D'!$C$7:$C$55,MATCH(B6,'PR Cash Reconciliation_2A,B,C,D'!$A$7:$A$55,0)),"")</f>
        <v>8431301.3200000003</v>
      </c>
      <c r="D6" s="770">
        <f>IFERROR(INDEX('PR Cash Reconciliation_2A,B,C,D'!$D$7:$D$55,MATCH(B6,'PR Cash Reconciliation_2A,B,C,D'!$A$7:$A$55,0)),"")</f>
        <v>18059264.43</v>
      </c>
      <c r="E6" s="769" t="str">
        <f>IFERROR(IF(INDEX('PR Cash Reconciliation_2A,B,C,D'!$E$7:$E$55,MATCH(B6,'PR Cash Reconciliation_2A,B,C,D'!$A$7:$A$55,0))=0,"",INDEX('PR Cash Reconciliation_2A,B,C,D'!$E$7:$E$55,MATCH(B6,'PR Cash Reconciliation_2A,B,C,D'!$A$7:$A$55,0))),"")</f>
        <v>Décaissements recus</v>
      </c>
      <c r="F6" s="770">
        <f>IFERROR(INDEX('PR Cash Reconciliation_2A,B,C,D'!$F$7:$F$55,MATCH(B6,'PR Cash Reconciliation_2A,B,C,D'!$A$7:$A$55,0)),"")</f>
        <v>0</v>
      </c>
      <c r="G6" s="770">
        <f>IFERROR(INDEX('PR Cash Reconciliation_2A,B,C,D'!$G$7:$G$55,MATCH(B6,'PR Cash Reconciliation_2A,B,C,D'!$A$7:$A$55,0)),"")</f>
        <v>0</v>
      </c>
      <c r="H6" s="769" t="str">
        <f>IFERROR(IF(INDEX('PR Cash Reconciliation_2A,B,C,D'!$I$7:$I$55,MATCH(B6,'PR Cash Reconciliation_2A,B,C,D'!$A$7:$A$55,0))=0,"",INDEX('PR Cash Reconciliation_2A,B,C,D'!$I$7:$I$55,MATCH(B6,'PR Cash Reconciliation_2A,B,C,D'!$A$7:$A$55,0))),"")</f>
        <v/>
      </c>
      <c r="I6" s="770">
        <f>IFERROR(INDEX('PR Cash Reconciliation_2A,B,C,D'!$H$7:$H$55,MATCH(B6,'PR Cash Reconciliation_2A,B,C,D'!$A$7:$A$55,0)),"")</f>
        <v>18059264.43</v>
      </c>
    </row>
    <row r="7" spans="1:9" x14ac:dyDescent="0.25">
      <c r="A7" s="637" t="s">
        <v>1045</v>
      </c>
      <c r="B7" s="769" t="s">
        <v>804</v>
      </c>
      <c r="C7" s="770">
        <f>IFERROR(INDEX('PR Cash Reconciliation_2A,B,C,D'!$C$7:$C$55,MATCH(B7,'PR Cash Reconciliation_2A,B,C,D'!$A$7:$A$55,0)),"")</f>
        <v>0</v>
      </c>
      <c r="D7" s="770">
        <f>IFERROR(INDEX('PR Cash Reconciliation_2A,B,C,D'!$D$7:$D$55,MATCH(B7,'PR Cash Reconciliation_2A,B,C,D'!$A$7:$A$55,0)),"")</f>
        <v>0</v>
      </c>
      <c r="E7" s="769" t="str">
        <f>IFERROR(IF(INDEX('PR Cash Reconciliation_2A,B,C,D'!$E$7:$E$55,MATCH(B7,'PR Cash Reconciliation_2A,B,C,D'!$A$7:$A$55,0))=0,"",INDEX('PR Cash Reconciliation_2A,B,C,D'!$E$7:$E$55,MATCH(B7,'PR Cash Reconciliation_2A,B,C,D'!$A$7:$A$55,0))),"")</f>
        <v/>
      </c>
      <c r="F7" s="770">
        <f>IFERROR(INDEX('PR Cash Reconciliation_2A,B,C,D'!$F$7:$F$55,MATCH(B7,'PR Cash Reconciliation_2A,B,C,D'!$A$7:$A$55,0)),"")</f>
        <v>0</v>
      </c>
      <c r="G7" s="770">
        <f>IFERROR(INDEX('PR Cash Reconciliation_2A,B,C,D'!$G$7:$G$55,MATCH(B7,'PR Cash Reconciliation_2A,B,C,D'!$A$7:$A$55,0)),"")</f>
        <v>0</v>
      </c>
      <c r="H7" s="769" t="str">
        <f>IFERROR(IF(INDEX('PR Cash Reconciliation_2A,B,C,D'!$I$7:$I$55,MATCH(B7,'PR Cash Reconciliation_2A,B,C,D'!$A$7:$A$55,0))=0,"",INDEX('PR Cash Reconciliation_2A,B,C,D'!$I$7:$I$55,MATCH(B7,'PR Cash Reconciliation_2A,B,C,D'!$A$7:$A$55,0))),"")</f>
        <v/>
      </c>
      <c r="I7" s="770">
        <f>IFERROR(INDEX('PR Cash Reconciliation_2A,B,C,D'!$H$7:$H$55,MATCH(B7,'PR Cash Reconciliation_2A,B,C,D'!$A$7:$A$55,0)),"")</f>
        <v>0</v>
      </c>
    </row>
    <row r="8" spans="1:9" x14ac:dyDescent="0.25">
      <c r="A8" s="637" t="s">
        <v>1046</v>
      </c>
      <c r="B8" s="769" t="s">
        <v>805</v>
      </c>
      <c r="C8" s="770">
        <f>IFERROR(INDEX('PR Cash Reconciliation_2A,B,C,D'!$C$7:$C$55,MATCH(B8,'PR Cash Reconciliation_2A,B,C,D'!$A$7:$A$55,0)),"")</f>
        <v>43492.06</v>
      </c>
      <c r="D8" s="770">
        <f>IFERROR(INDEX('PR Cash Reconciliation_2A,B,C,D'!$D$7:$D$55,MATCH(B8,'PR Cash Reconciliation_2A,B,C,D'!$A$7:$A$55,0)),"")</f>
        <v>174905.71</v>
      </c>
      <c r="E8" s="769" t="str">
        <f>IFERROR(IF(INDEX('PR Cash Reconciliation_2A,B,C,D'!$E$7:$E$55,MATCH(B8,'PR Cash Reconciliation_2A,B,C,D'!$A$7:$A$55,0))=0,"",INDEX('PR Cash Reconciliation_2A,B,C,D'!$E$7:$E$55,MATCH(B8,'PR Cash Reconciliation_2A,B,C,D'!$A$7:$A$55,0))),"")</f>
        <v xml:space="preserve">Intérets recus </v>
      </c>
      <c r="F8" s="770">
        <f>IFERROR(INDEX('PR Cash Reconciliation_2A,B,C,D'!$F$7:$F$55,MATCH(B8,'PR Cash Reconciliation_2A,B,C,D'!$A$7:$A$55,0)),"")</f>
        <v>0</v>
      </c>
      <c r="G8" s="770">
        <f>IFERROR(INDEX('PR Cash Reconciliation_2A,B,C,D'!$G$7:$G$55,MATCH(B8,'PR Cash Reconciliation_2A,B,C,D'!$A$7:$A$55,0)),"")</f>
        <v>0</v>
      </c>
      <c r="H8" s="769" t="str">
        <f>IFERROR(IF(INDEX('PR Cash Reconciliation_2A,B,C,D'!$I$7:$I$55,MATCH(B8,'PR Cash Reconciliation_2A,B,C,D'!$A$7:$A$55,0))=0,"",INDEX('PR Cash Reconciliation_2A,B,C,D'!$I$7:$I$55,MATCH(B8,'PR Cash Reconciliation_2A,B,C,D'!$A$7:$A$55,0))),"")</f>
        <v/>
      </c>
      <c r="I8" s="770">
        <f>IFERROR(INDEX('PR Cash Reconciliation_2A,B,C,D'!$H$7:$H$55,MATCH(B8,'PR Cash Reconciliation_2A,B,C,D'!$A$7:$A$55,0)),"")</f>
        <v>174905.71</v>
      </c>
    </row>
    <row r="9" spans="1:9" x14ac:dyDescent="0.25">
      <c r="A9" s="637" t="s">
        <v>1047</v>
      </c>
      <c r="B9" s="769" t="s">
        <v>807</v>
      </c>
      <c r="C9" s="770">
        <f>IFERROR(INDEX('PR Cash Reconciliation_2A,B,C,D'!$C$7:$C$55,MATCH(B9,'PR Cash Reconciliation_2A,B,C,D'!$A$7:$A$55,0)),"")</f>
        <v>0</v>
      </c>
      <c r="D9" s="770">
        <f>IFERROR(INDEX('PR Cash Reconciliation_2A,B,C,D'!$D$7:$D$55,MATCH(B9,'PR Cash Reconciliation_2A,B,C,D'!$A$7:$A$55,0)),"")</f>
        <v>0</v>
      </c>
      <c r="E9" s="769" t="str">
        <f>IFERROR(IF(INDEX('PR Cash Reconciliation_2A,B,C,D'!$E$7:$E$55,MATCH(B9,'PR Cash Reconciliation_2A,B,C,D'!$A$7:$A$55,0))=0,"",INDEX('PR Cash Reconciliation_2A,B,C,D'!$E$7:$E$55,MATCH(B9,'PR Cash Reconciliation_2A,B,C,D'!$A$7:$A$55,0))),"")</f>
        <v/>
      </c>
      <c r="F9" s="770">
        <f>IFERROR(INDEX('PR Cash Reconciliation_2A,B,C,D'!$F$7:$F$55,MATCH(B9,'PR Cash Reconciliation_2A,B,C,D'!$A$7:$A$55,0)),"")</f>
        <v>0</v>
      </c>
      <c r="G9" s="770">
        <f>IFERROR(INDEX('PR Cash Reconciliation_2A,B,C,D'!$G$7:$G$55,MATCH(B9,'PR Cash Reconciliation_2A,B,C,D'!$A$7:$A$55,0)),"")</f>
        <v>0</v>
      </c>
      <c r="H9" s="769" t="str">
        <f>IFERROR(IF(INDEX('PR Cash Reconciliation_2A,B,C,D'!$I$7:$I$55,MATCH(B9,'PR Cash Reconciliation_2A,B,C,D'!$A$7:$A$55,0))=0,"",INDEX('PR Cash Reconciliation_2A,B,C,D'!$I$7:$I$55,MATCH(B9,'PR Cash Reconciliation_2A,B,C,D'!$A$7:$A$55,0))),"")</f>
        <v/>
      </c>
      <c r="I9" s="770">
        <f>IFERROR(INDEX('PR Cash Reconciliation_2A,B,C,D'!$H$7:$H$55,MATCH(B9,'PR Cash Reconciliation_2A,B,C,D'!$A$7:$A$55,0)),"")</f>
        <v>0</v>
      </c>
    </row>
    <row r="10" spans="1:9" x14ac:dyDescent="0.25">
      <c r="A10" s="637" t="s">
        <v>1048</v>
      </c>
      <c r="B10" s="769" t="s">
        <v>808</v>
      </c>
      <c r="C10" s="770">
        <f>IFERROR(INDEX('PR Cash Reconciliation_2A,B,C,D'!$C$7:$C$55,MATCH(B10,'PR Cash Reconciliation_2A,B,C,D'!$A$7:$A$55,0)),"")</f>
        <v>763.55</v>
      </c>
      <c r="D10" s="770">
        <f>IFERROR(INDEX('PR Cash Reconciliation_2A,B,C,D'!$D$7:$D$55,MATCH(B10,'PR Cash Reconciliation_2A,B,C,D'!$A$7:$A$55,0)),"")</f>
        <v>110553.37</v>
      </c>
      <c r="E10" s="769" t="str">
        <f>IFERROR(IF(INDEX('PR Cash Reconciliation_2A,B,C,D'!$E$7:$E$55,MATCH(B10,'PR Cash Reconciliation_2A,B,C,D'!$A$7:$A$55,0))=0,"",INDEX('PR Cash Reconciliation_2A,B,C,D'!$E$7:$E$55,MATCH(B10,'PR Cash Reconciliation_2A,B,C,D'!$A$7:$A$55,0))),"")</f>
        <v>* Solde transfert (USD 60465.92) anciens PR pour lequel la lettre d'utilisation est attendue du Fonds Mondial;
* Reversement recu de UNICEF sur médicaments achetés : USD 31,753.78
* Reversement effectué par PNILT sur avance recue : USD 18,333.67</v>
      </c>
      <c r="F10" s="770">
        <f>IFERROR(INDEX('PR Cash Reconciliation_2A,B,C,D'!$F$7:$F$55,MATCH(B10,'PR Cash Reconciliation_2A,B,C,D'!$A$7:$A$55,0)),"")</f>
        <v>0</v>
      </c>
      <c r="G10" s="770">
        <f>IFERROR(INDEX('PR Cash Reconciliation_2A,B,C,D'!$G$7:$G$55,MATCH(B10,'PR Cash Reconciliation_2A,B,C,D'!$A$7:$A$55,0)),"")</f>
        <v>0</v>
      </c>
      <c r="H10" s="769" t="str">
        <f>IFERROR(IF(INDEX('PR Cash Reconciliation_2A,B,C,D'!$I$7:$I$55,MATCH(B10,'PR Cash Reconciliation_2A,B,C,D'!$A$7:$A$55,0))=0,"",INDEX('PR Cash Reconciliation_2A,B,C,D'!$I$7:$I$55,MATCH(B10,'PR Cash Reconciliation_2A,B,C,D'!$A$7:$A$55,0))),"")</f>
        <v/>
      </c>
      <c r="I10" s="770">
        <f>IFERROR(INDEX('PR Cash Reconciliation_2A,B,C,D'!$H$7:$H$55,MATCH(B10,'PR Cash Reconciliation_2A,B,C,D'!$A$7:$A$55,0)),"")</f>
        <v>110553.37</v>
      </c>
    </row>
    <row r="11" spans="1:9" x14ac:dyDescent="0.25">
      <c r="A11" s="637" t="s">
        <v>1049</v>
      </c>
      <c r="B11" s="769" t="s">
        <v>810</v>
      </c>
      <c r="C11" s="770">
        <f>IFERROR(INDEX('PR Cash Reconciliation_2A,B,C,D'!$C$7:$C$55,MATCH(B11,'PR Cash Reconciliation_2A,B,C,D'!$A$7:$A$55,0)),"")</f>
        <v>8475556.9300000016</v>
      </c>
      <c r="D11" s="770">
        <f>IFERROR(INDEX('PR Cash Reconciliation_2A,B,C,D'!$D$7:$D$55,MATCH(B11,'PR Cash Reconciliation_2A,B,C,D'!$A$7:$A$55,0)),"")</f>
        <v>18344723.510000002</v>
      </c>
      <c r="E11" s="769" t="str">
        <f>IFERROR(IF(INDEX('PR Cash Reconciliation_2A,B,C,D'!$E$7:$E$55,MATCH(B11,'PR Cash Reconciliation_2A,B,C,D'!$A$7:$A$55,0))=0,"",INDEX('PR Cash Reconciliation_2A,B,C,D'!$E$7:$E$55,MATCH(B11,'PR Cash Reconciliation_2A,B,C,D'!$A$7:$A$55,0))),"")</f>
        <v/>
      </c>
      <c r="F11" s="770">
        <f>IFERROR(INDEX('PR Cash Reconciliation_2A,B,C,D'!$F$7:$F$55,MATCH(B11,'PR Cash Reconciliation_2A,B,C,D'!$A$7:$A$55,0)),"")</f>
        <v>0</v>
      </c>
      <c r="G11" s="770">
        <f>IFERROR(INDEX('PR Cash Reconciliation_2A,B,C,D'!$G$7:$G$55,MATCH(B11,'PR Cash Reconciliation_2A,B,C,D'!$A$7:$A$55,0)),"")</f>
        <v>0</v>
      </c>
      <c r="H11" s="769" t="str">
        <f>IFERROR(IF(INDEX('PR Cash Reconciliation_2A,B,C,D'!$I$7:$I$55,MATCH(B11,'PR Cash Reconciliation_2A,B,C,D'!$A$7:$A$55,0))=0,"",INDEX('PR Cash Reconciliation_2A,B,C,D'!$I$7:$I$55,MATCH(B11,'PR Cash Reconciliation_2A,B,C,D'!$A$7:$A$55,0))),"")</f>
        <v/>
      </c>
      <c r="I11" s="770">
        <f>IFERROR(INDEX('PR Cash Reconciliation_2A,B,C,D'!$H$7:$H$55,MATCH(B11,'PR Cash Reconciliation_2A,B,C,D'!$A$7:$A$55,0)),"")</f>
        <v>18344723.510000002</v>
      </c>
    </row>
    <row r="12" spans="1:9" x14ac:dyDescent="0.25">
      <c r="A12" s="637" t="s">
        <v>1050</v>
      </c>
      <c r="B12" s="769" t="s">
        <v>811</v>
      </c>
      <c r="C12" s="770">
        <f>IFERROR(INDEX('PR Cash Reconciliation_2A,B,C,D'!$C$7:$C$55,MATCH(B12,'PR Cash Reconciliation_2A,B,C,D'!$A$7:$A$55,0)),"")</f>
        <v>4066961.25</v>
      </c>
      <c r="D12" s="770">
        <f>IFERROR(INDEX('PR Cash Reconciliation_2A,B,C,D'!$D$7:$D$55,MATCH(B12,'PR Cash Reconciliation_2A,B,C,D'!$A$7:$A$55,0)),"")</f>
        <v>8799672.3200000003</v>
      </c>
      <c r="E12" s="769" t="str">
        <f>IFERROR(IF(INDEX('PR Cash Reconciliation_2A,B,C,D'!$E$7:$E$55,MATCH(B12,'PR Cash Reconciliation_2A,B,C,D'!$A$7:$A$55,0))=0,"",INDEX('PR Cash Reconciliation_2A,B,C,D'!$E$7:$E$55,MATCH(B12,'PR Cash Reconciliation_2A,B,C,D'!$A$7:$A$55,0))),"")</f>
        <v>* Dépenses PR pour USD 7,207,481.75
*Paiements directs pour le compte des SRs de USD 1,092,109.3
* Prepayment de USD 500,081.27</v>
      </c>
      <c r="F12" s="770">
        <f>IFERROR(INDEX('PR Cash Reconciliation_2A,B,C,D'!$F$7:$F$55,MATCH(B12,'PR Cash Reconciliation_2A,B,C,D'!$A$7:$A$55,0)),"")</f>
        <v>0</v>
      </c>
      <c r="G12" s="770">
        <f>IFERROR(INDEX('PR Cash Reconciliation_2A,B,C,D'!$G$7:$G$55,MATCH(B12,'PR Cash Reconciliation_2A,B,C,D'!$A$7:$A$55,0)),"")</f>
        <v>0</v>
      </c>
      <c r="H12" s="769" t="str">
        <f>IFERROR(IF(INDEX('PR Cash Reconciliation_2A,B,C,D'!$I$7:$I$55,MATCH(B12,'PR Cash Reconciliation_2A,B,C,D'!$A$7:$A$55,0))=0,"",INDEX('PR Cash Reconciliation_2A,B,C,D'!$I$7:$I$55,MATCH(B12,'PR Cash Reconciliation_2A,B,C,D'!$A$7:$A$55,0))),"")</f>
        <v/>
      </c>
      <c r="I12" s="770">
        <f>IFERROR(INDEX('PR Cash Reconciliation_2A,B,C,D'!$H$7:$H$55,MATCH(B12,'PR Cash Reconciliation_2A,B,C,D'!$A$7:$A$55,0)),"")</f>
        <v>8799672.3200000003</v>
      </c>
    </row>
    <row r="13" spans="1:9" x14ac:dyDescent="0.25">
      <c r="A13" s="637" t="s">
        <v>1051</v>
      </c>
      <c r="B13" s="769" t="s">
        <v>216</v>
      </c>
      <c r="C13" s="770">
        <f>IFERROR(INDEX('PR Cash Reconciliation_2A,B,C,D'!$C$7:$C$55,MATCH(B13,'PR Cash Reconciliation_2A,B,C,D'!$A$7:$A$55,0)),"")</f>
        <v>0</v>
      </c>
      <c r="D13" s="770">
        <f>IFERROR(INDEX('PR Cash Reconciliation_2A,B,C,D'!$D$7:$D$55,MATCH(B13,'PR Cash Reconciliation_2A,B,C,D'!$A$7:$A$55,0)),"")</f>
        <v>0</v>
      </c>
      <c r="E13" s="769" t="str">
        <f>IFERROR(IF(INDEX('PR Cash Reconciliation_2A,B,C,D'!$E$7:$E$55,MATCH(B13,'PR Cash Reconciliation_2A,B,C,D'!$A$7:$A$55,0))=0,"",INDEX('PR Cash Reconciliation_2A,B,C,D'!$E$7:$E$55,MATCH(B13,'PR Cash Reconciliation_2A,B,C,D'!$A$7:$A$55,0))),"")</f>
        <v/>
      </c>
      <c r="F13" s="770">
        <f>IFERROR(INDEX('PR Cash Reconciliation_2A,B,C,D'!$F$7:$F$55,MATCH(B13,'PR Cash Reconciliation_2A,B,C,D'!$A$7:$A$55,0)),"")</f>
        <v>0</v>
      </c>
      <c r="G13" s="770">
        <f>IFERROR(INDEX('PR Cash Reconciliation_2A,B,C,D'!$G$7:$G$55,MATCH(B13,'PR Cash Reconciliation_2A,B,C,D'!$A$7:$A$55,0)),"")</f>
        <v>0</v>
      </c>
      <c r="H13" s="769" t="str">
        <f>IFERROR(IF(INDEX('PR Cash Reconciliation_2A,B,C,D'!$I$7:$I$55,MATCH(B13,'PR Cash Reconciliation_2A,B,C,D'!$A$7:$A$55,0))=0,"",INDEX('PR Cash Reconciliation_2A,B,C,D'!$I$7:$I$55,MATCH(B13,'PR Cash Reconciliation_2A,B,C,D'!$A$7:$A$55,0))),"")</f>
        <v/>
      </c>
      <c r="I13" s="770">
        <f>IFERROR(INDEX('PR Cash Reconciliation_2A,B,C,D'!$H$7:$H$55,MATCH(B13,'PR Cash Reconciliation_2A,B,C,D'!$A$7:$A$55,0)),"")</f>
        <v>0</v>
      </c>
    </row>
    <row r="14" spans="1:9" x14ac:dyDescent="0.25">
      <c r="A14" s="637" t="s">
        <v>1052</v>
      </c>
      <c r="B14" s="769" t="s">
        <v>813</v>
      </c>
      <c r="C14" s="770">
        <f>IFERROR(INDEX('PR Cash Reconciliation_2A,B,C,D'!$C$7:$C$55,MATCH(B14,'PR Cash Reconciliation_2A,B,C,D'!$A$7:$A$55,0)),"")</f>
        <v>2908416.8200000008</v>
      </c>
      <c r="D14" s="770">
        <f>IFERROR(INDEX('PR Cash Reconciliation_2A,B,C,D'!$D$7:$D$55,MATCH(B14,'PR Cash Reconciliation_2A,B,C,D'!$A$7:$A$55,0)),"")</f>
        <v>1912946.49</v>
      </c>
      <c r="E14" s="769" t="str">
        <f>IFERROR(IF(INDEX('PR Cash Reconciliation_2A,B,C,D'!$E$7:$E$55,MATCH(B14,'PR Cash Reconciliation_2A,B,C,D'!$A$7:$A$55,0))=0,"",INDEX('PR Cash Reconciliation_2A,B,C,D'!$E$7:$E$55,MATCH(B14,'PR Cash Reconciliation_2A,B,C,D'!$A$7:$A$55,0))),"")</f>
        <v>Avance aux SRs en 2019 y compris PAM</v>
      </c>
      <c r="F14" s="770">
        <f>IFERROR(INDEX('PR Cash Reconciliation_2A,B,C,D'!$F$7:$F$55,MATCH(B14,'PR Cash Reconciliation_2A,B,C,D'!$A$7:$A$55,0)),"")</f>
        <v>0</v>
      </c>
      <c r="G14" s="770">
        <f>IFERROR(INDEX('PR Cash Reconciliation_2A,B,C,D'!$G$7:$G$55,MATCH(B14,'PR Cash Reconciliation_2A,B,C,D'!$A$7:$A$55,0)),"")</f>
        <v>0</v>
      </c>
      <c r="H14" s="769" t="str">
        <f>IFERROR(IF(INDEX('PR Cash Reconciliation_2A,B,C,D'!$I$7:$I$55,MATCH(B14,'PR Cash Reconciliation_2A,B,C,D'!$A$7:$A$55,0))=0,"",INDEX('PR Cash Reconciliation_2A,B,C,D'!$I$7:$I$55,MATCH(B14,'PR Cash Reconciliation_2A,B,C,D'!$A$7:$A$55,0))),"")</f>
        <v/>
      </c>
      <c r="I14" s="770">
        <f>IFERROR(INDEX('PR Cash Reconciliation_2A,B,C,D'!$H$7:$H$55,MATCH(B14,'PR Cash Reconciliation_2A,B,C,D'!$A$7:$A$55,0)),"")</f>
        <v>1912946.49</v>
      </c>
    </row>
    <row r="15" spans="1:9" x14ac:dyDescent="0.25">
      <c r="A15" s="637" t="s">
        <v>1053</v>
      </c>
      <c r="B15" s="769" t="s">
        <v>815</v>
      </c>
      <c r="C15" s="770">
        <f>IFERROR(INDEX('PR Cash Reconciliation_2A,B,C,D'!$C$7:$C$55,MATCH(B15,'PR Cash Reconciliation_2A,B,C,D'!$A$7:$A$55,0)),"")</f>
        <v>14.83</v>
      </c>
      <c r="D15" s="770">
        <f>IFERROR(INDEX('PR Cash Reconciliation_2A,B,C,D'!$D$7:$D$55,MATCH(B15,'PR Cash Reconciliation_2A,B,C,D'!$A$7:$A$55,0)),"")</f>
        <v>192</v>
      </c>
      <c r="E15" s="769" t="str">
        <f>IFERROR(IF(INDEX('PR Cash Reconciliation_2A,B,C,D'!$E$7:$E$55,MATCH(B15,'PR Cash Reconciliation_2A,B,C,D'!$A$7:$A$55,0))=0,"",INDEX('PR Cash Reconciliation_2A,B,C,D'!$E$7:$E$55,MATCH(B15,'PR Cash Reconciliation_2A,B,C,D'!$A$7:$A$55,0))),"")</f>
        <v>Frais bancaires</v>
      </c>
      <c r="F15" s="770">
        <f>IFERROR(INDEX('PR Cash Reconciliation_2A,B,C,D'!$F$7:$F$55,MATCH(B15,'PR Cash Reconciliation_2A,B,C,D'!$A$7:$A$55,0)),"")</f>
        <v>0</v>
      </c>
      <c r="G15" s="770">
        <f>IFERROR(INDEX('PR Cash Reconciliation_2A,B,C,D'!$G$7:$G$55,MATCH(B15,'PR Cash Reconciliation_2A,B,C,D'!$A$7:$A$55,0)),"")</f>
        <v>0</v>
      </c>
      <c r="H15" s="769" t="str">
        <f>IFERROR(IF(INDEX('PR Cash Reconciliation_2A,B,C,D'!$I$7:$I$55,MATCH(B15,'PR Cash Reconciliation_2A,B,C,D'!$A$7:$A$55,0))=0,"",INDEX('PR Cash Reconciliation_2A,B,C,D'!$I$7:$I$55,MATCH(B15,'PR Cash Reconciliation_2A,B,C,D'!$A$7:$A$55,0))),"")</f>
        <v/>
      </c>
      <c r="I15" s="770">
        <f>IFERROR(INDEX('PR Cash Reconciliation_2A,B,C,D'!$H$7:$H$55,MATCH(B15,'PR Cash Reconciliation_2A,B,C,D'!$A$7:$A$55,0)),"")</f>
        <v>192</v>
      </c>
    </row>
    <row r="16" spans="1:9" x14ac:dyDescent="0.25">
      <c r="A16" s="637" t="s">
        <v>1054</v>
      </c>
      <c r="B16" s="769" t="s">
        <v>817</v>
      </c>
      <c r="C16" s="770">
        <f>IFERROR(INDEX('PR Cash Reconciliation_2A,B,C,D'!$C$7:$C$55,MATCH(B16,'PR Cash Reconciliation_2A,B,C,D'!$A$7:$A$55,0)),"")</f>
        <v>6975392.9000000004</v>
      </c>
      <c r="D16" s="770">
        <f>IFERROR(INDEX('PR Cash Reconciliation_2A,B,C,D'!$D$7:$D$55,MATCH(B16,'PR Cash Reconciliation_2A,B,C,D'!$A$7:$A$55,0)),"")</f>
        <v>10712810.810000001</v>
      </c>
      <c r="E16" s="769" t="str">
        <f>IFERROR(IF(INDEX('PR Cash Reconciliation_2A,B,C,D'!$E$7:$E$55,MATCH(B16,'PR Cash Reconciliation_2A,B,C,D'!$A$7:$A$55,0))=0,"",INDEX('PR Cash Reconciliation_2A,B,C,D'!$E$7:$E$55,MATCH(B16,'PR Cash Reconciliation_2A,B,C,D'!$A$7:$A$55,0))),"")</f>
        <v/>
      </c>
      <c r="F16" s="770">
        <f>IFERROR(INDEX('PR Cash Reconciliation_2A,B,C,D'!$F$7:$F$55,MATCH(B16,'PR Cash Reconciliation_2A,B,C,D'!$A$7:$A$55,0)),"")</f>
        <v>0</v>
      </c>
      <c r="G16" s="770">
        <f>IFERROR(INDEX('PR Cash Reconciliation_2A,B,C,D'!$G$7:$G$55,MATCH(B16,'PR Cash Reconciliation_2A,B,C,D'!$A$7:$A$55,0)),"")</f>
        <v>0</v>
      </c>
      <c r="H16" s="769" t="str">
        <f>IFERROR(IF(INDEX('PR Cash Reconciliation_2A,B,C,D'!$I$7:$I$55,MATCH(B16,'PR Cash Reconciliation_2A,B,C,D'!$A$7:$A$55,0))=0,"",INDEX('PR Cash Reconciliation_2A,B,C,D'!$I$7:$I$55,MATCH(B16,'PR Cash Reconciliation_2A,B,C,D'!$A$7:$A$55,0))),"")</f>
        <v/>
      </c>
      <c r="I16" s="770">
        <f>IFERROR(INDEX('PR Cash Reconciliation_2A,B,C,D'!$H$7:$H$55,MATCH(B16,'PR Cash Reconciliation_2A,B,C,D'!$A$7:$A$55,0)),"")</f>
        <v>10712810.810000001</v>
      </c>
    </row>
    <row r="17" spans="1:9" x14ac:dyDescent="0.25">
      <c r="A17" s="637" t="s">
        <v>1055</v>
      </c>
      <c r="B17" s="769" t="s">
        <v>818</v>
      </c>
      <c r="C17" s="770">
        <f>IFERROR(INDEX('PR Cash Reconciliation_2A,B,C,D'!$C$7:$C$55,MATCH(B17,'PR Cash Reconciliation_2A,B,C,D'!$A$7:$A$55,0)),"")</f>
        <v>0</v>
      </c>
      <c r="D17" s="770">
        <f>IFERROR(INDEX('PR Cash Reconciliation_2A,B,C,D'!$D$7:$D$55,MATCH(B17,'PR Cash Reconciliation_2A,B,C,D'!$A$7:$A$55,0)),"")</f>
        <v>0</v>
      </c>
      <c r="E17" s="769" t="str">
        <f>IFERROR(IF(INDEX('PR Cash Reconciliation_2A,B,C,D'!$E$7:$E$55,MATCH(B17,'PR Cash Reconciliation_2A,B,C,D'!$A$7:$A$55,0))=0,"",INDEX('PR Cash Reconciliation_2A,B,C,D'!$E$7:$E$55,MATCH(B17,'PR Cash Reconciliation_2A,B,C,D'!$A$7:$A$55,0))),"")</f>
        <v/>
      </c>
      <c r="F17" s="770">
        <f>IFERROR(INDEX('PR Cash Reconciliation_2A,B,C,D'!$F$7:$F$55,MATCH(B17,'PR Cash Reconciliation_2A,B,C,D'!$A$7:$A$55,0)),"")</f>
        <v>0</v>
      </c>
      <c r="G17" s="770">
        <f>IFERROR(INDEX('PR Cash Reconciliation_2A,B,C,D'!$G$7:$G$55,MATCH(B17,'PR Cash Reconciliation_2A,B,C,D'!$A$7:$A$55,0)),"")</f>
        <v>0</v>
      </c>
      <c r="H17" s="769" t="str">
        <f>IFERROR(IF(INDEX('PR Cash Reconciliation_2A,B,C,D'!$I$7:$I$55,MATCH(B17,'PR Cash Reconciliation_2A,B,C,D'!$A$7:$A$55,0))=0,"",INDEX('PR Cash Reconciliation_2A,B,C,D'!$I$7:$I$55,MATCH(B17,'PR Cash Reconciliation_2A,B,C,D'!$A$7:$A$55,0))),"")</f>
        <v/>
      </c>
      <c r="I17" s="770">
        <f>IFERROR(INDEX('PR Cash Reconciliation_2A,B,C,D'!$H$7:$H$55,MATCH(B17,'PR Cash Reconciliation_2A,B,C,D'!$A$7:$A$55,0)),"")</f>
        <v>0</v>
      </c>
    </row>
    <row r="18" spans="1:9" x14ac:dyDescent="0.25">
      <c r="A18" s="637" t="s">
        <v>1056</v>
      </c>
      <c r="B18" s="769" t="s">
        <v>819</v>
      </c>
      <c r="C18" s="770">
        <f>IFERROR(INDEX('PR Cash Reconciliation_2A,B,C,D'!$C$7:$C$55,MATCH(B18,'PR Cash Reconciliation_2A,B,C,D'!$A$7:$A$55,0)),"")</f>
        <v>792.96</v>
      </c>
      <c r="D18" s="770">
        <f>IFERROR(INDEX('PR Cash Reconciliation_2A,B,C,D'!$D$7:$D$55,MATCH(B18,'PR Cash Reconciliation_2A,B,C,D'!$A$7:$A$55,0)),"")</f>
        <v>1077.8900000000001</v>
      </c>
      <c r="E18" s="769" t="str">
        <f>IFERROR(IF(INDEX('PR Cash Reconciliation_2A,B,C,D'!$E$7:$E$55,MATCH(B18,'PR Cash Reconciliation_2A,B,C,D'!$A$7:$A$55,0))=0,"",INDEX('PR Cash Reconciliation_2A,B,C,D'!$E$7:$E$55,MATCH(B18,'PR Cash Reconciliation_2A,B,C,D'!$A$7:$A$55,0))),"")</f>
        <v>Gains &amp; pertes</v>
      </c>
      <c r="F18" s="770">
        <f>IFERROR(INDEX('PR Cash Reconciliation_2A,B,C,D'!$F$7:$F$55,MATCH(B18,'PR Cash Reconciliation_2A,B,C,D'!$A$7:$A$55,0)),"")</f>
        <v>0</v>
      </c>
      <c r="G18" s="770">
        <f>IFERROR(INDEX('PR Cash Reconciliation_2A,B,C,D'!$G$7:$G$55,MATCH(B18,'PR Cash Reconciliation_2A,B,C,D'!$A$7:$A$55,0)),"")</f>
        <v>0</v>
      </c>
      <c r="H18" s="769" t="str">
        <f>IFERROR(IF(INDEX('PR Cash Reconciliation_2A,B,C,D'!$I$7:$I$55,MATCH(B18,'PR Cash Reconciliation_2A,B,C,D'!$A$7:$A$55,0))=0,"",INDEX('PR Cash Reconciliation_2A,B,C,D'!$I$7:$I$55,MATCH(B18,'PR Cash Reconciliation_2A,B,C,D'!$A$7:$A$55,0))),"")</f>
        <v/>
      </c>
      <c r="I18" s="770">
        <f>IFERROR(INDEX('PR Cash Reconciliation_2A,B,C,D'!$H$7:$H$55,MATCH(B18,'PR Cash Reconciliation_2A,B,C,D'!$A$7:$A$55,0)),"")</f>
        <v>1077.8900000000001</v>
      </c>
    </row>
    <row r="19" spans="1:9" x14ac:dyDescent="0.25">
      <c r="A19" s="637" t="s">
        <v>1057</v>
      </c>
      <c r="B19" s="769" t="s">
        <v>821</v>
      </c>
      <c r="C19" s="770">
        <f>IFERROR(INDEX('PR Cash Reconciliation_2A,B,C,D'!$C$7:$C$55,MATCH(B19,'PR Cash Reconciliation_2A,B,C,D'!$A$7:$A$55,0)),"")</f>
        <v>0</v>
      </c>
      <c r="D19" s="770">
        <f>IFERROR(INDEX('PR Cash Reconciliation_2A,B,C,D'!$D$7:$D$55,MATCH(B19,'PR Cash Reconciliation_2A,B,C,D'!$A$7:$A$55,0)),"")</f>
        <v>0</v>
      </c>
      <c r="E19" s="769" t="str">
        <f>IFERROR(IF(INDEX('PR Cash Reconciliation_2A,B,C,D'!$E$7:$E$55,MATCH(B19,'PR Cash Reconciliation_2A,B,C,D'!$A$7:$A$55,0))=0,"",INDEX('PR Cash Reconciliation_2A,B,C,D'!$E$7:$E$55,MATCH(B19,'PR Cash Reconciliation_2A,B,C,D'!$A$7:$A$55,0))),"")</f>
        <v/>
      </c>
      <c r="F19" s="770">
        <f>IFERROR(INDEX('PR Cash Reconciliation_2A,B,C,D'!$F$7:$F$55,MATCH(B19,'PR Cash Reconciliation_2A,B,C,D'!$A$7:$A$55,0)),"")</f>
        <v>0</v>
      </c>
      <c r="G19" s="770">
        <f>IFERROR(INDEX('PR Cash Reconciliation_2A,B,C,D'!$G$7:$G$55,MATCH(B19,'PR Cash Reconciliation_2A,B,C,D'!$A$7:$A$55,0)),"")</f>
        <v>0</v>
      </c>
      <c r="H19" s="769" t="str">
        <f>IFERROR(IF(INDEX('PR Cash Reconciliation_2A,B,C,D'!$I$7:$I$55,MATCH(B19,'PR Cash Reconciliation_2A,B,C,D'!$A$7:$A$55,0))=0,"",INDEX('PR Cash Reconciliation_2A,B,C,D'!$I$7:$I$55,MATCH(B19,'PR Cash Reconciliation_2A,B,C,D'!$A$7:$A$55,0))),"")</f>
        <v/>
      </c>
      <c r="I19" s="770">
        <f>IFERROR(INDEX('PR Cash Reconciliation_2A,B,C,D'!$H$7:$H$55,MATCH(B19,'PR Cash Reconciliation_2A,B,C,D'!$A$7:$A$55,0)),"")</f>
        <v>0</v>
      </c>
    </row>
    <row r="20" spans="1:9" x14ac:dyDescent="0.25">
      <c r="A20" s="637" t="s">
        <v>1058</v>
      </c>
      <c r="B20" s="769" t="s">
        <v>822</v>
      </c>
      <c r="C20" s="770">
        <f>IFERROR(INDEX('PR Cash Reconciliation_2A,B,C,D'!$C$7:$C$55,MATCH(B20,'PR Cash Reconciliation_2A,B,C,D'!$A$7:$A$55,0)),"")</f>
        <v>0</v>
      </c>
      <c r="D20" s="770">
        <f>IFERROR(INDEX('PR Cash Reconciliation_2A,B,C,D'!$D$7:$D$55,MATCH(B20,'PR Cash Reconciliation_2A,B,C,D'!$A$7:$A$55,0)),"")</f>
        <v>0</v>
      </c>
      <c r="E20" s="769" t="str">
        <f>IFERROR(IF(INDEX('PR Cash Reconciliation_2A,B,C,D'!$E$7:$E$55,MATCH(B20,'PR Cash Reconciliation_2A,B,C,D'!$A$7:$A$55,0))=0,"",INDEX('PR Cash Reconciliation_2A,B,C,D'!$E$7:$E$55,MATCH(B20,'PR Cash Reconciliation_2A,B,C,D'!$A$7:$A$55,0))),"")</f>
        <v/>
      </c>
      <c r="F20" s="770">
        <f>IFERROR(INDEX('PR Cash Reconciliation_2A,B,C,D'!$F$7:$F$55,MATCH(B20,'PR Cash Reconciliation_2A,B,C,D'!$A$7:$A$55,0)),"")</f>
        <v>0</v>
      </c>
      <c r="G20" s="770">
        <f>IFERROR(INDEX('PR Cash Reconciliation_2A,B,C,D'!$G$7:$G$55,MATCH(B20,'PR Cash Reconciliation_2A,B,C,D'!$A$7:$A$55,0)),"")</f>
        <v>0</v>
      </c>
      <c r="H20" s="769" t="str">
        <f>IFERROR(IF(INDEX('PR Cash Reconciliation_2A,B,C,D'!$I$7:$I$55,MATCH(B20,'PR Cash Reconciliation_2A,B,C,D'!$A$7:$A$55,0))=0,"",INDEX('PR Cash Reconciliation_2A,B,C,D'!$I$7:$I$55,MATCH(B20,'PR Cash Reconciliation_2A,B,C,D'!$A$7:$A$55,0))),"")</f>
        <v/>
      </c>
      <c r="I20" s="770">
        <f>IFERROR(INDEX('PR Cash Reconciliation_2A,B,C,D'!$H$7:$H$55,MATCH(B20,'PR Cash Reconciliation_2A,B,C,D'!$A$7:$A$55,0)),"")</f>
        <v>0</v>
      </c>
    </row>
    <row r="21" spans="1:9" x14ac:dyDescent="0.25">
      <c r="A21" s="637" t="s">
        <v>1059</v>
      </c>
      <c r="B21" s="769" t="s">
        <v>823</v>
      </c>
      <c r="C21" s="770">
        <f>IFERROR(INDEX('PR Cash Reconciliation_2A,B,C,D'!$C$7:$C$55,MATCH(B21,'PR Cash Reconciliation_2A,B,C,D'!$A$7:$A$55,0)),"")</f>
        <v>0</v>
      </c>
      <c r="D21" s="770">
        <f>IFERROR(INDEX('PR Cash Reconciliation_2A,B,C,D'!$D$7:$D$55,MATCH(B21,'PR Cash Reconciliation_2A,B,C,D'!$A$7:$A$55,0)),"")</f>
        <v>0</v>
      </c>
      <c r="E21" s="769" t="str">
        <f>IFERROR(IF(INDEX('PR Cash Reconciliation_2A,B,C,D'!$E$7:$E$55,MATCH(B21,'PR Cash Reconciliation_2A,B,C,D'!$A$7:$A$55,0))=0,"",INDEX('PR Cash Reconciliation_2A,B,C,D'!$E$7:$E$55,MATCH(B21,'PR Cash Reconciliation_2A,B,C,D'!$A$7:$A$55,0))),"")</f>
        <v/>
      </c>
      <c r="F21" s="770">
        <f>IFERROR(INDEX('PR Cash Reconciliation_2A,B,C,D'!$F$7:$F$55,MATCH(B21,'PR Cash Reconciliation_2A,B,C,D'!$A$7:$A$55,0)),"")</f>
        <v>0</v>
      </c>
      <c r="G21" s="770">
        <f>IFERROR(INDEX('PR Cash Reconciliation_2A,B,C,D'!$G$7:$G$55,MATCH(B21,'PR Cash Reconciliation_2A,B,C,D'!$A$7:$A$55,0)),"")</f>
        <v>0</v>
      </c>
      <c r="H21" s="769" t="str">
        <f>IFERROR(IF(INDEX('PR Cash Reconciliation_2A,B,C,D'!$I$7:$I$55,MATCH(B21,'PR Cash Reconciliation_2A,B,C,D'!$A$7:$A$55,0))=0,"",INDEX('PR Cash Reconciliation_2A,B,C,D'!$I$7:$I$55,MATCH(B21,'PR Cash Reconciliation_2A,B,C,D'!$A$7:$A$55,0))),"")</f>
        <v/>
      </c>
      <c r="I21" s="770">
        <f>IFERROR(INDEX('PR Cash Reconciliation_2A,B,C,D'!$H$7:$H$55,MATCH(B21,'PR Cash Reconciliation_2A,B,C,D'!$A$7:$A$55,0)),"")</f>
        <v>0</v>
      </c>
    </row>
    <row r="22" spans="1:9" x14ac:dyDescent="0.25">
      <c r="A22" s="637" t="s">
        <v>1060</v>
      </c>
      <c r="B22" s="769" t="s">
        <v>824</v>
      </c>
      <c r="C22" s="770">
        <f>IFERROR(INDEX('PR Cash Reconciliation_2A,B,C,D'!$C$7:$C$55,MATCH(B22,'PR Cash Reconciliation_2A,B,C,D'!$A$7:$A$55,0)),"")</f>
        <v>0</v>
      </c>
      <c r="D22" s="770">
        <f>IFERROR(INDEX('PR Cash Reconciliation_2A,B,C,D'!$D$7:$D$55,MATCH(B22,'PR Cash Reconciliation_2A,B,C,D'!$A$7:$A$55,0)),"")</f>
        <v>9133947.5800000038</v>
      </c>
      <c r="E22" s="769" t="str">
        <f>IFERROR(IF(INDEX('PR Cash Reconciliation_2A,B,C,D'!$E$7:$E$55,MATCH(B22,'PR Cash Reconciliation_2A,B,C,D'!$A$7:$A$55,0))=0,"",INDEX('PR Cash Reconciliation_2A,B,C,D'!$E$7:$E$55,MATCH(B22,'PR Cash Reconciliation_2A,B,C,D'!$A$7:$A$55,0))),"")</f>
        <v/>
      </c>
      <c r="F22" s="770">
        <f>IFERROR(INDEX('PR Cash Reconciliation_2A,B,C,D'!$F$7:$F$55,MATCH(B22,'PR Cash Reconciliation_2A,B,C,D'!$A$7:$A$55,0)),"")</f>
        <v>0</v>
      </c>
      <c r="G22" s="770">
        <f>IFERROR(INDEX('PR Cash Reconciliation_2A,B,C,D'!$G$7:$G$55,MATCH(B22,'PR Cash Reconciliation_2A,B,C,D'!$A$7:$A$55,0)),"")</f>
        <v>0</v>
      </c>
      <c r="H22" s="769" t="str">
        <f>IFERROR(IF(INDEX('PR Cash Reconciliation_2A,B,C,D'!$I$7:$I$55,MATCH(B22,'PR Cash Reconciliation_2A,B,C,D'!$A$7:$A$55,0))=0,"",INDEX('PR Cash Reconciliation_2A,B,C,D'!$I$7:$I$55,MATCH(B22,'PR Cash Reconciliation_2A,B,C,D'!$A$7:$A$55,0))),"")</f>
        <v/>
      </c>
      <c r="I22" s="770">
        <f>IFERROR(INDEX('PR Cash Reconciliation_2A,B,C,D'!$H$7:$H$55,MATCH(B22,'PR Cash Reconciliation_2A,B,C,D'!$A$7:$A$55,0)),"")</f>
        <v>9133947.5800000038</v>
      </c>
    </row>
    <row r="23" spans="1:9" x14ac:dyDescent="0.25">
      <c r="A23" s="637" t="s">
        <v>1061</v>
      </c>
      <c r="B23" s="769" t="s">
        <v>825</v>
      </c>
      <c r="C23" s="770">
        <f>IFERROR(INDEX('PR Cash Reconciliation_2A,B,C,D'!$C$7:$C$55,MATCH(B23,'PR Cash Reconciliation_2A,B,C,D'!$A$7:$A$55,0)),"")</f>
        <v>0</v>
      </c>
      <c r="D23" s="770">
        <f>IFERROR(INDEX('PR Cash Reconciliation_2A,B,C,D'!$D$7:$D$55,MATCH(B23,'PR Cash Reconciliation_2A,B,C,D'!$A$7:$A$55,0)),"")</f>
        <v>148975.98000000016</v>
      </c>
      <c r="E23" s="769" t="str">
        <f>IFERROR(IF(INDEX('PR Cash Reconciliation_2A,B,C,D'!$E$7:$E$55,MATCH(B23,'PR Cash Reconciliation_2A,B,C,D'!$A$7:$A$55,0))=0,"",INDEX('PR Cash Reconciliation_2A,B,C,D'!$E$7:$E$55,MATCH(B23,'PR Cash Reconciliation_2A,B,C,D'!$A$7:$A$55,0))),"")</f>
        <v>Solde disponible au niveau des SRs</v>
      </c>
      <c r="F23" s="770">
        <f>IFERROR(INDEX('PR Cash Reconciliation_2A,B,C,D'!$F$7:$F$55,MATCH(B23,'PR Cash Reconciliation_2A,B,C,D'!$A$7:$A$55,0)),"")</f>
        <v>0</v>
      </c>
      <c r="G23" s="770">
        <f>IFERROR(INDEX('PR Cash Reconciliation_2A,B,C,D'!$G$7:$G$55,MATCH(B23,'PR Cash Reconciliation_2A,B,C,D'!$A$7:$A$55,0)),"")</f>
        <v>0</v>
      </c>
      <c r="H23" s="769" t="str">
        <f>IFERROR(IF(INDEX('PR Cash Reconciliation_2A,B,C,D'!$I$7:$I$55,MATCH(B23,'PR Cash Reconciliation_2A,B,C,D'!$A$7:$A$55,0))=0,"",INDEX('PR Cash Reconciliation_2A,B,C,D'!$I$7:$I$55,MATCH(B23,'PR Cash Reconciliation_2A,B,C,D'!$A$7:$A$55,0))),"")</f>
        <v/>
      </c>
      <c r="I23" s="770">
        <f>IFERROR(INDEX('PR Cash Reconciliation_2A,B,C,D'!$H$7:$H$55,MATCH(B23,'PR Cash Reconciliation_2A,B,C,D'!$A$7:$A$55,0)),"")</f>
        <v>148975.98000000016</v>
      </c>
    </row>
    <row r="24" spans="1:9" x14ac:dyDescent="0.25">
      <c r="A24" s="637" t="s">
        <v>1062</v>
      </c>
      <c r="B24" s="769" t="s">
        <v>827</v>
      </c>
      <c r="C24" s="770">
        <f>IFERROR(INDEX('PR Cash Reconciliation_2A,B,C,D'!$C$7:$C$55,MATCH(B24,'PR Cash Reconciliation_2A,B,C,D'!$A$7:$A$55,0)),"")</f>
        <v>0</v>
      </c>
      <c r="D24" s="770">
        <f>IFERROR(INDEX('PR Cash Reconciliation_2A,B,C,D'!$D$7:$D$55,MATCH(B24,'PR Cash Reconciliation_2A,B,C,D'!$A$7:$A$55,0)),"")</f>
        <v>9282923.5600000042</v>
      </c>
      <c r="E24" s="769" t="str">
        <f>IFERROR(IF(INDEX('PR Cash Reconciliation_2A,B,C,D'!$E$7:$E$55,MATCH(B24,'PR Cash Reconciliation_2A,B,C,D'!$A$7:$A$55,0))=0,"",INDEX('PR Cash Reconciliation_2A,B,C,D'!$E$7:$E$55,MATCH(B24,'PR Cash Reconciliation_2A,B,C,D'!$A$7:$A$55,0))),"")</f>
        <v/>
      </c>
      <c r="F24" s="770">
        <f>IFERROR(INDEX('PR Cash Reconciliation_2A,B,C,D'!$F$7:$F$55,MATCH(B24,'PR Cash Reconciliation_2A,B,C,D'!$A$7:$A$55,0)),"")</f>
        <v>0</v>
      </c>
      <c r="G24" s="770">
        <f>IFERROR(INDEX('PR Cash Reconciliation_2A,B,C,D'!$G$7:$G$55,MATCH(B24,'PR Cash Reconciliation_2A,B,C,D'!$A$7:$A$55,0)),"")</f>
        <v>0</v>
      </c>
      <c r="H24" s="769" t="str">
        <f>IFERROR(IF(INDEX('PR Cash Reconciliation_2A,B,C,D'!$I$7:$I$55,MATCH(B24,'PR Cash Reconciliation_2A,B,C,D'!$A$7:$A$55,0))=0,"",INDEX('PR Cash Reconciliation_2A,B,C,D'!$I$7:$I$55,MATCH(B24,'PR Cash Reconciliation_2A,B,C,D'!$A$7:$A$55,0))),"")</f>
        <v/>
      </c>
      <c r="I24" s="770">
        <f>IFERROR(INDEX('PR Cash Reconciliation_2A,B,C,D'!$H$7:$H$55,MATCH(B24,'PR Cash Reconciliation_2A,B,C,D'!$A$7:$A$55,0)),"")</f>
        <v>9282923.5600000042</v>
      </c>
    </row>
    <row r="25" spans="1:9" x14ac:dyDescent="0.25">
      <c r="A25" s="637" t="s">
        <v>1063</v>
      </c>
      <c r="B25" s="769" t="s">
        <v>829</v>
      </c>
      <c r="C25" s="770">
        <f>IFERROR(INDEX('PR Cash Reconciliation_2A,B,C,D'!$C$7:$C$55,MATCH(B25,'PR Cash Reconciliation_2A,B,C,D'!$A$7:$A$55,0)),"")</f>
        <v>0</v>
      </c>
      <c r="D25" s="770">
        <f>IFERROR(INDEX('PR Cash Reconciliation_2A,B,C,D'!$D$7:$D$55,MATCH(B25,'PR Cash Reconciliation_2A,B,C,D'!$A$7:$A$55,0)),"")</f>
        <v>9133947.6199999992</v>
      </c>
      <c r="E25" s="769" t="str">
        <f>IFERROR(IF(INDEX('PR Cash Reconciliation_2A,B,C,D'!$E$7:$E$55,MATCH(B25,'PR Cash Reconciliation_2A,B,C,D'!$A$7:$A$55,0))=0,"",INDEX('PR Cash Reconciliation_2A,B,C,D'!$E$7:$E$55,MATCH(B25,'PR Cash Reconciliation_2A,B,C,D'!$A$7:$A$55,0))),"")</f>
        <v>Solde  dans les livres comptables du PR au 311219</v>
      </c>
      <c r="F25" s="770">
        <f>IFERROR(INDEX('PR Cash Reconciliation_2A,B,C,D'!$F$7:$F$55,MATCH(B25,'PR Cash Reconciliation_2A,B,C,D'!$A$7:$A$55,0)),"")</f>
        <v>0</v>
      </c>
      <c r="G25" s="770">
        <f>IFERROR(INDEX('PR Cash Reconciliation_2A,B,C,D'!$G$7:$G$55,MATCH(B25,'PR Cash Reconciliation_2A,B,C,D'!$A$7:$A$55,0)),"")</f>
        <v>0</v>
      </c>
      <c r="H25" s="769" t="str">
        <f>IFERROR(IF(INDEX('PR Cash Reconciliation_2A,B,C,D'!$I$7:$I$55,MATCH(B25,'PR Cash Reconciliation_2A,B,C,D'!$A$7:$A$55,0))=0,"",INDEX('PR Cash Reconciliation_2A,B,C,D'!$I$7:$I$55,MATCH(B25,'PR Cash Reconciliation_2A,B,C,D'!$A$7:$A$55,0))),"")</f>
        <v/>
      </c>
      <c r="I25" s="770">
        <f>IFERROR(INDEX('PR Cash Reconciliation_2A,B,C,D'!$H$7:$H$55,MATCH(B25,'PR Cash Reconciliation_2A,B,C,D'!$A$7:$A$55,0)),"")</f>
        <v>9133947.6199999992</v>
      </c>
    </row>
    <row r="26" spans="1:9" x14ac:dyDescent="0.25">
      <c r="A26" s="637" t="s">
        <v>1064</v>
      </c>
      <c r="B26" s="769" t="s">
        <v>831</v>
      </c>
      <c r="C26" s="770">
        <f>IFERROR(INDEX('PR Cash Reconciliation_2A,B,C,D'!$C$7:$C$55,MATCH(B26,'PR Cash Reconciliation_2A,B,C,D'!$A$7:$A$55,0)),"")</f>
        <v>0</v>
      </c>
      <c r="D26" s="770">
        <f>IFERROR(INDEX('PR Cash Reconciliation_2A,B,C,D'!$D$7:$D$55,MATCH(B26,'PR Cash Reconciliation_2A,B,C,D'!$A$7:$A$55,0)),"")</f>
        <v>0</v>
      </c>
      <c r="E26" s="769" t="str">
        <f>IFERROR(IF(INDEX('PR Cash Reconciliation_2A,B,C,D'!$E$7:$E$55,MATCH(B26,'PR Cash Reconciliation_2A,B,C,D'!$A$7:$A$55,0))=0,"",INDEX('PR Cash Reconciliation_2A,B,C,D'!$E$7:$E$55,MATCH(B26,'PR Cash Reconciliation_2A,B,C,D'!$A$7:$A$55,0))),"")</f>
        <v/>
      </c>
      <c r="F26" s="770">
        <f>IFERROR(INDEX('PR Cash Reconciliation_2A,B,C,D'!$F$7:$F$55,MATCH(B26,'PR Cash Reconciliation_2A,B,C,D'!$A$7:$A$55,0)),"")</f>
        <v>0</v>
      </c>
      <c r="G26" s="770">
        <f>IFERROR(INDEX('PR Cash Reconciliation_2A,B,C,D'!$G$7:$G$55,MATCH(B26,'PR Cash Reconciliation_2A,B,C,D'!$A$7:$A$55,0)),"")</f>
        <v>0</v>
      </c>
      <c r="H26" s="769" t="str">
        <f>IFERROR(IF(INDEX('PR Cash Reconciliation_2A,B,C,D'!$I$7:$I$55,MATCH(B26,'PR Cash Reconciliation_2A,B,C,D'!$A$7:$A$55,0))=0,"",INDEX('PR Cash Reconciliation_2A,B,C,D'!$I$7:$I$55,MATCH(B26,'PR Cash Reconciliation_2A,B,C,D'!$A$7:$A$55,0))),"")</f>
        <v/>
      </c>
      <c r="I26" s="770">
        <f>IFERROR(INDEX('PR Cash Reconciliation_2A,B,C,D'!$H$7:$H$55,MATCH(B26,'PR Cash Reconciliation_2A,B,C,D'!$A$7:$A$55,0)),"")</f>
        <v>0</v>
      </c>
    </row>
    <row r="27" spans="1:9" x14ac:dyDescent="0.25">
      <c r="A27" s="637" t="s">
        <v>1065</v>
      </c>
      <c r="B27" s="769" t="s">
        <v>832</v>
      </c>
      <c r="C27" s="770">
        <f>IFERROR(INDEX('PR Cash Reconciliation_2A,B,C,D'!$C$7:$C$55,MATCH(B27,'PR Cash Reconciliation_2A,B,C,D'!$A$7:$A$55,0)),"")</f>
        <v>0</v>
      </c>
      <c r="D27" s="770">
        <f>IFERROR(INDEX('PR Cash Reconciliation_2A,B,C,D'!$D$7:$D$55,MATCH(B27,'PR Cash Reconciliation_2A,B,C,D'!$A$7:$A$55,0)),"")</f>
        <v>4483586</v>
      </c>
      <c r="E27" s="769" t="str">
        <f>IFERROR(IF(INDEX('PR Cash Reconciliation_2A,B,C,D'!$E$7:$E$55,MATCH(B27,'PR Cash Reconciliation_2A,B,C,D'!$A$7:$A$55,0))=0,"",INDEX('PR Cash Reconciliation_2A,B,C,D'!$E$7:$E$55,MATCH(B27,'PR Cash Reconciliation_2A,B,C,D'!$A$7:$A$55,0))),"")</f>
        <v>Décaissement recu le 24 Mars 2020</v>
      </c>
      <c r="F27" s="770">
        <f>IFERROR(INDEX('PR Cash Reconciliation_2A,B,C,D'!$F$7:$F$55,MATCH(B27,'PR Cash Reconciliation_2A,B,C,D'!$A$7:$A$55,0)),"")</f>
        <v>0</v>
      </c>
      <c r="G27" s="770">
        <f>IFERROR(INDEX('PR Cash Reconciliation_2A,B,C,D'!$G$7:$G$55,MATCH(B27,'PR Cash Reconciliation_2A,B,C,D'!$A$7:$A$55,0)),"")</f>
        <v>0</v>
      </c>
      <c r="H27" s="769" t="str">
        <f>IFERROR(IF(INDEX('PR Cash Reconciliation_2A,B,C,D'!$I$7:$I$55,MATCH(B27,'PR Cash Reconciliation_2A,B,C,D'!$A$7:$A$55,0))=0,"",INDEX('PR Cash Reconciliation_2A,B,C,D'!$I$7:$I$55,MATCH(B27,'PR Cash Reconciliation_2A,B,C,D'!$A$7:$A$55,0))),"")</f>
        <v/>
      </c>
      <c r="I27" s="770">
        <f>IFERROR(INDEX('PR Cash Reconciliation_2A,B,C,D'!$H$7:$H$55,MATCH(B27,'PR Cash Reconciliation_2A,B,C,D'!$A$7:$A$55,0)),"")</f>
        <v>4483586</v>
      </c>
    </row>
    <row r="28" spans="1:9" x14ac:dyDescent="0.25">
      <c r="A28" s="637" t="s">
        <v>1066</v>
      </c>
      <c r="B28" s="769" t="s">
        <v>834</v>
      </c>
      <c r="C28" s="770">
        <f>IFERROR(INDEX('PR Cash Reconciliation_2A,B,C,D'!$C$7:$C$55,MATCH(B28,'PR Cash Reconciliation_2A,B,C,D'!$A$7:$A$55,0)),"")</f>
        <v>0</v>
      </c>
      <c r="D28" s="770">
        <f>IFERROR(INDEX('PR Cash Reconciliation_2A,B,C,D'!$D$7:$D$55,MATCH(B28,'PR Cash Reconciliation_2A,B,C,D'!$A$7:$A$55,0)),"")</f>
        <v>369730.08</v>
      </c>
      <c r="E28" s="769" t="str">
        <f>IFERROR(IF(INDEX('PR Cash Reconciliation_2A,B,C,D'!$E$7:$E$55,MATCH(B28,'PR Cash Reconciliation_2A,B,C,D'!$A$7:$A$55,0))=0,"",INDEX('PR Cash Reconciliation_2A,B,C,D'!$E$7:$E$55,MATCH(B28,'PR Cash Reconciliation_2A,B,C,D'!$A$7:$A$55,0))),"")</f>
        <v>Engagements financiers au 311219</v>
      </c>
      <c r="F28" s="770">
        <f>IFERROR(INDEX('PR Cash Reconciliation_2A,B,C,D'!$F$7:$F$55,MATCH(B28,'PR Cash Reconciliation_2A,B,C,D'!$A$7:$A$55,0)),"")</f>
        <v>0</v>
      </c>
      <c r="G28" s="770">
        <f>IFERROR(INDEX('PR Cash Reconciliation_2A,B,C,D'!$G$7:$G$55,MATCH(B28,'PR Cash Reconciliation_2A,B,C,D'!$A$7:$A$55,0)),"")</f>
        <v>0</v>
      </c>
      <c r="H28" s="769" t="str">
        <f>IFERROR(IF(INDEX('PR Cash Reconciliation_2A,B,C,D'!$I$7:$I$55,MATCH(B28,'PR Cash Reconciliation_2A,B,C,D'!$A$7:$A$55,0))=0,"",INDEX('PR Cash Reconciliation_2A,B,C,D'!$I$7:$I$55,MATCH(B28,'PR Cash Reconciliation_2A,B,C,D'!$A$7:$A$55,0))),"")</f>
        <v/>
      </c>
      <c r="I28" s="770">
        <f>IFERROR(INDEX('PR Cash Reconciliation_2A,B,C,D'!$H$7:$H$55,MATCH(B28,'PR Cash Reconciliation_2A,B,C,D'!$A$7:$A$55,0)),"")</f>
        <v>369730.08</v>
      </c>
    </row>
    <row r="29" spans="1:9" x14ac:dyDescent="0.25">
      <c r="A29" s="637" t="s">
        <v>1067</v>
      </c>
      <c r="B29" s="769" t="s">
        <v>836</v>
      </c>
      <c r="C29" s="770">
        <f>IFERROR(INDEX('PR Cash Reconciliation_2A,B,C,D'!$C$7:$C$55,MATCH(B29,'PR Cash Reconciliation_2A,B,C,D'!$A$7:$A$55,0)),"")</f>
        <v>0</v>
      </c>
      <c r="D29" s="770">
        <f>IFERROR(INDEX('PR Cash Reconciliation_2A,B,C,D'!$D$7:$D$55,MATCH(B29,'PR Cash Reconciliation_2A,B,C,D'!$A$7:$A$55,0)),"")</f>
        <v>3768807.6353000002</v>
      </c>
      <c r="E29" s="769" t="str">
        <f>IFERROR(IF(INDEX('PR Cash Reconciliation_2A,B,C,D'!$E$7:$E$55,MATCH(B29,'PR Cash Reconciliation_2A,B,C,D'!$A$7:$A$55,0))=0,"",INDEX('PR Cash Reconciliation_2A,B,C,D'!$E$7:$E$55,MATCH(B29,'PR Cash Reconciliation_2A,B,C,D'!$A$7:$A$55,0))),"")</f>
        <v>Obligations financières au 311219</v>
      </c>
      <c r="F29" s="770">
        <f>IFERROR(INDEX('PR Cash Reconciliation_2A,B,C,D'!$F$7:$F$55,MATCH(B29,'PR Cash Reconciliation_2A,B,C,D'!$A$7:$A$55,0)),"")</f>
        <v>0</v>
      </c>
      <c r="G29" s="770">
        <f>IFERROR(INDEX('PR Cash Reconciliation_2A,B,C,D'!$G$7:$G$55,MATCH(B29,'PR Cash Reconciliation_2A,B,C,D'!$A$7:$A$55,0)),"")</f>
        <v>0</v>
      </c>
      <c r="H29" s="769" t="str">
        <f>IFERROR(IF(INDEX('PR Cash Reconciliation_2A,B,C,D'!$I$7:$I$55,MATCH(B29,'PR Cash Reconciliation_2A,B,C,D'!$A$7:$A$55,0))=0,"",INDEX('PR Cash Reconciliation_2A,B,C,D'!$I$7:$I$55,MATCH(B29,'PR Cash Reconciliation_2A,B,C,D'!$A$7:$A$55,0))),"")</f>
        <v/>
      </c>
      <c r="I29" s="770">
        <f>IFERROR(INDEX('PR Cash Reconciliation_2A,B,C,D'!$H$7:$H$55,MATCH(B29,'PR Cash Reconciliation_2A,B,C,D'!$A$7:$A$55,0)),"")</f>
        <v>3768807.6353000002</v>
      </c>
    </row>
    <row r="30" spans="1:9" x14ac:dyDescent="0.25">
      <c r="A30" s="637" t="s">
        <v>1068</v>
      </c>
      <c r="B30" s="769" t="s">
        <v>1069</v>
      </c>
      <c r="C30" s="770" t="str">
        <f>IFERROR(INDEX('PR Cash Reconciliation_2A,B,C,D'!$C$7:$C$55,MATCH(B30,'PR Cash Reconciliation_2A,B,C,D'!$A$7:$A$55,0)),"")</f>
        <v/>
      </c>
      <c r="D30" s="770" t="str">
        <f>IFERROR(INDEX('PR Cash Reconciliation_2A,B,C,D'!$D$7:$D$55,MATCH(B30,'PR Cash Reconciliation_2A,B,C,D'!$A$7:$A$55,0)),"")</f>
        <v/>
      </c>
      <c r="E30" s="769" t="str">
        <f>IFERROR(IF(INDEX('PR Cash Reconciliation_2A,B,C,D'!$E$7:$E$55,MATCH(B30,'PR Cash Reconciliation_2A,B,C,D'!$A$7:$A$55,0))=0,"",INDEX('PR Cash Reconciliation_2A,B,C,D'!$E$7:$E$55,MATCH(B30,'PR Cash Reconciliation_2A,B,C,D'!$A$7:$A$55,0))),"")</f>
        <v/>
      </c>
      <c r="F30" s="770" t="str">
        <f>IFERROR(INDEX('PR Cash Reconciliation_2A,B,C,D'!$F$7:$F$55,MATCH(B30,'PR Cash Reconciliation_2A,B,C,D'!$A$7:$A$55,0)),"")</f>
        <v/>
      </c>
      <c r="G30" s="770" t="str">
        <f>IFERROR(INDEX('PR Cash Reconciliation_2A,B,C,D'!$G$7:$G$55,MATCH(B30,'PR Cash Reconciliation_2A,B,C,D'!$A$7:$A$55,0)),"")</f>
        <v/>
      </c>
      <c r="H30" s="769" t="str">
        <f>IFERROR(IF(INDEX('PR Cash Reconciliation_2A,B,C,D'!$I$7:$I$55,MATCH(B30,'PR Cash Reconciliation_2A,B,C,D'!$A$7:$A$55,0))=0,"",INDEX('PR Cash Reconciliation_2A,B,C,D'!$I$7:$I$55,MATCH(B30,'PR Cash Reconciliation_2A,B,C,D'!$A$7:$A$55,0))),"")</f>
        <v/>
      </c>
      <c r="I30" s="770" t="str">
        <f>IFERROR(INDEX('PR Cash Reconciliation_2A,B,C,D'!$H$7:$H$55,MATCH(B30,'PR Cash Reconciliation_2A,B,C,D'!$A$7:$A$55,0)),"")</f>
        <v/>
      </c>
    </row>
    <row r="31" spans="1:9" x14ac:dyDescent="0.25">
      <c r="A31" s="637" t="s">
        <v>1070</v>
      </c>
      <c r="B31" s="769" t="s">
        <v>838</v>
      </c>
      <c r="C31" s="770">
        <f>IFERROR(INDEX('PR Cash Reconciliation_2A,B,C,D'!$C$7:$C$55,MATCH(B31,'PR Cash Reconciliation_2A,B,C,D'!$A$7:$A$55,0)),"")</f>
        <v>0</v>
      </c>
      <c r="D31" s="770">
        <f>IFERROR(INDEX('PR Cash Reconciliation_2A,B,C,D'!$D$7:$D$55,MATCH(B31,'PR Cash Reconciliation_2A,B,C,D'!$A$7:$A$55,0)),"")</f>
        <v>4138537.7153000003</v>
      </c>
      <c r="E31" s="769" t="str">
        <f>IFERROR(IF(INDEX('PR Cash Reconciliation_2A,B,C,D'!$E$7:$E$55,MATCH(B31,'PR Cash Reconciliation_2A,B,C,D'!$A$7:$A$55,0))=0,"",INDEX('PR Cash Reconciliation_2A,B,C,D'!$E$7:$E$55,MATCH(B31,'PR Cash Reconciliation_2A,B,C,D'!$A$7:$A$55,0))),"")</f>
        <v/>
      </c>
      <c r="F31" s="770">
        <f>IFERROR(INDEX('PR Cash Reconciliation_2A,B,C,D'!$F$7:$F$55,MATCH(B31,'PR Cash Reconciliation_2A,B,C,D'!$A$7:$A$55,0)),"")</f>
        <v>0</v>
      </c>
      <c r="G31" s="770">
        <f>IFERROR(INDEX('PR Cash Reconciliation_2A,B,C,D'!$G$7:$G$55,MATCH(B31,'PR Cash Reconciliation_2A,B,C,D'!$A$7:$A$55,0)),"")</f>
        <v>0</v>
      </c>
      <c r="H31" s="769" t="str">
        <f>IFERROR(IF(INDEX('PR Cash Reconciliation_2A,B,C,D'!$I$7:$I$55,MATCH(B31,'PR Cash Reconciliation_2A,B,C,D'!$A$7:$A$55,0))=0,"",INDEX('PR Cash Reconciliation_2A,B,C,D'!$I$7:$I$55,MATCH(B31,'PR Cash Reconciliation_2A,B,C,D'!$A$7:$A$55,0))),"")</f>
        <v/>
      </c>
      <c r="I31" s="770">
        <f>IFERROR(INDEX('PR Cash Reconciliation_2A,B,C,D'!$H$7:$H$55,MATCH(B31,'PR Cash Reconciliation_2A,B,C,D'!$A$7:$A$55,0)),"")</f>
        <v>4138537.7153000003</v>
      </c>
    </row>
    <row r="32" spans="1:9" x14ac:dyDescent="0.25">
      <c r="A32" s="637" t="s">
        <v>1071</v>
      </c>
      <c r="B32" s="769" t="s">
        <v>839</v>
      </c>
      <c r="C32" s="770">
        <f>IFERROR(INDEX('PR Cash Reconciliation_2A,B,C,D'!$C$7:$C$55,MATCH(B32,'PR Cash Reconciliation_2A,B,C,D'!$A$7:$A$55,0)),"")</f>
        <v>0</v>
      </c>
      <c r="D32" s="770">
        <f>IFERROR(INDEX('PR Cash Reconciliation_2A,B,C,D'!$D$7:$D$55,MATCH(B32,'PR Cash Reconciliation_2A,B,C,D'!$A$7:$A$55,0)),"")</f>
        <v>0</v>
      </c>
      <c r="E32" s="769" t="str">
        <f>IFERROR(IF(INDEX('PR Cash Reconciliation_2A,B,C,D'!$E$7:$E$55,MATCH(B32,'PR Cash Reconciliation_2A,B,C,D'!$A$7:$A$55,0))=0,"",INDEX('PR Cash Reconciliation_2A,B,C,D'!$E$7:$E$55,MATCH(B32,'PR Cash Reconciliation_2A,B,C,D'!$A$7:$A$55,0))),"")</f>
        <v/>
      </c>
      <c r="F32" s="770">
        <f>IFERROR(INDEX('PR Cash Reconciliation_2A,B,C,D'!$F$7:$F$55,MATCH(B32,'PR Cash Reconciliation_2A,B,C,D'!$A$7:$A$55,0)),"")</f>
        <v>0</v>
      </c>
      <c r="G32" s="770">
        <f>IFERROR(INDEX('PR Cash Reconciliation_2A,B,C,D'!$G$7:$G$55,MATCH(B32,'PR Cash Reconciliation_2A,B,C,D'!$A$7:$A$55,0)),"")</f>
        <v>0</v>
      </c>
      <c r="H32" s="769" t="str">
        <f>IFERROR(IF(INDEX('PR Cash Reconciliation_2A,B,C,D'!$I$7:$I$55,MATCH(B32,'PR Cash Reconciliation_2A,B,C,D'!$A$7:$A$55,0))=0,"",INDEX('PR Cash Reconciliation_2A,B,C,D'!$I$7:$I$55,MATCH(B32,'PR Cash Reconciliation_2A,B,C,D'!$A$7:$A$55,0))),"")</f>
        <v/>
      </c>
      <c r="I32" s="770">
        <f>IFERROR(INDEX('PR Cash Reconciliation_2A,B,C,D'!$H$7:$H$55,MATCH(B32,'PR Cash Reconciliation_2A,B,C,D'!$A$7:$A$55,0)),"")</f>
        <v>0</v>
      </c>
    </row>
    <row r="33" spans="1:9" x14ac:dyDescent="0.25">
      <c r="A33" s="637" t="s">
        <v>1072</v>
      </c>
      <c r="B33" s="769" t="s">
        <v>840</v>
      </c>
      <c r="C33" s="770">
        <f>IFERROR(INDEX('PR Cash Reconciliation_2A,B,C,D'!$C$7:$C$55,MATCH(B33,'PR Cash Reconciliation_2A,B,C,D'!$A$7:$A$55,0)),"")</f>
        <v>0</v>
      </c>
      <c r="D33" s="770">
        <f>IFERROR(INDEX('PR Cash Reconciliation_2A,B,C,D'!$D$7:$D$55,MATCH(B33,'PR Cash Reconciliation_2A,B,C,D'!$A$7:$A$55,0)),"")</f>
        <v>0</v>
      </c>
      <c r="E33" s="769" t="str">
        <f>IFERROR(IF(INDEX('PR Cash Reconciliation_2A,B,C,D'!$E$7:$E$55,MATCH(B33,'PR Cash Reconciliation_2A,B,C,D'!$A$7:$A$55,0))=0,"",INDEX('PR Cash Reconciliation_2A,B,C,D'!$E$7:$E$55,MATCH(B33,'PR Cash Reconciliation_2A,B,C,D'!$A$7:$A$55,0))),"")</f>
        <v/>
      </c>
      <c r="F33" s="770">
        <f>IFERROR(INDEX('PR Cash Reconciliation_2A,B,C,D'!$F$7:$F$55,MATCH(B33,'PR Cash Reconciliation_2A,B,C,D'!$A$7:$A$55,0)),"")</f>
        <v>0</v>
      </c>
      <c r="G33" s="770">
        <f>IFERROR(INDEX('PR Cash Reconciliation_2A,B,C,D'!$G$7:$G$55,MATCH(B33,'PR Cash Reconciliation_2A,B,C,D'!$A$7:$A$55,0)),"")</f>
        <v>0</v>
      </c>
      <c r="H33" s="769" t="str">
        <f>IFERROR(IF(INDEX('PR Cash Reconciliation_2A,B,C,D'!$I$7:$I$55,MATCH(B33,'PR Cash Reconciliation_2A,B,C,D'!$A$7:$A$55,0))=0,"",INDEX('PR Cash Reconciliation_2A,B,C,D'!$I$7:$I$55,MATCH(B33,'PR Cash Reconciliation_2A,B,C,D'!$A$7:$A$55,0))),"")</f>
        <v/>
      </c>
      <c r="I33" s="770">
        <f>IFERROR(INDEX('PR Cash Reconciliation_2A,B,C,D'!$H$7:$H$55,MATCH(B33,'PR Cash Reconciliation_2A,B,C,D'!$A$7:$A$55,0)),"")</f>
        <v>0</v>
      </c>
    </row>
    <row r="34" spans="1:9" x14ac:dyDescent="0.25">
      <c r="A34" s="637" t="s">
        <v>1073</v>
      </c>
      <c r="B34" s="769" t="s">
        <v>841</v>
      </c>
      <c r="C34" s="770">
        <f>IFERROR(INDEX('PR Cash Reconciliation_2A,B,C,D'!$C$7:$C$55,MATCH(B34,'PR Cash Reconciliation_2A,B,C,D'!$A$7:$A$55,0)),"")</f>
        <v>0</v>
      </c>
      <c r="D34" s="770">
        <f>IFERROR(INDEX('PR Cash Reconciliation_2A,B,C,D'!$D$7:$D$55,MATCH(B34,'PR Cash Reconciliation_2A,B,C,D'!$A$7:$A$55,0)),"")</f>
        <v>0</v>
      </c>
      <c r="E34" s="769" t="str">
        <f>IFERROR(IF(INDEX('PR Cash Reconciliation_2A,B,C,D'!$E$7:$E$55,MATCH(B34,'PR Cash Reconciliation_2A,B,C,D'!$A$7:$A$55,0))=0,"",INDEX('PR Cash Reconciliation_2A,B,C,D'!$E$7:$E$55,MATCH(B34,'PR Cash Reconciliation_2A,B,C,D'!$A$7:$A$55,0))),"")</f>
        <v/>
      </c>
      <c r="F34" s="770">
        <f>IFERROR(INDEX('PR Cash Reconciliation_2A,B,C,D'!$F$7:$F$55,MATCH(B34,'PR Cash Reconciliation_2A,B,C,D'!$A$7:$A$55,0)),"")</f>
        <v>0</v>
      </c>
      <c r="G34" s="770">
        <f>IFERROR(INDEX('PR Cash Reconciliation_2A,B,C,D'!$G$7:$G$55,MATCH(B34,'PR Cash Reconciliation_2A,B,C,D'!$A$7:$A$55,0)),"")</f>
        <v>0</v>
      </c>
      <c r="H34" s="769" t="str">
        <f>IFERROR(IF(INDEX('PR Cash Reconciliation_2A,B,C,D'!$I$7:$I$55,MATCH(B34,'PR Cash Reconciliation_2A,B,C,D'!$A$7:$A$55,0))=0,"",INDEX('PR Cash Reconciliation_2A,B,C,D'!$I$7:$I$55,MATCH(B34,'PR Cash Reconciliation_2A,B,C,D'!$A$7:$A$55,0))),"")</f>
        <v/>
      </c>
      <c r="I34" s="770">
        <f>IFERROR(INDEX('PR Cash Reconciliation_2A,B,C,D'!$H$7:$H$55,MATCH(B34,'PR Cash Reconciliation_2A,B,C,D'!$A$7:$A$55,0)),"")</f>
        <v>0</v>
      </c>
    </row>
    <row r="35" spans="1:9" x14ac:dyDescent="0.25">
      <c r="A35" s="637" t="s">
        <v>1074</v>
      </c>
      <c r="B35" s="769" t="s">
        <v>842</v>
      </c>
      <c r="C35" s="770">
        <f>IFERROR(INDEX('PR Cash Reconciliation_2A,B,C,D'!$C$7:$C$55,MATCH(B35,'PR Cash Reconciliation_2A,B,C,D'!$A$7:$A$55,0)),"")</f>
        <v>0</v>
      </c>
      <c r="D35" s="770">
        <f>IFERROR(INDEX('PR Cash Reconciliation_2A,B,C,D'!$D$7:$D$55,MATCH(B35,'PR Cash Reconciliation_2A,B,C,D'!$A$7:$A$55,0)),"")</f>
        <v>0</v>
      </c>
      <c r="E35" s="769" t="str">
        <f>IFERROR(IF(INDEX('PR Cash Reconciliation_2A,B,C,D'!$E$7:$E$55,MATCH(B35,'PR Cash Reconciliation_2A,B,C,D'!$A$7:$A$55,0))=0,"",INDEX('PR Cash Reconciliation_2A,B,C,D'!$E$7:$E$55,MATCH(B35,'PR Cash Reconciliation_2A,B,C,D'!$A$7:$A$55,0))),"")</f>
        <v/>
      </c>
      <c r="F35" s="770">
        <f>IFERROR(INDEX('PR Cash Reconciliation_2A,B,C,D'!$F$7:$F$55,MATCH(B35,'PR Cash Reconciliation_2A,B,C,D'!$A$7:$A$55,0)),"")</f>
        <v>0</v>
      </c>
      <c r="G35" s="770">
        <f>IFERROR(INDEX('PR Cash Reconciliation_2A,B,C,D'!$G$7:$G$55,MATCH(B35,'PR Cash Reconciliation_2A,B,C,D'!$A$7:$A$55,0)),"")</f>
        <v>0</v>
      </c>
      <c r="H35" s="769" t="str">
        <f>IFERROR(IF(INDEX('PR Cash Reconciliation_2A,B,C,D'!$I$7:$I$55,MATCH(B35,'PR Cash Reconciliation_2A,B,C,D'!$A$7:$A$55,0))=0,"",INDEX('PR Cash Reconciliation_2A,B,C,D'!$I$7:$I$55,MATCH(B35,'PR Cash Reconciliation_2A,B,C,D'!$A$7:$A$55,0))),"")</f>
        <v/>
      </c>
      <c r="I35" s="770">
        <f>IFERROR(INDEX('PR Cash Reconciliation_2A,B,C,D'!$H$7:$H$55,MATCH(B35,'PR Cash Reconciliation_2A,B,C,D'!$A$7:$A$55,0)),"")</f>
        <v>0</v>
      </c>
    </row>
    <row r="36" spans="1:9" x14ac:dyDescent="0.25">
      <c r="A36" s="637" t="s">
        <v>1075</v>
      </c>
      <c r="B36" s="769" t="s">
        <v>843</v>
      </c>
      <c r="C36" s="770">
        <f>IFERROR(INDEX('PR Cash Reconciliation_2A,B,C,D'!$C$7:$C$55,MATCH(B36,'PR Cash Reconciliation_2A,B,C,D'!$A$7:$A$55,0)),"")</f>
        <v>0</v>
      </c>
      <c r="D36" s="770">
        <f>IFERROR(INDEX('PR Cash Reconciliation_2A,B,C,D'!$D$7:$D$55,MATCH(B36,'PR Cash Reconciliation_2A,B,C,D'!$A$7:$A$55,0)),"")</f>
        <v>0</v>
      </c>
      <c r="E36" s="769" t="str">
        <f>IFERROR(IF(INDEX('PR Cash Reconciliation_2A,B,C,D'!$E$7:$E$55,MATCH(B36,'PR Cash Reconciliation_2A,B,C,D'!$A$7:$A$55,0))=0,"",INDEX('PR Cash Reconciliation_2A,B,C,D'!$E$7:$E$55,MATCH(B36,'PR Cash Reconciliation_2A,B,C,D'!$A$7:$A$55,0))),"")</f>
        <v/>
      </c>
      <c r="F36" s="770">
        <f>IFERROR(INDEX('PR Cash Reconciliation_2A,B,C,D'!$F$7:$F$55,MATCH(B36,'PR Cash Reconciliation_2A,B,C,D'!$A$7:$A$55,0)),"")</f>
        <v>0</v>
      </c>
      <c r="G36" s="770">
        <f>IFERROR(INDEX('PR Cash Reconciliation_2A,B,C,D'!$G$7:$G$55,MATCH(B36,'PR Cash Reconciliation_2A,B,C,D'!$A$7:$A$55,0)),"")</f>
        <v>0</v>
      </c>
      <c r="H36" s="769" t="str">
        <f>IFERROR(IF(INDEX('PR Cash Reconciliation_2A,B,C,D'!$I$7:$I$55,MATCH(B36,'PR Cash Reconciliation_2A,B,C,D'!$A$7:$A$55,0))=0,"",INDEX('PR Cash Reconciliation_2A,B,C,D'!$I$7:$I$55,MATCH(B36,'PR Cash Reconciliation_2A,B,C,D'!$A$7:$A$55,0))),"")</f>
        <v/>
      </c>
      <c r="I36" s="770">
        <f>IFERROR(INDEX('PR Cash Reconciliation_2A,B,C,D'!$H$7:$H$55,MATCH(B36,'PR Cash Reconciliation_2A,B,C,D'!$A$7:$A$55,0)),"")</f>
        <v>0</v>
      </c>
    </row>
    <row r="37" spans="1:9" x14ac:dyDescent="0.25">
      <c r="A37" s="637" t="s">
        <v>1076</v>
      </c>
      <c r="B37" s="769" t="s">
        <v>1077</v>
      </c>
      <c r="C37" s="770" t="str">
        <f>IFERROR(INDEX('PR Cash Reconciliation_2A,B,C,D'!$C$7:$C$55,MATCH(B37,'PR Cash Reconciliation_2A,B,C,D'!$A$7:$A$55,0)),"")</f>
        <v/>
      </c>
      <c r="D37" s="770" t="str">
        <f>IFERROR(INDEX('PR Cash Reconciliation_2A,B,C,D'!$D$7:$D$55,MATCH(B37,'PR Cash Reconciliation_2A,B,C,D'!$A$7:$A$55,0)),"")</f>
        <v/>
      </c>
      <c r="E37" s="769" t="str">
        <f>IFERROR(IF(INDEX('PR Cash Reconciliation_2A,B,C,D'!$E$7:$E$55,MATCH(B37,'PR Cash Reconciliation_2A,B,C,D'!$A$7:$A$55,0))=0,"",INDEX('PR Cash Reconciliation_2A,B,C,D'!$E$7:$E$55,MATCH(B37,'PR Cash Reconciliation_2A,B,C,D'!$A$7:$A$55,0))),"")</f>
        <v/>
      </c>
      <c r="F37" s="770" t="str">
        <f>IFERROR(INDEX('PR Cash Reconciliation_2A,B,C,D'!$F$7:$F$55,MATCH(B37,'PR Cash Reconciliation_2A,B,C,D'!$A$7:$A$55,0)),"")</f>
        <v/>
      </c>
      <c r="G37" s="770" t="str">
        <f>IFERROR(INDEX('PR Cash Reconciliation_2A,B,C,D'!$G$7:$G$55,MATCH(B37,'PR Cash Reconciliation_2A,B,C,D'!$A$7:$A$55,0)),"")</f>
        <v/>
      </c>
      <c r="H37" s="769" t="str">
        <f>IFERROR(IF(INDEX('PR Cash Reconciliation_2A,B,C,D'!$I$7:$I$55,MATCH(B37,'PR Cash Reconciliation_2A,B,C,D'!$A$7:$A$55,0))=0,"",INDEX('PR Cash Reconciliation_2A,B,C,D'!$I$7:$I$55,MATCH(B37,'PR Cash Reconciliation_2A,B,C,D'!$A$7:$A$55,0))),"")</f>
        <v/>
      </c>
      <c r="I37" s="770" t="str">
        <f>IFERROR(INDEX('PR Cash Reconciliation_2A,B,C,D'!$H$7:$H$55,MATCH(B37,'PR Cash Reconciliation_2A,B,C,D'!$A$7:$A$55,0)),"")</f>
        <v/>
      </c>
    </row>
    <row r="38" spans="1:9" x14ac:dyDescent="0.25">
      <c r="A38" s="637" t="s">
        <v>1078</v>
      </c>
      <c r="B38" s="769" t="s">
        <v>1079</v>
      </c>
      <c r="C38" s="770" t="str">
        <f>IFERROR(INDEX('PR Cash Reconciliation_2A,B,C,D'!$C$7:$C$55,MATCH(B38,'PR Cash Reconciliation_2A,B,C,D'!$A$7:$A$55,0)),"")</f>
        <v/>
      </c>
      <c r="D38" s="770" t="str">
        <f>IFERROR(INDEX('PR Cash Reconciliation_2A,B,C,D'!$D$7:$D$55,MATCH(B38,'PR Cash Reconciliation_2A,B,C,D'!$A$7:$A$55,0)),"")</f>
        <v/>
      </c>
      <c r="E38" s="769" t="str">
        <f>IFERROR(IF(INDEX('PR Cash Reconciliation_2A,B,C,D'!$E$7:$E$55,MATCH(B38,'PR Cash Reconciliation_2A,B,C,D'!$A$7:$A$55,0))=0,"",INDEX('PR Cash Reconciliation_2A,B,C,D'!$E$7:$E$55,MATCH(B38,'PR Cash Reconciliation_2A,B,C,D'!$A$7:$A$55,0))),"")</f>
        <v/>
      </c>
      <c r="F38" s="770" t="str">
        <f>IFERROR(INDEX('PR Cash Reconciliation_2A,B,C,D'!$F$7:$F$55,MATCH(B38,'PR Cash Reconciliation_2A,B,C,D'!$A$7:$A$55,0)),"")</f>
        <v/>
      </c>
      <c r="G38" s="770" t="str">
        <f>IFERROR(INDEX('PR Cash Reconciliation_2A,B,C,D'!$G$7:$G$55,MATCH(B38,'PR Cash Reconciliation_2A,B,C,D'!$A$7:$A$55,0)),"")</f>
        <v/>
      </c>
      <c r="H38" s="769" t="str">
        <f>IFERROR(IF(INDEX('PR Cash Reconciliation_2A,B,C,D'!$I$7:$I$55,MATCH(B38,'PR Cash Reconciliation_2A,B,C,D'!$A$7:$A$55,0))=0,"",INDEX('PR Cash Reconciliation_2A,B,C,D'!$I$7:$I$55,MATCH(B38,'PR Cash Reconciliation_2A,B,C,D'!$A$7:$A$55,0))),"")</f>
        <v/>
      </c>
      <c r="I38" s="770" t="str">
        <f>IFERROR(INDEX('PR Cash Reconciliation_2A,B,C,D'!$H$7:$H$55,MATCH(B38,'PR Cash Reconciliation_2A,B,C,D'!$A$7:$A$55,0)),"")</f>
        <v/>
      </c>
    </row>
    <row r="39" spans="1:9" x14ac:dyDescent="0.25">
      <c r="A39" s="637" t="s">
        <v>1080</v>
      </c>
      <c r="B39" s="769" t="s">
        <v>1081</v>
      </c>
      <c r="C39" s="770" t="str">
        <f>IFERROR(INDEX('PR Cash Reconciliation_2A,B,C,D'!$C$7:$C$55,MATCH(B39,'PR Cash Reconciliation_2A,B,C,D'!$A$7:$A$55,0)),"")</f>
        <v/>
      </c>
      <c r="D39" s="770" t="str">
        <f>IFERROR(INDEX('PR Cash Reconciliation_2A,B,C,D'!$D$7:$D$55,MATCH(B39,'PR Cash Reconciliation_2A,B,C,D'!$A$7:$A$55,0)),"")</f>
        <v/>
      </c>
      <c r="E39" s="769" t="str">
        <f>IFERROR(IF(INDEX('PR Cash Reconciliation_2A,B,C,D'!$E$7:$E$55,MATCH(B39,'PR Cash Reconciliation_2A,B,C,D'!$A$7:$A$55,0))=0,"",INDEX('PR Cash Reconciliation_2A,B,C,D'!$E$7:$E$55,MATCH(B39,'PR Cash Reconciliation_2A,B,C,D'!$A$7:$A$55,0))),"")</f>
        <v/>
      </c>
      <c r="F39" s="770" t="str">
        <f>IFERROR(INDEX('PR Cash Reconciliation_2A,B,C,D'!$F$7:$F$55,MATCH(B39,'PR Cash Reconciliation_2A,B,C,D'!$A$7:$A$55,0)),"")</f>
        <v/>
      </c>
      <c r="G39" s="770" t="str">
        <f>IFERROR(INDEX('PR Cash Reconciliation_2A,B,C,D'!$G$7:$G$55,MATCH(B39,'PR Cash Reconciliation_2A,B,C,D'!$A$7:$A$55,0)),"")</f>
        <v/>
      </c>
      <c r="H39" s="769" t="str">
        <f>IFERROR(IF(INDEX('PR Cash Reconciliation_2A,B,C,D'!$I$7:$I$55,MATCH(B39,'PR Cash Reconciliation_2A,B,C,D'!$A$7:$A$55,0))=0,"",INDEX('PR Cash Reconciliation_2A,B,C,D'!$I$7:$I$55,MATCH(B39,'PR Cash Reconciliation_2A,B,C,D'!$A$7:$A$55,0))),"")</f>
        <v/>
      </c>
      <c r="I39" s="770" t="str">
        <f>IFERROR(INDEX('PR Cash Reconciliation_2A,B,C,D'!$H$7:$H$55,MATCH(B39,'PR Cash Reconciliation_2A,B,C,D'!$A$7:$A$55,0)),"")</f>
        <v/>
      </c>
    </row>
    <row r="40" spans="1:9" x14ac:dyDescent="0.25">
      <c r="A40" s="637" t="s">
        <v>1082</v>
      </c>
      <c r="B40" s="769" t="s">
        <v>1083</v>
      </c>
      <c r="C40" s="770" t="str">
        <f>IFERROR(INDEX('PR Cash Reconciliation_2A,B,C,D'!$C$7:$C$55,MATCH(B40,'PR Cash Reconciliation_2A,B,C,D'!$A$7:$A$55,0)),"")</f>
        <v/>
      </c>
      <c r="D40" s="770" t="str">
        <f>IFERROR(INDEX('PR Cash Reconciliation_2A,B,C,D'!$D$7:$D$55,MATCH(B40,'PR Cash Reconciliation_2A,B,C,D'!$A$7:$A$55,0)),"")</f>
        <v/>
      </c>
      <c r="E40" s="769" t="str">
        <f>IFERROR(IF(INDEX('PR Cash Reconciliation_2A,B,C,D'!$E$7:$E$55,MATCH(B40,'PR Cash Reconciliation_2A,B,C,D'!$A$7:$A$55,0))=0,"",INDEX('PR Cash Reconciliation_2A,B,C,D'!$E$7:$E$55,MATCH(B40,'PR Cash Reconciliation_2A,B,C,D'!$A$7:$A$55,0))),"")</f>
        <v/>
      </c>
      <c r="F40" s="770" t="str">
        <f>IFERROR(INDEX('PR Cash Reconciliation_2A,B,C,D'!$F$7:$F$55,MATCH(B40,'PR Cash Reconciliation_2A,B,C,D'!$A$7:$A$55,0)),"")</f>
        <v/>
      </c>
      <c r="G40" s="770" t="str">
        <f>IFERROR(INDEX('PR Cash Reconciliation_2A,B,C,D'!$G$7:$G$55,MATCH(B40,'PR Cash Reconciliation_2A,B,C,D'!$A$7:$A$55,0)),"")</f>
        <v/>
      </c>
      <c r="H40" s="769" t="str">
        <f>IFERROR(IF(INDEX('PR Cash Reconciliation_2A,B,C,D'!$I$7:$I$55,MATCH(B40,'PR Cash Reconciliation_2A,B,C,D'!$A$7:$A$55,0))=0,"",INDEX('PR Cash Reconciliation_2A,B,C,D'!$I$7:$I$55,MATCH(B40,'PR Cash Reconciliation_2A,B,C,D'!$A$7:$A$55,0))),"")</f>
        <v/>
      </c>
      <c r="I40" s="770" t="str">
        <f>IFERROR(INDEX('PR Cash Reconciliation_2A,B,C,D'!$H$7:$H$55,MATCH(B40,'PR Cash Reconciliation_2A,B,C,D'!$A$7:$A$55,0)),"")</f>
        <v/>
      </c>
    </row>
  </sheetData>
  <dataValidations count="6">
    <dataValidation type="custom" allowBlank="1" showInputMessage="1" showErrorMessage="1" errorTitle="X-Author for Excel" error="Id and Lookup fields are not editable." promptTitle="X-Author for Excel" sqref="A4:A40" xr:uid="{00000000-0002-0000-1000-000000000000}">
      <formula1>""</formula1>
    </dataValidation>
    <dataValidation type="decimal" allowBlank="1" showInputMessage="1" showErrorMessage="1" errorTitle="X-Author for Excel" error="Please enter a valid numeric value. Valid range for PR Cumulative is -9999999999.99 to 9999999999.99." promptTitle="X-Author for Excel" sqref="C4:C40" xr:uid="{00000000-0002-0000-1000-000001000000}">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xr:uid="{00000000-0002-0000-1000-000002000000}">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xr:uid="{00000000-0002-0000-1000-000003000000}">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xr:uid="{00000000-0002-0000-1000-000004000000}">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40" xr:uid="{00000000-0002-0000-1000-000005000000}">
      <formula1>-9999999999.99</formula1>
      <formula2>9999999999.99</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S112"/>
  <sheetViews>
    <sheetView showGridLines="0" topLeftCell="C4" zoomScale="70" zoomScaleNormal="70" zoomScaleSheetLayoutView="55" workbookViewId="0">
      <selection activeCell="J9" sqref="J9"/>
    </sheetView>
  </sheetViews>
  <sheetFormatPr baseColWidth="10" defaultColWidth="9.140625" defaultRowHeight="12.75" x14ac:dyDescent="0.2"/>
  <cols>
    <col min="1" max="1" width="11.42578125" style="256" hidden="1" customWidth="1"/>
    <col min="2" max="2" width="32.140625" style="256" hidden="1" customWidth="1"/>
    <col min="3" max="3" width="46.5703125" style="61" customWidth="1"/>
    <col min="4" max="4" width="27" style="61" customWidth="1"/>
    <col min="5" max="5" width="24.140625" style="61" customWidth="1"/>
    <col min="6" max="6" width="21" style="61" customWidth="1"/>
    <col min="7" max="7" width="21.42578125" style="61" customWidth="1"/>
    <col min="8" max="10" width="22" style="61" customWidth="1"/>
    <col min="11" max="11" width="24.85546875" style="61" customWidth="1"/>
    <col min="12" max="12" width="20.140625" style="61" customWidth="1"/>
    <col min="13" max="13" width="38.42578125" style="61" customWidth="1"/>
    <col min="14" max="14" width="20.140625" style="61" customWidth="1"/>
    <col min="15" max="15" width="21.140625" style="61" customWidth="1"/>
    <col min="16" max="16" width="44.85546875" style="61" customWidth="1"/>
    <col min="17" max="17" width="23.42578125" style="61" customWidth="1"/>
    <col min="18" max="18" width="16.42578125" style="61" customWidth="1"/>
    <col min="19" max="19" width="35.140625" style="61" customWidth="1"/>
    <col min="20" max="16384" width="9.140625" style="60"/>
  </cols>
  <sheetData>
    <row r="1" spans="1:19" ht="51.75" customHeight="1" thickBot="1" x14ac:dyDescent="0.25">
      <c r="C1" s="1567" t="str">
        <f>CoverSheet!A1</f>
        <v>Rapport périodique sur les résultats actuels et demande de décaissement</v>
      </c>
      <c r="D1" s="1567"/>
      <c r="E1" s="1567"/>
      <c r="F1" s="1567"/>
      <c r="G1" s="1567"/>
      <c r="H1" s="1567"/>
      <c r="I1" s="1567"/>
      <c r="J1" s="1567"/>
      <c r="K1" s="1567"/>
      <c r="L1" s="1567"/>
      <c r="M1" s="1567"/>
      <c r="N1" s="1567"/>
      <c r="O1" s="1567"/>
      <c r="P1" s="1567"/>
      <c r="Q1" s="1567"/>
      <c r="R1" s="1567"/>
      <c r="S1" s="1567"/>
    </row>
    <row r="2" spans="1:19" ht="36.75" customHeight="1" thickBot="1" x14ac:dyDescent="0.25">
      <c r="C2" s="1515" t="str">
        <f>VLOOKUP(Translations!B158,Translations!B3:H508,4,0)</f>
        <v>Section 2 : Information financière</v>
      </c>
      <c r="D2" s="1516"/>
      <c r="E2" s="1568" t="str">
        <f>CoverSheet!F12</f>
        <v>Période couverte par le rapport sur les information financière</v>
      </c>
      <c r="F2" s="1569"/>
      <c r="G2" s="517">
        <f>CoverSheet!J12</f>
        <v>43466</v>
      </c>
      <c r="H2" s="512" t="str">
        <f>CoverSheet!K12</f>
        <v>Date de fin:</v>
      </c>
      <c r="I2" s="517">
        <f>CoverSheet!L12</f>
        <v>43830</v>
      </c>
      <c r="J2" s="1561"/>
      <c r="K2" s="1562"/>
      <c r="L2" s="1562"/>
      <c r="M2" s="1562"/>
      <c r="N2" s="1562"/>
      <c r="O2" s="1562"/>
      <c r="P2" s="1562"/>
      <c r="Q2" s="1562"/>
      <c r="R2" s="1562"/>
      <c r="S2" s="1563"/>
    </row>
    <row r="3" spans="1:19" ht="34.5" customHeight="1" thickBot="1" x14ac:dyDescent="0.25">
      <c r="C3" s="1517"/>
      <c r="D3" s="1518"/>
      <c r="E3" s="1568" t="s">
        <v>1084</v>
      </c>
      <c r="F3" s="1569"/>
      <c r="G3" s="1115">
        <f>CoverSheet!D13</f>
        <v>43101</v>
      </c>
      <c r="H3" s="512" t="str">
        <f>CoverSheet!K12</f>
        <v>Date de fin:</v>
      </c>
      <c r="I3" s="519">
        <f>CoverSheet!L12</f>
        <v>43830</v>
      </c>
      <c r="J3" s="1564"/>
      <c r="K3" s="1565"/>
      <c r="L3" s="1565"/>
      <c r="M3" s="1565"/>
      <c r="N3" s="1565"/>
      <c r="O3" s="1565"/>
      <c r="P3" s="1565"/>
      <c r="Q3" s="1565"/>
      <c r="R3" s="1565"/>
      <c r="S3" s="1566"/>
    </row>
    <row r="4" spans="1:19" s="102" customFormat="1" ht="18" customHeight="1" thickBot="1" x14ac:dyDescent="0.25">
      <c r="A4" s="256"/>
      <c r="B4" s="256"/>
      <c r="C4" s="104"/>
      <c r="D4" s="104"/>
      <c r="E4" s="104"/>
      <c r="F4" s="104"/>
      <c r="G4" s="104"/>
      <c r="H4" s="104"/>
      <c r="I4" s="104"/>
      <c r="J4" s="104"/>
      <c r="K4" s="104"/>
      <c r="L4" s="104"/>
      <c r="M4" s="104"/>
      <c r="N4" s="104"/>
      <c r="O4" s="104"/>
      <c r="P4" s="103"/>
      <c r="Q4" s="103"/>
      <c r="R4" s="103"/>
      <c r="S4" s="103"/>
    </row>
    <row r="5" spans="1:19" ht="39.75" customHeight="1" thickBot="1" x14ac:dyDescent="0.25">
      <c r="C5" s="1570" t="str">
        <f>VLOOKUP(Translations!B165,Translations!B3:H508,4,0)</f>
        <v>Rapprochement du récipiendaire principal concernant les fonds fournis aux sous-récipiendaires pour la période actuelle de mise en œuvre</v>
      </c>
      <c r="D5" s="1571"/>
      <c r="E5" s="1571"/>
      <c r="F5" s="1571"/>
      <c r="G5" s="1571"/>
      <c r="H5" s="1571"/>
      <c r="I5" s="1571"/>
      <c r="J5" s="1571"/>
      <c r="K5" s="1571"/>
      <c r="L5" s="1571"/>
      <c r="M5" s="1571"/>
      <c r="N5" s="1571"/>
      <c r="O5" s="1571"/>
      <c r="P5" s="1571"/>
      <c r="Q5" s="1571"/>
      <c r="R5" s="1571"/>
      <c r="S5" s="1572"/>
    </row>
    <row r="6" spans="1:19" ht="21" thickBot="1" x14ac:dyDescent="0.25">
      <c r="C6" s="513"/>
      <c r="D6" s="514"/>
      <c r="E6" s="514"/>
      <c r="F6" s="514"/>
      <c r="G6" s="514"/>
      <c r="H6" s="514"/>
      <c r="I6" s="514"/>
      <c r="J6" s="514"/>
      <c r="K6" s="514"/>
      <c r="L6" s="514"/>
      <c r="S6" s="515"/>
    </row>
    <row r="7" spans="1:19" ht="33.75" customHeight="1" thickBot="1" x14ac:dyDescent="0.25">
      <c r="C7" s="1555" t="s">
        <v>1085</v>
      </c>
      <c r="D7" s="1556"/>
      <c r="E7" s="1556"/>
      <c r="F7" s="1556"/>
      <c r="G7" s="1556"/>
      <c r="H7" s="1556"/>
      <c r="I7" s="1556"/>
      <c r="J7" s="1556"/>
      <c r="K7" s="1556"/>
      <c r="L7" s="1556"/>
      <c r="M7" s="1556"/>
      <c r="N7" s="1557" t="s">
        <v>1086</v>
      </c>
      <c r="O7" s="1557"/>
      <c r="P7" s="1557"/>
      <c r="Q7" s="1558" t="s">
        <v>792</v>
      </c>
      <c r="R7" s="1559"/>
      <c r="S7" s="1560"/>
    </row>
    <row r="8" spans="1:19" ht="129.75" customHeight="1" x14ac:dyDescent="0.2">
      <c r="C8" s="940" t="str">
        <f>VLOOKUP(Translations!B167,Translations!B3:H508,4,0)</f>
        <v>(1) 
Nom du sous-récipiendaire</v>
      </c>
      <c r="D8" s="941" t="str">
        <f>VLOOKUP(Translations!B168,Translations!B3:H508,4,0)</f>
        <v>(2) 
 Dépenses cumulées du sous-récipiendaire pour les périodes précédentes au niveau du récipiendaire principal</v>
      </c>
      <c r="E8" s="941" t="str">
        <f>VLOOKUP(Translations!B169,Translations!B3:H508,4,0)</f>
        <v>(3) 
Avances ouvertes au sous-récipiendaire au niveau du récipiendaire principal</v>
      </c>
      <c r="F8" s="941" t="str">
        <f>VLOOKUP(Translations!B170,Translations!B3:H508,4,0)</f>
        <v>(4) 
Décaissements réalisés par le récipiendaire principal</v>
      </c>
      <c r="G8" s="941" t="str">
        <f>VLOOKUP(Translations!B171,Translations!B3:H508,4,0)</f>
        <v>(5) 
Autres revenus*</v>
      </c>
      <c r="H8" s="941" t="str">
        <f>VLOOKUP(Translations!B172,Translations!B3:H508,4,0)</f>
        <v>(6) 
Dépenses validées par le récipiendaire principal</v>
      </c>
      <c r="I8" s="942" t="str">
        <f>VLOOKUP(Translations!B173,Translations!B3:H508,4,0)</f>
        <v>(7)
Remboursements reçus du sous-récipiendaire</v>
      </c>
      <c r="J8" s="942" t="str">
        <f>VLOOKUP(Translations!B174,Translations!B3:H508,4,0)</f>
        <v>(8) 
Solde de trésorerie de clôture du sous-récipiendaire au niveau du récipiendaire principal</v>
      </c>
      <c r="K8" s="942" t="str">
        <f>VLOOKUP(Translations!B175,Translations!B3:H508,4,0)</f>
        <v>(9) 
Solde de trésorerie réel du sous-récipiendaire (le cas échéant)</v>
      </c>
      <c r="L8" s="942" t="str">
        <f>VLOOKUP(Translations!B176,Translations!B3:H508,4,0)</f>
        <v xml:space="preserve"> (10)
Écarts par rapport aux soldes des sous-récipiendaires</v>
      </c>
      <c r="M8" s="941" t="str">
        <f>VLOOKUP(Translations!B177,Translations!B3:H508,4,0)</f>
        <v>Commentaires</v>
      </c>
      <c r="N8" s="81" t="s">
        <v>845</v>
      </c>
      <c r="O8" s="80" t="s">
        <v>797</v>
      </c>
      <c r="P8" s="81" t="s">
        <v>160</v>
      </c>
      <c r="Q8" s="943" t="s">
        <v>1087</v>
      </c>
      <c r="R8" s="944" t="s">
        <v>799</v>
      </c>
      <c r="S8" s="945" t="s">
        <v>160</v>
      </c>
    </row>
    <row r="9" spans="1:19" ht="29.25" customHeight="1" x14ac:dyDescent="0.2">
      <c r="A9" s="636">
        <f>A8+1</f>
        <v>1</v>
      </c>
      <c r="B9" s="636" t="str">
        <f>"ID"&amp;A9</f>
        <v>ID1</v>
      </c>
      <c r="C9" s="1234" t="s">
        <v>1088</v>
      </c>
      <c r="D9" s="1235">
        <v>1195523.74</v>
      </c>
      <c r="E9" s="1235">
        <v>218613.70000000019</v>
      </c>
      <c r="F9" s="1235">
        <v>781774.9</v>
      </c>
      <c r="G9" s="1235">
        <f>-3703.27+848.29</f>
        <v>-2854.98</v>
      </c>
      <c r="H9" s="1235">
        <v>951194.46</v>
      </c>
      <c r="I9" s="1235"/>
      <c r="J9" s="1236">
        <f>IFERROR(+E9+F9+G9-H9-I9,"")</f>
        <v>46339.160000000265</v>
      </c>
      <c r="K9" s="1235"/>
      <c r="L9" s="1236">
        <f>IFERROR(+K9-J9,"")</f>
        <v>-46339.160000000265</v>
      </c>
      <c r="M9" s="1237"/>
      <c r="N9" s="1238"/>
      <c r="O9" s="1239">
        <f>IFERROR(J9+N9,"")</f>
        <v>46339.160000000265</v>
      </c>
      <c r="P9" s="1240"/>
      <c r="Q9" s="1146"/>
      <c r="R9" s="1147">
        <f>O9+Q9</f>
        <v>46339.160000000265</v>
      </c>
      <c r="S9" s="1241"/>
    </row>
    <row r="10" spans="1:19" ht="29.25" customHeight="1" x14ac:dyDescent="0.2">
      <c r="A10" s="636">
        <f t="shared" ref="A10:A73" si="0">A9+1</f>
        <v>2</v>
      </c>
      <c r="B10" s="636" t="str">
        <f t="shared" ref="B10:B73" si="1">"ID"&amp;A10</f>
        <v>ID2</v>
      </c>
      <c r="C10" s="1234" t="s">
        <v>1089</v>
      </c>
      <c r="D10" s="1235">
        <v>238744.51</v>
      </c>
      <c r="E10" s="1235">
        <v>103369.94</v>
      </c>
      <c r="F10" s="1235">
        <f>28228.3+29870.77+43411.09+138311.5+112503.27</f>
        <v>352324.93</v>
      </c>
      <c r="G10" s="1235">
        <v>-1265.26</v>
      </c>
      <c r="H10" s="1235">
        <v>425252.39</v>
      </c>
      <c r="I10" s="1235">
        <v>18333.669999999998</v>
      </c>
      <c r="J10" s="1236">
        <f t="shared" ref="J10:J73" si="2">IFERROR(+E10+F10+G10-H10-I10,"")</f>
        <v>10843.549999999974</v>
      </c>
      <c r="K10" s="1235"/>
      <c r="L10" s="1236">
        <f t="shared" ref="L10:L73" si="3">IFERROR(+K10-J10,"")</f>
        <v>-10843.549999999974</v>
      </c>
      <c r="M10" s="1237"/>
      <c r="N10" s="1238"/>
      <c r="O10" s="1239">
        <f t="shared" ref="O10:O73" si="4">IFERROR(J10+N10,"")</f>
        <v>10843.549999999974</v>
      </c>
      <c r="P10" s="1240"/>
      <c r="Q10" s="1146"/>
      <c r="R10" s="1147">
        <f t="shared" ref="R10:R73" si="5">O10+Q10</f>
        <v>10843.549999999974</v>
      </c>
      <c r="S10" s="1241"/>
    </row>
    <row r="11" spans="1:19" ht="29.25" customHeight="1" x14ac:dyDescent="0.2">
      <c r="A11" s="636">
        <f t="shared" si="0"/>
        <v>3</v>
      </c>
      <c r="B11" s="636" t="str">
        <f t="shared" si="1"/>
        <v>ID3</v>
      </c>
      <c r="C11" s="1234" t="s">
        <v>1090</v>
      </c>
      <c r="D11" s="1235">
        <v>525182.26</v>
      </c>
      <c r="E11" s="1235">
        <v>351034.18999999994</v>
      </c>
      <c r="F11" s="1235">
        <f>192094.31+272324.55</f>
        <v>464418.86</v>
      </c>
      <c r="G11" s="1235">
        <v>-3259.6499999999996</v>
      </c>
      <c r="H11" s="1235">
        <v>761347.64</v>
      </c>
      <c r="I11" s="1235"/>
      <c r="J11" s="1236">
        <f t="shared" si="2"/>
        <v>50845.759999999893</v>
      </c>
      <c r="K11" s="1235"/>
      <c r="L11" s="1236">
        <f t="shared" si="3"/>
        <v>-50845.759999999893</v>
      </c>
      <c r="M11" s="1237"/>
      <c r="N11" s="1238"/>
      <c r="O11" s="1239">
        <f t="shared" si="4"/>
        <v>50845.759999999893</v>
      </c>
      <c r="P11" s="1240"/>
      <c r="Q11" s="1146"/>
      <c r="R11" s="1147">
        <f t="shared" si="5"/>
        <v>50845.759999999893</v>
      </c>
      <c r="S11" s="1241"/>
    </row>
    <row r="12" spans="1:19" ht="29.25" customHeight="1" x14ac:dyDescent="0.2">
      <c r="A12" s="636">
        <f t="shared" si="0"/>
        <v>4</v>
      </c>
      <c r="B12" s="636" t="str">
        <f t="shared" si="1"/>
        <v>ID4</v>
      </c>
      <c r="C12" s="1234" t="s">
        <v>1091</v>
      </c>
      <c r="D12" s="1235">
        <v>229850.3</v>
      </c>
      <c r="E12" s="1235">
        <v>38207.700000000012</v>
      </c>
      <c r="F12" s="1235">
        <v>314427.8</v>
      </c>
      <c r="G12" s="1235"/>
      <c r="H12" s="1235">
        <v>311687.99</v>
      </c>
      <c r="I12" s="1235"/>
      <c r="J12" s="1236">
        <f t="shared" si="2"/>
        <v>40947.510000000009</v>
      </c>
      <c r="K12" s="1235"/>
      <c r="L12" s="1236">
        <f t="shared" si="3"/>
        <v>-40947.510000000009</v>
      </c>
      <c r="M12" s="1237"/>
      <c r="N12" s="1238"/>
      <c r="O12" s="1239">
        <f t="shared" si="4"/>
        <v>40947.510000000009</v>
      </c>
      <c r="P12" s="1240"/>
      <c r="Q12" s="1146"/>
      <c r="R12" s="1147">
        <f t="shared" si="5"/>
        <v>40947.510000000009</v>
      </c>
      <c r="S12" s="1241"/>
    </row>
    <row r="13" spans="1:19" ht="29.25" customHeight="1" x14ac:dyDescent="0.2">
      <c r="A13" s="636">
        <f t="shared" si="0"/>
        <v>5</v>
      </c>
      <c r="B13" s="636" t="str">
        <f t="shared" si="1"/>
        <v>ID5</v>
      </c>
      <c r="C13" s="1234"/>
      <c r="D13" s="1235"/>
      <c r="E13" s="1235"/>
      <c r="F13" s="1235"/>
      <c r="G13" s="1235"/>
      <c r="H13" s="1235"/>
      <c r="I13" s="1235"/>
      <c r="J13" s="1236">
        <f t="shared" si="2"/>
        <v>0</v>
      </c>
      <c r="K13" s="1235"/>
      <c r="L13" s="1236">
        <f t="shared" si="3"/>
        <v>0</v>
      </c>
      <c r="M13" s="1237"/>
      <c r="N13" s="1238"/>
      <c r="O13" s="1239">
        <f t="shared" si="4"/>
        <v>0</v>
      </c>
      <c r="P13" s="1240"/>
      <c r="Q13" s="1146"/>
      <c r="R13" s="1147">
        <f t="shared" si="5"/>
        <v>0</v>
      </c>
      <c r="S13" s="1241"/>
    </row>
    <row r="14" spans="1:19" ht="29.25" customHeight="1" x14ac:dyDescent="0.2">
      <c r="A14" s="636">
        <f t="shared" si="0"/>
        <v>6</v>
      </c>
      <c r="B14" s="636" t="str">
        <f t="shared" si="1"/>
        <v>ID6</v>
      </c>
      <c r="C14" s="1234"/>
      <c r="D14" s="1235"/>
      <c r="E14" s="1235"/>
      <c r="F14" s="1235"/>
      <c r="G14" s="1235"/>
      <c r="H14" s="1235"/>
      <c r="I14" s="1235"/>
      <c r="J14" s="1236">
        <f t="shared" si="2"/>
        <v>0</v>
      </c>
      <c r="K14" s="1235"/>
      <c r="L14" s="1236">
        <f t="shared" si="3"/>
        <v>0</v>
      </c>
      <c r="M14" s="1237"/>
      <c r="N14" s="1238"/>
      <c r="O14" s="1239">
        <f t="shared" si="4"/>
        <v>0</v>
      </c>
      <c r="P14" s="1240"/>
      <c r="Q14" s="1146"/>
      <c r="R14" s="1147">
        <f t="shared" si="5"/>
        <v>0</v>
      </c>
      <c r="S14" s="1241"/>
    </row>
    <row r="15" spans="1:19" ht="29.25" customHeight="1" x14ac:dyDescent="0.2">
      <c r="A15" s="636">
        <f t="shared" si="0"/>
        <v>7</v>
      </c>
      <c r="B15" s="636" t="str">
        <f t="shared" si="1"/>
        <v>ID7</v>
      </c>
      <c r="C15" s="1234"/>
      <c r="D15" s="1235"/>
      <c r="E15" s="1235"/>
      <c r="F15" s="1235"/>
      <c r="G15" s="1235"/>
      <c r="H15" s="1235"/>
      <c r="I15" s="1235"/>
      <c r="J15" s="1236">
        <f t="shared" si="2"/>
        <v>0</v>
      </c>
      <c r="K15" s="1235"/>
      <c r="L15" s="1236">
        <f t="shared" si="3"/>
        <v>0</v>
      </c>
      <c r="M15" s="1237"/>
      <c r="N15" s="1238"/>
      <c r="O15" s="1239">
        <f t="shared" si="4"/>
        <v>0</v>
      </c>
      <c r="P15" s="1240"/>
      <c r="Q15" s="1146"/>
      <c r="R15" s="1147">
        <f t="shared" si="5"/>
        <v>0</v>
      </c>
      <c r="S15" s="1241"/>
    </row>
    <row r="16" spans="1:19" ht="29.25" customHeight="1" x14ac:dyDescent="0.2">
      <c r="A16" s="636">
        <f t="shared" si="0"/>
        <v>8</v>
      </c>
      <c r="B16" s="636" t="str">
        <f t="shared" si="1"/>
        <v>ID8</v>
      </c>
      <c r="C16" s="1234"/>
      <c r="D16" s="1235"/>
      <c r="E16" s="1235"/>
      <c r="F16" s="1235"/>
      <c r="G16" s="1235"/>
      <c r="H16" s="1235"/>
      <c r="I16" s="1235"/>
      <c r="J16" s="1236">
        <f t="shared" si="2"/>
        <v>0</v>
      </c>
      <c r="K16" s="1235"/>
      <c r="L16" s="1236">
        <f t="shared" si="3"/>
        <v>0</v>
      </c>
      <c r="M16" s="1237"/>
      <c r="N16" s="1238"/>
      <c r="O16" s="1239">
        <f t="shared" si="4"/>
        <v>0</v>
      </c>
      <c r="P16" s="1240"/>
      <c r="Q16" s="1146"/>
      <c r="R16" s="1147">
        <f t="shared" si="5"/>
        <v>0</v>
      </c>
      <c r="S16" s="1241"/>
    </row>
    <row r="17" spans="1:19" ht="29.25" customHeight="1" x14ac:dyDescent="0.2">
      <c r="A17" s="636">
        <f t="shared" si="0"/>
        <v>9</v>
      </c>
      <c r="B17" s="636" t="str">
        <f t="shared" si="1"/>
        <v>ID9</v>
      </c>
      <c r="C17" s="1234"/>
      <c r="D17" s="1235"/>
      <c r="E17" s="1235"/>
      <c r="F17" s="1235"/>
      <c r="G17" s="1235"/>
      <c r="H17" s="1235"/>
      <c r="I17" s="1235"/>
      <c r="J17" s="1236">
        <f t="shared" si="2"/>
        <v>0</v>
      </c>
      <c r="K17" s="1235"/>
      <c r="L17" s="1236">
        <f t="shared" si="3"/>
        <v>0</v>
      </c>
      <c r="M17" s="1237"/>
      <c r="N17" s="1238"/>
      <c r="O17" s="1239">
        <f t="shared" si="4"/>
        <v>0</v>
      </c>
      <c r="P17" s="1240"/>
      <c r="Q17" s="1146"/>
      <c r="R17" s="1147">
        <f t="shared" si="5"/>
        <v>0</v>
      </c>
      <c r="S17" s="1241"/>
    </row>
    <row r="18" spans="1:19" ht="29.25" customHeight="1" x14ac:dyDescent="0.2">
      <c r="A18" s="636">
        <f t="shared" si="0"/>
        <v>10</v>
      </c>
      <c r="B18" s="636" t="str">
        <f t="shared" si="1"/>
        <v>ID10</v>
      </c>
      <c r="C18" s="1234"/>
      <c r="D18" s="1235"/>
      <c r="E18" s="1235"/>
      <c r="F18" s="1235"/>
      <c r="G18" s="1235"/>
      <c r="H18" s="1235"/>
      <c r="I18" s="1235"/>
      <c r="J18" s="1236">
        <f t="shared" si="2"/>
        <v>0</v>
      </c>
      <c r="K18" s="1235"/>
      <c r="L18" s="1236">
        <f t="shared" si="3"/>
        <v>0</v>
      </c>
      <c r="M18" s="1237"/>
      <c r="N18" s="1238"/>
      <c r="O18" s="1239">
        <f t="shared" si="4"/>
        <v>0</v>
      </c>
      <c r="P18" s="1240"/>
      <c r="Q18" s="1146"/>
      <c r="R18" s="1147">
        <f t="shared" si="5"/>
        <v>0</v>
      </c>
      <c r="S18" s="1241"/>
    </row>
    <row r="19" spans="1:19" ht="29.25" customHeight="1" x14ac:dyDescent="0.2">
      <c r="A19" s="636">
        <f t="shared" si="0"/>
        <v>11</v>
      </c>
      <c r="B19" s="636" t="str">
        <f t="shared" si="1"/>
        <v>ID11</v>
      </c>
      <c r="C19" s="1234"/>
      <c r="D19" s="1235"/>
      <c r="E19" s="1235"/>
      <c r="F19" s="1235"/>
      <c r="G19" s="1235"/>
      <c r="H19" s="1235"/>
      <c r="I19" s="1235"/>
      <c r="J19" s="1236">
        <f t="shared" si="2"/>
        <v>0</v>
      </c>
      <c r="K19" s="1235"/>
      <c r="L19" s="1236">
        <f t="shared" si="3"/>
        <v>0</v>
      </c>
      <c r="M19" s="1237"/>
      <c r="N19" s="1238"/>
      <c r="O19" s="1239">
        <f t="shared" si="4"/>
        <v>0</v>
      </c>
      <c r="P19" s="1240"/>
      <c r="Q19" s="1146"/>
      <c r="R19" s="1147">
        <f t="shared" si="5"/>
        <v>0</v>
      </c>
      <c r="S19" s="1241"/>
    </row>
    <row r="20" spans="1:19" ht="29.25" customHeight="1" x14ac:dyDescent="0.2">
      <c r="A20" s="636">
        <f t="shared" si="0"/>
        <v>12</v>
      </c>
      <c r="B20" s="636" t="str">
        <f t="shared" si="1"/>
        <v>ID12</v>
      </c>
      <c r="C20" s="1234"/>
      <c r="D20" s="1235"/>
      <c r="E20" s="1235"/>
      <c r="F20" s="1235"/>
      <c r="G20" s="1235"/>
      <c r="H20" s="1235"/>
      <c r="I20" s="1235"/>
      <c r="J20" s="1236">
        <f t="shared" si="2"/>
        <v>0</v>
      </c>
      <c r="K20" s="1235"/>
      <c r="L20" s="1236">
        <f t="shared" si="3"/>
        <v>0</v>
      </c>
      <c r="M20" s="1237"/>
      <c r="N20" s="1238"/>
      <c r="O20" s="1239">
        <f t="shared" si="4"/>
        <v>0</v>
      </c>
      <c r="P20" s="1240"/>
      <c r="Q20" s="1146"/>
      <c r="R20" s="1147">
        <f t="shared" si="5"/>
        <v>0</v>
      </c>
      <c r="S20" s="1241"/>
    </row>
    <row r="21" spans="1:19" ht="29.25" customHeight="1" x14ac:dyDescent="0.2">
      <c r="A21" s="636">
        <f t="shared" si="0"/>
        <v>13</v>
      </c>
      <c r="B21" s="636" t="str">
        <f t="shared" si="1"/>
        <v>ID13</v>
      </c>
      <c r="C21" s="1234"/>
      <c r="D21" s="1235"/>
      <c r="E21" s="1235"/>
      <c r="F21" s="1235"/>
      <c r="G21" s="1235"/>
      <c r="H21" s="1235"/>
      <c r="I21" s="1235"/>
      <c r="J21" s="1236">
        <f t="shared" si="2"/>
        <v>0</v>
      </c>
      <c r="K21" s="1235"/>
      <c r="L21" s="1236">
        <f t="shared" si="3"/>
        <v>0</v>
      </c>
      <c r="M21" s="1237"/>
      <c r="N21" s="1238"/>
      <c r="O21" s="1239">
        <f t="shared" si="4"/>
        <v>0</v>
      </c>
      <c r="P21" s="1240"/>
      <c r="Q21" s="1146"/>
      <c r="R21" s="1147">
        <f t="shared" si="5"/>
        <v>0</v>
      </c>
      <c r="S21" s="1241"/>
    </row>
    <row r="22" spans="1:19" ht="29.25" customHeight="1" x14ac:dyDescent="0.2">
      <c r="A22" s="636">
        <f t="shared" si="0"/>
        <v>14</v>
      </c>
      <c r="B22" s="636" t="str">
        <f t="shared" si="1"/>
        <v>ID14</v>
      </c>
      <c r="C22" s="1234"/>
      <c r="D22" s="1235"/>
      <c r="E22" s="1235"/>
      <c r="F22" s="1235"/>
      <c r="G22" s="1235"/>
      <c r="H22" s="1235"/>
      <c r="I22" s="1235"/>
      <c r="J22" s="1236">
        <f t="shared" si="2"/>
        <v>0</v>
      </c>
      <c r="K22" s="1235"/>
      <c r="L22" s="1236">
        <f t="shared" si="3"/>
        <v>0</v>
      </c>
      <c r="M22" s="1237"/>
      <c r="N22" s="1238"/>
      <c r="O22" s="1239">
        <f t="shared" si="4"/>
        <v>0</v>
      </c>
      <c r="P22" s="1240"/>
      <c r="Q22" s="1146"/>
      <c r="R22" s="1147">
        <f t="shared" si="5"/>
        <v>0</v>
      </c>
      <c r="S22" s="1241"/>
    </row>
    <row r="23" spans="1:19" ht="29.25" customHeight="1" x14ac:dyDescent="0.2">
      <c r="A23" s="636">
        <f t="shared" si="0"/>
        <v>15</v>
      </c>
      <c r="B23" s="636" t="str">
        <f t="shared" si="1"/>
        <v>ID15</v>
      </c>
      <c r="C23" s="1234"/>
      <c r="D23" s="1235"/>
      <c r="E23" s="1235"/>
      <c r="F23" s="1235"/>
      <c r="G23" s="1235"/>
      <c r="H23" s="1235"/>
      <c r="I23" s="1235"/>
      <c r="J23" s="1236">
        <f t="shared" si="2"/>
        <v>0</v>
      </c>
      <c r="K23" s="1235"/>
      <c r="L23" s="1236">
        <f t="shared" si="3"/>
        <v>0</v>
      </c>
      <c r="M23" s="1237"/>
      <c r="N23" s="1238"/>
      <c r="O23" s="1239">
        <f t="shared" si="4"/>
        <v>0</v>
      </c>
      <c r="P23" s="1240"/>
      <c r="Q23" s="1146"/>
      <c r="R23" s="1147">
        <f t="shared" si="5"/>
        <v>0</v>
      </c>
      <c r="S23" s="1241"/>
    </row>
    <row r="24" spans="1:19" ht="29.25" customHeight="1" x14ac:dyDescent="0.2">
      <c r="A24" s="636">
        <f t="shared" si="0"/>
        <v>16</v>
      </c>
      <c r="B24" s="636" t="str">
        <f t="shared" si="1"/>
        <v>ID16</v>
      </c>
      <c r="C24" s="1234"/>
      <c r="D24" s="1235"/>
      <c r="E24" s="1235"/>
      <c r="F24" s="1235"/>
      <c r="G24" s="1235"/>
      <c r="H24" s="1235"/>
      <c r="I24" s="1235"/>
      <c r="J24" s="1236">
        <f t="shared" si="2"/>
        <v>0</v>
      </c>
      <c r="K24" s="1235"/>
      <c r="L24" s="1236">
        <f t="shared" si="3"/>
        <v>0</v>
      </c>
      <c r="M24" s="1237"/>
      <c r="N24" s="1238"/>
      <c r="O24" s="1239">
        <f t="shared" si="4"/>
        <v>0</v>
      </c>
      <c r="P24" s="1240"/>
      <c r="Q24" s="1146"/>
      <c r="R24" s="1147">
        <f t="shared" si="5"/>
        <v>0</v>
      </c>
      <c r="S24" s="1241"/>
    </row>
    <row r="25" spans="1:19" ht="29.25" customHeight="1" x14ac:dyDescent="0.2">
      <c r="A25" s="636">
        <f t="shared" si="0"/>
        <v>17</v>
      </c>
      <c r="B25" s="636" t="str">
        <f t="shared" si="1"/>
        <v>ID17</v>
      </c>
      <c r="C25" s="1234"/>
      <c r="D25" s="1235"/>
      <c r="E25" s="1235"/>
      <c r="F25" s="1235"/>
      <c r="G25" s="1235"/>
      <c r="H25" s="1235"/>
      <c r="I25" s="1235"/>
      <c r="J25" s="1236">
        <f t="shared" si="2"/>
        <v>0</v>
      </c>
      <c r="K25" s="1235"/>
      <c r="L25" s="1236">
        <f t="shared" si="3"/>
        <v>0</v>
      </c>
      <c r="M25" s="1237"/>
      <c r="N25" s="1238"/>
      <c r="O25" s="1239">
        <f t="shared" si="4"/>
        <v>0</v>
      </c>
      <c r="P25" s="1240"/>
      <c r="Q25" s="1146"/>
      <c r="R25" s="1147">
        <f t="shared" si="5"/>
        <v>0</v>
      </c>
      <c r="S25" s="1241"/>
    </row>
    <row r="26" spans="1:19" ht="29.25" customHeight="1" x14ac:dyDescent="0.2">
      <c r="A26" s="636">
        <f t="shared" si="0"/>
        <v>18</v>
      </c>
      <c r="B26" s="636" t="str">
        <f t="shared" si="1"/>
        <v>ID18</v>
      </c>
      <c r="C26" s="1234"/>
      <c r="D26" s="1235"/>
      <c r="E26" s="1235"/>
      <c r="F26" s="1235"/>
      <c r="G26" s="1235"/>
      <c r="H26" s="1235"/>
      <c r="I26" s="1235"/>
      <c r="J26" s="1236">
        <f t="shared" si="2"/>
        <v>0</v>
      </c>
      <c r="K26" s="1235"/>
      <c r="L26" s="1236">
        <f t="shared" si="3"/>
        <v>0</v>
      </c>
      <c r="M26" s="1237"/>
      <c r="N26" s="1238"/>
      <c r="O26" s="1239">
        <f t="shared" si="4"/>
        <v>0</v>
      </c>
      <c r="P26" s="1240"/>
      <c r="Q26" s="1146"/>
      <c r="R26" s="1147">
        <f t="shared" si="5"/>
        <v>0</v>
      </c>
      <c r="S26" s="1241"/>
    </row>
    <row r="27" spans="1:19" ht="29.25" customHeight="1" x14ac:dyDescent="0.2">
      <c r="A27" s="636">
        <f t="shared" si="0"/>
        <v>19</v>
      </c>
      <c r="B27" s="636" t="str">
        <f t="shared" si="1"/>
        <v>ID19</v>
      </c>
      <c r="C27" s="1234"/>
      <c r="D27" s="1235"/>
      <c r="E27" s="1235"/>
      <c r="F27" s="1235"/>
      <c r="G27" s="1235"/>
      <c r="H27" s="1235"/>
      <c r="I27" s="1235"/>
      <c r="J27" s="1236">
        <f t="shared" si="2"/>
        <v>0</v>
      </c>
      <c r="K27" s="1235"/>
      <c r="L27" s="1236">
        <f t="shared" si="3"/>
        <v>0</v>
      </c>
      <c r="M27" s="1237"/>
      <c r="N27" s="1238"/>
      <c r="O27" s="1239">
        <f t="shared" si="4"/>
        <v>0</v>
      </c>
      <c r="P27" s="1240"/>
      <c r="Q27" s="1146"/>
      <c r="R27" s="1147">
        <f t="shared" si="5"/>
        <v>0</v>
      </c>
      <c r="S27" s="1241"/>
    </row>
    <row r="28" spans="1:19" ht="29.25" customHeight="1" x14ac:dyDescent="0.2">
      <c r="A28" s="636">
        <f t="shared" si="0"/>
        <v>20</v>
      </c>
      <c r="B28" s="636" t="str">
        <f t="shared" si="1"/>
        <v>ID20</v>
      </c>
      <c r="C28" s="1234"/>
      <c r="D28" s="1235"/>
      <c r="E28" s="1235"/>
      <c r="F28" s="1235"/>
      <c r="G28" s="1235"/>
      <c r="H28" s="1235"/>
      <c r="I28" s="1235"/>
      <c r="J28" s="1236">
        <f t="shared" si="2"/>
        <v>0</v>
      </c>
      <c r="K28" s="1235"/>
      <c r="L28" s="1236">
        <f t="shared" si="3"/>
        <v>0</v>
      </c>
      <c r="M28" s="1237"/>
      <c r="N28" s="1238"/>
      <c r="O28" s="1239">
        <f t="shared" si="4"/>
        <v>0</v>
      </c>
      <c r="P28" s="1240"/>
      <c r="Q28" s="1146"/>
      <c r="R28" s="1147">
        <f t="shared" si="5"/>
        <v>0</v>
      </c>
      <c r="S28" s="1241"/>
    </row>
    <row r="29" spans="1:19" ht="29.25" customHeight="1" x14ac:dyDescent="0.2">
      <c r="A29" s="636">
        <f t="shared" si="0"/>
        <v>21</v>
      </c>
      <c r="B29" s="636" t="str">
        <f t="shared" si="1"/>
        <v>ID21</v>
      </c>
      <c r="C29" s="1234"/>
      <c r="D29" s="1235"/>
      <c r="E29" s="1235"/>
      <c r="F29" s="1235"/>
      <c r="G29" s="1235"/>
      <c r="H29" s="1235"/>
      <c r="I29" s="1235"/>
      <c r="J29" s="1236">
        <f t="shared" si="2"/>
        <v>0</v>
      </c>
      <c r="K29" s="1235"/>
      <c r="L29" s="1236">
        <f t="shared" si="3"/>
        <v>0</v>
      </c>
      <c r="M29" s="1237"/>
      <c r="N29" s="1238"/>
      <c r="O29" s="1239">
        <f t="shared" si="4"/>
        <v>0</v>
      </c>
      <c r="P29" s="1240"/>
      <c r="Q29" s="1146"/>
      <c r="R29" s="1147">
        <f t="shared" si="5"/>
        <v>0</v>
      </c>
      <c r="S29" s="1241"/>
    </row>
    <row r="30" spans="1:19" ht="29.25" customHeight="1" x14ac:dyDescent="0.2">
      <c r="A30" s="636">
        <f t="shared" si="0"/>
        <v>22</v>
      </c>
      <c r="B30" s="636" t="str">
        <f t="shared" si="1"/>
        <v>ID22</v>
      </c>
      <c r="C30" s="1234"/>
      <c r="D30" s="1235"/>
      <c r="E30" s="1235"/>
      <c r="F30" s="1235"/>
      <c r="G30" s="1235"/>
      <c r="H30" s="1235"/>
      <c r="I30" s="1235"/>
      <c r="J30" s="1236">
        <f t="shared" si="2"/>
        <v>0</v>
      </c>
      <c r="K30" s="1235"/>
      <c r="L30" s="1236">
        <f t="shared" si="3"/>
        <v>0</v>
      </c>
      <c r="M30" s="1237"/>
      <c r="N30" s="1238"/>
      <c r="O30" s="1239">
        <f t="shared" si="4"/>
        <v>0</v>
      </c>
      <c r="P30" s="1240"/>
      <c r="Q30" s="1146"/>
      <c r="R30" s="1147">
        <f t="shared" si="5"/>
        <v>0</v>
      </c>
      <c r="S30" s="1241"/>
    </row>
    <row r="31" spans="1:19" ht="29.25" customHeight="1" x14ac:dyDescent="0.2">
      <c r="A31" s="636">
        <f t="shared" si="0"/>
        <v>23</v>
      </c>
      <c r="B31" s="636" t="str">
        <f t="shared" si="1"/>
        <v>ID23</v>
      </c>
      <c r="C31" s="1234"/>
      <c r="D31" s="1235"/>
      <c r="E31" s="1235"/>
      <c r="F31" s="1235"/>
      <c r="G31" s="1235"/>
      <c r="H31" s="1235"/>
      <c r="I31" s="1235"/>
      <c r="J31" s="1236">
        <f t="shared" si="2"/>
        <v>0</v>
      </c>
      <c r="K31" s="1235"/>
      <c r="L31" s="1236">
        <f t="shared" si="3"/>
        <v>0</v>
      </c>
      <c r="M31" s="1237"/>
      <c r="N31" s="1238"/>
      <c r="O31" s="1239">
        <f t="shared" si="4"/>
        <v>0</v>
      </c>
      <c r="P31" s="1240"/>
      <c r="Q31" s="1146"/>
      <c r="R31" s="1147">
        <f t="shared" si="5"/>
        <v>0</v>
      </c>
      <c r="S31" s="1241"/>
    </row>
    <row r="32" spans="1:19" ht="29.25" customHeight="1" x14ac:dyDescent="0.2">
      <c r="A32" s="636">
        <f t="shared" si="0"/>
        <v>24</v>
      </c>
      <c r="B32" s="636" t="str">
        <f t="shared" si="1"/>
        <v>ID24</v>
      </c>
      <c r="C32" s="1234"/>
      <c r="D32" s="1235"/>
      <c r="E32" s="1235"/>
      <c r="F32" s="1235"/>
      <c r="G32" s="1235"/>
      <c r="H32" s="1235"/>
      <c r="I32" s="1235"/>
      <c r="J32" s="1236">
        <f t="shared" si="2"/>
        <v>0</v>
      </c>
      <c r="K32" s="1235"/>
      <c r="L32" s="1236">
        <f t="shared" si="3"/>
        <v>0</v>
      </c>
      <c r="M32" s="1237"/>
      <c r="N32" s="1238"/>
      <c r="O32" s="1239">
        <f t="shared" si="4"/>
        <v>0</v>
      </c>
      <c r="P32" s="1240"/>
      <c r="Q32" s="1146"/>
      <c r="R32" s="1147">
        <f t="shared" si="5"/>
        <v>0</v>
      </c>
      <c r="S32" s="1241"/>
    </row>
    <row r="33" spans="1:19" ht="29.25" customHeight="1" x14ac:dyDescent="0.2">
      <c r="A33" s="636">
        <f t="shared" si="0"/>
        <v>25</v>
      </c>
      <c r="B33" s="636" t="str">
        <f t="shared" si="1"/>
        <v>ID25</v>
      </c>
      <c r="C33" s="1234"/>
      <c r="D33" s="1235"/>
      <c r="E33" s="1235"/>
      <c r="F33" s="1235"/>
      <c r="G33" s="1235"/>
      <c r="H33" s="1235"/>
      <c r="I33" s="1235"/>
      <c r="J33" s="1236">
        <f t="shared" si="2"/>
        <v>0</v>
      </c>
      <c r="K33" s="1235"/>
      <c r="L33" s="1236">
        <f t="shared" si="3"/>
        <v>0</v>
      </c>
      <c r="M33" s="1237"/>
      <c r="N33" s="1238"/>
      <c r="O33" s="1239">
        <f t="shared" si="4"/>
        <v>0</v>
      </c>
      <c r="P33" s="1240"/>
      <c r="Q33" s="1146"/>
      <c r="R33" s="1147">
        <f t="shared" si="5"/>
        <v>0</v>
      </c>
      <c r="S33" s="1241"/>
    </row>
    <row r="34" spans="1:19" ht="29.25" customHeight="1" x14ac:dyDescent="0.2">
      <c r="A34" s="636">
        <f t="shared" si="0"/>
        <v>26</v>
      </c>
      <c r="B34" s="636" t="str">
        <f t="shared" si="1"/>
        <v>ID26</v>
      </c>
      <c r="C34" s="1234"/>
      <c r="D34" s="1235"/>
      <c r="E34" s="1235"/>
      <c r="F34" s="1235"/>
      <c r="G34" s="1235"/>
      <c r="H34" s="1235"/>
      <c r="I34" s="1235"/>
      <c r="J34" s="1236">
        <f t="shared" si="2"/>
        <v>0</v>
      </c>
      <c r="K34" s="1235"/>
      <c r="L34" s="1236">
        <f t="shared" si="3"/>
        <v>0</v>
      </c>
      <c r="M34" s="1237"/>
      <c r="N34" s="1238"/>
      <c r="O34" s="1239">
        <f t="shared" si="4"/>
        <v>0</v>
      </c>
      <c r="P34" s="1240"/>
      <c r="Q34" s="1146"/>
      <c r="R34" s="1147">
        <f t="shared" si="5"/>
        <v>0</v>
      </c>
      <c r="S34" s="1241"/>
    </row>
    <row r="35" spans="1:19" ht="29.25" customHeight="1" x14ac:dyDescent="0.2">
      <c r="A35" s="636">
        <f t="shared" si="0"/>
        <v>27</v>
      </c>
      <c r="B35" s="636" t="str">
        <f t="shared" si="1"/>
        <v>ID27</v>
      </c>
      <c r="C35" s="1234"/>
      <c r="D35" s="1235"/>
      <c r="E35" s="1235"/>
      <c r="F35" s="1235"/>
      <c r="G35" s="1235"/>
      <c r="H35" s="1235"/>
      <c r="I35" s="1235"/>
      <c r="J35" s="1236">
        <f t="shared" si="2"/>
        <v>0</v>
      </c>
      <c r="K35" s="1235"/>
      <c r="L35" s="1236">
        <f t="shared" si="3"/>
        <v>0</v>
      </c>
      <c r="M35" s="1237"/>
      <c r="N35" s="1238"/>
      <c r="O35" s="1239">
        <f t="shared" si="4"/>
        <v>0</v>
      </c>
      <c r="P35" s="1240"/>
      <c r="Q35" s="1146"/>
      <c r="R35" s="1147">
        <f t="shared" si="5"/>
        <v>0</v>
      </c>
      <c r="S35" s="1241"/>
    </row>
    <row r="36" spans="1:19" ht="29.25" customHeight="1" x14ac:dyDescent="0.2">
      <c r="A36" s="636">
        <f t="shared" si="0"/>
        <v>28</v>
      </c>
      <c r="B36" s="636" t="str">
        <f t="shared" si="1"/>
        <v>ID28</v>
      </c>
      <c r="C36" s="1234"/>
      <c r="D36" s="1235"/>
      <c r="E36" s="1235"/>
      <c r="F36" s="1235"/>
      <c r="G36" s="1235"/>
      <c r="H36" s="1235"/>
      <c r="I36" s="1235"/>
      <c r="J36" s="1236">
        <f t="shared" si="2"/>
        <v>0</v>
      </c>
      <c r="K36" s="1235"/>
      <c r="L36" s="1236">
        <f t="shared" si="3"/>
        <v>0</v>
      </c>
      <c r="M36" s="1237"/>
      <c r="N36" s="1238"/>
      <c r="O36" s="1239">
        <f t="shared" si="4"/>
        <v>0</v>
      </c>
      <c r="P36" s="1240"/>
      <c r="Q36" s="1146"/>
      <c r="R36" s="1147">
        <f t="shared" si="5"/>
        <v>0</v>
      </c>
      <c r="S36" s="1241"/>
    </row>
    <row r="37" spans="1:19" ht="29.25" customHeight="1" x14ac:dyDescent="0.2">
      <c r="A37" s="636">
        <f t="shared" si="0"/>
        <v>29</v>
      </c>
      <c r="B37" s="636" t="str">
        <f t="shared" si="1"/>
        <v>ID29</v>
      </c>
      <c r="C37" s="1234"/>
      <c r="D37" s="1235"/>
      <c r="E37" s="1235"/>
      <c r="F37" s="1235"/>
      <c r="G37" s="1235"/>
      <c r="H37" s="1235"/>
      <c r="I37" s="1235"/>
      <c r="J37" s="1236">
        <f t="shared" si="2"/>
        <v>0</v>
      </c>
      <c r="K37" s="1235"/>
      <c r="L37" s="1236">
        <f t="shared" si="3"/>
        <v>0</v>
      </c>
      <c r="M37" s="1237"/>
      <c r="N37" s="1238"/>
      <c r="O37" s="1239">
        <f t="shared" si="4"/>
        <v>0</v>
      </c>
      <c r="P37" s="1240"/>
      <c r="Q37" s="1146"/>
      <c r="R37" s="1147">
        <f t="shared" si="5"/>
        <v>0</v>
      </c>
      <c r="S37" s="1241"/>
    </row>
    <row r="38" spans="1:19" ht="29.25" customHeight="1" x14ac:dyDescent="0.2">
      <c r="A38" s="636">
        <f t="shared" si="0"/>
        <v>30</v>
      </c>
      <c r="B38" s="636" t="str">
        <f t="shared" si="1"/>
        <v>ID30</v>
      </c>
      <c r="C38" s="1234"/>
      <c r="D38" s="1235"/>
      <c r="E38" s="1235"/>
      <c r="F38" s="1235"/>
      <c r="G38" s="1235"/>
      <c r="H38" s="1235"/>
      <c r="I38" s="1235"/>
      <c r="J38" s="1236">
        <f t="shared" si="2"/>
        <v>0</v>
      </c>
      <c r="K38" s="1235"/>
      <c r="L38" s="1236">
        <f t="shared" si="3"/>
        <v>0</v>
      </c>
      <c r="M38" s="1237"/>
      <c r="N38" s="1238"/>
      <c r="O38" s="1239">
        <f t="shared" si="4"/>
        <v>0</v>
      </c>
      <c r="P38" s="1240"/>
      <c r="Q38" s="1146"/>
      <c r="R38" s="1147">
        <f t="shared" si="5"/>
        <v>0</v>
      </c>
      <c r="S38" s="1241"/>
    </row>
    <row r="39" spans="1:19" ht="29.25" customHeight="1" x14ac:dyDescent="0.2">
      <c r="A39" s="636">
        <f t="shared" si="0"/>
        <v>31</v>
      </c>
      <c r="B39" s="636" t="str">
        <f t="shared" si="1"/>
        <v>ID31</v>
      </c>
      <c r="C39" s="1234"/>
      <c r="D39" s="1235"/>
      <c r="E39" s="1235"/>
      <c r="F39" s="1235"/>
      <c r="G39" s="1235"/>
      <c r="H39" s="1235"/>
      <c r="I39" s="1235"/>
      <c r="J39" s="1236">
        <f t="shared" si="2"/>
        <v>0</v>
      </c>
      <c r="K39" s="1235"/>
      <c r="L39" s="1236">
        <f t="shared" si="3"/>
        <v>0</v>
      </c>
      <c r="M39" s="1237"/>
      <c r="N39" s="1238"/>
      <c r="O39" s="1239">
        <f t="shared" si="4"/>
        <v>0</v>
      </c>
      <c r="P39" s="1240"/>
      <c r="Q39" s="1146"/>
      <c r="R39" s="1147">
        <f t="shared" si="5"/>
        <v>0</v>
      </c>
      <c r="S39" s="1241"/>
    </row>
    <row r="40" spans="1:19" ht="29.25" customHeight="1" x14ac:dyDescent="0.2">
      <c r="A40" s="636">
        <f t="shared" si="0"/>
        <v>32</v>
      </c>
      <c r="B40" s="636" t="str">
        <f t="shared" si="1"/>
        <v>ID32</v>
      </c>
      <c r="C40" s="1234"/>
      <c r="D40" s="1235"/>
      <c r="E40" s="1235"/>
      <c r="F40" s="1235"/>
      <c r="G40" s="1235"/>
      <c r="H40" s="1235"/>
      <c r="I40" s="1235"/>
      <c r="J40" s="1236">
        <f t="shared" si="2"/>
        <v>0</v>
      </c>
      <c r="K40" s="1235"/>
      <c r="L40" s="1236">
        <f t="shared" si="3"/>
        <v>0</v>
      </c>
      <c r="M40" s="1237"/>
      <c r="N40" s="1238"/>
      <c r="O40" s="1239">
        <f t="shared" si="4"/>
        <v>0</v>
      </c>
      <c r="P40" s="1240"/>
      <c r="Q40" s="1146"/>
      <c r="R40" s="1147">
        <f t="shared" si="5"/>
        <v>0</v>
      </c>
      <c r="S40" s="1241"/>
    </row>
    <row r="41" spans="1:19" ht="29.25" customHeight="1" x14ac:dyDescent="0.2">
      <c r="A41" s="636">
        <f t="shared" si="0"/>
        <v>33</v>
      </c>
      <c r="B41" s="636" t="str">
        <f t="shared" si="1"/>
        <v>ID33</v>
      </c>
      <c r="C41" s="1234"/>
      <c r="D41" s="1235"/>
      <c r="E41" s="1235"/>
      <c r="F41" s="1235"/>
      <c r="G41" s="1235"/>
      <c r="H41" s="1235"/>
      <c r="I41" s="1235"/>
      <c r="J41" s="1236">
        <f t="shared" si="2"/>
        <v>0</v>
      </c>
      <c r="K41" s="1235"/>
      <c r="L41" s="1236">
        <f t="shared" si="3"/>
        <v>0</v>
      </c>
      <c r="M41" s="1237"/>
      <c r="N41" s="1238"/>
      <c r="O41" s="1239">
        <f t="shared" si="4"/>
        <v>0</v>
      </c>
      <c r="P41" s="1240"/>
      <c r="Q41" s="1146"/>
      <c r="R41" s="1147">
        <f t="shared" si="5"/>
        <v>0</v>
      </c>
      <c r="S41" s="1241"/>
    </row>
    <row r="42" spans="1:19" ht="29.25" customHeight="1" x14ac:dyDescent="0.2">
      <c r="A42" s="636">
        <f t="shared" si="0"/>
        <v>34</v>
      </c>
      <c r="B42" s="636" t="str">
        <f t="shared" si="1"/>
        <v>ID34</v>
      </c>
      <c r="C42" s="1234"/>
      <c r="D42" s="1235"/>
      <c r="E42" s="1235"/>
      <c r="F42" s="1235"/>
      <c r="G42" s="1235"/>
      <c r="H42" s="1235"/>
      <c r="I42" s="1235"/>
      <c r="J42" s="1236">
        <f t="shared" si="2"/>
        <v>0</v>
      </c>
      <c r="K42" s="1235"/>
      <c r="L42" s="1236">
        <f t="shared" si="3"/>
        <v>0</v>
      </c>
      <c r="M42" s="1237"/>
      <c r="N42" s="1238"/>
      <c r="O42" s="1239">
        <f t="shared" si="4"/>
        <v>0</v>
      </c>
      <c r="P42" s="1240"/>
      <c r="Q42" s="1146"/>
      <c r="R42" s="1147">
        <f t="shared" si="5"/>
        <v>0</v>
      </c>
      <c r="S42" s="1241"/>
    </row>
    <row r="43" spans="1:19" ht="29.25" customHeight="1" x14ac:dyDescent="0.2">
      <c r="A43" s="636">
        <f t="shared" si="0"/>
        <v>35</v>
      </c>
      <c r="B43" s="636" t="str">
        <f t="shared" si="1"/>
        <v>ID35</v>
      </c>
      <c r="C43" s="1234"/>
      <c r="D43" s="1235"/>
      <c r="E43" s="1235"/>
      <c r="F43" s="1235"/>
      <c r="G43" s="1235"/>
      <c r="H43" s="1235"/>
      <c r="I43" s="1235"/>
      <c r="J43" s="1236">
        <f t="shared" si="2"/>
        <v>0</v>
      </c>
      <c r="K43" s="1235"/>
      <c r="L43" s="1236">
        <f t="shared" si="3"/>
        <v>0</v>
      </c>
      <c r="M43" s="1237"/>
      <c r="N43" s="1238"/>
      <c r="O43" s="1239">
        <f t="shared" si="4"/>
        <v>0</v>
      </c>
      <c r="P43" s="1240"/>
      <c r="Q43" s="1146"/>
      <c r="R43" s="1147">
        <f t="shared" si="5"/>
        <v>0</v>
      </c>
      <c r="S43" s="1241"/>
    </row>
    <row r="44" spans="1:19" ht="29.25" customHeight="1" x14ac:dyDescent="0.2">
      <c r="A44" s="636">
        <f t="shared" si="0"/>
        <v>36</v>
      </c>
      <c r="B44" s="636" t="str">
        <f t="shared" si="1"/>
        <v>ID36</v>
      </c>
      <c r="C44" s="1234"/>
      <c r="D44" s="1235"/>
      <c r="E44" s="1235"/>
      <c r="F44" s="1235"/>
      <c r="G44" s="1235"/>
      <c r="H44" s="1235"/>
      <c r="I44" s="1235"/>
      <c r="J44" s="1236">
        <f t="shared" si="2"/>
        <v>0</v>
      </c>
      <c r="K44" s="1235"/>
      <c r="L44" s="1236">
        <f t="shared" si="3"/>
        <v>0</v>
      </c>
      <c r="M44" s="1237"/>
      <c r="N44" s="1238"/>
      <c r="O44" s="1239">
        <f t="shared" si="4"/>
        <v>0</v>
      </c>
      <c r="P44" s="1240"/>
      <c r="Q44" s="1146"/>
      <c r="R44" s="1147">
        <f t="shared" si="5"/>
        <v>0</v>
      </c>
      <c r="S44" s="1241"/>
    </row>
    <row r="45" spans="1:19" ht="29.25" customHeight="1" x14ac:dyDescent="0.2">
      <c r="A45" s="636">
        <f t="shared" si="0"/>
        <v>37</v>
      </c>
      <c r="B45" s="636" t="str">
        <f t="shared" si="1"/>
        <v>ID37</v>
      </c>
      <c r="C45" s="1234"/>
      <c r="D45" s="1235"/>
      <c r="E45" s="1235"/>
      <c r="F45" s="1235"/>
      <c r="G45" s="1235"/>
      <c r="H45" s="1235"/>
      <c r="I45" s="1235"/>
      <c r="J45" s="1236">
        <f t="shared" si="2"/>
        <v>0</v>
      </c>
      <c r="K45" s="1235"/>
      <c r="L45" s="1236">
        <f t="shared" si="3"/>
        <v>0</v>
      </c>
      <c r="M45" s="1237"/>
      <c r="N45" s="1238"/>
      <c r="O45" s="1239">
        <f t="shared" si="4"/>
        <v>0</v>
      </c>
      <c r="P45" s="1240"/>
      <c r="Q45" s="1146"/>
      <c r="R45" s="1147">
        <f t="shared" si="5"/>
        <v>0</v>
      </c>
      <c r="S45" s="1241"/>
    </row>
    <row r="46" spans="1:19" ht="29.25" customHeight="1" x14ac:dyDescent="0.2">
      <c r="A46" s="636">
        <f t="shared" si="0"/>
        <v>38</v>
      </c>
      <c r="B46" s="636" t="str">
        <f t="shared" si="1"/>
        <v>ID38</v>
      </c>
      <c r="C46" s="1234"/>
      <c r="D46" s="1235"/>
      <c r="E46" s="1235"/>
      <c r="F46" s="1235"/>
      <c r="G46" s="1235"/>
      <c r="H46" s="1235"/>
      <c r="I46" s="1235"/>
      <c r="J46" s="1236">
        <f t="shared" si="2"/>
        <v>0</v>
      </c>
      <c r="K46" s="1235"/>
      <c r="L46" s="1236">
        <f t="shared" si="3"/>
        <v>0</v>
      </c>
      <c r="M46" s="1237"/>
      <c r="N46" s="1238"/>
      <c r="O46" s="1239">
        <f t="shared" si="4"/>
        <v>0</v>
      </c>
      <c r="P46" s="1240"/>
      <c r="Q46" s="1146"/>
      <c r="R46" s="1147">
        <f t="shared" si="5"/>
        <v>0</v>
      </c>
      <c r="S46" s="1241"/>
    </row>
    <row r="47" spans="1:19" ht="29.25" customHeight="1" x14ac:dyDescent="0.2">
      <c r="A47" s="636">
        <f t="shared" si="0"/>
        <v>39</v>
      </c>
      <c r="B47" s="636" t="str">
        <f t="shared" si="1"/>
        <v>ID39</v>
      </c>
      <c r="C47" s="1234"/>
      <c r="D47" s="1235"/>
      <c r="E47" s="1235"/>
      <c r="F47" s="1235"/>
      <c r="G47" s="1235"/>
      <c r="H47" s="1235"/>
      <c r="I47" s="1235"/>
      <c r="J47" s="1236">
        <f t="shared" si="2"/>
        <v>0</v>
      </c>
      <c r="K47" s="1235"/>
      <c r="L47" s="1236">
        <f t="shared" si="3"/>
        <v>0</v>
      </c>
      <c r="M47" s="1237"/>
      <c r="N47" s="1238"/>
      <c r="O47" s="1239">
        <f t="shared" si="4"/>
        <v>0</v>
      </c>
      <c r="P47" s="1240"/>
      <c r="Q47" s="1146"/>
      <c r="R47" s="1147">
        <f t="shared" si="5"/>
        <v>0</v>
      </c>
      <c r="S47" s="1241"/>
    </row>
    <row r="48" spans="1:19" ht="29.25" customHeight="1" x14ac:dyDescent="0.2">
      <c r="A48" s="636">
        <f t="shared" si="0"/>
        <v>40</v>
      </c>
      <c r="B48" s="636" t="str">
        <f t="shared" si="1"/>
        <v>ID40</v>
      </c>
      <c r="C48" s="1234"/>
      <c r="D48" s="1235"/>
      <c r="E48" s="1235"/>
      <c r="F48" s="1235"/>
      <c r="G48" s="1235"/>
      <c r="H48" s="1235"/>
      <c r="I48" s="1235"/>
      <c r="J48" s="1236">
        <f t="shared" si="2"/>
        <v>0</v>
      </c>
      <c r="K48" s="1235"/>
      <c r="L48" s="1236">
        <f t="shared" si="3"/>
        <v>0</v>
      </c>
      <c r="M48" s="1237"/>
      <c r="N48" s="1238"/>
      <c r="O48" s="1239">
        <f t="shared" si="4"/>
        <v>0</v>
      </c>
      <c r="P48" s="1240"/>
      <c r="Q48" s="1146"/>
      <c r="R48" s="1147">
        <f t="shared" si="5"/>
        <v>0</v>
      </c>
      <c r="S48" s="1241"/>
    </row>
    <row r="49" spans="1:19" ht="29.25" customHeight="1" x14ac:dyDescent="0.2">
      <c r="A49" s="636">
        <f t="shared" si="0"/>
        <v>41</v>
      </c>
      <c r="B49" s="636" t="str">
        <f t="shared" si="1"/>
        <v>ID41</v>
      </c>
      <c r="C49" s="1234"/>
      <c r="D49" s="1235"/>
      <c r="E49" s="1235"/>
      <c r="F49" s="1235"/>
      <c r="G49" s="1235"/>
      <c r="H49" s="1235"/>
      <c r="I49" s="1235"/>
      <c r="J49" s="1236">
        <f t="shared" si="2"/>
        <v>0</v>
      </c>
      <c r="K49" s="1235"/>
      <c r="L49" s="1236">
        <f t="shared" si="3"/>
        <v>0</v>
      </c>
      <c r="M49" s="1237"/>
      <c r="N49" s="1238"/>
      <c r="O49" s="1239">
        <f t="shared" si="4"/>
        <v>0</v>
      </c>
      <c r="P49" s="1240"/>
      <c r="Q49" s="1146"/>
      <c r="R49" s="1147">
        <f t="shared" si="5"/>
        <v>0</v>
      </c>
      <c r="S49" s="1241"/>
    </row>
    <row r="50" spans="1:19" ht="29.25" customHeight="1" x14ac:dyDescent="0.2">
      <c r="A50" s="636">
        <f t="shared" si="0"/>
        <v>42</v>
      </c>
      <c r="B50" s="636" t="str">
        <f t="shared" si="1"/>
        <v>ID42</v>
      </c>
      <c r="C50" s="1234"/>
      <c r="D50" s="1235"/>
      <c r="E50" s="1235"/>
      <c r="F50" s="1235"/>
      <c r="G50" s="1235"/>
      <c r="H50" s="1235"/>
      <c r="I50" s="1235"/>
      <c r="J50" s="1236">
        <f t="shared" si="2"/>
        <v>0</v>
      </c>
      <c r="K50" s="1235"/>
      <c r="L50" s="1236">
        <f t="shared" si="3"/>
        <v>0</v>
      </c>
      <c r="M50" s="1237"/>
      <c r="N50" s="1238"/>
      <c r="O50" s="1239">
        <f t="shared" si="4"/>
        <v>0</v>
      </c>
      <c r="P50" s="1240"/>
      <c r="Q50" s="1146"/>
      <c r="R50" s="1147">
        <f t="shared" si="5"/>
        <v>0</v>
      </c>
      <c r="S50" s="1241"/>
    </row>
    <row r="51" spans="1:19" ht="29.25" customHeight="1" x14ac:dyDescent="0.2">
      <c r="A51" s="636">
        <f t="shared" si="0"/>
        <v>43</v>
      </c>
      <c r="B51" s="636" t="str">
        <f t="shared" si="1"/>
        <v>ID43</v>
      </c>
      <c r="C51" s="1234"/>
      <c r="D51" s="1235"/>
      <c r="E51" s="1235"/>
      <c r="F51" s="1235"/>
      <c r="G51" s="1235"/>
      <c r="H51" s="1235"/>
      <c r="I51" s="1235"/>
      <c r="J51" s="1236">
        <f t="shared" si="2"/>
        <v>0</v>
      </c>
      <c r="K51" s="1235"/>
      <c r="L51" s="1236">
        <f t="shared" si="3"/>
        <v>0</v>
      </c>
      <c r="M51" s="1237"/>
      <c r="N51" s="1238"/>
      <c r="O51" s="1239">
        <f t="shared" si="4"/>
        <v>0</v>
      </c>
      <c r="P51" s="1240"/>
      <c r="Q51" s="1146"/>
      <c r="R51" s="1147">
        <f t="shared" si="5"/>
        <v>0</v>
      </c>
      <c r="S51" s="1241"/>
    </row>
    <row r="52" spans="1:19" ht="29.25" customHeight="1" x14ac:dyDescent="0.2">
      <c r="A52" s="636">
        <f t="shared" si="0"/>
        <v>44</v>
      </c>
      <c r="B52" s="636" t="str">
        <f t="shared" si="1"/>
        <v>ID44</v>
      </c>
      <c r="C52" s="1234"/>
      <c r="D52" s="1235"/>
      <c r="E52" s="1235"/>
      <c r="F52" s="1235"/>
      <c r="G52" s="1235"/>
      <c r="H52" s="1235"/>
      <c r="I52" s="1235"/>
      <c r="J52" s="1236">
        <f t="shared" si="2"/>
        <v>0</v>
      </c>
      <c r="K52" s="1235"/>
      <c r="L52" s="1236">
        <f t="shared" si="3"/>
        <v>0</v>
      </c>
      <c r="M52" s="1237"/>
      <c r="N52" s="1238"/>
      <c r="O52" s="1239">
        <f t="shared" si="4"/>
        <v>0</v>
      </c>
      <c r="P52" s="1240"/>
      <c r="Q52" s="1146"/>
      <c r="R52" s="1147">
        <f t="shared" si="5"/>
        <v>0</v>
      </c>
      <c r="S52" s="1241"/>
    </row>
    <row r="53" spans="1:19" ht="29.25" customHeight="1" x14ac:dyDescent="0.2">
      <c r="A53" s="636">
        <f t="shared" si="0"/>
        <v>45</v>
      </c>
      <c r="B53" s="636" t="str">
        <f t="shared" si="1"/>
        <v>ID45</v>
      </c>
      <c r="C53" s="1234"/>
      <c r="D53" s="1235"/>
      <c r="E53" s="1235"/>
      <c r="F53" s="1235"/>
      <c r="G53" s="1235"/>
      <c r="H53" s="1235"/>
      <c r="I53" s="1235"/>
      <c r="J53" s="1236">
        <f t="shared" si="2"/>
        <v>0</v>
      </c>
      <c r="K53" s="1235"/>
      <c r="L53" s="1236">
        <f t="shared" si="3"/>
        <v>0</v>
      </c>
      <c r="M53" s="1237"/>
      <c r="N53" s="1238"/>
      <c r="O53" s="1239">
        <f t="shared" si="4"/>
        <v>0</v>
      </c>
      <c r="P53" s="1240"/>
      <c r="Q53" s="1146"/>
      <c r="R53" s="1147">
        <f t="shared" si="5"/>
        <v>0</v>
      </c>
      <c r="S53" s="1241"/>
    </row>
    <row r="54" spans="1:19" ht="29.25" customHeight="1" x14ac:dyDescent="0.2">
      <c r="A54" s="636">
        <f t="shared" si="0"/>
        <v>46</v>
      </c>
      <c r="B54" s="636" t="str">
        <f t="shared" si="1"/>
        <v>ID46</v>
      </c>
      <c r="C54" s="1234"/>
      <c r="D54" s="1235"/>
      <c r="E54" s="1235"/>
      <c r="F54" s="1235"/>
      <c r="G54" s="1235"/>
      <c r="H54" s="1235"/>
      <c r="I54" s="1235"/>
      <c r="J54" s="1236">
        <f t="shared" si="2"/>
        <v>0</v>
      </c>
      <c r="K54" s="1235"/>
      <c r="L54" s="1236">
        <f t="shared" si="3"/>
        <v>0</v>
      </c>
      <c r="M54" s="1237"/>
      <c r="N54" s="1238"/>
      <c r="O54" s="1239">
        <f t="shared" si="4"/>
        <v>0</v>
      </c>
      <c r="P54" s="1240"/>
      <c r="Q54" s="1146"/>
      <c r="R54" s="1147">
        <f t="shared" si="5"/>
        <v>0</v>
      </c>
      <c r="S54" s="1241"/>
    </row>
    <row r="55" spans="1:19" ht="29.25" customHeight="1" x14ac:dyDescent="0.2">
      <c r="A55" s="636">
        <f t="shared" si="0"/>
        <v>47</v>
      </c>
      <c r="B55" s="636" t="str">
        <f t="shared" si="1"/>
        <v>ID47</v>
      </c>
      <c r="C55" s="1234"/>
      <c r="D55" s="1235"/>
      <c r="E55" s="1235"/>
      <c r="F55" s="1235"/>
      <c r="G55" s="1235"/>
      <c r="H55" s="1235"/>
      <c r="I55" s="1235"/>
      <c r="J55" s="1236">
        <f t="shared" si="2"/>
        <v>0</v>
      </c>
      <c r="K55" s="1235"/>
      <c r="L55" s="1236">
        <f t="shared" si="3"/>
        <v>0</v>
      </c>
      <c r="M55" s="1237"/>
      <c r="N55" s="1238"/>
      <c r="O55" s="1239">
        <f t="shared" si="4"/>
        <v>0</v>
      </c>
      <c r="P55" s="1240"/>
      <c r="Q55" s="1146"/>
      <c r="R55" s="1147">
        <f t="shared" si="5"/>
        <v>0</v>
      </c>
      <c r="S55" s="1241"/>
    </row>
    <row r="56" spans="1:19" ht="29.25" customHeight="1" x14ac:dyDescent="0.2">
      <c r="A56" s="636">
        <f t="shared" si="0"/>
        <v>48</v>
      </c>
      <c r="B56" s="636" t="str">
        <f t="shared" si="1"/>
        <v>ID48</v>
      </c>
      <c r="C56" s="1234"/>
      <c r="D56" s="1235"/>
      <c r="E56" s="1235"/>
      <c r="F56" s="1235"/>
      <c r="G56" s="1235"/>
      <c r="H56" s="1235"/>
      <c r="I56" s="1235"/>
      <c r="J56" s="1236">
        <f t="shared" si="2"/>
        <v>0</v>
      </c>
      <c r="K56" s="1235"/>
      <c r="L56" s="1236">
        <f t="shared" si="3"/>
        <v>0</v>
      </c>
      <c r="M56" s="1237"/>
      <c r="N56" s="1238"/>
      <c r="O56" s="1239">
        <f t="shared" si="4"/>
        <v>0</v>
      </c>
      <c r="P56" s="1240"/>
      <c r="Q56" s="1146"/>
      <c r="R56" s="1147">
        <f t="shared" si="5"/>
        <v>0</v>
      </c>
      <c r="S56" s="1241"/>
    </row>
    <row r="57" spans="1:19" ht="29.25" customHeight="1" x14ac:dyDescent="0.2">
      <c r="A57" s="636">
        <f t="shared" si="0"/>
        <v>49</v>
      </c>
      <c r="B57" s="636" t="str">
        <f t="shared" si="1"/>
        <v>ID49</v>
      </c>
      <c r="C57" s="1234"/>
      <c r="D57" s="1235"/>
      <c r="E57" s="1235"/>
      <c r="F57" s="1235"/>
      <c r="G57" s="1235"/>
      <c r="H57" s="1235"/>
      <c r="I57" s="1235"/>
      <c r="J57" s="1236">
        <f t="shared" si="2"/>
        <v>0</v>
      </c>
      <c r="K57" s="1235"/>
      <c r="L57" s="1236">
        <f t="shared" si="3"/>
        <v>0</v>
      </c>
      <c r="M57" s="1237"/>
      <c r="N57" s="1238"/>
      <c r="O57" s="1239">
        <f t="shared" si="4"/>
        <v>0</v>
      </c>
      <c r="P57" s="1240"/>
      <c r="Q57" s="1146"/>
      <c r="R57" s="1147">
        <f t="shared" si="5"/>
        <v>0</v>
      </c>
      <c r="S57" s="1241"/>
    </row>
    <row r="58" spans="1:19" ht="29.25" customHeight="1" x14ac:dyDescent="0.2">
      <c r="A58" s="636">
        <f t="shared" si="0"/>
        <v>50</v>
      </c>
      <c r="B58" s="636" t="str">
        <f t="shared" si="1"/>
        <v>ID50</v>
      </c>
      <c r="C58" s="1234"/>
      <c r="D58" s="1235"/>
      <c r="E58" s="1235"/>
      <c r="F58" s="1235"/>
      <c r="G58" s="1235"/>
      <c r="H58" s="1235"/>
      <c r="I58" s="1235"/>
      <c r="J58" s="1236">
        <f t="shared" si="2"/>
        <v>0</v>
      </c>
      <c r="K58" s="1235"/>
      <c r="L58" s="1236">
        <f t="shared" si="3"/>
        <v>0</v>
      </c>
      <c r="M58" s="1237"/>
      <c r="N58" s="1238"/>
      <c r="O58" s="1239">
        <f t="shared" si="4"/>
        <v>0</v>
      </c>
      <c r="P58" s="1240"/>
      <c r="Q58" s="1146"/>
      <c r="R58" s="1147">
        <f t="shared" si="5"/>
        <v>0</v>
      </c>
      <c r="S58" s="1241"/>
    </row>
    <row r="59" spans="1:19" ht="29.25" customHeight="1" x14ac:dyDescent="0.2">
      <c r="A59" s="636">
        <f t="shared" si="0"/>
        <v>51</v>
      </c>
      <c r="B59" s="636" t="str">
        <f t="shared" si="1"/>
        <v>ID51</v>
      </c>
      <c r="C59" s="1234"/>
      <c r="D59" s="1235"/>
      <c r="E59" s="1235"/>
      <c r="F59" s="1235"/>
      <c r="G59" s="1235"/>
      <c r="H59" s="1235"/>
      <c r="I59" s="1235"/>
      <c r="J59" s="1236">
        <f t="shared" si="2"/>
        <v>0</v>
      </c>
      <c r="K59" s="1235"/>
      <c r="L59" s="1236">
        <f t="shared" si="3"/>
        <v>0</v>
      </c>
      <c r="M59" s="1237"/>
      <c r="N59" s="1238"/>
      <c r="O59" s="1239">
        <f t="shared" si="4"/>
        <v>0</v>
      </c>
      <c r="P59" s="1240"/>
      <c r="Q59" s="1146"/>
      <c r="R59" s="1147">
        <f t="shared" si="5"/>
        <v>0</v>
      </c>
      <c r="S59" s="1241"/>
    </row>
    <row r="60" spans="1:19" ht="29.25" customHeight="1" x14ac:dyDescent="0.2">
      <c r="A60" s="636">
        <f t="shared" si="0"/>
        <v>52</v>
      </c>
      <c r="B60" s="636" t="str">
        <f t="shared" si="1"/>
        <v>ID52</v>
      </c>
      <c r="C60" s="1234"/>
      <c r="D60" s="1235"/>
      <c r="E60" s="1235"/>
      <c r="F60" s="1235"/>
      <c r="G60" s="1235"/>
      <c r="H60" s="1235"/>
      <c r="I60" s="1235"/>
      <c r="J60" s="1236">
        <f t="shared" si="2"/>
        <v>0</v>
      </c>
      <c r="K60" s="1235"/>
      <c r="L60" s="1236">
        <f t="shared" si="3"/>
        <v>0</v>
      </c>
      <c r="M60" s="1237"/>
      <c r="N60" s="1238"/>
      <c r="O60" s="1239">
        <f t="shared" si="4"/>
        <v>0</v>
      </c>
      <c r="P60" s="1240"/>
      <c r="Q60" s="1146"/>
      <c r="R60" s="1147">
        <f t="shared" si="5"/>
        <v>0</v>
      </c>
      <c r="S60" s="1241"/>
    </row>
    <row r="61" spans="1:19" ht="29.25" customHeight="1" x14ac:dyDescent="0.2">
      <c r="A61" s="636">
        <f t="shared" si="0"/>
        <v>53</v>
      </c>
      <c r="B61" s="636" t="str">
        <f t="shared" si="1"/>
        <v>ID53</v>
      </c>
      <c r="C61" s="1234"/>
      <c r="D61" s="1235"/>
      <c r="E61" s="1235"/>
      <c r="F61" s="1235"/>
      <c r="G61" s="1235"/>
      <c r="H61" s="1235"/>
      <c r="I61" s="1235"/>
      <c r="J61" s="1236">
        <f t="shared" si="2"/>
        <v>0</v>
      </c>
      <c r="K61" s="1235"/>
      <c r="L61" s="1236">
        <f t="shared" si="3"/>
        <v>0</v>
      </c>
      <c r="M61" s="1237"/>
      <c r="N61" s="1238"/>
      <c r="O61" s="1239">
        <f t="shared" si="4"/>
        <v>0</v>
      </c>
      <c r="P61" s="1240"/>
      <c r="Q61" s="1146"/>
      <c r="R61" s="1147">
        <f t="shared" si="5"/>
        <v>0</v>
      </c>
      <c r="S61" s="1241"/>
    </row>
    <row r="62" spans="1:19" ht="29.25" customHeight="1" x14ac:dyDescent="0.2">
      <c r="A62" s="636">
        <f t="shared" si="0"/>
        <v>54</v>
      </c>
      <c r="B62" s="636" t="str">
        <f t="shared" si="1"/>
        <v>ID54</v>
      </c>
      <c r="C62" s="1234"/>
      <c r="D62" s="1235"/>
      <c r="E62" s="1235"/>
      <c r="F62" s="1235"/>
      <c r="G62" s="1235"/>
      <c r="H62" s="1235"/>
      <c r="I62" s="1235"/>
      <c r="J62" s="1236">
        <f t="shared" si="2"/>
        <v>0</v>
      </c>
      <c r="K62" s="1235"/>
      <c r="L62" s="1236">
        <f t="shared" si="3"/>
        <v>0</v>
      </c>
      <c r="M62" s="1237"/>
      <c r="N62" s="1238"/>
      <c r="O62" s="1239">
        <f t="shared" si="4"/>
        <v>0</v>
      </c>
      <c r="P62" s="1240"/>
      <c r="Q62" s="1146"/>
      <c r="R62" s="1147">
        <f t="shared" si="5"/>
        <v>0</v>
      </c>
      <c r="S62" s="1241"/>
    </row>
    <row r="63" spans="1:19" ht="29.25" customHeight="1" x14ac:dyDescent="0.2">
      <c r="A63" s="636">
        <f t="shared" si="0"/>
        <v>55</v>
      </c>
      <c r="B63" s="636" t="str">
        <f t="shared" si="1"/>
        <v>ID55</v>
      </c>
      <c r="C63" s="1234"/>
      <c r="D63" s="1235"/>
      <c r="E63" s="1235"/>
      <c r="F63" s="1235"/>
      <c r="G63" s="1235"/>
      <c r="H63" s="1235"/>
      <c r="I63" s="1235"/>
      <c r="J63" s="1236">
        <f t="shared" si="2"/>
        <v>0</v>
      </c>
      <c r="K63" s="1235"/>
      <c r="L63" s="1236">
        <f t="shared" si="3"/>
        <v>0</v>
      </c>
      <c r="M63" s="1237"/>
      <c r="N63" s="1238"/>
      <c r="O63" s="1239">
        <f t="shared" si="4"/>
        <v>0</v>
      </c>
      <c r="P63" s="1240"/>
      <c r="Q63" s="1146"/>
      <c r="R63" s="1147">
        <f t="shared" si="5"/>
        <v>0</v>
      </c>
      <c r="S63" s="1241"/>
    </row>
    <row r="64" spans="1:19" ht="29.25" customHeight="1" x14ac:dyDescent="0.2">
      <c r="A64" s="636">
        <f t="shared" si="0"/>
        <v>56</v>
      </c>
      <c r="B64" s="636" t="str">
        <f t="shared" si="1"/>
        <v>ID56</v>
      </c>
      <c r="C64" s="1234"/>
      <c r="D64" s="1235"/>
      <c r="E64" s="1235"/>
      <c r="F64" s="1235"/>
      <c r="G64" s="1235"/>
      <c r="H64" s="1235"/>
      <c r="I64" s="1235"/>
      <c r="J64" s="1236">
        <f t="shared" si="2"/>
        <v>0</v>
      </c>
      <c r="K64" s="1235"/>
      <c r="L64" s="1236">
        <f t="shared" si="3"/>
        <v>0</v>
      </c>
      <c r="M64" s="1237"/>
      <c r="N64" s="1238"/>
      <c r="O64" s="1239">
        <f t="shared" si="4"/>
        <v>0</v>
      </c>
      <c r="P64" s="1240"/>
      <c r="Q64" s="1146"/>
      <c r="R64" s="1147">
        <f t="shared" si="5"/>
        <v>0</v>
      </c>
      <c r="S64" s="1241"/>
    </row>
    <row r="65" spans="1:19" ht="29.25" customHeight="1" x14ac:dyDescent="0.2">
      <c r="A65" s="636">
        <f t="shared" si="0"/>
        <v>57</v>
      </c>
      <c r="B65" s="636" t="str">
        <f t="shared" si="1"/>
        <v>ID57</v>
      </c>
      <c r="C65" s="1234"/>
      <c r="D65" s="1235"/>
      <c r="E65" s="1235"/>
      <c r="F65" s="1235"/>
      <c r="G65" s="1235"/>
      <c r="H65" s="1235"/>
      <c r="I65" s="1235"/>
      <c r="J65" s="1236">
        <f t="shared" si="2"/>
        <v>0</v>
      </c>
      <c r="K65" s="1235"/>
      <c r="L65" s="1236">
        <f t="shared" si="3"/>
        <v>0</v>
      </c>
      <c r="M65" s="1237"/>
      <c r="N65" s="1238"/>
      <c r="O65" s="1239">
        <f t="shared" si="4"/>
        <v>0</v>
      </c>
      <c r="P65" s="1240"/>
      <c r="Q65" s="1146"/>
      <c r="R65" s="1147">
        <f t="shared" si="5"/>
        <v>0</v>
      </c>
      <c r="S65" s="1241"/>
    </row>
    <row r="66" spans="1:19" ht="29.25" customHeight="1" x14ac:dyDescent="0.2">
      <c r="A66" s="636">
        <f t="shared" si="0"/>
        <v>58</v>
      </c>
      <c r="B66" s="636" t="str">
        <f t="shared" si="1"/>
        <v>ID58</v>
      </c>
      <c r="C66" s="1234"/>
      <c r="D66" s="1235"/>
      <c r="E66" s="1235"/>
      <c r="F66" s="1235"/>
      <c r="G66" s="1235"/>
      <c r="H66" s="1235"/>
      <c r="I66" s="1235"/>
      <c r="J66" s="1236">
        <f t="shared" si="2"/>
        <v>0</v>
      </c>
      <c r="K66" s="1235"/>
      <c r="L66" s="1236">
        <f t="shared" si="3"/>
        <v>0</v>
      </c>
      <c r="M66" s="1237"/>
      <c r="N66" s="1238"/>
      <c r="O66" s="1239">
        <f t="shared" si="4"/>
        <v>0</v>
      </c>
      <c r="P66" s="1240"/>
      <c r="Q66" s="1146"/>
      <c r="R66" s="1147">
        <f t="shared" si="5"/>
        <v>0</v>
      </c>
      <c r="S66" s="1241"/>
    </row>
    <row r="67" spans="1:19" ht="29.25" customHeight="1" x14ac:dyDescent="0.2">
      <c r="A67" s="636">
        <f t="shared" si="0"/>
        <v>59</v>
      </c>
      <c r="B67" s="636" t="str">
        <f t="shared" si="1"/>
        <v>ID59</v>
      </c>
      <c r="C67" s="1234"/>
      <c r="D67" s="1235"/>
      <c r="E67" s="1235"/>
      <c r="F67" s="1235"/>
      <c r="G67" s="1235"/>
      <c r="H67" s="1235"/>
      <c r="I67" s="1235"/>
      <c r="J67" s="1236">
        <f t="shared" si="2"/>
        <v>0</v>
      </c>
      <c r="K67" s="1235"/>
      <c r="L67" s="1236">
        <f t="shared" si="3"/>
        <v>0</v>
      </c>
      <c r="M67" s="1237"/>
      <c r="N67" s="1238"/>
      <c r="O67" s="1239">
        <f t="shared" si="4"/>
        <v>0</v>
      </c>
      <c r="P67" s="1240"/>
      <c r="Q67" s="1146"/>
      <c r="R67" s="1147">
        <f t="shared" si="5"/>
        <v>0</v>
      </c>
      <c r="S67" s="1241"/>
    </row>
    <row r="68" spans="1:19" ht="29.25" customHeight="1" x14ac:dyDescent="0.2">
      <c r="A68" s="636">
        <f t="shared" si="0"/>
        <v>60</v>
      </c>
      <c r="B68" s="636" t="str">
        <f t="shared" si="1"/>
        <v>ID60</v>
      </c>
      <c r="C68" s="1234"/>
      <c r="D68" s="1235"/>
      <c r="E68" s="1235"/>
      <c r="F68" s="1235"/>
      <c r="G68" s="1235"/>
      <c r="H68" s="1235"/>
      <c r="I68" s="1235"/>
      <c r="J68" s="1236">
        <f t="shared" si="2"/>
        <v>0</v>
      </c>
      <c r="K68" s="1235"/>
      <c r="L68" s="1236">
        <f t="shared" si="3"/>
        <v>0</v>
      </c>
      <c r="M68" s="1237"/>
      <c r="N68" s="1238"/>
      <c r="O68" s="1239">
        <f t="shared" si="4"/>
        <v>0</v>
      </c>
      <c r="P68" s="1240"/>
      <c r="Q68" s="1146"/>
      <c r="R68" s="1147">
        <f t="shared" si="5"/>
        <v>0</v>
      </c>
      <c r="S68" s="1241"/>
    </row>
    <row r="69" spans="1:19" ht="29.25" customHeight="1" x14ac:dyDescent="0.2">
      <c r="A69" s="636">
        <f t="shared" si="0"/>
        <v>61</v>
      </c>
      <c r="B69" s="636" t="str">
        <f t="shared" si="1"/>
        <v>ID61</v>
      </c>
      <c r="C69" s="1234"/>
      <c r="D69" s="1235"/>
      <c r="E69" s="1235"/>
      <c r="F69" s="1235"/>
      <c r="G69" s="1235"/>
      <c r="H69" s="1235"/>
      <c r="I69" s="1235"/>
      <c r="J69" s="1236">
        <f t="shared" si="2"/>
        <v>0</v>
      </c>
      <c r="K69" s="1235"/>
      <c r="L69" s="1236">
        <f t="shared" si="3"/>
        <v>0</v>
      </c>
      <c r="M69" s="1237"/>
      <c r="N69" s="1238"/>
      <c r="O69" s="1239">
        <f t="shared" si="4"/>
        <v>0</v>
      </c>
      <c r="P69" s="1240"/>
      <c r="Q69" s="1146"/>
      <c r="R69" s="1147">
        <f t="shared" si="5"/>
        <v>0</v>
      </c>
      <c r="S69" s="1241"/>
    </row>
    <row r="70" spans="1:19" ht="29.25" customHeight="1" x14ac:dyDescent="0.2">
      <c r="A70" s="636">
        <f t="shared" si="0"/>
        <v>62</v>
      </c>
      <c r="B70" s="636" t="str">
        <f t="shared" si="1"/>
        <v>ID62</v>
      </c>
      <c r="C70" s="1234"/>
      <c r="D70" s="1235"/>
      <c r="E70" s="1235"/>
      <c r="F70" s="1235"/>
      <c r="G70" s="1235"/>
      <c r="H70" s="1235"/>
      <c r="I70" s="1235"/>
      <c r="J70" s="1236">
        <f t="shared" si="2"/>
        <v>0</v>
      </c>
      <c r="K70" s="1235"/>
      <c r="L70" s="1236">
        <f t="shared" si="3"/>
        <v>0</v>
      </c>
      <c r="M70" s="1237"/>
      <c r="N70" s="1238"/>
      <c r="O70" s="1239">
        <f t="shared" si="4"/>
        <v>0</v>
      </c>
      <c r="P70" s="1240"/>
      <c r="Q70" s="1146"/>
      <c r="R70" s="1147">
        <f t="shared" si="5"/>
        <v>0</v>
      </c>
      <c r="S70" s="1241"/>
    </row>
    <row r="71" spans="1:19" ht="29.25" customHeight="1" x14ac:dyDescent="0.2">
      <c r="A71" s="636">
        <f t="shared" si="0"/>
        <v>63</v>
      </c>
      <c r="B71" s="636" t="str">
        <f t="shared" si="1"/>
        <v>ID63</v>
      </c>
      <c r="C71" s="1234"/>
      <c r="D71" s="1235"/>
      <c r="E71" s="1235"/>
      <c r="F71" s="1235"/>
      <c r="G71" s="1235"/>
      <c r="H71" s="1235"/>
      <c r="I71" s="1235"/>
      <c r="J71" s="1236">
        <f t="shared" si="2"/>
        <v>0</v>
      </c>
      <c r="K71" s="1235"/>
      <c r="L71" s="1236">
        <f t="shared" si="3"/>
        <v>0</v>
      </c>
      <c r="M71" s="1237"/>
      <c r="N71" s="1238"/>
      <c r="O71" s="1239">
        <f t="shared" si="4"/>
        <v>0</v>
      </c>
      <c r="P71" s="1240"/>
      <c r="Q71" s="1146"/>
      <c r="R71" s="1147">
        <f t="shared" si="5"/>
        <v>0</v>
      </c>
      <c r="S71" s="1241"/>
    </row>
    <row r="72" spans="1:19" ht="29.25" customHeight="1" x14ac:dyDescent="0.2">
      <c r="A72" s="636">
        <f t="shared" si="0"/>
        <v>64</v>
      </c>
      <c r="B72" s="636" t="str">
        <f t="shared" si="1"/>
        <v>ID64</v>
      </c>
      <c r="C72" s="1234"/>
      <c r="D72" s="1235"/>
      <c r="E72" s="1235"/>
      <c r="F72" s="1235"/>
      <c r="G72" s="1235"/>
      <c r="H72" s="1235"/>
      <c r="I72" s="1235"/>
      <c r="J72" s="1236">
        <f t="shared" si="2"/>
        <v>0</v>
      </c>
      <c r="K72" s="1235"/>
      <c r="L72" s="1236">
        <f t="shared" si="3"/>
        <v>0</v>
      </c>
      <c r="M72" s="1237"/>
      <c r="N72" s="1238"/>
      <c r="O72" s="1239">
        <f t="shared" si="4"/>
        <v>0</v>
      </c>
      <c r="P72" s="1240"/>
      <c r="Q72" s="1146"/>
      <c r="R72" s="1147">
        <f t="shared" si="5"/>
        <v>0</v>
      </c>
      <c r="S72" s="1241"/>
    </row>
    <row r="73" spans="1:19" ht="29.25" customHeight="1" x14ac:dyDescent="0.2">
      <c r="A73" s="636">
        <f t="shared" si="0"/>
        <v>65</v>
      </c>
      <c r="B73" s="636" t="str">
        <f t="shared" si="1"/>
        <v>ID65</v>
      </c>
      <c r="C73" s="1234"/>
      <c r="D73" s="1235"/>
      <c r="E73" s="1235"/>
      <c r="F73" s="1235"/>
      <c r="G73" s="1235"/>
      <c r="H73" s="1235"/>
      <c r="I73" s="1235"/>
      <c r="J73" s="1236">
        <f t="shared" si="2"/>
        <v>0</v>
      </c>
      <c r="K73" s="1235"/>
      <c r="L73" s="1236">
        <f t="shared" si="3"/>
        <v>0</v>
      </c>
      <c r="M73" s="1237"/>
      <c r="N73" s="1238"/>
      <c r="O73" s="1239">
        <f t="shared" si="4"/>
        <v>0</v>
      </c>
      <c r="P73" s="1240"/>
      <c r="Q73" s="1146"/>
      <c r="R73" s="1147">
        <f t="shared" si="5"/>
        <v>0</v>
      </c>
      <c r="S73" s="1241"/>
    </row>
    <row r="74" spans="1:19" ht="29.25" customHeight="1" x14ac:dyDescent="0.2">
      <c r="A74" s="636">
        <f t="shared" ref="A74:A104" si="6">A73+1</f>
        <v>66</v>
      </c>
      <c r="B74" s="636" t="str">
        <f t="shared" ref="B74:B108" si="7">"ID"&amp;A74</f>
        <v>ID66</v>
      </c>
      <c r="C74" s="1234"/>
      <c r="D74" s="1235"/>
      <c r="E74" s="1235"/>
      <c r="F74" s="1235"/>
      <c r="G74" s="1235"/>
      <c r="H74" s="1235"/>
      <c r="I74" s="1235"/>
      <c r="J74" s="1236">
        <f t="shared" ref="J74:J108" si="8">IFERROR(+E74+F74+G74-H74-I74,"")</f>
        <v>0</v>
      </c>
      <c r="K74" s="1235"/>
      <c r="L74" s="1236">
        <f t="shared" ref="L74:L108" si="9">IFERROR(+K74-J74,"")</f>
        <v>0</v>
      </c>
      <c r="M74" s="1237"/>
      <c r="N74" s="1238"/>
      <c r="O74" s="1239">
        <f t="shared" ref="O74:O108" si="10">IFERROR(J74+N74,"")</f>
        <v>0</v>
      </c>
      <c r="P74" s="1240"/>
      <c r="Q74" s="1146"/>
      <c r="R74" s="1147">
        <f t="shared" ref="R74:R108" si="11">O74+Q74</f>
        <v>0</v>
      </c>
      <c r="S74" s="1241"/>
    </row>
    <row r="75" spans="1:19" ht="29.25" customHeight="1" x14ac:dyDescent="0.2">
      <c r="A75" s="636">
        <f t="shared" si="6"/>
        <v>67</v>
      </c>
      <c r="B75" s="636" t="str">
        <f t="shared" si="7"/>
        <v>ID67</v>
      </c>
      <c r="C75" s="1234"/>
      <c r="D75" s="1235"/>
      <c r="E75" s="1235"/>
      <c r="F75" s="1235"/>
      <c r="G75" s="1235"/>
      <c r="H75" s="1235"/>
      <c r="I75" s="1235"/>
      <c r="J75" s="1236">
        <f t="shared" si="8"/>
        <v>0</v>
      </c>
      <c r="K75" s="1235"/>
      <c r="L75" s="1236">
        <f t="shared" si="9"/>
        <v>0</v>
      </c>
      <c r="M75" s="1237"/>
      <c r="N75" s="1238"/>
      <c r="O75" s="1239">
        <f t="shared" si="10"/>
        <v>0</v>
      </c>
      <c r="P75" s="1240"/>
      <c r="Q75" s="1146"/>
      <c r="R75" s="1147">
        <f t="shared" si="11"/>
        <v>0</v>
      </c>
      <c r="S75" s="1241"/>
    </row>
    <row r="76" spans="1:19" ht="29.25" customHeight="1" x14ac:dyDescent="0.2">
      <c r="A76" s="636">
        <f t="shared" si="6"/>
        <v>68</v>
      </c>
      <c r="B76" s="636" t="str">
        <f t="shared" si="7"/>
        <v>ID68</v>
      </c>
      <c r="C76" s="1234"/>
      <c r="D76" s="1235"/>
      <c r="E76" s="1235"/>
      <c r="F76" s="1235"/>
      <c r="G76" s="1235"/>
      <c r="H76" s="1235"/>
      <c r="I76" s="1235"/>
      <c r="J76" s="1236">
        <f t="shared" si="8"/>
        <v>0</v>
      </c>
      <c r="K76" s="1235"/>
      <c r="L76" s="1236">
        <f t="shared" si="9"/>
        <v>0</v>
      </c>
      <c r="M76" s="1237"/>
      <c r="N76" s="1238"/>
      <c r="O76" s="1239">
        <f t="shared" si="10"/>
        <v>0</v>
      </c>
      <c r="P76" s="1240"/>
      <c r="Q76" s="1146"/>
      <c r="R76" s="1147">
        <f t="shared" si="11"/>
        <v>0</v>
      </c>
      <c r="S76" s="1241"/>
    </row>
    <row r="77" spans="1:19" ht="29.25" customHeight="1" x14ac:dyDescent="0.2">
      <c r="A77" s="636">
        <f t="shared" si="6"/>
        <v>69</v>
      </c>
      <c r="B77" s="636" t="str">
        <f t="shared" si="7"/>
        <v>ID69</v>
      </c>
      <c r="C77" s="1234"/>
      <c r="D77" s="1235"/>
      <c r="E77" s="1235"/>
      <c r="F77" s="1235"/>
      <c r="G77" s="1235"/>
      <c r="H77" s="1235"/>
      <c r="I77" s="1235"/>
      <c r="J77" s="1236">
        <f t="shared" si="8"/>
        <v>0</v>
      </c>
      <c r="K77" s="1235"/>
      <c r="L77" s="1236">
        <f t="shared" si="9"/>
        <v>0</v>
      </c>
      <c r="M77" s="1237"/>
      <c r="N77" s="1238"/>
      <c r="O77" s="1239">
        <f t="shared" si="10"/>
        <v>0</v>
      </c>
      <c r="P77" s="1240"/>
      <c r="Q77" s="1146"/>
      <c r="R77" s="1147">
        <f t="shared" si="11"/>
        <v>0</v>
      </c>
      <c r="S77" s="1241"/>
    </row>
    <row r="78" spans="1:19" ht="29.25" customHeight="1" x14ac:dyDescent="0.2">
      <c r="A78" s="636">
        <f t="shared" si="6"/>
        <v>70</v>
      </c>
      <c r="B78" s="636" t="str">
        <f t="shared" si="7"/>
        <v>ID70</v>
      </c>
      <c r="C78" s="1234"/>
      <c r="D78" s="1235"/>
      <c r="E78" s="1235"/>
      <c r="F78" s="1235"/>
      <c r="G78" s="1235"/>
      <c r="H78" s="1235"/>
      <c r="I78" s="1235"/>
      <c r="J78" s="1236">
        <f t="shared" si="8"/>
        <v>0</v>
      </c>
      <c r="K78" s="1235"/>
      <c r="L78" s="1236">
        <f t="shared" si="9"/>
        <v>0</v>
      </c>
      <c r="M78" s="1237"/>
      <c r="N78" s="1238"/>
      <c r="O78" s="1239">
        <f t="shared" si="10"/>
        <v>0</v>
      </c>
      <c r="P78" s="1240"/>
      <c r="Q78" s="1146"/>
      <c r="R78" s="1147">
        <f t="shared" si="11"/>
        <v>0</v>
      </c>
      <c r="S78" s="1241"/>
    </row>
    <row r="79" spans="1:19" ht="29.25" customHeight="1" x14ac:dyDescent="0.2">
      <c r="A79" s="636">
        <f t="shared" si="6"/>
        <v>71</v>
      </c>
      <c r="B79" s="636" t="str">
        <f t="shared" si="7"/>
        <v>ID71</v>
      </c>
      <c r="C79" s="1234"/>
      <c r="D79" s="1235"/>
      <c r="E79" s="1235"/>
      <c r="F79" s="1235"/>
      <c r="G79" s="1235"/>
      <c r="H79" s="1235"/>
      <c r="I79" s="1235"/>
      <c r="J79" s="1236">
        <f t="shared" si="8"/>
        <v>0</v>
      </c>
      <c r="K79" s="1235"/>
      <c r="L79" s="1236">
        <f t="shared" si="9"/>
        <v>0</v>
      </c>
      <c r="M79" s="1237"/>
      <c r="N79" s="1238"/>
      <c r="O79" s="1239">
        <f t="shared" si="10"/>
        <v>0</v>
      </c>
      <c r="P79" s="1240"/>
      <c r="Q79" s="1146"/>
      <c r="R79" s="1147">
        <f t="shared" si="11"/>
        <v>0</v>
      </c>
      <c r="S79" s="1241"/>
    </row>
    <row r="80" spans="1:19" ht="29.25" customHeight="1" x14ac:dyDescent="0.2">
      <c r="A80" s="636">
        <f t="shared" si="6"/>
        <v>72</v>
      </c>
      <c r="B80" s="636" t="str">
        <f t="shared" si="7"/>
        <v>ID72</v>
      </c>
      <c r="C80" s="1234"/>
      <c r="D80" s="1235"/>
      <c r="E80" s="1235"/>
      <c r="F80" s="1235"/>
      <c r="G80" s="1235"/>
      <c r="H80" s="1235"/>
      <c r="I80" s="1235"/>
      <c r="J80" s="1236">
        <f t="shared" si="8"/>
        <v>0</v>
      </c>
      <c r="K80" s="1235"/>
      <c r="L80" s="1236">
        <f t="shared" si="9"/>
        <v>0</v>
      </c>
      <c r="M80" s="1237"/>
      <c r="N80" s="1238"/>
      <c r="O80" s="1239">
        <f t="shared" si="10"/>
        <v>0</v>
      </c>
      <c r="P80" s="1240"/>
      <c r="Q80" s="1146"/>
      <c r="R80" s="1147">
        <f t="shared" si="11"/>
        <v>0</v>
      </c>
      <c r="S80" s="1241"/>
    </row>
    <row r="81" spans="1:19" ht="29.25" customHeight="1" x14ac:dyDescent="0.2">
      <c r="A81" s="636">
        <f t="shared" si="6"/>
        <v>73</v>
      </c>
      <c r="B81" s="636" t="str">
        <f t="shared" si="7"/>
        <v>ID73</v>
      </c>
      <c r="C81" s="1234"/>
      <c r="D81" s="1235"/>
      <c r="E81" s="1235"/>
      <c r="F81" s="1235"/>
      <c r="G81" s="1235"/>
      <c r="H81" s="1235"/>
      <c r="I81" s="1235"/>
      <c r="J81" s="1236">
        <f t="shared" si="8"/>
        <v>0</v>
      </c>
      <c r="K81" s="1235"/>
      <c r="L81" s="1236">
        <f t="shared" si="9"/>
        <v>0</v>
      </c>
      <c r="M81" s="1237"/>
      <c r="N81" s="1238"/>
      <c r="O81" s="1239">
        <f t="shared" si="10"/>
        <v>0</v>
      </c>
      <c r="P81" s="1240"/>
      <c r="Q81" s="1146"/>
      <c r="R81" s="1147">
        <f t="shared" si="11"/>
        <v>0</v>
      </c>
      <c r="S81" s="1241"/>
    </row>
    <row r="82" spans="1:19" ht="29.25" customHeight="1" x14ac:dyDescent="0.2">
      <c r="A82" s="636">
        <f t="shared" si="6"/>
        <v>74</v>
      </c>
      <c r="B82" s="636" t="str">
        <f t="shared" si="7"/>
        <v>ID74</v>
      </c>
      <c r="C82" s="1234"/>
      <c r="D82" s="1235"/>
      <c r="E82" s="1235"/>
      <c r="F82" s="1235"/>
      <c r="G82" s="1235"/>
      <c r="H82" s="1235"/>
      <c r="I82" s="1235"/>
      <c r="J82" s="1236">
        <f t="shared" si="8"/>
        <v>0</v>
      </c>
      <c r="K82" s="1235"/>
      <c r="L82" s="1236">
        <f t="shared" si="9"/>
        <v>0</v>
      </c>
      <c r="M82" s="1237"/>
      <c r="N82" s="1238"/>
      <c r="O82" s="1239">
        <f t="shared" si="10"/>
        <v>0</v>
      </c>
      <c r="P82" s="1240"/>
      <c r="Q82" s="1146"/>
      <c r="R82" s="1147">
        <f t="shared" si="11"/>
        <v>0</v>
      </c>
      <c r="S82" s="1241"/>
    </row>
    <row r="83" spans="1:19" ht="29.25" customHeight="1" x14ac:dyDescent="0.2">
      <c r="A83" s="636">
        <f t="shared" si="6"/>
        <v>75</v>
      </c>
      <c r="B83" s="636" t="str">
        <f t="shared" si="7"/>
        <v>ID75</v>
      </c>
      <c r="C83" s="1234"/>
      <c r="D83" s="1235"/>
      <c r="E83" s="1235"/>
      <c r="F83" s="1235"/>
      <c r="G83" s="1235"/>
      <c r="H83" s="1235"/>
      <c r="I83" s="1235"/>
      <c r="J83" s="1236">
        <f t="shared" si="8"/>
        <v>0</v>
      </c>
      <c r="K83" s="1235"/>
      <c r="L83" s="1236">
        <f t="shared" si="9"/>
        <v>0</v>
      </c>
      <c r="M83" s="1237"/>
      <c r="N83" s="1238"/>
      <c r="O83" s="1239">
        <f t="shared" si="10"/>
        <v>0</v>
      </c>
      <c r="P83" s="1240"/>
      <c r="Q83" s="1146"/>
      <c r="R83" s="1147">
        <f t="shared" si="11"/>
        <v>0</v>
      </c>
      <c r="S83" s="1241"/>
    </row>
    <row r="84" spans="1:19" ht="29.25" customHeight="1" x14ac:dyDescent="0.2">
      <c r="A84" s="636">
        <f t="shared" si="6"/>
        <v>76</v>
      </c>
      <c r="B84" s="636" t="str">
        <f t="shared" si="7"/>
        <v>ID76</v>
      </c>
      <c r="C84" s="1234"/>
      <c r="D84" s="1235"/>
      <c r="E84" s="1235"/>
      <c r="F84" s="1235"/>
      <c r="G84" s="1235"/>
      <c r="H84" s="1235"/>
      <c r="I84" s="1235"/>
      <c r="J84" s="1236">
        <f t="shared" si="8"/>
        <v>0</v>
      </c>
      <c r="K84" s="1235"/>
      <c r="L84" s="1236">
        <f t="shared" si="9"/>
        <v>0</v>
      </c>
      <c r="M84" s="1237"/>
      <c r="N84" s="1238"/>
      <c r="O84" s="1239">
        <f t="shared" si="10"/>
        <v>0</v>
      </c>
      <c r="P84" s="1240"/>
      <c r="Q84" s="1146"/>
      <c r="R84" s="1147">
        <f t="shared" si="11"/>
        <v>0</v>
      </c>
      <c r="S84" s="1241"/>
    </row>
    <row r="85" spans="1:19" ht="29.25" customHeight="1" x14ac:dyDescent="0.2">
      <c r="A85" s="636">
        <f t="shared" si="6"/>
        <v>77</v>
      </c>
      <c r="B85" s="636" t="str">
        <f t="shared" si="7"/>
        <v>ID77</v>
      </c>
      <c r="C85" s="1234"/>
      <c r="D85" s="1235"/>
      <c r="E85" s="1235"/>
      <c r="F85" s="1235"/>
      <c r="G85" s="1235"/>
      <c r="H85" s="1235"/>
      <c r="I85" s="1235"/>
      <c r="J85" s="1236">
        <f t="shared" si="8"/>
        <v>0</v>
      </c>
      <c r="K85" s="1235"/>
      <c r="L85" s="1236">
        <f t="shared" si="9"/>
        <v>0</v>
      </c>
      <c r="M85" s="1237"/>
      <c r="N85" s="1238"/>
      <c r="O85" s="1239">
        <f t="shared" si="10"/>
        <v>0</v>
      </c>
      <c r="P85" s="1240"/>
      <c r="Q85" s="1146"/>
      <c r="R85" s="1147">
        <f t="shared" si="11"/>
        <v>0</v>
      </c>
      <c r="S85" s="1241"/>
    </row>
    <row r="86" spans="1:19" ht="29.25" customHeight="1" x14ac:dyDescent="0.2">
      <c r="A86" s="636">
        <f t="shared" si="6"/>
        <v>78</v>
      </c>
      <c r="B86" s="636" t="str">
        <f t="shared" si="7"/>
        <v>ID78</v>
      </c>
      <c r="C86" s="1234"/>
      <c r="D86" s="1235"/>
      <c r="E86" s="1235"/>
      <c r="F86" s="1235"/>
      <c r="G86" s="1235"/>
      <c r="H86" s="1235"/>
      <c r="I86" s="1235"/>
      <c r="J86" s="1236">
        <f t="shared" si="8"/>
        <v>0</v>
      </c>
      <c r="K86" s="1235"/>
      <c r="L86" s="1236">
        <f t="shared" si="9"/>
        <v>0</v>
      </c>
      <c r="M86" s="1237"/>
      <c r="N86" s="1238"/>
      <c r="O86" s="1239">
        <f t="shared" si="10"/>
        <v>0</v>
      </c>
      <c r="P86" s="1240"/>
      <c r="Q86" s="1146"/>
      <c r="R86" s="1147">
        <f t="shared" si="11"/>
        <v>0</v>
      </c>
      <c r="S86" s="1241"/>
    </row>
    <row r="87" spans="1:19" ht="29.25" customHeight="1" x14ac:dyDescent="0.2">
      <c r="A87" s="636">
        <f t="shared" si="6"/>
        <v>79</v>
      </c>
      <c r="B87" s="636" t="str">
        <f t="shared" si="7"/>
        <v>ID79</v>
      </c>
      <c r="C87" s="1234"/>
      <c r="D87" s="1235"/>
      <c r="E87" s="1235"/>
      <c r="F87" s="1235"/>
      <c r="G87" s="1235"/>
      <c r="H87" s="1235"/>
      <c r="I87" s="1235"/>
      <c r="J87" s="1236">
        <f t="shared" si="8"/>
        <v>0</v>
      </c>
      <c r="K87" s="1235"/>
      <c r="L87" s="1236">
        <f t="shared" si="9"/>
        <v>0</v>
      </c>
      <c r="M87" s="1237"/>
      <c r="N87" s="1238"/>
      <c r="O87" s="1239">
        <f t="shared" si="10"/>
        <v>0</v>
      </c>
      <c r="P87" s="1240"/>
      <c r="Q87" s="1146"/>
      <c r="R87" s="1147">
        <f t="shared" si="11"/>
        <v>0</v>
      </c>
      <c r="S87" s="1241"/>
    </row>
    <row r="88" spans="1:19" ht="29.25" customHeight="1" x14ac:dyDescent="0.2">
      <c r="A88" s="636">
        <f t="shared" si="6"/>
        <v>80</v>
      </c>
      <c r="B88" s="636" t="str">
        <f t="shared" si="7"/>
        <v>ID80</v>
      </c>
      <c r="C88" s="1234"/>
      <c r="D88" s="1235"/>
      <c r="E88" s="1235"/>
      <c r="F88" s="1235"/>
      <c r="G88" s="1235"/>
      <c r="H88" s="1235"/>
      <c r="I88" s="1235"/>
      <c r="J88" s="1236">
        <f t="shared" si="8"/>
        <v>0</v>
      </c>
      <c r="K88" s="1235"/>
      <c r="L88" s="1236">
        <f t="shared" si="9"/>
        <v>0</v>
      </c>
      <c r="M88" s="1237"/>
      <c r="N88" s="1238"/>
      <c r="O88" s="1239">
        <f t="shared" si="10"/>
        <v>0</v>
      </c>
      <c r="P88" s="1240"/>
      <c r="Q88" s="1146"/>
      <c r="R88" s="1147">
        <f t="shared" si="11"/>
        <v>0</v>
      </c>
      <c r="S88" s="1241"/>
    </row>
    <row r="89" spans="1:19" ht="29.25" customHeight="1" x14ac:dyDescent="0.2">
      <c r="A89" s="636">
        <f t="shared" si="6"/>
        <v>81</v>
      </c>
      <c r="B89" s="636" t="str">
        <f t="shared" si="7"/>
        <v>ID81</v>
      </c>
      <c r="C89" s="1234"/>
      <c r="D89" s="1235"/>
      <c r="E89" s="1235"/>
      <c r="F89" s="1235"/>
      <c r="G89" s="1235"/>
      <c r="H89" s="1235"/>
      <c r="I89" s="1235"/>
      <c r="J89" s="1236">
        <f t="shared" si="8"/>
        <v>0</v>
      </c>
      <c r="K89" s="1235"/>
      <c r="L89" s="1236">
        <f t="shared" si="9"/>
        <v>0</v>
      </c>
      <c r="M89" s="1237"/>
      <c r="N89" s="1238"/>
      <c r="O89" s="1239">
        <f t="shared" si="10"/>
        <v>0</v>
      </c>
      <c r="P89" s="1240"/>
      <c r="Q89" s="1146"/>
      <c r="R89" s="1147">
        <f t="shared" si="11"/>
        <v>0</v>
      </c>
      <c r="S89" s="1241"/>
    </row>
    <row r="90" spans="1:19" ht="29.25" customHeight="1" x14ac:dyDescent="0.2">
      <c r="A90" s="636">
        <f t="shared" si="6"/>
        <v>82</v>
      </c>
      <c r="B90" s="636" t="str">
        <f t="shared" si="7"/>
        <v>ID82</v>
      </c>
      <c r="C90" s="1234"/>
      <c r="D90" s="1235"/>
      <c r="E90" s="1235"/>
      <c r="F90" s="1235"/>
      <c r="G90" s="1235"/>
      <c r="H90" s="1235"/>
      <c r="I90" s="1235"/>
      <c r="J90" s="1236">
        <f t="shared" si="8"/>
        <v>0</v>
      </c>
      <c r="K90" s="1235"/>
      <c r="L90" s="1236">
        <f t="shared" si="9"/>
        <v>0</v>
      </c>
      <c r="M90" s="1237"/>
      <c r="N90" s="1238"/>
      <c r="O90" s="1239">
        <f t="shared" si="10"/>
        <v>0</v>
      </c>
      <c r="P90" s="1240"/>
      <c r="Q90" s="1146"/>
      <c r="R90" s="1147">
        <f t="shared" si="11"/>
        <v>0</v>
      </c>
      <c r="S90" s="1241"/>
    </row>
    <row r="91" spans="1:19" ht="29.25" customHeight="1" x14ac:dyDescent="0.2">
      <c r="A91" s="636">
        <f t="shared" si="6"/>
        <v>83</v>
      </c>
      <c r="B91" s="636" t="str">
        <f t="shared" si="7"/>
        <v>ID83</v>
      </c>
      <c r="C91" s="1234"/>
      <c r="D91" s="1235"/>
      <c r="E91" s="1235"/>
      <c r="F91" s="1235"/>
      <c r="G91" s="1235"/>
      <c r="H91" s="1235"/>
      <c r="I91" s="1235"/>
      <c r="J91" s="1236">
        <f t="shared" si="8"/>
        <v>0</v>
      </c>
      <c r="K91" s="1235"/>
      <c r="L91" s="1236">
        <f t="shared" si="9"/>
        <v>0</v>
      </c>
      <c r="M91" s="1237"/>
      <c r="N91" s="1238"/>
      <c r="O91" s="1239">
        <f t="shared" si="10"/>
        <v>0</v>
      </c>
      <c r="P91" s="1240"/>
      <c r="Q91" s="1146"/>
      <c r="R91" s="1147">
        <f t="shared" si="11"/>
        <v>0</v>
      </c>
      <c r="S91" s="1241"/>
    </row>
    <row r="92" spans="1:19" ht="29.25" customHeight="1" x14ac:dyDescent="0.2">
      <c r="A92" s="636">
        <f t="shared" si="6"/>
        <v>84</v>
      </c>
      <c r="B92" s="636" t="str">
        <f t="shared" si="7"/>
        <v>ID84</v>
      </c>
      <c r="C92" s="1234"/>
      <c r="D92" s="1235"/>
      <c r="E92" s="1235"/>
      <c r="F92" s="1235"/>
      <c r="G92" s="1235"/>
      <c r="H92" s="1235"/>
      <c r="I92" s="1235"/>
      <c r="J92" s="1236">
        <f t="shared" si="8"/>
        <v>0</v>
      </c>
      <c r="K92" s="1235"/>
      <c r="L92" s="1236">
        <f t="shared" si="9"/>
        <v>0</v>
      </c>
      <c r="M92" s="1237"/>
      <c r="N92" s="1238"/>
      <c r="O92" s="1239">
        <f t="shared" si="10"/>
        <v>0</v>
      </c>
      <c r="P92" s="1240"/>
      <c r="Q92" s="1146"/>
      <c r="R92" s="1147">
        <f t="shared" si="11"/>
        <v>0</v>
      </c>
      <c r="S92" s="1241"/>
    </row>
    <row r="93" spans="1:19" ht="29.25" customHeight="1" x14ac:dyDescent="0.2">
      <c r="A93" s="636">
        <f t="shared" si="6"/>
        <v>85</v>
      </c>
      <c r="B93" s="636" t="str">
        <f t="shared" si="7"/>
        <v>ID85</v>
      </c>
      <c r="C93" s="1234"/>
      <c r="D93" s="1235"/>
      <c r="E93" s="1235"/>
      <c r="F93" s="1235"/>
      <c r="G93" s="1235"/>
      <c r="H93" s="1235"/>
      <c r="I93" s="1235"/>
      <c r="J93" s="1236">
        <f t="shared" si="8"/>
        <v>0</v>
      </c>
      <c r="K93" s="1235"/>
      <c r="L93" s="1236">
        <f t="shared" si="9"/>
        <v>0</v>
      </c>
      <c r="M93" s="1237"/>
      <c r="N93" s="1238"/>
      <c r="O93" s="1239">
        <f t="shared" si="10"/>
        <v>0</v>
      </c>
      <c r="P93" s="1240"/>
      <c r="Q93" s="1146"/>
      <c r="R93" s="1147">
        <f t="shared" si="11"/>
        <v>0</v>
      </c>
      <c r="S93" s="1241"/>
    </row>
    <row r="94" spans="1:19" ht="29.25" customHeight="1" x14ac:dyDescent="0.2">
      <c r="A94" s="636">
        <f t="shared" si="6"/>
        <v>86</v>
      </c>
      <c r="B94" s="636" t="str">
        <f t="shared" si="7"/>
        <v>ID86</v>
      </c>
      <c r="C94" s="1234"/>
      <c r="D94" s="1235"/>
      <c r="E94" s="1235"/>
      <c r="F94" s="1235"/>
      <c r="G94" s="1235"/>
      <c r="H94" s="1235"/>
      <c r="I94" s="1235"/>
      <c r="J94" s="1236">
        <f t="shared" si="8"/>
        <v>0</v>
      </c>
      <c r="K94" s="1235"/>
      <c r="L94" s="1236">
        <f t="shared" si="9"/>
        <v>0</v>
      </c>
      <c r="M94" s="1237"/>
      <c r="N94" s="1238"/>
      <c r="O94" s="1239">
        <f t="shared" si="10"/>
        <v>0</v>
      </c>
      <c r="P94" s="1240"/>
      <c r="Q94" s="1146"/>
      <c r="R94" s="1147">
        <f t="shared" si="11"/>
        <v>0</v>
      </c>
      <c r="S94" s="1241"/>
    </row>
    <row r="95" spans="1:19" ht="29.25" customHeight="1" x14ac:dyDescent="0.2">
      <c r="A95" s="636">
        <f t="shared" si="6"/>
        <v>87</v>
      </c>
      <c r="B95" s="636" t="str">
        <f t="shared" si="7"/>
        <v>ID87</v>
      </c>
      <c r="C95" s="1234"/>
      <c r="D95" s="1235"/>
      <c r="E95" s="1235"/>
      <c r="F95" s="1235"/>
      <c r="G95" s="1235"/>
      <c r="H95" s="1235"/>
      <c r="I95" s="1235"/>
      <c r="J95" s="1236">
        <f t="shared" si="8"/>
        <v>0</v>
      </c>
      <c r="K95" s="1235"/>
      <c r="L95" s="1236">
        <f t="shared" si="9"/>
        <v>0</v>
      </c>
      <c r="M95" s="1237"/>
      <c r="N95" s="1238"/>
      <c r="O95" s="1239">
        <f t="shared" si="10"/>
        <v>0</v>
      </c>
      <c r="P95" s="1240"/>
      <c r="Q95" s="1146"/>
      <c r="R95" s="1147">
        <f t="shared" si="11"/>
        <v>0</v>
      </c>
      <c r="S95" s="1241"/>
    </row>
    <row r="96" spans="1:19" ht="29.25" customHeight="1" x14ac:dyDescent="0.2">
      <c r="A96" s="636">
        <f t="shared" si="6"/>
        <v>88</v>
      </c>
      <c r="B96" s="636" t="str">
        <f t="shared" si="7"/>
        <v>ID88</v>
      </c>
      <c r="C96" s="1234"/>
      <c r="D96" s="1235"/>
      <c r="E96" s="1235"/>
      <c r="F96" s="1235"/>
      <c r="G96" s="1235"/>
      <c r="H96" s="1235"/>
      <c r="I96" s="1235"/>
      <c r="J96" s="1236">
        <f t="shared" si="8"/>
        <v>0</v>
      </c>
      <c r="K96" s="1235"/>
      <c r="L96" s="1236">
        <f t="shared" si="9"/>
        <v>0</v>
      </c>
      <c r="M96" s="1237"/>
      <c r="N96" s="1238"/>
      <c r="O96" s="1239">
        <f t="shared" si="10"/>
        <v>0</v>
      </c>
      <c r="P96" s="1240"/>
      <c r="Q96" s="1146"/>
      <c r="R96" s="1147">
        <f t="shared" si="11"/>
        <v>0</v>
      </c>
      <c r="S96" s="1241"/>
    </row>
    <row r="97" spans="1:19" ht="29.25" customHeight="1" x14ac:dyDescent="0.2">
      <c r="A97" s="636">
        <f t="shared" si="6"/>
        <v>89</v>
      </c>
      <c r="B97" s="636" t="str">
        <f t="shared" si="7"/>
        <v>ID89</v>
      </c>
      <c r="C97" s="1234"/>
      <c r="D97" s="1235"/>
      <c r="E97" s="1235"/>
      <c r="F97" s="1235"/>
      <c r="G97" s="1235"/>
      <c r="H97" s="1235"/>
      <c r="I97" s="1235"/>
      <c r="J97" s="1236">
        <f t="shared" si="8"/>
        <v>0</v>
      </c>
      <c r="K97" s="1235"/>
      <c r="L97" s="1236">
        <f t="shared" si="9"/>
        <v>0</v>
      </c>
      <c r="M97" s="1237"/>
      <c r="N97" s="1238"/>
      <c r="O97" s="1239">
        <f t="shared" si="10"/>
        <v>0</v>
      </c>
      <c r="P97" s="1240"/>
      <c r="Q97" s="1146"/>
      <c r="R97" s="1147">
        <f t="shared" si="11"/>
        <v>0</v>
      </c>
      <c r="S97" s="1241"/>
    </row>
    <row r="98" spans="1:19" ht="29.25" customHeight="1" x14ac:dyDescent="0.2">
      <c r="A98" s="636">
        <f t="shared" si="6"/>
        <v>90</v>
      </c>
      <c r="B98" s="636" t="str">
        <f t="shared" si="7"/>
        <v>ID90</v>
      </c>
      <c r="C98" s="1234"/>
      <c r="D98" s="1235"/>
      <c r="E98" s="1235"/>
      <c r="F98" s="1235"/>
      <c r="G98" s="1235"/>
      <c r="H98" s="1235"/>
      <c r="I98" s="1235"/>
      <c r="J98" s="1236">
        <f t="shared" si="8"/>
        <v>0</v>
      </c>
      <c r="K98" s="1235"/>
      <c r="L98" s="1236">
        <f t="shared" si="9"/>
        <v>0</v>
      </c>
      <c r="M98" s="1237"/>
      <c r="N98" s="1238"/>
      <c r="O98" s="1239">
        <f t="shared" si="10"/>
        <v>0</v>
      </c>
      <c r="P98" s="1240"/>
      <c r="Q98" s="1146"/>
      <c r="R98" s="1147">
        <f t="shared" si="11"/>
        <v>0</v>
      </c>
      <c r="S98" s="1241"/>
    </row>
    <row r="99" spans="1:19" ht="29.25" customHeight="1" x14ac:dyDescent="0.2">
      <c r="A99" s="636">
        <f t="shared" si="6"/>
        <v>91</v>
      </c>
      <c r="B99" s="636" t="str">
        <f t="shared" si="7"/>
        <v>ID91</v>
      </c>
      <c r="C99" s="1234"/>
      <c r="D99" s="1235"/>
      <c r="E99" s="1235"/>
      <c r="F99" s="1235"/>
      <c r="G99" s="1235"/>
      <c r="H99" s="1235"/>
      <c r="I99" s="1235"/>
      <c r="J99" s="1236">
        <f t="shared" si="8"/>
        <v>0</v>
      </c>
      <c r="K99" s="1235"/>
      <c r="L99" s="1236">
        <f t="shared" si="9"/>
        <v>0</v>
      </c>
      <c r="M99" s="1237"/>
      <c r="N99" s="1238"/>
      <c r="O99" s="1239">
        <f t="shared" si="10"/>
        <v>0</v>
      </c>
      <c r="P99" s="1240"/>
      <c r="Q99" s="1146"/>
      <c r="R99" s="1147">
        <f t="shared" si="11"/>
        <v>0</v>
      </c>
      <c r="S99" s="1241"/>
    </row>
    <row r="100" spans="1:19" ht="29.25" customHeight="1" x14ac:dyDescent="0.2">
      <c r="A100" s="636">
        <f t="shared" si="6"/>
        <v>92</v>
      </c>
      <c r="B100" s="636" t="str">
        <f t="shared" si="7"/>
        <v>ID92</v>
      </c>
      <c r="C100" s="1234"/>
      <c r="D100" s="1235"/>
      <c r="E100" s="1235"/>
      <c r="F100" s="1235"/>
      <c r="G100" s="1235"/>
      <c r="H100" s="1235"/>
      <c r="I100" s="1235"/>
      <c r="J100" s="1236">
        <f t="shared" si="8"/>
        <v>0</v>
      </c>
      <c r="K100" s="1235"/>
      <c r="L100" s="1236">
        <f t="shared" si="9"/>
        <v>0</v>
      </c>
      <c r="M100" s="1237"/>
      <c r="N100" s="1238"/>
      <c r="O100" s="1239">
        <f t="shared" si="10"/>
        <v>0</v>
      </c>
      <c r="P100" s="1240"/>
      <c r="Q100" s="1146"/>
      <c r="R100" s="1147">
        <f t="shared" si="11"/>
        <v>0</v>
      </c>
      <c r="S100" s="1241"/>
    </row>
    <row r="101" spans="1:19" ht="29.25" customHeight="1" x14ac:dyDescent="0.2">
      <c r="A101" s="636">
        <f t="shared" si="6"/>
        <v>93</v>
      </c>
      <c r="B101" s="636" t="str">
        <f t="shared" si="7"/>
        <v>ID93</v>
      </c>
      <c r="C101" s="1234"/>
      <c r="D101" s="1235"/>
      <c r="E101" s="1235"/>
      <c r="F101" s="1235"/>
      <c r="G101" s="1235"/>
      <c r="H101" s="1235"/>
      <c r="I101" s="1235"/>
      <c r="J101" s="1236">
        <f t="shared" si="8"/>
        <v>0</v>
      </c>
      <c r="K101" s="1235"/>
      <c r="L101" s="1236">
        <f t="shared" si="9"/>
        <v>0</v>
      </c>
      <c r="M101" s="1237"/>
      <c r="N101" s="1238"/>
      <c r="O101" s="1239">
        <f t="shared" si="10"/>
        <v>0</v>
      </c>
      <c r="P101" s="1240"/>
      <c r="Q101" s="1146"/>
      <c r="R101" s="1147">
        <f t="shared" si="11"/>
        <v>0</v>
      </c>
      <c r="S101" s="1241"/>
    </row>
    <row r="102" spans="1:19" ht="29.25" customHeight="1" x14ac:dyDescent="0.2">
      <c r="A102" s="636">
        <f t="shared" si="6"/>
        <v>94</v>
      </c>
      <c r="B102" s="636" t="str">
        <f t="shared" si="7"/>
        <v>ID94</v>
      </c>
      <c r="C102" s="1234"/>
      <c r="D102" s="1235"/>
      <c r="E102" s="1235"/>
      <c r="F102" s="1235"/>
      <c r="G102" s="1235"/>
      <c r="H102" s="1235"/>
      <c r="I102" s="1235"/>
      <c r="J102" s="1236">
        <f t="shared" si="8"/>
        <v>0</v>
      </c>
      <c r="K102" s="1235"/>
      <c r="L102" s="1236">
        <f t="shared" si="9"/>
        <v>0</v>
      </c>
      <c r="M102" s="1237"/>
      <c r="N102" s="1238"/>
      <c r="O102" s="1239">
        <f t="shared" si="10"/>
        <v>0</v>
      </c>
      <c r="P102" s="1240"/>
      <c r="Q102" s="1146"/>
      <c r="R102" s="1147">
        <f t="shared" si="11"/>
        <v>0</v>
      </c>
      <c r="S102" s="1241"/>
    </row>
    <row r="103" spans="1:19" ht="29.25" customHeight="1" x14ac:dyDescent="0.2">
      <c r="A103" s="636">
        <f t="shared" si="6"/>
        <v>95</v>
      </c>
      <c r="B103" s="636" t="str">
        <f t="shared" si="7"/>
        <v>ID95</v>
      </c>
      <c r="C103" s="1234"/>
      <c r="D103" s="1235"/>
      <c r="E103" s="1235"/>
      <c r="F103" s="1235"/>
      <c r="G103" s="1235"/>
      <c r="H103" s="1235"/>
      <c r="I103" s="1235"/>
      <c r="J103" s="1236">
        <f t="shared" si="8"/>
        <v>0</v>
      </c>
      <c r="K103" s="1235"/>
      <c r="L103" s="1236">
        <f t="shared" si="9"/>
        <v>0</v>
      </c>
      <c r="M103" s="1237"/>
      <c r="N103" s="1238"/>
      <c r="O103" s="1239">
        <f t="shared" si="10"/>
        <v>0</v>
      </c>
      <c r="P103" s="1240"/>
      <c r="Q103" s="1146"/>
      <c r="R103" s="1147">
        <f t="shared" si="11"/>
        <v>0</v>
      </c>
      <c r="S103" s="1241"/>
    </row>
    <row r="104" spans="1:19" ht="29.25" customHeight="1" x14ac:dyDescent="0.2">
      <c r="A104" s="636">
        <f t="shared" si="6"/>
        <v>96</v>
      </c>
      <c r="B104" s="636" t="str">
        <f t="shared" si="7"/>
        <v>ID96</v>
      </c>
      <c r="C104" s="1234"/>
      <c r="D104" s="1235"/>
      <c r="E104" s="1235"/>
      <c r="F104" s="1235"/>
      <c r="G104" s="1235"/>
      <c r="H104" s="1235"/>
      <c r="I104" s="1235"/>
      <c r="J104" s="1236">
        <f t="shared" si="8"/>
        <v>0</v>
      </c>
      <c r="K104" s="1235"/>
      <c r="L104" s="1236">
        <f t="shared" si="9"/>
        <v>0</v>
      </c>
      <c r="M104" s="1237"/>
      <c r="N104" s="1238"/>
      <c r="O104" s="1239">
        <f t="shared" si="10"/>
        <v>0</v>
      </c>
      <c r="P104" s="1240"/>
      <c r="Q104" s="1146"/>
      <c r="R104" s="1147">
        <f t="shared" si="11"/>
        <v>0</v>
      </c>
      <c r="S104" s="1241"/>
    </row>
    <row r="105" spans="1:19" ht="29.25" customHeight="1" x14ac:dyDescent="0.2">
      <c r="A105" s="636">
        <f t="shared" ref="A105:A108" si="12">A104+1</f>
        <v>97</v>
      </c>
      <c r="B105" s="636" t="str">
        <f t="shared" si="7"/>
        <v>ID97</v>
      </c>
      <c r="C105" s="1234"/>
      <c r="D105" s="1235"/>
      <c r="E105" s="1235"/>
      <c r="F105" s="1235"/>
      <c r="G105" s="1235"/>
      <c r="H105" s="1235"/>
      <c r="I105" s="1235"/>
      <c r="J105" s="1236">
        <f t="shared" si="8"/>
        <v>0</v>
      </c>
      <c r="K105" s="1235"/>
      <c r="L105" s="1236">
        <f t="shared" si="9"/>
        <v>0</v>
      </c>
      <c r="M105" s="1237"/>
      <c r="N105" s="1238"/>
      <c r="O105" s="1239">
        <f t="shared" si="10"/>
        <v>0</v>
      </c>
      <c r="P105" s="1240"/>
      <c r="Q105" s="1146"/>
      <c r="R105" s="1147">
        <f t="shared" si="11"/>
        <v>0</v>
      </c>
      <c r="S105" s="1241"/>
    </row>
    <row r="106" spans="1:19" ht="29.25" customHeight="1" x14ac:dyDescent="0.2">
      <c r="A106" s="636">
        <f t="shared" si="12"/>
        <v>98</v>
      </c>
      <c r="B106" s="636" t="str">
        <f t="shared" si="7"/>
        <v>ID98</v>
      </c>
      <c r="C106" s="1234"/>
      <c r="D106" s="1235"/>
      <c r="E106" s="1235"/>
      <c r="F106" s="1235"/>
      <c r="G106" s="1235"/>
      <c r="H106" s="1235"/>
      <c r="I106" s="1235"/>
      <c r="J106" s="1236">
        <f t="shared" si="8"/>
        <v>0</v>
      </c>
      <c r="K106" s="1235"/>
      <c r="L106" s="1236">
        <f t="shared" si="9"/>
        <v>0</v>
      </c>
      <c r="M106" s="1237"/>
      <c r="N106" s="1238"/>
      <c r="O106" s="1239">
        <f t="shared" si="10"/>
        <v>0</v>
      </c>
      <c r="P106" s="1240"/>
      <c r="Q106" s="1146"/>
      <c r="R106" s="1147">
        <f t="shared" si="11"/>
        <v>0</v>
      </c>
      <c r="S106" s="1241"/>
    </row>
    <row r="107" spans="1:19" ht="29.25" customHeight="1" x14ac:dyDescent="0.2">
      <c r="A107" s="636">
        <f t="shared" si="12"/>
        <v>99</v>
      </c>
      <c r="B107" s="636" t="str">
        <f t="shared" si="7"/>
        <v>ID99</v>
      </c>
      <c r="C107" s="1234"/>
      <c r="D107" s="1235"/>
      <c r="E107" s="1235"/>
      <c r="F107" s="1235"/>
      <c r="G107" s="1235"/>
      <c r="H107" s="1235"/>
      <c r="I107" s="1235"/>
      <c r="J107" s="1236">
        <f t="shared" si="8"/>
        <v>0</v>
      </c>
      <c r="K107" s="1235"/>
      <c r="L107" s="1236">
        <f t="shared" si="9"/>
        <v>0</v>
      </c>
      <c r="M107" s="1237"/>
      <c r="N107" s="1238"/>
      <c r="O107" s="1239">
        <f t="shared" si="10"/>
        <v>0</v>
      </c>
      <c r="P107" s="1240"/>
      <c r="Q107" s="1146"/>
      <c r="R107" s="1147">
        <f t="shared" si="11"/>
        <v>0</v>
      </c>
      <c r="S107" s="1241"/>
    </row>
    <row r="108" spans="1:19" ht="29.25" customHeight="1" x14ac:dyDescent="0.2">
      <c r="A108" s="636">
        <f t="shared" si="12"/>
        <v>100</v>
      </c>
      <c r="B108" s="636" t="str">
        <f t="shared" si="7"/>
        <v>ID100</v>
      </c>
      <c r="C108" s="1234"/>
      <c r="D108" s="1235"/>
      <c r="E108" s="1235"/>
      <c r="F108" s="1235"/>
      <c r="G108" s="1235"/>
      <c r="H108" s="1235"/>
      <c r="I108" s="1235"/>
      <c r="J108" s="1236">
        <f t="shared" si="8"/>
        <v>0</v>
      </c>
      <c r="K108" s="1235"/>
      <c r="L108" s="1236">
        <f t="shared" si="9"/>
        <v>0</v>
      </c>
      <c r="M108" s="1237"/>
      <c r="N108" s="1238"/>
      <c r="O108" s="1239">
        <f t="shared" si="10"/>
        <v>0</v>
      </c>
      <c r="P108" s="1240"/>
      <c r="Q108" s="1146"/>
      <c r="R108" s="1147">
        <f t="shared" si="11"/>
        <v>0</v>
      </c>
      <c r="S108" s="1241"/>
    </row>
    <row r="109" spans="1:19" ht="46.5" customHeight="1" thickBot="1" x14ac:dyDescent="0.25">
      <c r="C109" s="1242" t="str">
        <f>VLOOKUP(Translations!B182,Translations!B3:H893,4,0)</f>
        <v>Total pour la période de rapport</v>
      </c>
      <c r="D109" s="1243">
        <f t="shared" ref="D109:L109" si="13">SUM(D9:D108)</f>
        <v>2189300.81</v>
      </c>
      <c r="E109" s="1243">
        <f t="shared" si="13"/>
        <v>711225.53</v>
      </c>
      <c r="F109" s="1243">
        <f t="shared" si="13"/>
        <v>1912946.49</v>
      </c>
      <c r="G109" s="1243">
        <f t="shared" si="13"/>
        <v>-7379.8899999999994</v>
      </c>
      <c r="H109" s="1243">
        <f t="shared" si="13"/>
        <v>2449482.4800000004</v>
      </c>
      <c r="I109" s="1243">
        <f t="shared" si="13"/>
        <v>18333.669999999998</v>
      </c>
      <c r="J109" s="1243">
        <f t="shared" si="13"/>
        <v>148975.98000000016</v>
      </c>
      <c r="K109" s="1243">
        <f t="shared" si="13"/>
        <v>0</v>
      </c>
      <c r="L109" s="1243">
        <f t="shared" si="13"/>
        <v>-148975.98000000016</v>
      </c>
      <c r="M109" s="1244"/>
      <c r="N109" s="1245">
        <f>SUM(N9:N108)</f>
        <v>0</v>
      </c>
      <c r="O109" s="1245">
        <f>J109+N109</f>
        <v>148975.98000000016</v>
      </c>
      <c r="P109" s="1246"/>
      <c r="Q109" s="1224">
        <f>SUM(Q9:Q108)</f>
        <v>0</v>
      </c>
      <c r="R109" s="1224">
        <f>O109+Q109</f>
        <v>148975.98000000016</v>
      </c>
      <c r="S109" s="1247"/>
    </row>
    <row r="110" spans="1:19" ht="18.75" customHeight="1" x14ac:dyDescent="0.2">
      <c r="C110" s="63"/>
      <c r="D110" s="63"/>
      <c r="E110" s="63"/>
      <c r="F110" s="63"/>
      <c r="G110" s="63"/>
      <c r="H110" s="63"/>
      <c r="I110" s="63"/>
      <c r="J110" s="63"/>
      <c r="K110" s="63"/>
      <c r="L110" s="63"/>
      <c r="M110" s="63"/>
      <c r="N110" s="63"/>
      <c r="O110" s="63"/>
      <c r="P110" s="63"/>
      <c r="Q110" s="63"/>
      <c r="R110" s="63"/>
      <c r="S110" s="63"/>
    </row>
    <row r="111" spans="1:19" ht="46.5" customHeight="1" x14ac:dyDescent="0.2">
      <c r="C111" s="99" t="s">
        <v>1092</v>
      </c>
      <c r="D111" s="99"/>
      <c r="E111" s="63"/>
      <c r="F111" s="63"/>
      <c r="G111" s="63"/>
      <c r="H111" s="63"/>
      <c r="I111" s="63"/>
      <c r="J111" s="63"/>
      <c r="K111" s="63"/>
      <c r="L111" s="63"/>
      <c r="M111" s="63"/>
      <c r="N111" s="63"/>
      <c r="O111" s="63"/>
      <c r="P111" s="63"/>
      <c r="Q111" s="63"/>
      <c r="R111" s="63"/>
      <c r="S111" s="63"/>
    </row>
    <row r="112" spans="1:19" ht="15" x14ac:dyDescent="0.2">
      <c r="C112" s="63"/>
      <c r="D112" s="63"/>
      <c r="E112" s="63"/>
      <c r="F112" s="63"/>
      <c r="G112" s="63"/>
      <c r="H112" s="63"/>
      <c r="I112" s="63"/>
      <c r="J112" s="63"/>
      <c r="K112" s="63"/>
      <c r="L112" s="63"/>
      <c r="M112" s="63"/>
      <c r="N112" s="63"/>
      <c r="O112" s="63"/>
      <c r="P112" s="63"/>
      <c r="Q112" s="63"/>
      <c r="R112" s="63"/>
      <c r="S112" s="63"/>
    </row>
  </sheetData>
  <sheetProtection algorithmName="SHA-512" hashValue="lLcPEg7ieO5N4//XwN1z4mLgdGr4T1IgCEax9ApPHP2Vg0tTyaS2Vh+eK4o35ms61UPk5y7N9jLQjT6rbUtKEg==" saltValue="VHAuiZPvXpZ9zsxVE41aKA==" spinCount="100000" sheet="1" formatColumns="0" formatRows="0" sort="0" autoFilter="0"/>
  <mergeCells count="9">
    <mergeCell ref="C7:M7"/>
    <mergeCell ref="N7:P7"/>
    <mergeCell ref="Q7:S7"/>
    <mergeCell ref="J2:S3"/>
    <mergeCell ref="C1:S1"/>
    <mergeCell ref="C2:D3"/>
    <mergeCell ref="E2:F2"/>
    <mergeCell ref="E3:F3"/>
    <mergeCell ref="C5:S5"/>
  </mergeCell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3ED2A19F-F63F-4F1F-B7BC-B1D3C3ACD6FB}">
            <xm:f>CoverSheet!$D$14="EUR"</xm:f>
            <x14:dxf>
              <numFmt numFmtId="190" formatCode="[$EUR]\ #,##0.00;[Red]\-[$EUR]\ #,##0.00"/>
            </x14:dxf>
          </x14:cfRule>
          <xm:sqref>D13:L109 N9:O109 Q9:R109 E9:E12 G12 I9:L12</xm:sqref>
        </x14:conditionalFormatting>
        <x14:conditionalFormatting xmlns:xm="http://schemas.microsoft.com/office/excel/2006/main">
          <x14:cfRule type="expression" priority="4" id="{1329195D-83EF-468C-A572-BCBC5EAD9DC0}">
            <xm:f>'C:\Users\Bello\AppData\Local\Microsoft\Windows\INetCache\Content.Outlook\CXPRPAWL\[BDI-C-UNDP_Progress Report Disbursement_31déc2019_v4.xlsx]CoverSheet'!#REF!="EUR"</xm:f>
            <x14:dxf>
              <numFmt numFmtId="190" formatCode="[$EUR]\ #,##0.00;[Red]\-[$EUR]\ #,##0.00"/>
            </x14:dxf>
          </x14:cfRule>
          <xm:sqref>D9:D12</xm:sqref>
        </x14:conditionalFormatting>
        <x14:conditionalFormatting xmlns:xm="http://schemas.microsoft.com/office/excel/2006/main">
          <x14:cfRule type="expression" priority="3" id="{C2E3AC01-40A9-43D1-9724-CBF6458CBEEE}">
            <xm:f>'C:\Users\Bello\AppData\Local\Microsoft\Windows\INetCache\Content.Outlook\CXPRPAWL\[BDI-C-UNDP_Progress Report Disbursement_31déc2019_v4.xlsx]CoverSheet'!#REF!="EUR"</xm:f>
            <x14:dxf>
              <numFmt numFmtId="190" formatCode="[$EUR]\ #,##0.00;[Red]\-[$EUR]\ #,##0.00"/>
            </x14:dxf>
          </x14:cfRule>
          <xm:sqref>F9:F12</xm:sqref>
        </x14:conditionalFormatting>
        <x14:conditionalFormatting xmlns:xm="http://schemas.microsoft.com/office/excel/2006/main">
          <x14:cfRule type="expression" priority="2" id="{898F9BFB-5AFD-44F3-961E-9583C9899612}">
            <xm:f>'C:\Users\Bello\AppData\Local\Microsoft\Windows\INetCache\Content.Outlook\CXPRPAWL\[BDI-C-UNDP_Progress Report Disbursement_31déc2019_v4.xlsx]CoverSheet'!#REF!="EUR"</xm:f>
            <x14:dxf>
              <numFmt numFmtId="190" formatCode="[$EUR]\ #,##0.00;[Red]\-[$EUR]\ #,##0.00"/>
            </x14:dxf>
          </x14:cfRule>
          <xm:sqref>G9:G11</xm:sqref>
        </x14:conditionalFormatting>
        <x14:conditionalFormatting xmlns:xm="http://schemas.microsoft.com/office/excel/2006/main">
          <x14:cfRule type="expression" priority="1" id="{3F4D5868-4F2B-4867-B077-6AD4D74A69AE}">
            <xm:f>'C:\Users\Bello\AppData\Local\Microsoft\Windows\INetCache\Content.Outlook\CXPRPAWL\[BDI-C-UNDP_Progress Report Disbursement_31déc2019_v4.xlsx]CoverSheet'!#REF!="EUR"</xm:f>
            <x14:dxf>
              <numFmt numFmtId="190" formatCode="[$EUR]\ #,##0.00;[Red]\-[$EUR]\ #,##0.00"/>
            </x14:dxf>
          </x14:cfRule>
          <xm:sqref>H9:H12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theme="0"/>
  </sheetPr>
  <dimension ref="A1:N105"/>
  <sheetViews>
    <sheetView workbookViewId="0">
      <selection activeCell="A4" sqref="A4"/>
    </sheetView>
  </sheetViews>
  <sheetFormatPr baseColWidth="10" defaultColWidth="9.140625" defaultRowHeight="15" x14ac:dyDescent="0.25"/>
  <cols>
    <col min="1" max="1" width="18.42578125" style="913" customWidth="1"/>
    <col min="2" max="2" width="18.140625" style="913" bestFit="1" customWidth="1"/>
    <col min="3" max="4" width="10.140625" style="913" customWidth="1"/>
    <col min="5" max="5" width="9.85546875" style="913" bestFit="1" customWidth="1"/>
    <col min="6" max="6" width="32" style="913" bestFit="1" customWidth="1"/>
    <col min="7" max="7" width="27" style="913" bestFit="1" customWidth="1"/>
    <col min="8" max="8" width="30" style="913" bestFit="1" customWidth="1"/>
    <col min="9" max="9" width="29.140625" style="913" bestFit="1" customWidth="1"/>
    <col min="10" max="10" width="32" style="913" bestFit="1" customWidth="1"/>
    <col min="11" max="11" width="23.42578125" style="913" bestFit="1" customWidth="1"/>
    <col min="12" max="12" width="21.42578125" style="913" bestFit="1" customWidth="1"/>
    <col min="13" max="13" width="21.42578125" style="913" customWidth="1"/>
    <col min="14" max="14" width="15.85546875" style="913" bestFit="1" customWidth="1"/>
    <col min="15" max="16384" width="9.140625" style="913"/>
  </cols>
  <sheetData>
    <row r="1" spans="1:14" x14ac:dyDescent="0.25">
      <c r="A1" s="913" t="s">
        <v>1093</v>
      </c>
      <c r="C1" s="914"/>
    </row>
    <row r="2" spans="1:14" x14ac:dyDescent="0.25">
      <c r="A2" s="913" t="s">
        <v>1094</v>
      </c>
    </row>
    <row r="4" spans="1:14" x14ac:dyDescent="0.25">
      <c r="A4" s="915" t="s">
        <v>122</v>
      </c>
      <c r="B4" s="915" t="s">
        <v>1095</v>
      </c>
      <c r="C4" s="915">
        <v>-1</v>
      </c>
      <c r="D4" s="915" t="s">
        <v>1096</v>
      </c>
      <c r="E4" s="915" t="s">
        <v>1097</v>
      </c>
      <c r="F4" s="915" t="s">
        <v>1098</v>
      </c>
      <c r="G4" s="915" t="s">
        <v>1099</v>
      </c>
      <c r="H4" s="915" t="s">
        <v>1100</v>
      </c>
      <c r="I4" s="915" t="s">
        <v>1101</v>
      </c>
      <c r="J4" s="915" t="s">
        <v>1102</v>
      </c>
      <c r="K4" s="915" t="s">
        <v>1103</v>
      </c>
      <c r="L4" s="915" t="s">
        <v>1104</v>
      </c>
      <c r="M4" s="915" t="s">
        <v>1105</v>
      </c>
      <c r="N4" s="915" t="s">
        <v>845</v>
      </c>
    </row>
    <row r="5" spans="1:14" hidden="1" x14ac:dyDescent="0.25">
      <c r="A5" s="915" t="s">
        <v>371</v>
      </c>
      <c r="B5" s="915"/>
      <c r="C5" s="915">
        <f>C4+1</f>
        <v>0</v>
      </c>
      <c r="D5" s="915" t="str">
        <f>"ID"&amp;C5</f>
        <v>ID0</v>
      </c>
      <c r="E5" s="916" t="str">
        <f>IFERROR(IF(INDEX('SR_Cash Reconciliation_2E'!C$9:C$270,MATCH($D5,'SR_Cash Reconciliation_2E'!$B$9:$B$270,0))="","",INDEX('SR_Cash Reconciliation_2E'!C$9:C$270,MATCH($D5,'SR_Cash Reconciliation_2E'!$B$9:$B$270,0))),"")</f>
        <v/>
      </c>
      <c r="F5" s="917" t="str">
        <f>IFERROR(IF(INDEX('SR_Cash Reconciliation_2E'!D$9:D$270,MATCH($D5,'SR_Cash Reconciliation_2E'!$B$9:$B$270,0))="","",INDEX('SR_Cash Reconciliation_2E'!D$9:D$270,MATCH($D5,'SR_Cash Reconciliation_2E'!$B$9:$B$270,0))),"")</f>
        <v/>
      </c>
      <c r="G5" s="917" t="str">
        <f>IFERROR(IF(INDEX('SR_Cash Reconciliation_2E'!E$9:E$270,MATCH($D5,'SR_Cash Reconciliation_2E'!$B$9:$B$270,0))="","",INDEX('SR_Cash Reconciliation_2E'!E$9:E$270,MATCH($D5,'SR_Cash Reconciliation_2E'!$B$9:$B$270,0))),"")</f>
        <v/>
      </c>
      <c r="H5" s="917" t="str">
        <f>IFERROR(IF(INDEX('SR_Cash Reconciliation_2E'!F$9:F$270,MATCH($D5,'SR_Cash Reconciliation_2E'!$B$9:$B$270,0))="","",INDEX('SR_Cash Reconciliation_2E'!F$9:F$270,MATCH($D5,'SR_Cash Reconciliation_2E'!$B$9:$B$270,0))),"")</f>
        <v/>
      </c>
      <c r="I5" s="917" t="str">
        <f>IFERROR(IF(INDEX('SR_Cash Reconciliation_2E'!G$9:G$270,MATCH($D5,'SR_Cash Reconciliation_2E'!$B$9:$B$270,0))="","",INDEX('SR_Cash Reconciliation_2E'!G$9:G$270,MATCH($D5,'SR_Cash Reconciliation_2E'!$B$9:$B$270,0))),"")</f>
        <v/>
      </c>
      <c r="J5" s="917" t="str">
        <f>IFERROR(IF(INDEX('SR_Cash Reconciliation_2E'!H$9:H$270,MATCH($D5,'SR_Cash Reconciliation_2E'!$B$9:$B$270,0))="","",INDEX('SR_Cash Reconciliation_2E'!H$9:H$270,MATCH($D5,'SR_Cash Reconciliation_2E'!$B$9:$B$270,0))),"")</f>
        <v/>
      </c>
      <c r="K5" s="917" t="str">
        <f>IFERROR(IF(INDEX('SR_Cash Reconciliation_2E'!I$9:I$270,MATCH($D5,'SR_Cash Reconciliation_2E'!$B$9:$B$270,0))="","",INDEX('SR_Cash Reconciliation_2E'!I$9:I$270,MATCH($D5,'SR_Cash Reconciliation_2E'!$B$9:$B$270,0))),"")</f>
        <v/>
      </c>
      <c r="L5" s="917" t="str">
        <f>IFERROR(IF(INDEX('SR_Cash Reconciliation_2E'!K$9:K$270,MATCH($D5,'SR_Cash Reconciliation_2E'!$B$9:$B$270,0))="","",INDEX('SR_Cash Reconciliation_2E'!K$9:K$270,MATCH($D5,'SR_Cash Reconciliation_2E'!$B$9:$B$270,0))),"")</f>
        <v/>
      </c>
      <c r="M5" s="915" t="str">
        <f>""</f>
        <v/>
      </c>
      <c r="N5" s="917" t="str">
        <f>IFERROR(IF(INDEX('SR_Cash Reconciliation_2E'!N$9:N$270,MATCH($D5,'SR_Cash Reconciliation_2E'!$B$9:$B$270,0))="","",INDEX('SR_Cash Reconciliation_2E'!N$9:N$270,MATCH($D5,'SR_Cash Reconciliation_2E'!$B$9:$B$270,0))),"")</f>
        <v/>
      </c>
    </row>
    <row r="6" spans="1:14" x14ac:dyDescent="0.25">
      <c r="A6" s="637"/>
      <c r="B6" s="915"/>
      <c r="C6" s="915">
        <f t="shared" ref="C6:C69" si="0">C5+1</f>
        <v>1</v>
      </c>
      <c r="D6" s="915" t="str">
        <f t="shared" ref="D6:D69" si="1">"ID"&amp;C6</f>
        <v>ID1</v>
      </c>
      <c r="E6" s="916" t="str">
        <f>IFERROR(IF(INDEX('SR_Cash Reconciliation_2E'!C$9:C$270,MATCH($D6,'SR_Cash Reconciliation_2E'!$B$9:$B$270,0))="","",INDEX('SR_Cash Reconciliation_2E'!C$9:C$270,MATCH($D6,'SR_Cash Reconciliation_2E'!$B$9:$B$270,0))),"")</f>
        <v>Croix Rouge</v>
      </c>
      <c r="F6" s="917">
        <f>IFERROR(IF(INDEX('SR_Cash Reconciliation_2E'!D$9:D$270,MATCH($D6,'SR_Cash Reconciliation_2E'!$B$9:$B$270,0))="","",INDEX('SR_Cash Reconciliation_2E'!D$9:D$270,MATCH($D6,'SR_Cash Reconciliation_2E'!$B$9:$B$270,0))),"")</f>
        <v>1195523.74</v>
      </c>
      <c r="G6" s="917">
        <f>IFERROR(IF(INDEX('SR_Cash Reconciliation_2E'!E$9:E$270,MATCH($D6,'SR_Cash Reconciliation_2E'!$B$9:$B$270,0))="","",INDEX('SR_Cash Reconciliation_2E'!E$9:E$270,MATCH($D6,'SR_Cash Reconciliation_2E'!$B$9:$B$270,0))),"")</f>
        <v>218613.70000000019</v>
      </c>
      <c r="H6" s="917">
        <f>IFERROR(IF(INDEX('SR_Cash Reconciliation_2E'!F$9:F$270,MATCH($D6,'SR_Cash Reconciliation_2E'!$B$9:$B$270,0))="","",INDEX('SR_Cash Reconciliation_2E'!F$9:F$270,MATCH($D6,'SR_Cash Reconciliation_2E'!$B$9:$B$270,0))),"")</f>
        <v>781774.9</v>
      </c>
      <c r="I6" s="917">
        <f>IFERROR(IF(INDEX('SR_Cash Reconciliation_2E'!G$9:G$270,MATCH($D6,'SR_Cash Reconciliation_2E'!$B$9:$B$270,0))="","",INDEX('SR_Cash Reconciliation_2E'!G$9:G$270,MATCH($D6,'SR_Cash Reconciliation_2E'!$B$9:$B$270,0))),"")</f>
        <v>-2854.98</v>
      </c>
      <c r="J6" s="917">
        <f>IFERROR(IF(INDEX('SR_Cash Reconciliation_2E'!H$9:H$270,MATCH($D6,'SR_Cash Reconciliation_2E'!$B$9:$B$270,0))="","",INDEX('SR_Cash Reconciliation_2E'!H$9:H$270,MATCH($D6,'SR_Cash Reconciliation_2E'!$B$9:$B$270,0))),"")</f>
        <v>951194.46</v>
      </c>
      <c r="K6" s="917" t="str">
        <f>IFERROR(IF(INDEX('SR_Cash Reconciliation_2E'!I$9:I$270,MATCH($D6,'SR_Cash Reconciliation_2E'!$B$9:$B$270,0))="","",INDEX('SR_Cash Reconciliation_2E'!I$9:I$270,MATCH($D6,'SR_Cash Reconciliation_2E'!$B$9:$B$270,0))),"")</f>
        <v/>
      </c>
      <c r="L6" s="917" t="str">
        <f>IFERROR(IF(INDEX('SR_Cash Reconciliation_2E'!K$9:K$270,MATCH($D6,'SR_Cash Reconciliation_2E'!$B$9:$B$270,0))="","",INDEX('SR_Cash Reconciliation_2E'!K$9:K$270,MATCH($D6,'SR_Cash Reconciliation_2E'!$B$9:$B$270,0))),"")</f>
        <v/>
      </c>
      <c r="M6" s="915" t="str">
        <f>""</f>
        <v/>
      </c>
      <c r="N6" s="917" t="str">
        <f>IFERROR(IF(INDEX('SR_Cash Reconciliation_2E'!N$9:N$270,MATCH($D6,'SR_Cash Reconciliation_2E'!$B$9:$B$270,0))="","",INDEX('SR_Cash Reconciliation_2E'!N$9:N$270,MATCH($D6,'SR_Cash Reconciliation_2E'!$B$9:$B$270,0))),"")</f>
        <v/>
      </c>
    </row>
    <row r="7" spans="1:14" x14ac:dyDescent="0.25">
      <c r="A7" s="637"/>
      <c r="B7" s="915"/>
      <c r="C7" s="915">
        <f t="shared" si="0"/>
        <v>2</v>
      </c>
      <c r="D7" s="915" t="str">
        <f t="shared" si="1"/>
        <v>ID2</v>
      </c>
      <c r="E7" s="916" t="str">
        <f>IFERROR(IF(INDEX('SR_Cash Reconciliation_2E'!C$9:C$270,MATCH($D7,'SR_Cash Reconciliation_2E'!$B$9:$B$270,0))="","",INDEX('SR_Cash Reconciliation_2E'!C$9:C$270,MATCH($D7,'SR_Cash Reconciliation_2E'!$B$9:$B$270,0))),"")</f>
        <v>PNILT</v>
      </c>
      <c r="F7" s="917">
        <f>IFERROR(IF(INDEX('SR_Cash Reconciliation_2E'!D$9:D$270,MATCH($D7,'SR_Cash Reconciliation_2E'!$B$9:$B$270,0))="","",INDEX('SR_Cash Reconciliation_2E'!D$9:D$270,MATCH($D7,'SR_Cash Reconciliation_2E'!$B$9:$B$270,0))),"")</f>
        <v>238744.51</v>
      </c>
      <c r="G7" s="917">
        <f>IFERROR(IF(INDEX('SR_Cash Reconciliation_2E'!E$9:E$270,MATCH($D7,'SR_Cash Reconciliation_2E'!$B$9:$B$270,0))="","",INDEX('SR_Cash Reconciliation_2E'!E$9:E$270,MATCH($D7,'SR_Cash Reconciliation_2E'!$B$9:$B$270,0))),"")</f>
        <v>103369.94</v>
      </c>
      <c r="H7" s="917">
        <f>IFERROR(IF(INDEX('SR_Cash Reconciliation_2E'!F$9:F$270,MATCH($D7,'SR_Cash Reconciliation_2E'!$B$9:$B$270,0))="","",INDEX('SR_Cash Reconciliation_2E'!F$9:F$270,MATCH($D7,'SR_Cash Reconciliation_2E'!$B$9:$B$270,0))),"")</f>
        <v>352324.93</v>
      </c>
      <c r="I7" s="917">
        <f>IFERROR(IF(INDEX('SR_Cash Reconciliation_2E'!G$9:G$270,MATCH($D7,'SR_Cash Reconciliation_2E'!$B$9:$B$270,0))="","",INDEX('SR_Cash Reconciliation_2E'!G$9:G$270,MATCH($D7,'SR_Cash Reconciliation_2E'!$B$9:$B$270,0))),"")</f>
        <v>-1265.26</v>
      </c>
      <c r="J7" s="917">
        <f>IFERROR(IF(INDEX('SR_Cash Reconciliation_2E'!H$9:H$270,MATCH($D7,'SR_Cash Reconciliation_2E'!$B$9:$B$270,0))="","",INDEX('SR_Cash Reconciliation_2E'!H$9:H$270,MATCH($D7,'SR_Cash Reconciliation_2E'!$B$9:$B$270,0))),"")</f>
        <v>425252.39</v>
      </c>
      <c r="K7" s="917">
        <f>IFERROR(IF(INDEX('SR_Cash Reconciliation_2E'!I$9:I$270,MATCH($D7,'SR_Cash Reconciliation_2E'!$B$9:$B$270,0))="","",INDEX('SR_Cash Reconciliation_2E'!I$9:I$270,MATCH($D7,'SR_Cash Reconciliation_2E'!$B$9:$B$270,0))),"")</f>
        <v>18333.669999999998</v>
      </c>
      <c r="L7" s="917" t="str">
        <f>IFERROR(IF(INDEX('SR_Cash Reconciliation_2E'!K$9:K$270,MATCH($D7,'SR_Cash Reconciliation_2E'!$B$9:$B$270,0))="","",INDEX('SR_Cash Reconciliation_2E'!K$9:K$270,MATCH($D7,'SR_Cash Reconciliation_2E'!$B$9:$B$270,0))),"")</f>
        <v/>
      </c>
      <c r="M7" s="915" t="str">
        <f>""</f>
        <v/>
      </c>
      <c r="N7" s="917" t="str">
        <f>IFERROR(IF(INDEX('SR_Cash Reconciliation_2E'!N$9:N$270,MATCH($D7,'SR_Cash Reconciliation_2E'!$B$9:$B$270,0))="","",INDEX('SR_Cash Reconciliation_2E'!N$9:N$270,MATCH($D7,'SR_Cash Reconciliation_2E'!$B$9:$B$270,0))),"")</f>
        <v/>
      </c>
    </row>
    <row r="8" spans="1:14" x14ac:dyDescent="0.25">
      <c r="A8" s="637"/>
      <c r="B8" s="915"/>
      <c r="C8" s="915">
        <f t="shared" si="0"/>
        <v>3</v>
      </c>
      <c r="D8" s="915" t="str">
        <f t="shared" si="1"/>
        <v>ID3</v>
      </c>
      <c r="E8" s="916" t="str">
        <f>IFERROR(IF(INDEX('SR_Cash Reconciliation_2E'!C$9:C$270,MATCH($D8,'SR_Cash Reconciliation_2E'!$B$9:$B$270,0))="","",INDEX('SR_Cash Reconciliation_2E'!C$9:C$270,MATCH($D8,'SR_Cash Reconciliation_2E'!$B$9:$B$270,0))),"")</f>
        <v>PNLS</v>
      </c>
      <c r="F8" s="917">
        <f>IFERROR(IF(INDEX('SR_Cash Reconciliation_2E'!D$9:D$270,MATCH($D8,'SR_Cash Reconciliation_2E'!$B$9:$B$270,0))="","",INDEX('SR_Cash Reconciliation_2E'!D$9:D$270,MATCH($D8,'SR_Cash Reconciliation_2E'!$B$9:$B$270,0))),"")</f>
        <v>525182.26</v>
      </c>
      <c r="G8" s="917">
        <f>IFERROR(IF(INDEX('SR_Cash Reconciliation_2E'!E$9:E$270,MATCH($D8,'SR_Cash Reconciliation_2E'!$B$9:$B$270,0))="","",INDEX('SR_Cash Reconciliation_2E'!E$9:E$270,MATCH($D8,'SR_Cash Reconciliation_2E'!$B$9:$B$270,0))),"")</f>
        <v>351034.18999999994</v>
      </c>
      <c r="H8" s="917">
        <f>IFERROR(IF(INDEX('SR_Cash Reconciliation_2E'!F$9:F$270,MATCH($D8,'SR_Cash Reconciliation_2E'!$B$9:$B$270,0))="","",INDEX('SR_Cash Reconciliation_2E'!F$9:F$270,MATCH($D8,'SR_Cash Reconciliation_2E'!$B$9:$B$270,0))),"")</f>
        <v>464418.86</v>
      </c>
      <c r="I8" s="917">
        <f>IFERROR(IF(INDEX('SR_Cash Reconciliation_2E'!G$9:G$270,MATCH($D8,'SR_Cash Reconciliation_2E'!$B$9:$B$270,0))="","",INDEX('SR_Cash Reconciliation_2E'!G$9:G$270,MATCH($D8,'SR_Cash Reconciliation_2E'!$B$9:$B$270,0))),"")</f>
        <v>-3259.6499999999996</v>
      </c>
      <c r="J8" s="917">
        <f>IFERROR(IF(INDEX('SR_Cash Reconciliation_2E'!H$9:H$270,MATCH($D8,'SR_Cash Reconciliation_2E'!$B$9:$B$270,0))="","",INDEX('SR_Cash Reconciliation_2E'!H$9:H$270,MATCH($D8,'SR_Cash Reconciliation_2E'!$B$9:$B$270,0))),"")</f>
        <v>761347.64</v>
      </c>
      <c r="K8" s="917" t="str">
        <f>IFERROR(IF(INDEX('SR_Cash Reconciliation_2E'!I$9:I$270,MATCH($D8,'SR_Cash Reconciliation_2E'!$B$9:$B$270,0))="","",INDEX('SR_Cash Reconciliation_2E'!I$9:I$270,MATCH($D8,'SR_Cash Reconciliation_2E'!$B$9:$B$270,0))),"")</f>
        <v/>
      </c>
      <c r="L8" s="917" t="str">
        <f>IFERROR(IF(INDEX('SR_Cash Reconciliation_2E'!K$9:K$270,MATCH($D8,'SR_Cash Reconciliation_2E'!$B$9:$B$270,0))="","",INDEX('SR_Cash Reconciliation_2E'!K$9:K$270,MATCH($D8,'SR_Cash Reconciliation_2E'!$B$9:$B$270,0))),"")</f>
        <v/>
      </c>
      <c r="M8" s="915" t="str">
        <f>""</f>
        <v/>
      </c>
      <c r="N8" s="917" t="str">
        <f>IFERROR(IF(INDEX('SR_Cash Reconciliation_2E'!N$9:N$270,MATCH($D8,'SR_Cash Reconciliation_2E'!$B$9:$B$270,0))="","",INDEX('SR_Cash Reconciliation_2E'!N$9:N$270,MATCH($D8,'SR_Cash Reconciliation_2E'!$B$9:$B$270,0))),"")</f>
        <v/>
      </c>
    </row>
    <row r="9" spans="1:14" x14ac:dyDescent="0.25">
      <c r="A9" s="637"/>
      <c r="B9" s="915"/>
      <c r="C9" s="915">
        <f t="shared" si="0"/>
        <v>4</v>
      </c>
      <c r="D9" s="915" t="str">
        <f t="shared" si="1"/>
        <v>ID4</v>
      </c>
      <c r="E9" s="916" t="str">
        <f>IFERROR(IF(INDEX('SR_Cash Reconciliation_2E'!C$9:C$270,MATCH($D9,'SR_Cash Reconciliation_2E'!$B$9:$B$270,0))="","",INDEX('SR_Cash Reconciliation_2E'!C$9:C$270,MATCH($D9,'SR_Cash Reconciliation_2E'!$B$9:$B$270,0))),"")</f>
        <v>WFP</v>
      </c>
      <c r="F9" s="917">
        <f>IFERROR(IF(INDEX('SR_Cash Reconciliation_2E'!D$9:D$270,MATCH($D9,'SR_Cash Reconciliation_2E'!$B$9:$B$270,0))="","",INDEX('SR_Cash Reconciliation_2E'!D$9:D$270,MATCH($D9,'SR_Cash Reconciliation_2E'!$B$9:$B$270,0))),"")</f>
        <v>229850.3</v>
      </c>
      <c r="G9" s="917">
        <f>IFERROR(IF(INDEX('SR_Cash Reconciliation_2E'!E$9:E$270,MATCH($D9,'SR_Cash Reconciliation_2E'!$B$9:$B$270,0))="","",INDEX('SR_Cash Reconciliation_2E'!E$9:E$270,MATCH($D9,'SR_Cash Reconciliation_2E'!$B$9:$B$270,0))),"")</f>
        <v>38207.700000000012</v>
      </c>
      <c r="H9" s="917">
        <f>IFERROR(IF(INDEX('SR_Cash Reconciliation_2E'!F$9:F$270,MATCH($D9,'SR_Cash Reconciliation_2E'!$B$9:$B$270,0))="","",INDEX('SR_Cash Reconciliation_2E'!F$9:F$270,MATCH($D9,'SR_Cash Reconciliation_2E'!$B$9:$B$270,0))),"")</f>
        <v>314427.8</v>
      </c>
      <c r="I9" s="917" t="str">
        <f>IFERROR(IF(INDEX('SR_Cash Reconciliation_2E'!G$9:G$270,MATCH($D9,'SR_Cash Reconciliation_2E'!$B$9:$B$270,0))="","",INDEX('SR_Cash Reconciliation_2E'!G$9:G$270,MATCH($D9,'SR_Cash Reconciliation_2E'!$B$9:$B$270,0))),"")</f>
        <v/>
      </c>
      <c r="J9" s="917">
        <f>IFERROR(IF(INDEX('SR_Cash Reconciliation_2E'!H$9:H$270,MATCH($D9,'SR_Cash Reconciliation_2E'!$B$9:$B$270,0))="","",INDEX('SR_Cash Reconciliation_2E'!H$9:H$270,MATCH($D9,'SR_Cash Reconciliation_2E'!$B$9:$B$270,0))),"")</f>
        <v>311687.99</v>
      </c>
      <c r="K9" s="917" t="str">
        <f>IFERROR(IF(INDEX('SR_Cash Reconciliation_2E'!I$9:I$270,MATCH($D9,'SR_Cash Reconciliation_2E'!$B$9:$B$270,0))="","",INDEX('SR_Cash Reconciliation_2E'!I$9:I$270,MATCH($D9,'SR_Cash Reconciliation_2E'!$B$9:$B$270,0))),"")</f>
        <v/>
      </c>
      <c r="L9" s="917" t="str">
        <f>IFERROR(IF(INDEX('SR_Cash Reconciliation_2E'!K$9:K$270,MATCH($D9,'SR_Cash Reconciliation_2E'!$B$9:$B$270,0))="","",INDEX('SR_Cash Reconciliation_2E'!K$9:K$270,MATCH($D9,'SR_Cash Reconciliation_2E'!$B$9:$B$270,0))),"")</f>
        <v/>
      </c>
      <c r="M9" s="915" t="str">
        <f>""</f>
        <v/>
      </c>
      <c r="N9" s="917" t="str">
        <f>IFERROR(IF(INDEX('SR_Cash Reconciliation_2E'!N$9:N$270,MATCH($D9,'SR_Cash Reconciliation_2E'!$B$9:$B$270,0))="","",INDEX('SR_Cash Reconciliation_2E'!N$9:N$270,MATCH($D9,'SR_Cash Reconciliation_2E'!$B$9:$B$270,0))),"")</f>
        <v/>
      </c>
    </row>
    <row r="10" spans="1:14" x14ac:dyDescent="0.25">
      <c r="A10" s="637"/>
      <c r="B10" s="915"/>
      <c r="C10" s="915">
        <f t="shared" si="0"/>
        <v>5</v>
      </c>
      <c r="D10" s="915" t="str">
        <f t="shared" si="1"/>
        <v>ID5</v>
      </c>
      <c r="E10" s="916" t="str">
        <f>IFERROR(IF(INDEX('SR_Cash Reconciliation_2E'!C$9:C$270,MATCH($D10,'SR_Cash Reconciliation_2E'!$B$9:$B$270,0))="","",INDEX('SR_Cash Reconciliation_2E'!C$9:C$270,MATCH($D10,'SR_Cash Reconciliation_2E'!$B$9:$B$270,0))),"")</f>
        <v/>
      </c>
      <c r="F10" s="917" t="str">
        <f>IFERROR(IF(INDEX('SR_Cash Reconciliation_2E'!D$9:D$270,MATCH($D10,'SR_Cash Reconciliation_2E'!$B$9:$B$270,0))="","",INDEX('SR_Cash Reconciliation_2E'!D$9:D$270,MATCH($D10,'SR_Cash Reconciliation_2E'!$B$9:$B$270,0))),"")</f>
        <v/>
      </c>
      <c r="G10" s="917" t="str">
        <f>IFERROR(IF(INDEX('SR_Cash Reconciliation_2E'!E$9:E$270,MATCH($D10,'SR_Cash Reconciliation_2E'!$B$9:$B$270,0))="","",INDEX('SR_Cash Reconciliation_2E'!E$9:E$270,MATCH($D10,'SR_Cash Reconciliation_2E'!$B$9:$B$270,0))),"")</f>
        <v/>
      </c>
      <c r="H10" s="917" t="str">
        <f>IFERROR(IF(INDEX('SR_Cash Reconciliation_2E'!F$9:F$270,MATCH($D10,'SR_Cash Reconciliation_2E'!$B$9:$B$270,0))="","",INDEX('SR_Cash Reconciliation_2E'!F$9:F$270,MATCH($D10,'SR_Cash Reconciliation_2E'!$B$9:$B$270,0))),"")</f>
        <v/>
      </c>
      <c r="I10" s="917" t="str">
        <f>IFERROR(IF(INDEX('SR_Cash Reconciliation_2E'!G$9:G$270,MATCH($D10,'SR_Cash Reconciliation_2E'!$B$9:$B$270,0))="","",INDEX('SR_Cash Reconciliation_2E'!G$9:G$270,MATCH($D10,'SR_Cash Reconciliation_2E'!$B$9:$B$270,0))),"")</f>
        <v/>
      </c>
      <c r="J10" s="917" t="str">
        <f>IFERROR(IF(INDEX('SR_Cash Reconciliation_2E'!H$9:H$270,MATCH($D10,'SR_Cash Reconciliation_2E'!$B$9:$B$270,0))="","",INDEX('SR_Cash Reconciliation_2E'!H$9:H$270,MATCH($D10,'SR_Cash Reconciliation_2E'!$B$9:$B$270,0))),"")</f>
        <v/>
      </c>
      <c r="K10" s="917" t="str">
        <f>IFERROR(IF(INDEX('SR_Cash Reconciliation_2E'!I$9:I$270,MATCH($D10,'SR_Cash Reconciliation_2E'!$B$9:$B$270,0))="","",INDEX('SR_Cash Reconciliation_2E'!I$9:I$270,MATCH($D10,'SR_Cash Reconciliation_2E'!$B$9:$B$270,0))),"")</f>
        <v/>
      </c>
      <c r="L10" s="917" t="str">
        <f>IFERROR(IF(INDEX('SR_Cash Reconciliation_2E'!K$9:K$270,MATCH($D10,'SR_Cash Reconciliation_2E'!$B$9:$B$270,0))="","",INDEX('SR_Cash Reconciliation_2E'!K$9:K$270,MATCH($D10,'SR_Cash Reconciliation_2E'!$B$9:$B$270,0))),"")</f>
        <v/>
      </c>
      <c r="M10" s="915" t="str">
        <f>""</f>
        <v/>
      </c>
      <c r="N10" s="917" t="str">
        <f>IFERROR(IF(INDEX('SR_Cash Reconciliation_2E'!N$9:N$270,MATCH($D10,'SR_Cash Reconciliation_2E'!$B$9:$B$270,0))="","",INDEX('SR_Cash Reconciliation_2E'!N$9:N$270,MATCH($D10,'SR_Cash Reconciliation_2E'!$B$9:$B$270,0))),"")</f>
        <v/>
      </c>
    </row>
    <row r="11" spans="1:14" x14ac:dyDescent="0.25">
      <c r="A11" s="637"/>
      <c r="B11" s="915"/>
      <c r="C11" s="915">
        <f t="shared" si="0"/>
        <v>6</v>
      </c>
      <c r="D11" s="915" t="str">
        <f t="shared" si="1"/>
        <v>ID6</v>
      </c>
      <c r="E11" s="916" t="str">
        <f>IFERROR(IF(INDEX('SR_Cash Reconciliation_2E'!C$9:C$270,MATCH($D11,'SR_Cash Reconciliation_2E'!$B$9:$B$270,0))="","",INDEX('SR_Cash Reconciliation_2E'!C$9:C$270,MATCH($D11,'SR_Cash Reconciliation_2E'!$B$9:$B$270,0))),"")</f>
        <v/>
      </c>
      <c r="F11" s="917" t="str">
        <f>IFERROR(IF(INDEX('SR_Cash Reconciliation_2E'!D$9:D$270,MATCH($D11,'SR_Cash Reconciliation_2E'!$B$9:$B$270,0))="","",INDEX('SR_Cash Reconciliation_2E'!D$9:D$270,MATCH($D11,'SR_Cash Reconciliation_2E'!$B$9:$B$270,0))),"")</f>
        <v/>
      </c>
      <c r="G11" s="917" t="str">
        <f>IFERROR(IF(INDEX('SR_Cash Reconciliation_2E'!E$9:E$270,MATCH($D11,'SR_Cash Reconciliation_2E'!$B$9:$B$270,0))="","",INDEX('SR_Cash Reconciliation_2E'!E$9:E$270,MATCH($D11,'SR_Cash Reconciliation_2E'!$B$9:$B$270,0))),"")</f>
        <v/>
      </c>
      <c r="H11" s="917" t="str">
        <f>IFERROR(IF(INDEX('SR_Cash Reconciliation_2E'!F$9:F$270,MATCH($D11,'SR_Cash Reconciliation_2E'!$B$9:$B$270,0))="","",INDEX('SR_Cash Reconciliation_2E'!F$9:F$270,MATCH($D11,'SR_Cash Reconciliation_2E'!$B$9:$B$270,0))),"")</f>
        <v/>
      </c>
      <c r="I11" s="917" t="str">
        <f>IFERROR(IF(INDEX('SR_Cash Reconciliation_2E'!G$9:G$270,MATCH($D11,'SR_Cash Reconciliation_2E'!$B$9:$B$270,0))="","",INDEX('SR_Cash Reconciliation_2E'!G$9:G$270,MATCH($D11,'SR_Cash Reconciliation_2E'!$B$9:$B$270,0))),"")</f>
        <v/>
      </c>
      <c r="J11" s="917" t="str">
        <f>IFERROR(IF(INDEX('SR_Cash Reconciliation_2E'!H$9:H$270,MATCH($D11,'SR_Cash Reconciliation_2E'!$B$9:$B$270,0))="","",INDEX('SR_Cash Reconciliation_2E'!H$9:H$270,MATCH($D11,'SR_Cash Reconciliation_2E'!$B$9:$B$270,0))),"")</f>
        <v/>
      </c>
      <c r="K11" s="917" t="str">
        <f>IFERROR(IF(INDEX('SR_Cash Reconciliation_2E'!I$9:I$270,MATCH($D11,'SR_Cash Reconciliation_2E'!$B$9:$B$270,0))="","",INDEX('SR_Cash Reconciliation_2E'!I$9:I$270,MATCH($D11,'SR_Cash Reconciliation_2E'!$B$9:$B$270,0))),"")</f>
        <v/>
      </c>
      <c r="L11" s="917" t="str">
        <f>IFERROR(IF(INDEX('SR_Cash Reconciliation_2E'!K$9:K$270,MATCH($D11,'SR_Cash Reconciliation_2E'!$B$9:$B$270,0))="","",INDEX('SR_Cash Reconciliation_2E'!K$9:K$270,MATCH($D11,'SR_Cash Reconciliation_2E'!$B$9:$B$270,0))),"")</f>
        <v/>
      </c>
      <c r="M11" s="915" t="str">
        <f>""</f>
        <v/>
      </c>
      <c r="N11" s="917" t="str">
        <f>IFERROR(IF(INDEX('SR_Cash Reconciliation_2E'!N$9:N$270,MATCH($D11,'SR_Cash Reconciliation_2E'!$B$9:$B$270,0))="","",INDEX('SR_Cash Reconciliation_2E'!N$9:N$270,MATCH($D11,'SR_Cash Reconciliation_2E'!$B$9:$B$270,0))),"")</f>
        <v/>
      </c>
    </row>
    <row r="12" spans="1:14" x14ac:dyDescent="0.25">
      <c r="A12" s="637"/>
      <c r="B12" s="915"/>
      <c r="C12" s="915">
        <f t="shared" si="0"/>
        <v>7</v>
      </c>
      <c r="D12" s="915" t="str">
        <f t="shared" si="1"/>
        <v>ID7</v>
      </c>
      <c r="E12" s="916" t="str">
        <f>IFERROR(IF(INDEX('SR_Cash Reconciliation_2E'!C$9:C$270,MATCH($D12,'SR_Cash Reconciliation_2E'!$B$9:$B$270,0))="","",INDEX('SR_Cash Reconciliation_2E'!C$9:C$270,MATCH($D12,'SR_Cash Reconciliation_2E'!$B$9:$B$270,0))),"")</f>
        <v/>
      </c>
      <c r="F12" s="917" t="str">
        <f>IFERROR(IF(INDEX('SR_Cash Reconciliation_2E'!D$9:D$270,MATCH($D12,'SR_Cash Reconciliation_2E'!$B$9:$B$270,0))="","",INDEX('SR_Cash Reconciliation_2E'!D$9:D$270,MATCH($D12,'SR_Cash Reconciliation_2E'!$B$9:$B$270,0))),"")</f>
        <v/>
      </c>
      <c r="G12" s="917" t="str">
        <f>IFERROR(IF(INDEX('SR_Cash Reconciliation_2E'!E$9:E$270,MATCH($D12,'SR_Cash Reconciliation_2E'!$B$9:$B$270,0))="","",INDEX('SR_Cash Reconciliation_2E'!E$9:E$270,MATCH($D12,'SR_Cash Reconciliation_2E'!$B$9:$B$270,0))),"")</f>
        <v/>
      </c>
      <c r="H12" s="917" t="str">
        <f>IFERROR(IF(INDEX('SR_Cash Reconciliation_2E'!F$9:F$270,MATCH($D12,'SR_Cash Reconciliation_2E'!$B$9:$B$270,0))="","",INDEX('SR_Cash Reconciliation_2E'!F$9:F$270,MATCH($D12,'SR_Cash Reconciliation_2E'!$B$9:$B$270,0))),"")</f>
        <v/>
      </c>
      <c r="I12" s="917" t="str">
        <f>IFERROR(IF(INDEX('SR_Cash Reconciliation_2E'!G$9:G$270,MATCH($D12,'SR_Cash Reconciliation_2E'!$B$9:$B$270,0))="","",INDEX('SR_Cash Reconciliation_2E'!G$9:G$270,MATCH($D12,'SR_Cash Reconciliation_2E'!$B$9:$B$270,0))),"")</f>
        <v/>
      </c>
      <c r="J12" s="917" t="str">
        <f>IFERROR(IF(INDEX('SR_Cash Reconciliation_2E'!H$9:H$270,MATCH($D12,'SR_Cash Reconciliation_2E'!$B$9:$B$270,0))="","",INDEX('SR_Cash Reconciliation_2E'!H$9:H$270,MATCH($D12,'SR_Cash Reconciliation_2E'!$B$9:$B$270,0))),"")</f>
        <v/>
      </c>
      <c r="K12" s="917" t="str">
        <f>IFERROR(IF(INDEX('SR_Cash Reconciliation_2E'!I$9:I$270,MATCH($D12,'SR_Cash Reconciliation_2E'!$B$9:$B$270,0))="","",INDEX('SR_Cash Reconciliation_2E'!I$9:I$270,MATCH($D12,'SR_Cash Reconciliation_2E'!$B$9:$B$270,0))),"")</f>
        <v/>
      </c>
      <c r="L12" s="917" t="str">
        <f>IFERROR(IF(INDEX('SR_Cash Reconciliation_2E'!K$9:K$270,MATCH($D12,'SR_Cash Reconciliation_2E'!$B$9:$B$270,0))="","",INDEX('SR_Cash Reconciliation_2E'!K$9:K$270,MATCH($D12,'SR_Cash Reconciliation_2E'!$B$9:$B$270,0))),"")</f>
        <v/>
      </c>
      <c r="M12" s="915" t="str">
        <f>""</f>
        <v/>
      </c>
      <c r="N12" s="917" t="str">
        <f>IFERROR(IF(INDEX('SR_Cash Reconciliation_2E'!N$9:N$270,MATCH($D12,'SR_Cash Reconciliation_2E'!$B$9:$B$270,0))="","",INDEX('SR_Cash Reconciliation_2E'!N$9:N$270,MATCH($D12,'SR_Cash Reconciliation_2E'!$B$9:$B$270,0))),"")</f>
        <v/>
      </c>
    </row>
    <row r="13" spans="1:14" x14ac:dyDescent="0.25">
      <c r="A13" s="637"/>
      <c r="B13" s="915"/>
      <c r="C13" s="915">
        <f t="shared" si="0"/>
        <v>8</v>
      </c>
      <c r="D13" s="915" t="str">
        <f t="shared" si="1"/>
        <v>ID8</v>
      </c>
      <c r="E13" s="916" t="str">
        <f>IFERROR(IF(INDEX('SR_Cash Reconciliation_2E'!C$9:C$270,MATCH($D13,'SR_Cash Reconciliation_2E'!$B$9:$B$270,0))="","",INDEX('SR_Cash Reconciliation_2E'!C$9:C$270,MATCH($D13,'SR_Cash Reconciliation_2E'!$B$9:$B$270,0))),"")</f>
        <v/>
      </c>
      <c r="F13" s="917" t="str">
        <f>IFERROR(IF(INDEX('SR_Cash Reconciliation_2E'!D$9:D$270,MATCH($D13,'SR_Cash Reconciliation_2E'!$B$9:$B$270,0))="","",INDEX('SR_Cash Reconciliation_2E'!D$9:D$270,MATCH($D13,'SR_Cash Reconciliation_2E'!$B$9:$B$270,0))),"")</f>
        <v/>
      </c>
      <c r="G13" s="917" t="str">
        <f>IFERROR(IF(INDEX('SR_Cash Reconciliation_2E'!E$9:E$270,MATCH($D13,'SR_Cash Reconciliation_2E'!$B$9:$B$270,0))="","",INDEX('SR_Cash Reconciliation_2E'!E$9:E$270,MATCH($D13,'SR_Cash Reconciliation_2E'!$B$9:$B$270,0))),"")</f>
        <v/>
      </c>
      <c r="H13" s="917" t="str">
        <f>IFERROR(IF(INDEX('SR_Cash Reconciliation_2E'!F$9:F$270,MATCH($D13,'SR_Cash Reconciliation_2E'!$B$9:$B$270,0))="","",INDEX('SR_Cash Reconciliation_2E'!F$9:F$270,MATCH($D13,'SR_Cash Reconciliation_2E'!$B$9:$B$270,0))),"")</f>
        <v/>
      </c>
      <c r="I13" s="917" t="str">
        <f>IFERROR(IF(INDEX('SR_Cash Reconciliation_2E'!G$9:G$270,MATCH($D13,'SR_Cash Reconciliation_2E'!$B$9:$B$270,0))="","",INDEX('SR_Cash Reconciliation_2E'!G$9:G$270,MATCH($D13,'SR_Cash Reconciliation_2E'!$B$9:$B$270,0))),"")</f>
        <v/>
      </c>
      <c r="J13" s="917" t="str">
        <f>IFERROR(IF(INDEX('SR_Cash Reconciliation_2E'!H$9:H$270,MATCH($D13,'SR_Cash Reconciliation_2E'!$B$9:$B$270,0))="","",INDEX('SR_Cash Reconciliation_2E'!H$9:H$270,MATCH($D13,'SR_Cash Reconciliation_2E'!$B$9:$B$270,0))),"")</f>
        <v/>
      </c>
      <c r="K13" s="917" t="str">
        <f>IFERROR(IF(INDEX('SR_Cash Reconciliation_2E'!I$9:I$270,MATCH($D13,'SR_Cash Reconciliation_2E'!$B$9:$B$270,0))="","",INDEX('SR_Cash Reconciliation_2E'!I$9:I$270,MATCH($D13,'SR_Cash Reconciliation_2E'!$B$9:$B$270,0))),"")</f>
        <v/>
      </c>
      <c r="L13" s="917" t="str">
        <f>IFERROR(IF(INDEX('SR_Cash Reconciliation_2E'!K$9:K$270,MATCH($D13,'SR_Cash Reconciliation_2E'!$B$9:$B$270,0))="","",INDEX('SR_Cash Reconciliation_2E'!K$9:K$270,MATCH($D13,'SR_Cash Reconciliation_2E'!$B$9:$B$270,0))),"")</f>
        <v/>
      </c>
      <c r="M13" s="915" t="str">
        <f>""</f>
        <v/>
      </c>
      <c r="N13" s="917" t="str">
        <f>IFERROR(IF(INDEX('SR_Cash Reconciliation_2E'!N$9:N$270,MATCH($D13,'SR_Cash Reconciliation_2E'!$B$9:$B$270,0))="","",INDEX('SR_Cash Reconciliation_2E'!N$9:N$270,MATCH($D13,'SR_Cash Reconciliation_2E'!$B$9:$B$270,0))),"")</f>
        <v/>
      </c>
    </row>
    <row r="14" spans="1:14" x14ac:dyDescent="0.25">
      <c r="A14" s="637"/>
      <c r="B14" s="915"/>
      <c r="C14" s="915">
        <f t="shared" si="0"/>
        <v>9</v>
      </c>
      <c r="D14" s="915" t="str">
        <f t="shared" si="1"/>
        <v>ID9</v>
      </c>
      <c r="E14" s="916" t="str">
        <f>IFERROR(IF(INDEX('SR_Cash Reconciliation_2E'!C$9:C$270,MATCH($D14,'SR_Cash Reconciliation_2E'!$B$9:$B$270,0))="","",INDEX('SR_Cash Reconciliation_2E'!C$9:C$270,MATCH($D14,'SR_Cash Reconciliation_2E'!$B$9:$B$270,0))),"")</f>
        <v/>
      </c>
      <c r="F14" s="917" t="str">
        <f>IFERROR(IF(INDEX('SR_Cash Reconciliation_2E'!D$9:D$270,MATCH($D14,'SR_Cash Reconciliation_2E'!$B$9:$B$270,0))="","",INDEX('SR_Cash Reconciliation_2E'!D$9:D$270,MATCH($D14,'SR_Cash Reconciliation_2E'!$B$9:$B$270,0))),"")</f>
        <v/>
      </c>
      <c r="G14" s="917" t="str">
        <f>IFERROR(IF(INDEX('SR_Cash Reconciliation_2E'!E$9:E$270,MATCH($D14,'SR_Cash Reconciliation_2E'!$B$9:$B$270,0))="","",INDEX('SR_Cash Reconciliation_2E'!E$9:E$270,MATCH($D14,'SR_Cash Reconciliation_2E'!$B$9:$B$270,0))),"")</f>
        <v/>
      </c>
      <c r="H14" s="917" t="str">
        <f>IFERROR(IF(INDEX('SR_Cash Reconciliation_2E'!F$9:F$270,MATCH($D14,'SR_Cash Reconciliation_2E'!$B$9:$B$270,0))="","",INDEX('SR_Cash Reconciliation_2E'!F$9:F$270,MATCH($D14,'SR_Cash Reconciliation_2E'!$B$9:$B$270,0))),"")</f>
        <v/>
      </c>
      <c r="I14" s="917" t="str">
        <f>IFERROR(IF(INDEX('SR_Cash Reconciliation_2E'!G$9:G$270,MATCH($D14,'SR_Cash Reconciliation_2E'!$B$9:$B$270,0))="","",INDEX('SR_Cash Reconciliation_2E'!G$9:G$270,MATCH($D14,'SR_Cash Reconciliation_2E'!$B$9:$B$270,0))),"")</f>
        <v/>
      </c>
      <c r="J14" s="917" t="str">
        <f>IFERROR(IF(INDEX('SR_Cash Reconciliation_2E'!H$9:H$270,MATCH($D14,'SR_Cash Reconciliation_2E'!$B$9:$B$270,0))="","",INDEX('SR_Cash Reconciliation_2E'!H$9:H$270,MATCH($D14,'SR_Cash Reconciliation_2E'!$B$9:$B$270,0))),"")</f>
        <v/>
      </c>
      <c r="K14" s="917" t="str">
        <f>IFERROR(IF(INDEX('SR_Cash Reconciliation_2E'!I$9:I$270,MATCH($D14,'SR_Cash Reconciliation_2E'!$B$9:$B$270,0))="","",INDEX('SR_Cash Reconciliation_2E'!I$9:I$270,MATCH($D14,'SR_Cash Reconciliation_2E'!$B$9:$B$270,0))),"")</f>
        <v/>
      </c>
      <c r="L14" s="917" t="str">
        <f>IFERROR(IF(INDEX('SR_Cash Reconciliation_2E'!K$9:K$270,MATCH($D14,'SR_Cash Reconciliation_2E'!$B$9:$B$270,0))="","",INDEX('SR_Cash Reconciliation_2E'!K$9:K$270,MATCH($D14,'SR_Cash Reconciliation_2E'!$B$9:$B$270,0))),"")</f>
        <v/>
      </c>
      <c r="M14" s="915" t="str">
        <f>""</f>
        <v/>
      </c>
      <c r="N14" s="917" t="str">
        <f>IFERROR(IF(INDEX('SR_Cash Reconciliation_2E'!N$9:N$270,MATCH($D14,'SR_Cash Reconciliation_2E'!$B$9:$B$270,0))="","",INDEX('SR_Cash Reconciliation_2E'!N$9:N$270,MATCH($D14,'SR_Cash Reconciliation_2E'!$B$9:$B$270,0))),"")</f>
        <v/>
      </c>
    </row>
    <row r="15" spans="1:14" x14ac:dyDescent="0.25">
      <c r="A15" s="637"/>
      <c r="B15" s="915"/>
      <c r="C15" s="915">
        <f t="shared" si="0"/>
        <v>10</v>
      </c>
      <c r="D15" s="915" t="str">
        <f t="shared" si="1"/>
        <v>ID10</v>
      </c>
      <c r="E15" s="916" t="str">
        <f>IFERROR(IF(INDEX('SR_Cash Reconciliation_2E'!C$9:C$270,MATCH($D15,'SR_Cash Reconciliation_2E'!$B$9:$B$270,0))="","",INDEX('SR_Cash Reconciliation_2E'!C$9:C$270,MATCH($D15,'SR_Cash Reconciliation_2E'!$B$9:$B$270,0))),"")</f>
        <v/>
      </c>
      <c r="F15" s="917" t="str">
        <f>IFERROR(IF(INDEX('SR_Cash Reconciliation_2E'!D$9:D$270,MATCH($D15,'SR_Cash Reconciliation_2E'!$B$9:$B$270,0))="","",INDEX('SR_Cash Reconciliation_2E'!D$9:D$270,MATCH($D15,'SR_Cash Reconciliation_2E'!$B$9:$B$270,0))),"")</f>
        <v/>
      </c>
      <c r="G15" s="917" t="str">
        <f>IFERROR(IF(INDEX('SR_Cash Reconciliation_2E'!E$9:E$270,MATCH($D15,'SR_Cash Reconciliation_2E'!$B$9:$B$270,0))="","",INDEX('SR_Cash Reconciliation_2E'!E$9:E$270,MATCH($D15,'SR_Cash Reconciliation_2E'!$B$9:$B$270,0))),"")</f>
        <v/>
      </c>
      <c r="H15" s="917" t="str">
        <f>IFERROR(IF(INDEX('SR_Cash Reconciliation_2E'!F$9:F$270,MATCH($D15,'SR_Cash Reconciliation_2E'!$B$9:$B$270,0))="","",INDEX('SR_Cash Reconciliation_2E'!F$9:F$270,MATCH($D15,'SR_Cash Reconciliation_2E'!$B$9:$B$270,0))),"")</f>
        <v/>
      </c>
      <c r="I15" s="917" t="str">
        <f>IFERROR(IF(INDEX('SR_Cash Reconciliation_2E'!G$9:G$270,MATCH($D15,'SR_Cash Reconciliation_2E'!$B$9:$B$270,0))="","",INDEX('SR_Cash Reconciliation_2E'!G$9:G$270,MATCH($D15,'SR_Cash Reconciliation_2E'!$B$9:$B$270,0))),"")</f>
        <v/>
      </c>
      <c r="J15" s="917" t="str">
        <f>IFERROR(IF(INDEX('SR_Cash Reconciliation_2E'!H$9:H$270,MATCH($D15,'SR_Cash Reconciliation_2E'!$B$9:$B$270,0))="","",INDEX('SR_Cash Reconciliation_2E'!H$9:H$270,MATCH($D15,'SR_Cash Reconciliation_2E'!$B$9:$B$270,0))),"")</f>
        <v/>
      </c>
      <c r="K15" s="917" t="str">
        <f>IFERROR(IF(INDEX('SR_Cash Reconciliation_2E'!I$9:I$270,MATCH($D15,'SR_Cash Reconciliation_2E'!$B$9:$B$270,0))="","",INDEX('SR_Cash Reconciliation_2E'!I$9:I$270,MATCH($D15,'SR_Cash Reconciliation_2E'!$B$9:$B$270,0))),"")</f>
        <v/>
      </c>
      <c r="L15" s="917" t="str">
        <f>IFERROR(IF(INDEX('SR_Cash Reconciliation_2E'!K$9:K$270,MATCH($D15,'SR_Cash Reconciliation_2E'!$B$9:$B$270,0))="","",INDEX('SR_Cash Reconciliation_2E'!K$9:K$270,MATCH($D15,'SR_Cash Reconciliation_2E'!$B$9:$B$270,0))),"")</f>
        <v/>
      </c>
      <c r="M15" s="915" t="str">
        <f>""</f>
        <v/>
      </c>
      <c r="N15" s="917" t="str">
        <f>IFERROR(IF(INDEX('SR_Cash Reconciliation_2E'!N$9:N$270,MATCH($D15,'SR_Cash Reconciliation_2E'!$B$9:$B$270,0))="","",INDEX('SR_Cash Reconciliation_2E'!N$9:N$270,MATCH($D15,'SR_Cash Reconciliation_2E'!$B$9:$B$270,0))),"")</f>
        <v/>
      </c>
    </row>
    <row r="16" spans="1:14" x14ac:dyDescent="0.25">
      <c r="A16" s="637"/>
      <c r="B16" s="915"/>
      <c r="C16" s="915">
        <f t="shared" si="0"/>
        <v>11</v>
      </c>
      <c r="D16" s="915" t="str">
        <f t="shared" si="1"/>
        <v>ID11</v>
      </c>
      <c r="E16" s="916" t="str">
        <f>IFERROR(IF(INDEX('SR_Cash Reconciliation_2E'!C$9:C$270,MATCH($D16,'SR_Cash Reconciliation_2E'!$B$9:$B$270,0))="","",INDEX('SR_Cash Reconciliation_2E'!C$9:C$270,MATCH($D16,'SR_Cash Reconciliation_2E'!$B$9:$B$270,0))),"")</f>
        <v/>
      </c>
      <c r="F16" s="917" t="str">
        <f>IFERROR(IF(INDEX('SR_Cash Reconciliation_2E'!D$9:D$270,MATCH($D16,'SR_Cash Reconciliation_2E'!$B$9:$B$270,0))="","",INDEX('SR_Cash Reconciliation_2E'!D$9:D$270,MATCH($D16,'SR_Cash Reconciliation_2E'!$B$9:$B$270,0))),"")</f>
        <v/>
      </c>
      <c r="G16" s="917" t="str">
        <f>IFERROR(IF(INDEX('SR_Cash Reconciliation_2E'!E$9:E$270,MATCH($D16,'SR_Cash Reconciliation_2E'!$B$9:$B$270,0))="","",INDEX('SR_Cash Reconciliation_2E'!E$9:E$270,MATCH($D16,'SR_Cash Reconciliation_2E'!$B$9:$B$270,0))),"")</f>
        <v/>
      </c>
      <c r="H16" s="917" t="str">
        <f>IFERROR(IF(INDEX('SR_Cash Reconciliation_2E'!F$9:F$270,MATCH($D16,'SR_Cash Reconciliation_2E'!$B$9:$B$270,0))="","",INDEX('SR_Cash Reconciliation_2E'!F$9:F$270,MATCH($D16,'SR_Cash Reconciliation_2E'!$B$9:$B$270,0))),"")</f>
        <v/>
      </c>
      <c r="I16" s="917" t="str">
        <f>IFERROR(IF(INDEX('SR_Cash Reconciliation_2E'!G$9:G$270,MATCH($D16,'SR_Cash Reconciliation_2E'!$B$9:$B$270,0))="","",INDEX('SR_Cash Reconciliation_2E'!G$9:G$270,MATCH($D16,'SR_Cash Reconciliation_2E'!$B$9:$B$270,0))),"")</f>
        <v/>
      </c>
      <c r="J16" s="917" t="str">
        <f>IFERROR(IF(INDEX('SR_Cash Reconciliation_2E'!H$9:H$270,MATCH($D16,'SR_Cash Reconciliation_2E'!$B$9:$B$270,0))="","",INDEX('SR_Cash Reconciliation_2E'!H$9:H$270,MATCH($D16,'SR_Cash Reconciliation_2E'!$B$9:$B$270,0))),"")</f>
        <v/>
      </c>
      <c r="K16" s="917" t="str">
        <f>IFERROR(IF(INDEX('SR_Cash Reconciliation_2E'!I$9:I$270,MATCH($D16,'SR_Cash Reconciliation_2E'!$B$9:$B$270,0))="","",INDEX('SR_Cash Reconciliation_2E'!I$9:I$270,MATCH($D16,'SR_Cash Reconciliation_2E'!$B$9:$B$270,0))),"")</f>
        <v/>
      </c>
      <c r="L16" s="917" t="str">
        <f>IFERROR(IF(INDEX('SR_Cash Reconciliation_2E'!K$9:K$270,MATCH($D16,'SR_Cash Reconciliation_2E'!$B$9:$B$270,0))="","",INDEX('SR_Cash Reconciliation_2E'!K$9:K$270,MATCH($D16,'SR_Cash Reconciliation_2E'!$B$9:$B$270,0))),"")</f>
        <v/>
      </c>
      <c r="M16" s="915" t="str">
        <f>""</f>
        <v/>
      </c>
      <c r="N16" s="917" t="str">
        <f>IFERROR(IF(INDEX('SR_Cash Reconciliation_2E'!N$9:N$270,MATCH($D16,'SR_Cash Reconciliation_2E'!$B$9:$B$270,0))="","",INDEX('SR_Cash Reconciliation_2E'!N$9:N$270,MATCH($D16,'SR_Cash Reconciliation_2E'!$B$9:$B$270,0))),"")</f>
        <v/>
      </c>
    </row>
    <row r="17" spans="1:14" x14ac:dyDescent="0.25">
      <c r="A17" s="637"/>
      <c r="B17" s="915"/>
      <c r="C17" s="915">
        <f t="shared" si="0"/>
        <v>12</v>
      </c>
      <c r="D17" s="915" t="str">
        <f t="shared" si="1"/>
        <v>ID12</v>
      </c>
      <c r="E17" s="916" t="str">
        <f>IFERROR(IF(INDEX('SR_Cash Reconciliation_2E'!C$9:C$270,MATCH($D17,'SR_Cash Reconciliation_2E'!$B$9:$B$270,0))="","",INDEX('SR_Cash Reconciliation_2E'!C$9:C$270,MATCH($D17,'SR_Cash Reconciliation_2E'!$B$9:$B$270,0))),"")</f>
        <v/>
      </c>
      <c r="F17" s="917" t="str">
        <f>IFERROR(IF(INDEX('SR_Cash Reconciliation_2E'!D$9:D$270,MATCH($D17,'SR_Cash Reconciliation_2E'!$B$9:$B$270,0))="","",INDEX('SR_Cash Reconciliation_2E'!D$9:D$270,MATCH($D17,'SR_Cash Reconciliation_2E'!$B$9:$B$270,0))),"")</f>
        <v/>
      </c>
      <c r="G17" s="917" t="str">
        <f>IFERROR(IF(INDEX('SR_Cash Reconciliation_2E'!E$9:E$270,MATCH($D17,'SR_Cash Reconciliation_2E'!$B$9:$B$270,0))="","",INDEX('SR_Cash Reconciliation_2E'!E$9:E$270,MATCH($D17,'SR_Cash Reconciliation_2E'!$B$9:$B$270,0))),"")</f>
        <v/>
      </c>
      <c r="H17" s="917" t="str">
        <f>IFERROR(IF(INDEX('SR_Cash Reconciliation_2E'!F$9:F$270,MATCH($D17,'SR_Cash Reconciliation_2E'!$B$9:$B$270,0))="","",INDEX('SR_Cash Reconciliation_2E'!F$9:F$270,MATCH($D17,'SR_Cash Reconciliation_2E'!$B$9:$B$270,0))),"")</f>
        <v/>
      </c>
      <c r="I17" s="917" t="str">
        <f>IFERROR(IF(INDEX('SR_Cash Reconciliation_2E'!G$9:G$270,MATCH($D17,'SR_Cash Reconciliation_2E'!$B$9:$B$270,0))="","",INDEX('SR_Cash Reconciliation_2E'!G$9:G$270,MATCH($D17,'SR_Cash Reconciliation_2E'!$B$9:$B$270,0))),"")</f>
        <v/>
      </c>
      <c r="J17" s="917" t="str">
        <f>IFERROR(IF(INDEX('SR_Cash Reconciliation_2E'!H$9:H$270,MATCH($D17,'SR_Cash Reconciliation_2E'!$B$9:$B$270,0))="","",INDEX('SR_Cash Reconciliation_2E'!H$9:H$270,MATCH($D17,'SR_Cash Reconciliation_2E'!$B$9:$B$270,0))),"")</f>
        <v/>
      </c>
      <c r="K17" s="917" t="str">
        <f>IFERROR(IF(INDEX('SR_Cash Reconciliation_2E'!I$9:I$270,MATCH($D17,'SR_Cash Reconciliation_2E'!$B$9:$B$270,0))="","",INDEX('SR_Cash Reconciliation_2E'!I$9:I$270,MATCH($D17,'SR_Cash Reconciliation_2E'!$B$9:$B$270,0))),"")</f>
        <v/>
      </c>
      <c r="L17" s="917" t="str">
        <f>IFERROR(IF(INDEX('SR_Cash Reconciliation_2E'!K$9:K$270,MATCH($D17,'SR_Cash Reconciliation_2E'!$B$9:$B$270,0))="","",INDEX('SR_Cash Reconciliation_2E'!K$9:K$270,MATCH($D17,'SR_Cash Reconciliation_2E'!$B$9:$B$270,0))),"")</f>
        <v/>
      </c>
      <c r="M17" s="915" t="str">
        <f>""</f>
        <v/>
      </c>
      <c r="N17" s="917" t="str">
        <f>IFERROR(IF(INDEX('SR_Cash Reconciliation_2E'!N$9:N$270,MATCH($D17,'SR_Cash Reconciliation_2E'!$B$9:$B$270,0))="","",INDEX('SR_Cash Reconciliation_2E'!N$9:N$270,MATCH($D17,'SR_Cash Reconciliation_2E'!$B$9:$B$270,0))),"")</f>
        <v/>
      </c>
    </row>
    <row r="18" spans="1:14" x14ac:dyDescent="0.25">
      <c r="A18" s="637"/>
      <c r="B18" s="915"/>
      <c r="C18" s="915">
        <f t="shared" si="0"/>
        <v>13</v>
      </c>
      <c r="D18" s="915" t="str">
        <f t="shared" si="1"/>
        <v>ID13</v>
      </c>
      <c r="E18" s="916" t="str">
        <f>IFERROR(IF(INDEX('SR_Cash Reconciliation_2E'!C$9:C$270,MATCH($D18,'SR_Cash Reconciliation_2E'!$B$9:$B$270,0))="","",INDEX('SR_Cash Reconciliation_2E'!C$9:C$270,MATCH($D18,'SR_Cash Reconciliation_2E'!$B$9:$B$270,0))),"")</f>
        <v/>
      </c>
      <c r="F18" s="917" t="str">
        <f>IFERROR(IF(INDEX('SR_Cash Reconciliation_2E'!D$9:D$270,MATCH($D18,'SR_Cash Reconciliation_2E'!$B$9:$B$270,0))="","",INDEX('SR_Cash Reconciliation_2E'!D$9:D$270,MATCH($D18,'SR_Cash Reconciliation_2E'!$B$9:$B$270,0))),"")</f>
        <v/>
      </c>
      <c r="G18" s="917" t="str">
        <f>IFERROR(IF(INDEX('SR_Cash Reconciliation_2E'!E$9:E$270,MATCH($D18,'SR_Cash Reconciliation_2E'!$B$9:$B$270,0))="","",INDEX('SR_Cash Reconciliation_2E'!E$9:E$270,MATCH($D18,'SR_Cash Reconciliation_2E'!$B$9:$B$270,0))),"")</f>
        <v/>
      </c>
      <c r="H18" s="917" t="str">
        <f>IFERROR(IF(INDEX('SR_Cash Reconciliation_2E'!F$9:F$270,MATCH($D18,'SR_Cash Reconciliation_2E'!$B$9:$B$270,0))="","",INDEX('SR_Cash Reconciliation_2E'!F$9:F$270,MATCH($D18,'SR_Cash Reconciliation_2E'!$B$9:$B$270,0))),"")</f>
        <v/>
      </c>
      <c r="I18" s="917" t="str">
        <f>IFERROR(IF(INDEX('SR_Cash Reconciliation_2E'!G$9:G$270,MATCH($D18,'SR_Cash Reconciliation_2E'!$B$9:$B$270,0))="","",INDEX('SR_Cash Reconciliation_2E'!G$9:G$270,MATCH($D18,'SR_Cash Reconciliation_2E'!$B$9:$B$270,0))),"")</f>
        <v/>
      </c>
      <c r="J18" s="917" t="str">
        <f>IFERROR(IF(INDEX('SR_Cash Reconciliation_2E'!H$9:H$270,MATCH($D18,'SR_Cash Reconciliation_2E'!$B$9:$B$270,0))="","",INDEX('SR_Cash Reconciliation_2E'!H$9:H$270,MATCH($D18,'SR_Cash Reconciliation_2E'!$B$9:$B$270,0))),"")</f>
        <v/>
      </c>
      <c r="K18" s="917" t="str">
        <f>IFERROR(IF(INDEX('SR_Cash Reconciliation_2E'!I$9:I$270,MATCH($D18,'SR_Cash Reconciliation_2E'!$B$9:$B$270,0))="","",INDEX('SR_Cash Reconciliation_2E'!I$9:I$270,MATCH($D18,'SR_Cash Reconciliation_2E'!$B$9:$B$270,0))),"")</f>
        <v/>
      </c>
      <c r="L18" s="917" t="str">
        <f>IFERROR(IF(INDEX('SR_Cash Reconciliation_2E'!K$9:K$270,MATCH($D18,'SR_Cash Reconciliation_2E'!$B$9:$B$270,0))="","",INDEX('SR_Cash Reconciliation_2E'!K$9:K$270,MATCH($D18,'SR_Cash Reconciliation_2E'!$B$9:$B$270,0))),"")</f>
        <v/>
      </c>
      <c r="M18" s="915" t="str">
        <f>""</f>
        <v/>
      </c>
      <c r="N18" s="917" t="str">
        <f>IFERROR(IF(INDEX('SR_Cash Reconciliation_2E'!N$9:N$270,MATCH($D18,'SR_Cash Reconciliation_2E'!$B$9:$B$270,0))="","",INDEX('SR_Cash Reconciliation_2E'!N$9:N$270,MATCH($D18,'SR_Cash Reconciliation_2E'!$B$9:$B$270,0))),"")</f>
        <v/>
      </c>
    </row>
    <row r="19" spans="1:14" x14ac:dyDescent="0.25">
      <c r="A19" s="637"/>
      <c r="B19" s="915"/>
      <c r="C19" s="915">
        <f t="shared" si="0"/>
        <v>14</v>
      </c>
      <c r="D19" s="915" t="str">
        <f t="shared" si="1"/>
        <v>ID14</v>
      </c>
      <c r="E19" s="916" t="str">
        <f>IFERROR(IF(INDEX('SR_Cash Reconciliation_2E'!C$9:C$270,MATCH($D19,'SR_Cash Reconciliation_2E'!$B$9:$B$270,0))="","",INDEX('SR_Cash Reconciliation_2E'!C$9:C$270,MATCH($D19,'SR_Cash Reconciliation_2E'!$B$9:$B$270,0))),"")</f>
        <v/>
      </c>
      <c r="F19" s="917" t="str">
        <f>IFERROR(IF(INDEX('SR_Cash Reconciliation_2E'!D$9:D$270,MATCH($D19,'SR_Cash Reconciliation_2E'!$B$9:$B$270,0))="","",INDEX('SR_Cash Reconciliation_2E'!D$9:D$270,MATCH($D19,'SR_Cash Reconciliation_2E'!$B$9:$B$270,0))),"")</f>
        <v/>
      </c>
      <c r="G19" s="917" t="str">
        <f>IFERROR(IF(INDEX('SR_Cash Reconciliation_2E'!E$9:E$270,MATCH($D19,'SR_Cash Reconciliation_2E'!$B$9:$B$270,0))="","",INDEX('SR_Cash Reconciliation_2E'!E$9:E$270,MATCH($D19,'SR_Cash Reconciliation_2E'!$B$9:$B$270,0))),"")</f>
        <v/>
      </c>
      <c r="H19" s="917" t="str">
        <f>IFERROR(IF(INDEX('SR_Cash Reconciliation_2E'!F$9:F$270,MATCH($D19,'SR_Cash Reconciliation_2E'!$B$9:$B$270,0))="","",INDEX('SR_Cash Reconciliation_2E'!F$9:F$270,MATCH($D19,'SR_Cash Reconciliation_2E'!$B$9:$B$270,0))),"")</f>
        <v/>
      </c>
      <c r="I19" s="917" t="str">
        <f>IFERROR(IF(INDEX('SR_Cash Reconciliation_2E'!G$9:G$270,MATCH($D19,'SR_Cash Reconciliation_2E'!$B$9:$B$270,0))="","",INDEX('SR_Cash Reconciliation_2E'!G$9:G$270,MATCH($D19,'SR_Cash Reconciliation_2E'!$B$9:$B$270,0))),"")</f>
        <v/>
      </c>
      <c r="J19" s="917" t="str">
        <f>IFERROR(IF(INDEX('SR_Cash Reconciliation_2E'!H$9:H$270,MATCH($D19,'SR_Cash Reconciliation_2E'!$B$9:$B$270,0))="","",INDEX('SR_Cash Reconciliation_2E'!H$9:H$270,MATCH($D19,'SR_Cash Reconciliation_2E'!$B$9:$B$270,0))),"")</f>
        <v/>
      </c>
      <c r="K19" s="917" t="str">
        <f>IFERROR(IF(INDEX('SR_Cash Reconciliation_2E'!I$9:I$270,MATCH($D19,'SR_Cash Reconciliation_2E'!$B$9:$B$270,0))="","",INDEX('SR_Cash Reconciliation_2E'!I$9:I$270,MATCH($D19,'SR_Cash Reconciliation_2E'!$B$9:$B$270,0))),"")</f>
        <v/>
      </c>
      <c r="L19" s="917" t="str">
        <f>IFERROR(IF(INDEX('SR_Cash Reconciliation_2E'!K$9:K$270,MATCH($D19,'SR_Cash Reconciliation_2E'!$B$9:$B$270,0))="","",INDEX('SR_Cash Reconciliation_2E'!K$9:K$270,MATCH($D19,'SR_Cash Reconciliation_2E'!$B$9:$B$270,0))),"")</f>
        <v/>
      </c>
      <c r="M19" s="915" t="str">
        <f>""</f>
        <v/>
      </c>
      <c r="N19" s="917" t="str">
        <f>IFERROR(IF(INDEX('SR_Cash Reconciliation_2E'!N$9:N$270,MATCH($D19,'SR_Cash Reconciliation_2E'!$B$9:$B$270,0))="","",INDEX('SR_Cash Reconciliation_2E'!N$9:N$270,MATCH($D19,'SR_Cash Reconciliation_2E'!$B$9:$B$270,0))),"")</f>
        <v/>
      </c>
    </row>
    <row r="20" spans="1:14" x14ac:dyDescent="0.25">
      <c r="A20" s="637"/>
      <c r="B20" s="915"/>
      <c r="C20" s="915">
        <f t="shared" si="0"/>
        <v>15</v>
      </c>
      <c r="D20" s="915" t="str">
        <f t="shared" si="1"/>
        <v>ID15</v>
      </c>
      <c r="E20" s="916" t="str">
        <f>IFERROR(IF(INDEX('SR_Cash Reconciliation_2E'!C$9:C$270,MATCH($D20,'SR_Cash Reconciliation_2E'!$B$9:$B$270,0))="","",INDEX('SR_Cash Reconciliation_2E'!C$9:C$270,MATCH($D20,'SR_Cash Reconciliation_2E'!$B$9:$B$270,0))),"")</f>
        <v/>
      </c>
      <c r="F20" s="917" t="str">
        <f>IFERROR(IF(INDEX('SR_Cash Reconciliation_2E'!D$9:D$270,MATCH($D20,'SR_Cash Reconciliation_2E'!$B$9:$B$270,0))="","",INDEX('SR_Cash Reconciliation_2E'!D$9:D$270,MATCH($D20,'SR_Cash Reconciliation_2E'!$B$9:$B$270,0))),"")</f>
        <v/>
      </c>
      <c r="G20" s="917" t="str">
        <f>IFERROR(IF(INDEX('SR_Cash Reconciliation_2E'!E$9:E$270,MATCH($D20,'SR_Cash Reconciliation_2E'!$B$9:$B$270,0))="","",INDEX('SR_Cash Reconciliation_2E'!E$9:E$270,MATCH($D20,'SR_Cash Reconciliation_2E'!$B$9:$B$270,0))),"")</f>
        <v/>
      </c>
      <c r="H20" s="917" t="str">
        <f>IFERROR(IF(INDEX('SR_Cash Reconciliation_2E'!F$9:F$270,MATCH($D20,'SR_Cash Reconciliation_2E'!$B$9:$B$270,0))="","",INDEX('SR_Cash Reconciliation_2E'!F$9:F$270,MATCH($D20,'SR_Cash Reconciliation_2E'!$B$9:$B$270,0))),"")</f>
        <v/>
      </c>
      <c r="I20" s="917" t="str">
        <f>IFERROR(IF(INDEX('SR_Cash Reconciliation_2E'!G$9:G$270,MATCH($D20,'SR_Cash Reconciliation_2E'!$B$9:$B$270,0))="","",INDEX('SR_Cash Reconciliation_2E'!G$9:G$270,MATCH($D20,'SR_Cash Reconciliation_2E'!$B$9:$B$270,0))),"")</f>
        <v/>
      </c>
      <c r="J20" s="917" t="str">
        <f>IFERROR(IF(INDEX('SR_Cash Reconciliation_2E'!H$9:H$270,MATCH($D20,'SR_Cash Reconciliation_2E'!$B$9:$B$270,0))="","",INDEX('SR_Cash Reconciliation_2E'!H$9:H$270,MATCH($D20,'SR_Cash Reconciliation_2E'!$B$9:$B$270,0))),"")</f>
        <v/>
      </c>
      <c r="K20" s="917" t="str">
        <f>IFERROR(IF(INDEX('SR_Cash Reconciliation_2E'!I$9:I$270,MATCH($D20,'SR_Cash Reconciliation_2E'!$B$9:$B$270,0))="","",INDEX('SR_Cash Reconciliation_2E'!I$9:I$270,MATCH($D20,'SR_Cash Reconciliation_2E'!$B$9:$B$270,0))),"")</f>
        <v/>
      </c>
      <c r="L20" s="917" t="str">
        <f>IFERROR(IF(INDEX('SR_Cash Reconciliation_2E'!K$9:K$270,MATCH($D20,'SR_Cash Reconciliation_2E'!$B$9:$B$270,0))="","",INDEX('SR_Cash Reconciliation_2E'!K$9:K$270,MATCH($D20,'SR_Cash Reconciliation_2E'!$B$9:$B$270,0))),"")</f>
        <v/>
      </c>
      <c r="M20" s="915" t="str">
        <f>""</f>
        <v/>
      </c>
      <c r="N20" s="917" t="str">
        <f>IFERROR(IF(INDEX('SR_Cash Reconciliation_2E'!N$9:N$270,MATCH($D20,'SR_Cash Reconciliation_2E'!$B$9:$B$270,0))="","",INDEX('SR_Cash Reconciliation_2E'!N$9:N$270,MATCH($D20,'SR_Cash Reconciliation_2E'!$B$9:$B$270,0))),"")</f>
        <v/>
      </c>
    </row>
    <row r="21" spans="1:14" x14ac:dyDescent="0.25">
      <c r="A21" s="637"/>
      <c r="B21" s="915"/>
      <c r="C21" s="915">
        <f t="shared" si="0"/>
        <v>16</v>
      </c>
      <c r="D21" s="915" t="str">
        <f t="shared" si="1"/>
        <v>ID16</v>
      </c>
      <c r="E21" s="916" t="str">
        <f>IFERROR(IF(INDEX('SR_Cash Reconciliation_2E'!C$9:C$270,MATCH($D21,'SR_Cash Reconciliation_2E'!$B$9:$B$270,0))="","",INDEX('SR_Cash Reconciliation_2E'!C$9:C$270,MATCH($D21,'SR_Cash Reconciliation_2E'!$B$9:$B$270,0))),"")</f>
        <v/>
      </c>
      <c r="F21" s="917" t="str">
        <f>IFERROR(IF(INDEX('SR_Cash Reconciliation_2E'!D$9:D$270,MATCH($D21,'SR_Cash Reconciliation_2E'!$B$9:$B$270,0))="","",INDEX('SR_Cash Reconciliation_2E'!D$9:D$270,MATCH($D21,'SR_Cash Reconciliation_2E'!$B$9:$B$270,0))),"")</f>
        <v/>
      </c>
      <c r="G21" s="917" t="str">
        <f>IFERROR(IF(INDEX('SR_Cash Reconciliation_2E'!E$9:E$270,MATCH($D21,'SR_Cash Reconciliation_2E'!$B$9:$B$270,0))="","",INDEX('SR_Cash Reconciliation_2E'!E$9:E$270,MATCH($D21,'SR_Cash Reconciliation_2E'!$B$9:$B$270,0))),"")</f>
        <v/>
      </c>
      <c r="H21" s="917" t="str">
        <f>IFERROR(IF(INDEX('SR_Cash Reconciliation_2E'!F$9:F$270,MATCH($D21,'SR_Cash Reconciliation_2E'!$B$9:$B$270,0))="","",INDEX('SR_Cash Reconciliation_2E'!F$9:F$270,MATCH($D21,'SR_Cash Reconciliation_2E'!$B$9:$B$270,0))),"")</f>
        <v/>
      </c>
      <c r="I21" s="917" t="str">
        <f>IFERROR(IF(INDEX('SR_Cash Reconciliation_2E'!G$9:G$270,MATCH($D21,'SR_Cash Reconciliation_2E'!$B$9:$B$270,0))="","",INDEX('SR_Cash Reconciliation_2E'!G$9:G$270,MATCH($D21,'SR_Cash Reconciliation_2E'!$B$9:$B$270,0))),"")</f>
        <v/>
      </c>
      <c r="J21" s="917" t="str">
        <f>IFERROR(IF(INDEX('SR_Cash Reconciliation_2E'!H$9:H$270,MATCH($D21,'SR_Cash Reconciliation_2E'!$B$9:$B$270,0))="","",INDEX('SR_Cash Reconciliation_2E'!H$9:H$270,MATCH($D21,'SR_Cash Reconciliation_2E'!$B$9:$B$270,0))),"")</f>
        <v/>
      </c>
      <c r="K21" s="917" t="str">
        <f>IFERROR(IF(INDEX('SR_Cash Reconciliation_2E'!I$9:I$270,MATCH($D21,'SR_Cash Reconciliation_2E'!$B$9:$B$270,0))="","",INDEX('SR_Cash Reconciliation_2E'!I$9:I$270,MATCH($D21,'SR_Cash Reconciliation_2E'!$B$9:$B$270,0))),"")</f>
        <v/>
      </c>
      <c r="L21" s="917" t="str">
        <f>IFERROR(IF(INDEX('SR_Cash Reconciliation_2E'!K$9:K$270,MATCH($D21,'SR_Cash Reconciliation_2E'!$B$9:$B$270,0))="","",INDEX('SR_Cash Reconciliation_2E'!K$9:K$270,MATCH($D21,'SR_Cash Reconciliation_2E'!$B$9:$B$270,0))),"")</f>
        <v/>
      </c>
      <c r="M21" s="915" t="str">
        <f>""</f>
        <v/>
      </c>
      <c r="N21" s="917" t="str">
        <f>IFERROR(IF(INDEX('SR_Cash Reconciliation_2E'!N$9:N$270,MATCH($D21,'SR_Cash Reconciliation_2E'!$B$9:$B$270,0))="","",INDEX('SR_Cash Reconciliation_2E'!N$9:N$270,MATCH($D21,'SR_Cash Reconciliation_2E'!$B$9:$B$270,0))),"")</f>
        <v/>
      </c>
    </row>
    <row r="22" spans="1:14" x14ac:dyDescent="0.25">
      <c r="A22" s="637"/>
      <c r="B22" s="915"/>
      <c r="C22" s="915">
        <f t="shared" si="0"/>
        <v>17</v>
      </c>
      <c r="D22" s="915" t="str">
        <f t="shared" si="1"/>
        <v>ID17</v>
      </c>
      <c r="E22" s="916" t="str">
        <f>IFERROR(IF(INDEX('SR_Cash Reconciliation_2E'!C$9:C$270,MATCH($D22,'SR_Cash Reconciliation_2E'!$B$9:$B$270,0))="","",INDEX('SR_Cash Reconciliation_2E'!C$9:C$270,MATCH($D22,'SR_Cash Reconciliation_2E'!$B$9:$B$270,0))),"")</f>
        <v/>
      </c>
      <c r="F22" s="917" t="str">
        <f>IFERROR(IF(INDEX('SR_Cash Reconciliation_2E'!D$9:D$270,MATCH($D22,'SR_Cash Reconciliation_2E'!$B$9:$B$270,0))="","",INDEX('SR_Cash Reconciliation_2E'!D$9:D$270,MATCH($D22,'SR_Cash Reconciliation_2E'!$B$9:$B$270,0))),"")</f>
        <v/>
      </c>
      <c r="G22" s="917" t="str">
        <f>IFERROR(IF(INDEX('SR_Cash Reconciliation_2E'!E$9:E$270,MATCH($D22,'SR_Cash Reconciliation_2E'!$B$9:$B$270,0))="","",INDEX('SR_Cash Reconciliation_2E'!E$9:E$270,MATCH($D22,'SR_Cash Reconciliation_2E'!$B$9:$B$270,0))),"")</f>
        <v/>
      </c>
      <c r="H22" s="917" t="str">
        <f>IFERROR(IF(INDEX('SR_Cash Reconciliation_2E'!F$9:F$270,MATCH($D22,'SR_Cash Reconciliation_2E'!$B$9:$B$270,0))="","",INDEX('SR_Cash Reconciliation_2E'!F$9:F$270,MATCH($D22,'SR_Cash Reconciliation_2E'!$B$9:$B$270,0))),"")</f>
        <v/>
      </c>
      <c r="I22" s="917" t="str">
        <f>IFERROR(IF(INDEX('SR_Cash Reconciliation_2E'!G$9:G$270,MATCH($D22,'SR_Cash Reconciliation_2E'!$B$9:$B$270,0))="","",INDEX('SR_Cash Reconciliation_2E'!G$9:G$270,MATCH($D22,'SR_Cash Reconciliation_2E'!$B$9:$B$270,0))),"")</f>
        <v/>
      </c>
      <c r="J22" s="917" t="str">
        <f>IFERROR(IF(INDEX('SR_Cash Reconciliation_2E'!H$9:H$270,MATCH($D22,'SR_Cash Reconciliation_2E'!$B$9:$B$270,0))="","",INDEX('SR_Cash Reconciliation_2E'!H$9:H$270,MATCH($D22,'SR_Cash Reconciliation_2E'!$B$9:$B$270,0))),"")</f>
        <v/>
      </c>
      <c r="K22" s="917" t="str">
        <f>IFERROR(IF(INDEX('SR_Cash Reconciliation_2E'!I$9:I$270,MATCH($D22,'SR_Cash Reconciliation_2E'!$B$9:$B$270,0))="","",INDEX('SR_Cash Reconciliation_2E'!I$9:I$270,MATCH($D22,'SR_Cash Reconciliation_2E'!$B$9:$B$270,0))),"")</f>
        <v/>
      </c>
      <c r="L22" s="917" t="str">
        <f>IFERROR(IF(INDEX('SR_Cash Reconciliation_2E'!K$9:K$270,MATCH($D22,'SR_Cash Reconciliation_2E'!$B$9:$B$270,0))="","",INDEX('SR_Cash Reconciliation_2E'!K$9:K$270,MATCH($D22,'SR_Cash Reconciliation_2E'!$B$9:$B$270,0))),"")</f>
        <v/>
      </c>
      <c r="M22" s="915" t="str">
        <f>""</f>
        <v/>
      </c>
      <c r="N22" s="917" t="str">
        <f>IFERROR(IF(INDEX('SR_Cash Reconciliation_2E'!N$9:N$270,MATCH($D22,'SR_Cash Reconciliation_2E'!$B$9:$B$270,0))="","",INDEX('SR_Cash Reconciliation_2E'!N$9:N$270,MATCH($D22,'SR_Cash Reconciliation_2E'!$B$9:$B$270,0))),"")</f>
        <v/>
      </c>
    </row>
    <row r="23" spans="1:14" x14ac:dyDescent="0.25">
      <c r="A23" s="637"/>
      <c r="B23" s="915"/>
      <c r="C23" s="915">
        <f t="shared" si="0"/>
        <v>18</v>
      </c>
      <c r="D23" s="915" t="str">
        <f t="shared" si="1"/>
        <v>ID18</v>
      </c>
      <c r="E23" s="916" t="str">
        <f>IFERROR(IF(INDEX('SR_Cash Reconciliation_2E'!C$9:C$270,MATCH($D23,'SR_Cash Reconciliation_2E'!$B$9:$B$270,0))="","",INDEX('SR_Cash Reconciliation_2E'!C$9:C$270,MATCH($D23,'SR_Cash Reconciliation_2E'!$B$9:$B$270,0))),"")</f>
        <v/>
      </c>
      <c r="F23" s="917" t="str">
        <f>IFERROR(IF(INDEX('SR_Cash Reconciliation_2E'!D$9:D$270,MATCH($D23,'SR_Cash Reconciliation_2E'!$B$9:$B$270,0))="","",INDEX('SR_Cash Reconciliation_2E'!D$9:D$270,MATCH($D23,'SR_Cash Reconciliation_2E'!$B$9:$B$270,0))),"")</f>
        <v/>
      </c>
      <c r="G23" s="917" t="str">
        <f>IFERROR(IF(INDEX('SR_Cash Reconciliation_2E'!E$9:E$270,MATCH($D23,'SR_Cash Reconciliation_2E'!$B$9:$B$270,0))="","",INDEX('SR_Cash Reconciliation_2E'!E$9:E$270,MATCH($D23,'SR_Cash Reconciliation_2E'!$B$9:$B$270,0))),"")</f>
        <v/>
      </c>
      <c r="H23" s="917" t="str">
        <f>IFERROR(IF(INDEX('SR_Cash Reconciliation_2E'!F$9:F$270,MATCH($D23,'SR_Cash Reconciliation_2E'!$B$9:$B$270,0))="","",INDEX('SR_Cash Reconciliation_2E'!F$9:F$270,MATCH($D23,'SR_Cash Reconciliation_2E'!$B$9:$B$270,0))),"")</f>
        <v/>
      </c>
      <c r="I23" s="917" t="str">
        <f>IFERROR(IF(INDEX('SR_Cash Reconciliation_2E'!G$9:G$270,MATCH($D23,'SR_Cash Reconciliation_2E'!$B$9:$B$270,0))="","",INDEX('SR_Cash Reconciliation_2E'!G$9:G$270,MATCH($D23,'SR_Cash Reconciliation_2E'!$B$9:$B$270,0))),"")</f>
        <v/>
      </c>
      <c r="J23" s="917" t="str">
        <f>IFERROR(IF(INDEX('SR_Cash Reconciliation_2E'!H$9:H$270,MATCH($D23,'SR_Cash Reconciliation_2E'!$B$9:$B$270,0))="","",INDEX('SR_Cash Reconciliation_2E'!H$9:H$270,MATCH($D23,'SR_Cash Reconciliation_2E'!$B$9:$B$270,0))),"")</f>
        <v/>
      </c>
      <c r="K23" s="917" t="str">
        <f>IFERROR(IF(INDEX('SR_Cash Reconciliation_2E'!I$9:I$270,MATCH($D23,'SR_Cash Reconciliation_2E'!$B$9:$B$270,0))="","",INDEX('SR_Cash Reconciliation_2E'!I$9:I$270,MATCH($D23,'SR_Cash Reconciliation_2E'!$B$9:$B$270,0))),"")</f>
        <v/>
      </c>
      <c r="L23" s="917" t="str">
        <f>IFERROR(IF(INDEX('SR_Cash Reconciliation_2E'!K$9:K$270,MATCH($D23,'SR_Cash Reconciliation_2E'!$B$9:$B$270,0))="","",INDEX('SR_Cash Reconciliation_2E'!K$9:K$270,MATCH($D23,'SR_Cash Reconciliation_2E'!$B$9:$B$270,0))),"")</f>
        <v/>
      </c>
      <c r="M23" s="915" t="str">
        <f>""</f>
        <v/>
      </c>
      <c r="N23" s="917" t="str">
        <f>IFERROR(IF(INDEX('SR_Cash Reconciliation_2E'!N$9:N$270,MATCH($D23,'SR_Cash Reconciliation_2E'!$B$9:$B$270,0))="","",INDEX('SR_Cash Reconciliation_2E'!N$9:N$270,MATCH($D23,'SR_Cash Reconciliation_2E'!$B$9:$B$270,0))),"")</f>
        <v/>
      </c>
    </row>
    <row r="24" spans="1:14" x14ac:dyDescent="0.25">
      <c r="A24" s="637"/>
      <c r="B24" s="915"/>
      <c r="C24" s="915">
        <f t="shared" si="0"/>
        <v>19</v>
      </c>
      <c r="D24" s="915" t="str">
        <f t="shared" si="1"/>
        <v>ID19</v>
      </c>
      <c r="E24" s="916" t="str">
        <f>IFERROR(IF(INDEX('SR_Cash Reconciliation_2E'!C$9:C$270,MATCH($D24,'SR_Cash Reconciliation_2E'!$B$9:$B$270,0))="","",INDEX('SR_Cash Reconciliation_2E'!C$9:C$270,MATCH($D24,'SR_Cash Reconciliation_2E'!$B$9:$B$270,0))),"")</f>
        <v/>
      </c>
      <c r="F24" s="917" t="str">
        <f>IFERROR(IF(INDEX('SR_Cash Reconciliation_2E'!D$9:D$270,MATCH($D24,'SR_Cash Reconciliation_2E'!$B$9:$B$270,0))="","",INDEX('SR_Cash Reconciliation_2E'!D$9:D$270,MATCH($D24,'SR_Cash Reconciliation_2E'!$B$9:$B$270,0))),"")</f>
        <v/>
      </c>
      <c r="G24" s="917" t="str">
        <f>IFERROR(IF(INDEX('SR_Cash Reconciliation_2E'!E$9:E$270,MATCH($D24,'SR_Cash Reconciliation_2E'!$B$9:$B$270,0))="","",INDEX('SR_Cash Reconciliation_2E'!E$9:E$270,MATCH($D24,'SR_Cash Reconciliation_2E'!$B$9:$B$270,0))),"")</f>
        <v/>
      </c>
      <c r="H24" s="917" t="str">
        <f>IFERROR(IF(INDEX('SR_Cash Reconciliation_2E'!F$9:F$270,MATCH($D24,'SR_Cash Reconciliation_2E'!$B$9:$B$270,0))="","",INDEX('SR_Cash Reconciliation_2E'!F$9:F$270,MATCH($D24,'SR_Cash Reconciliation_2E'!$B$9:$B$270,0))),"")</f>
        <v/>
      </c>
      <c r="I24" s="917" t="str">
        <f>IFERROR(IF(INDEX('SR_Cash Reconciliation_2E'!G$9:G$270,MATCH($D24,'SR_Cash Reconciliation_2E'!$B$9:$B$270,0))="","",INDEX('SR_Cash Reconciliation_2E'!G$9:G$270,MATCH($D24,'SR_Cash Reconciliation_2E'!$B$9:$B$270,0))),"")</f>
        <v/>
      </c>
      <c r="J24" s="917" t="str">
        <f>IFERROR(IF(INDEX('SR_Cash Reconciliation_2E'!H$9:H$270,MATCH($D24,'SR_Cash Reconciliation_2E'!$B$9:$B$270,0))="","",INDEX('SR_Cash Reconciliation_2E'!H$9:H$270,MATCH($D24,'SR_Cash Reconciliation_2E'!$B$9:$B$270,0))),"")</f>
        <v/>
      </c>
      <c r="K24" s="917" t="str">
        <f>IFERROR(IF(INDEX('SR_Cash Reconciliation_2E'!I$9:I$270,MATCH($D24,'SR_Cash Reconciliation_2E'!$B$9:$B$270,0))="","",INDEX('SR_Cash Reconciliation_2E'!I$9:I$270,MATCH($D24,'SR_Cash Reconciliation_2E'!$B$9:$B$270,0))),"")</f>
        <v/>
      </c>
      <c r="L24" s="917" t="str">
        <f>IFERROR(IF(INDEX('SR_Cash Reconciliation_2E'!K$9:K$270,MATCH($D24,'SR_Cash Reconciliation_2E'!$B$9:$B$270,0))="","",INDEX('SR_Cash Reconciliation_2E'!K$9:K$270,MATCH($D24,'SR_Cash Reconciliation_2E'!$B$9:$B$270,0))),"")</f>
        <v/>
      </c>
      <c r="M24" s="915" t="str">
        <f>""</f>
        <v/>
      </c>
      <c r="N24" s="917" t="str">
        <f>IFERROR(IF(INDEX('SR_Cash Reconciliation_2E'!N$9:N$270,MATCH($D24,'SR_Cash Reconciliation_2E'!$B$9:$B$270,0))="","",INDEX('SR_Cash Reconciliation_2E'!N$9:N$270,MATCH($D24,'SR_Cash Reconciliation_2E'!$B$9:$B$270,0))),"")</f>
        <v/>
      </c>
    </row>
    <row r="25" spans="1:14" x14ac:dyDescent="0.25">
      <c r="A25" s="637"/>
      <c r="B25" s="915"/>
      <c r="C25" s="915">
        <f t="shared" si="0"/>
        <v>20</v>
      </c>
      <c r="D25" s="915" t="str">
        <f t="shared" si="1"/>
        <v>ID20</v>
      </c>
      <c r="E25" s="916" t="str">
        <f>IFERROR(IF(INDEX('SR_Cash Reconciliation_2E'!C$9:C$270,MATCH($D25,'SR_Cash Reconciliation_2E'!$B$9:$B$270,0))="","",INDEX('SR_Cash Reconciliation_2E'!C$9:C$270,MATCH($D25,'SR_Cash Reconciliation_2E'!$B$9:$B$270,0))),"")</f>
        <v/>
      </c>
      <c r="F25" s="917" t="str">
        <f>IFERROR(IF(INDEX('SR_Cash Reconciliation_2E'!D$9:D$270,MATCH($D25,'SR_Cash Reconciliation_2E'!$B$9:$B$270,0))="","",INDEX('SR_Cash Reconciliation_2E'!D$9:D$270,MATCH($D25,'SR_Cash Reconciliation_2E'!$B$9:$B$270,0))),"")</f>
        <v/>
      </c>
      <c r="G25" s="917" t="str">
        <f>IFERROR(IF(INDEX('SR_Cash Reconciliation_2E'!E$9:E$270,MATCH($D25,'SR_Cash Reconciliation_2E'!$B$9:$B$270,0))="","",INDEX('SR_Cash Reconciliation_2E'!E$9:E$270,MATCH($D25,'SR_Cash Reconciliation_2E'!$B$9:$B$270,0))),"")</f>
        <v/>
      </c>
      <c r="H25" s="917" t="str">
        <f>IFERROR(IF(INDEX('SR_Cash Reconciliation_2E'!F$9:F$270,MATCH($D25,'SR_Cash Reconciliation_2E'!$B$9:$B$270,0))="","",INDEX('SR_Cash Reconciliation_2E'!F$9:F$270,MATCH($D25,'SR_Cash Reconciliation_2E'!$B$9:$B$270,0))),"")</f>
        <v/>
      </c>
      <c r="I25" s="917" t="str">
        <f>IFERROR(IF(INDEX('SR_Cash Reconciliation_2E'!G$9:G$270,MATCH($D25,'SR_Cash Reconciliation_2E'!$B$9:$B$270,0))="","",INDEX('SR_Cash Reconciliation_2E'!G$9:G$270,MATCH($D25,'SR_Cash Reconciliation_2E'!$B$9:$B$270,0))),"")</f>
        <v/>
      </c>
      <c r="J25" s="917" t="str">
        <f>IFERROR(IF(INDEX('SR_Cash Reconciliation_2E'!H$9:H$270,MATCH($D25,'SR_Cash Reconciliation_2E'!$B$9:$B$270,0))="","",INDEX('SR_Cash Reconciliation_2E'!H$9:H$270,MATCH($D25,'SR_Cash Reconciliation_2E'!$B$9:$B$270,0))),"")</f>
        <v/>
      </c>
      <c r="K25" s="917" t="str">
        <f>IFERROR(IF(INDEX('SR_Cash Reconciliation_2E'!I$9:I$270,MATCH($D25,'SR_Cash Reconciliation_2E'!$B$9:$B$270,0))="","",INDEX('SR_Cash Reconciliation_2E'!I$9:I$270,MATCH($D25,'SR_Cash Reconciliation_2E'!$B$9:$B$270,0))),"")</f>
        <v/>
      </c>
      <c r="L25" s="917" t="str">
        <f>IFERROR(IF(INDEX('SR_Cash Reconciliation_2E'!K$9:K$270,MATCH($D25,'SR_Cash Reconciliation_2E'!$B$9:$B$270,0))="","",INDEX('SR_Cash Reconciliation_2E'!K$9:K$270,MATCH($D25,'SR_Cash Reconciliation_2E'!$B$9:$B$270,0))),"")</f>
        <v/>
      </c>
      <c r="M25" s="915" t="str">
        <f>""</f>
        <v/>
      </c>
      <c r="N25" s="917" t="str">
        <f>IFERROR(IF(INDEX('SR_Cash Reconciliation_2E'!N$9:N$270,MATCH($D25,'SR_Cash Reconciliation_2E'!$B$9:$B$270,0))="","",INDEX('SR_Cash Reconciliation_2E'!N$9:N$270,MATCH($D25,'SR_Cash Reconciliation_2E'!$B$9:$B$270,0))),"")</f>
        <v/>
      </c>
    </row>
    <row r="26" spans="1:14" x14ac:dyDescent="0.25">
      <c r="A26" s="637"/>
      <c r="B26" s="915"/>
      <c r="C26" s="915">
        <f t="shared" si="0"/>
        <v>21</v>
      </c>
      <c r="D26" s="915" t="str">
        <f t="shared" si="1"/>
        <v>ID21</v>
      </c>
      <c r="E26" s="916" t="str">
        <f>IFERROR(IF(INDEX('SR_Cash Reconciliation_2E'!C$9:C$270,MATCH($D26,'SR_Cash Reconciliation_2E'!$B$9:$B$270,0))="","",INDEX('SR_Cash Reconciliation_2E'!C$9:C$270,MATCH($D26,'SR_Cash Reconciliation_2E'!$B$9:$B$270,0))),"")</f>
        <v/>
      </c>
      <c r="F26" s="917" t="str">
        <f>IFERROR(IF(INDEX('SR_Cash Reconciliation_2E'!D$9:D$270,MATCH($D26,'SR_Cash Reconciliation_2E'!$B$9:$B$270,0))="","",INDEX('SR_Cash Reconciliation_2E'!D$9:D$270,MATCH($D26,'SR_Cash Reconciliation_2E'!$B$9:$B$270,0))),"")</f>
        <v/>
      </c>
      <c r="G26" s="917" t="str">
        <f>IFERROR(IF(INDEX('SR_Cash Reconciliation_2E'!E$9:E$270,MATCH($D26,'SR_Cash Reconciliation_2E'!$B$9:$B$270,0))="","",INDEX('SR_Cash Reconciliation_2E'!E$9:E$270,MATCH($D26,'SR_Cash Reconciliation_2E'!$B$9:$B$270,0))),"")</f>
        <v/>
      </c>
      <c r="H26" s="917" t="str">
        <f>IFERROR(IF(INDEX('SR_Cash Reconciliation_2E'!F$9:F$270,MATCH($D26,'SR_Cash Reconciliation_2E'!$B$9:$B$270,0))="","",INDEX('SR_Cash Reconciliation_2E'!F$9:F$270,MATCH($D26,'SR_Cash Reconciliation_2E'!$B$9:$B$270,0))),"")</f>
        <v/>
      </c>
      <c r="I26" s="917" t="str">
        <f>IFERROR(IF(INDEX('SR_Cash Reconciliation_2E'!G$9:G$270,MATCH($D26,'SR_Cash Reconciliation_2E'!$B$9:$B$270,0))="","",INDEX('SR_Cash Reconciliation_2E'!G$9:G$270,MATCH($D26,'SR_Cash Reconciliation_2E'!$B$9:$B$270,0))),"")</f>
        <v/>
      </c>
      <c r="J26" s="917" t="str">
        <f>IFERROR(IF(INDEX('SR_Cash Reconciliation_2E'!H$9:H$270,MATCH($D26,'SR_Cash Reconciliation_2E'!$B$9:$B$270,0))="","",INDEX('SR_Cash Reconciliation_2E'!H$9:H$270,MATCH($D26,'SR_Cash Reconciliation_2E'!$B$9:$B$270,0))),"")</f>
        <v/>
      </c>
      <c r="K26" s="917" t="str">
        <f>IFERROR(IF(INDEX('SR_Cash Reconciliation_2E'!I$9:I$270,MATCH($D26,'SR_Cash Reconciliation_2E'!$B$9:$B$270,0))="","",INDEX('SR_Cash Reconciliation_2E'!I$9:I$270,MATCH($D26,'SR_Cash Reconciliation_2E'!$B$9:$B$270,0))),"")</f>
        <v/>
      </c>
      <c r="L26" s="917" t="str">
        <f>IFERROR(IF(INDEX('SR_Cash Reconciliation_2E'!K$9:K$270,MATCH($D26,'SR_Cash Reconciliation_2E'!$B$9:$B$270,0))="","",INDEX('SR_Cash Reconciliation_2E'!K$9:K$270,MATCH($D26,'SR_Cash Reconciliation_2E'!$B$9:$B$270,0))),"")</f>
        <v/>
      </c>
      <c r="M26" s="915" t="str">
        <f>""</f>
        <v/>
      </c>
      <c r="N26" s="917" t="str">
        <f>IFERROR(IF(INDEX('SR_Cash Reconciliation_2E'!N$9:N$270,MATCH($D26,'SR_Cash Reconciliation_2E'!$B$9:$B$270,0))="","",INDEX('SR_Cash Reconciliation_2E'!N$9:N$270,MATCH($D26,'SR_Cash Reconciliation_2E'!$B$9:$B$270,0))),"")</f>
        <v/>
      </c>
    </row>
    <row r="27" spans="1:14" x14ac:dyDescent="0.25">
      <c r="A27" s="637"/>
      <c r="B27" s="915"/>
      <c r="C27" s="915">
        <f t="shared" si="0"/>
        <v>22</v>
      </c>
      <c r="D27" s="915" t="str">
        <f t="shared" si="1"/>
        <v>ID22</v>
      </c>
      <c r="E27" s="916" t="str">
        <f>IFERROR(IF(INDEX('SR_Cash Reconciliation_2E'!C$9:C$270,MATCH($D27,'SR_Cash Reconciliation_2E'!$B$9:$B$270,0))="","",INDEX('SR_Cash Reconciliation_2E'!C$9:C$270,MATCH($D27,'SR_Cash Reconciliation_2E'!$B$9:$B$270,0))),"")</f>
        <v/>
      </c>
      <c r="F27" s="917" t="str">
        <f>IFERROR(IF(INDEX('SR_Cash Reconciliation_2E'!D$9:D$270,MATCH($D27,'SR_Cash Reconciliation_2E'!$B$9:$B$270,0))="","",INDEX('SR_Cash Reconciliation_2E'!D$9:D$270,MATCH($D27,'SR_Cash Reconciliation_2E'!$B$9:$B$270,0))),"")</f>
        <v/>
      </c>
      <c r="G27" s="917" t="str">
        <f>IFERROR(IF(INDEX('SR_Cash Reconciliation_2E'!E$9:E$270,MATCH($D27,'SR_Cash Reconciliation_2E'!$B$9:$B$270,0))="","",INDEX('SR_Cash Reconciliation_2E'!E$9:E$270,MATCH($D27,'SR_Cash Reconciliation_2E'!$B$9:$B$270,0))),"")</f>
        <v/>
      </c>
      <c r="H27" s="917" t="str">
        <f>IFERROR(IF(INDEX('SR_Cash Reconciliation_2E'!F$9:F$270,MATCH($D27,'SR_Cash Reconciliation_2E'!$B$9:$B$270,0))="","",INDEX('SR_Cash Reconciliation_2E'!F$9:F$270,MATCH($D27,'SR_Cash Reconciliation_2E'!$B$9:$B$270,0))),"")</f>
        <v/>
      </c>
      <c r="I27" s="917" t="str">
        <f>IFERROR(IF(INDEX('SR_Cash Reconciliation_2E'!G$9:G$270,MATCH($D27,'SR_Cash Reconciliation_2E'!$B$9:$B$270,0))="","",INDEX('SR_Cash Reconciliation_2E'!G$9:G$270,MATCH($D27,'SR_Cash Reconciliation_2E'!$B$9:$B$270,0))),"")</f>
        <v/>
      </c>
      <c r="J27" s="917" t="str">
        <f>IFERROR(IF(INDEX('SR_Cash Reconciliation_2E'!H$9:H$270,MATCH($D27,'SR_Cash Reconciliation_2E'!$B$9:$B$270,0))="","",INDEX('SR_Cash Reconciliation_2E'!H$9:H$270,MATCH($D27,'SR_Cash Reconciliation_2E'!$B$9:$B$270,0))),"")</f>
        <v/>
      </c>
      <c r="K27" s="917" t="str">
        <f>IFERROR(IF(INDEX('SR_Cash Reconciliation_2E'!I$9:I$270,MATCH($D27,'SR_Cash Reconciliation_2E'!$B$9:$B$270,0))="","",INDEX('SR_Cash Reconciliation_2E'!I$9:I$270,MATCH($D27,'SR_Cash Reconciliation_2E'!$B$9:$B$270,0))),"")</f>
        <v/>
      </c>
      <c r="L27" s="917" t="str">
        <f>IFERROR(IF(INDEX('SR_Cash Reconciliation_2E'!K$9:K$270,MATCH($D27,'SR_Cash Reconciliation_2E'!$B$9:$B$270,0))="","",INDEX('SR_Cash Reconciliation_2E'!K$9:K$270,MATCH($D27,'SR_Cash Reconciliation_2E'!$B$9:$B$270,0))),"")</f>
        <v/>
      </c>
      <c r="M27" s="915" t="str">
        <f>""</f>
        <v/>
      </c>
      <c r="N27" s="917" t="str">
        <f>IFERROR(IF(INDEX('SR_Cash Reconciliation_2E'!N$9:N$270,MATCH($D27,'SR_Cash Reconciliation_2E'!$B$9:$B$270,0))="","",INDEX('SR_Cash Reconciliation_2E'!N$9:N$270,MATCH($D27,'SR_Cash Reconciliation_2E'!$B$9:$B$270,0))),"")</f>
        <v/>
      </c>
    </row>
    <row r="28" spans="1:14" x14ac:dyDescent="0.25">
      <c r="A28" s="637"/>
      <c r="B28" s="915"/>
      <c r="C28" s="915">
        <f t="shared" si="0"/>
        <v>23</v>
      </c>
      <c r="D28" s="915" t="str">
        <f t="shared" si="1"/>
        <v>ID23</v>
      </c>
      <c r="E28" s="916" t="str">
        <f>IFERROR(IF(INDEX('SR_Cash Reconciliation_2E'!C$9:C$270,MATCH($D28,'SR_Cash Reconciliation_2E'!$B$9:$B$270,0))="","",INDEX('SR_Cash Reconciliation_2E'!C$9:C$270,MATCH($D28,'SR_Cash Reconciliation_2E'!$B$9:$B$270,0))),"")</f>
        <v/>
      </c>
      <c r="F28" s="917" t="str">
        <f>IFERROR(IF(INDEX('SR_Cash Reconciliation_2E'!D$9:D$270,MATCH($D28,'SR_Cash Reconciliation_2E'!$B$9:$B$270,0))="","",INDEX('SR_Cash Reconciliation_2E'!D$9:D$270,MATCH($D28,'SR_Cash Reconciliation_2E'!$B$9:$B$270,0))),"")</f>
        <v/>
      </c>
      <c r="G28" s="917" t="str">
        <f>IFERROR(IF(INDEX('SR_Cash Reconciliation_2E'!E$9:E$270,MATCH($D28,'SR_Cash Reconciliation_2E'!$B$9:$B$270,0))="","",INDEX('SR_Cash Reconciliation_2E'!E$9:E$270,MATCH($D28,'SR_Cash Reconciliation_2E'!$B$9:$B$270,0))),"")</f>
        <v/>
      </c>
      <c r="H28" s="917" t="str">
        <f>IFERROR(IF(INDEX('SR_Cash Reconciliation_2E'!F$9:F$270,MATCH($D28,'SR_Cash Reconciliation_2E'!$B$9:$B$270,0))="","",INDEX('SR_Cash Reconciliation_2E'!F$9:F$270,MATCH($D28,'SR_Cash Reconciliation_2E'!$B$9:$B$270,0))),"")</f>
        <v/>
      </c>
      <c r="I28" s="917" t="str">
        <f>IFERROR(IF(INDEX('SR_Cash Reconciliation_2E'!G$9:G$270,MATCH($D28,'SR_Cash Reconciliation_2E'!$B$9:$B$270,0))="","",INDEX('SR_Cash Reconciliation_2E'!G$9:G$270,MATCH($D28,'SR_Cash Reconciliation_2E'!$B$9:$B$270,0))),"")</f>
        <v/>
      </c>
      <c r="J28" s="917" t="str">
        <f>IFERROR(IF(INDEX('SR_Cash Reconciliation_2E'!H$9:H$270,MATCH($D28,'SR_Cash Reconciliation_2E'!$B$9:$B$270,0))="","",INDEX('SR_Cash Reconciliation_2E'!H$9:H$270,MATCH($D28,'SR_Cash Reconciliation_2E'!$B$9:$B$270,0))),"")</f>
        <v/>
      </c>
      <c r="K28" s="917" t="str">
        <f>IFERROR(IF(INDEX('SR_Cash Reconciliation_2E'!I$9:I$270,MATCH($D28,'SR_Cash Reconciliation_2E'!$B$9:$B$270,0))="","",INDEX('SR_Cash Reconciliation_2E'!I$9:I$270,MATCH($D28,'SR_Cash Reconciliation_2E'!$B$9:$B$270,0))),"")</f>
        <v/>
      </c>
      <c r="L28" s="917" t="str">
        <f>IFERROR(IF(INDEX('SR_Cash Reconciliation_2E'!K$9:K$270,MATCH($D28,'SR_Cash Reconciliation_2E'!$B$9:$B$270,0))="","",INDEX('SR_Cash Reconciliation_2E'!K$9:K$270,MATCH($D28,'SR_Cash Reconciliation_2E'!$B$9:$B$270,0))),"")</f>
        <v/>
      </c>
      <c r="M28" s="915" t="str">
        <f>""</f>
        <v/>
      </c>
      <c r="N28" s="917" t="str">
        <f>IFERROR(IF(INDEX('SR_Cash Reconciliation_2E'!N$9:N$270,MATCH($D28,'SR_Cash Reconciliation_2E'!$B$9:$B$270,0))="","",INDEX('SR_Cash Reconciliation_2E'!N$9:N$270,MATCH($D28,'SR_Cash Reconciliation_2E'!$B$9:$B$270,0))),"")</f>
        <v/>
      </c>
    </row>
    <row r="29" spans="1:14" x14ac:dyDescent="0.25">
      <c r="A29" s="637"/>
      <c r="B29" s="915"/>
      <c r="C29" s="915">
        <f t="shared" si="0"/>
        <v>24</v>
      </c>
      <c r="D29" s="915" t="str">
        <f t="shared" si="1"/>
        <v>ID24</v>
      </c>
      <c r="E29" s="916" t="str">
        <f>IFERROR(IF(INDEX('SR_Cash Reconciliation_2E'!C$9:C$270,MATCH($D29,'SR_Cash Reconciliation_2E'!$B$9:$B$270,0))="","",INDEX('SR_Cash Reconciliation_2E'!C$9:C$270,MATCH($D29,'SR_Cash Reconciliation_2E'!$B$9:$B$270,0))),"")</f>
        <v/>
      </c>
      <c r="F29" s="917" t="str">
        <f>IFERROR(IF(INDEX('SR_Cash Reconciliation_2E'!D$9:D$270,MATCH($D29,'SR_Cash Reconciliation_2E'!$B$9:$B$270,0))="","",INDEX('SR_Cash Reconciliation_2E'!D$9:D$270,MATCH($D29,'SR_Cash Reconciliation_2E'!$B$9:$B$270,0))),"")</f>
        <v/>
      </c>
      <c r="G29" s="917" t="str">
        <f>IFERROR(IF(INDEX('SR_Cash Reconciliation_2E'!E$9:E$270,MATCH($D29,'SR_Cash Reconciliation_2E'!$B$9:$B$270,0))="","",INDEX('SR_Cash Reconciliation_2E'!E$9:E$270,MATCH($D29,'SR_Cash Reconciliation_2E'!$B$9:$B$270,0))),"")</f>
        <v/>
      </c>
      <c r="H29" s="917" t="str">
        <f>IFERROR(IF(INDEX('SR_Cash Reconciliation_2E'!F$9:F$270,MATCH($D29,'SR_Cash Reconciliation_2E'!$B$9:$B$270,0))="","",INDEX('SR_Cash Reconciliation_2E'!F$9:F$270,MATCH($D29,'SR_Cash Reconciliation_2E'!$B$9:$B$270,0))),"")</f>
        <v/>
      </c>
      <c r="I29" s="917" t="str">
        <f>IFERROR(IF(INDEX('SR_Cash Reconciliation_2E'!G$9:G$270,MATCH($D29,'SR_Cash Reconciliation_2E'!$B$9:$B$270,0))="","",INDEX('SR_Cash Reconciliation_2E'!G$9:G$270,MATCH($D29,'SR_Cash Reconciliation_2E'!$B$9:$B$270,0))),"")</f>
        <v/>
      </c>
      <c r="J29" s="917" t="str">
        <f>IFERROR(IF(INDEX('SR_Cash Reconciliation_2E'!H$9:H$270,MATCH($D29,'SR_Cash Reconciliation_2E'!$B$9:$B$270,0))="","",INDEX('SR_Cash Reconciliation_2E'!H$9:H$270,MATCH($D29,'SR_Cash Reconciliation_2E'!$B$9:$B$270,0))),"")</f>
        <v/>
      </c>
      <c r="K29" s="917" t="str">
        <f>IFERROR(IF(INDEX('SR_Cash Reconciliation_2E'!I$9:I$270,MATCH($D29,'SR_Cash Reconciliation_2E'!$B$9:$B$270,0))="","",INDEX('SR_Cash Reconciliation_2E'!I$9:I$270,MATCH($D29,'SR_Cash Reconciliation_2E'!$B$9:$B$270,0))),"")</f>
        <v/>
      </c>
      <c r="L29" s="917" t="str">
        <f>IFERROR(IF(INDEX('SR_Cash Reconciliation_2E'!K$9:K$270,MATCH($D29,'SR_Cash Reconciliation_2E'!$B$9:$B$270,0))="","",INDEX('SR_Cash Reconciliation_2E'!K$9:K$270,MATCH($D29,'SR_Cash Reconciliation_2E'!$B$9:$B$270,0))),"")</f>
        <v/>
      </c>
      <c r="M29" s="915" t="str">
        <f>""</f>
        <v/>
      </c>
      <c r="N29" s="917" t="str">
        <f>IFERROR(IF(INDEX('SR_Cash Reconciliation_2E'!N$9:N$270,MATCH($D29,'SR_Cash Reconciliation_2E'!$B$9:$B$270,0))="","",INDEX('SR_Cash Reconciliation_2E'!N$9:N$270,MATCH($D29,'SR_Cash Reconciliation_2E'!$B$9:$B$270,0))),"")</f>
        <v/>
      </c>
    </row>
    <row r="30" spans="1:14" x14ac:dyDescent="0.25">
      <c r="A30" s="637"/>
      <c r="B30" s="915"/>
      <c r="C30" s="915">
        <f t="shared" si="0"/>
        <v>25</v>
      </c>
      <c r="D30" s="915" t="str">
        <f t="shared" si="1"/>
        <v>ID25</v>
      </c>
      <c r="E30" s="916" t="str">
        <f>IFERROR(IF(INDEX('SR_Cash Reconciliation_2E'!C$9:C$270,MATCH($D30,'SR_Cash Reconciliation_2E'!$B$9:$B$270,0))="","",INDEX('SR_Cash Reconciliation_2E'!C$9:C$270,MATCH($D30,'SR_Cash Reconciliation_2E'!$B$9:$B$270,0))),"")</f>
        <v/>
      </c>
      <c r="F30" s="917" t="str">
        <f>IFERROR(IF(INDEX('SR_Cash Reconciliation_2E'!D$9:D$270,MATCH($D30,'SR_Cash Reconciliation_2E'!$B$9:$B$270,0))="","",INDEX('SR_Cash Reconciliation_2E'!D$9:D$270,MATCH($D30,'SR_Cash Reconciliation_2E'!$B$9:$B$270,0))),"")</f>
        <v/>
      </c>
      <c r="G30" s="917" t="str">
        <f>IFERROR(IF(INDEX('SR_Cash Reconciliation_2E'!E$9:E$270,MATCH($D30,'SR_Cash Reconciliation_2E'!$B$9:$B$270,0))="","",INDEX('SR_Cash Reconciliation_2E'!E$9:E$270,MATCH($D30,'SR_Cash Reconciliation_2E'!$B$9:$B$270,0))),"")</f>
        <v/>
      </c>
      <c r="H30" s="917" t="str">
        <f>IFERROR(IF(INDEX('SR_Cash Reconciliation_2E'!F$9:F$270,MATCH($D30,'SR_Cash Reconciliation_2E'!$B$9:$B$270,0))="","",INDEX('SR_Cash Reconciliation_2E'!F$9:F$270,MATCH($D30,'SR_Cash Reconciliation_2E'!$B$9:$B$270,0))),"")</f>
        <v/>
      </c>
      <c r="I30" s="917" t="str">
        <f>IFERROR(IF(INDEX('SR_Cash Reconciliation_2E'!G$9:G$270,MATCH($D30,'SR_Cash Reconciliation_2E'!$B$9:$B$270,0))="","",INDEX('SR_Cash Reconciliation_2E'!G$9:G$270,MATCH($D30,'SR_Cash Reconciliation_2E'!$B$9:$B$270,0))),"")</f>
        <v/>
      </c>
      <c r="J30" s="917" t="str">
        <f>IFERROR(IF(INDEX('SR_Cash Reconciliation_2E'!H$9:H$270,MATCH($D30,'SR_Cash Reconciliation_2E'!$B$9:$B$270,0))="","",INDEX('SR_Cash Reconciliation_2E'!H$9:H$270,MATCH($D30,'SR_Cash Reconciliation_2E'!$B$9:$B$270,0))),"")</f>
        <v/>
      </c>
      <c r="K30" s="917" t="str">
        <f>IFERROR(IF(INDEX('SR_Cash Reconciliation_2E'!I$9:I$270,MATCH($D30,'SR_Cash Reconciliation_2E'!$B$9:$B$270,0))="","",INDEX('SR_Cash Reconciliation_2E'!I$9:I$270,MATCH($D30,'SR_Cash Reconciliation_2E'!$B$9:$B$270,0))),"")</f>
        <v/>
      </c>
      <c r="L30" s="917" t="str">
        <f>IFERROR(IF(INDEX('SR_Cash Reconciliation_2E'!K$9:K$270,MATCH($D30,'SR_Cash Reconciliation_2E'!$B$9:$B$270,0))="","",INDEX('SR_Cash Reconciliation_2E'!K$9:K$270,MATCH($D30,'SR_Cash Reconciliation_2E'!$B$9:$B$270,0))),"")</f>
        <v/>
      </c>
      <c r="M30" s="915" t="str">
        <f>""</f>
        <v/>
      </c>
      <c r="N30" s="917" t="str">
        <f>IFERROR(IF(INDEX('SR_Cash Reconciliation_2E'!N$9:N$270,MATCH($D30,'SR_Cash Reconciliation_2E'!$B$9:$B$270,0))="","",INDEX('SR_Cash Reconciliation_2E'!N$9:N$270,MATCH($D30,'SR_Cash Reconciliation_2E'!$B$9:$B$270,0))),"")</f>
        <v/>
      </c>
    </row>
    <row r="31" spans="1:14" x14ac:dyDescent="0.25">
      <c r="A31" s="637"/>
      <c r="B31" s="915"/>
      <c r="C31" s="915">
        <f t="shared" si="0"/>
        <v>26</v>
      </c>
      <c r="D31" s="915" t="str">
        <f t="shared" si="1"/>
        <v>ID26</v>
      </c>
      <c r="E31" s="916" t="str">
        <f>IFERROR(IF(INDEX('SR_Cash Reconciliation_2E'!C$9:C$270,MATCH($D31,'SR_Cash Reconciliation_2E'!$B$9:$B$270,0))="","",INDEX('SR_Cash Reconciliation_2E'!C$9:C$270,MATCH($D31,'SR_Cash Reconciliation_2E'!$B$9:$B$270,0))),"")</f>
        <v/>
      </c>
      <c r="F31" s="917" t="str">
        <f>IFERROR(IF(INDEX('SR_Cash Reconciliation_2E'!D$9:D$270,MATCH($D31,'SR_Cash Reconciliation_2E'!$B$9:$B$270,0))="","",INDEX('SR_Cash Reconciliation_2E'!D$9:D$270,MATCH($D31,'SR_Cash Reconciliation_2E'!$B$9:$B$270,0))),"")</f>
        <v/>
      </c>
      <c r="G31" s="917" t="str">
        <f>IFERROR(IF(INDEX('SR_Cash Reconciliation_2E'!E$9:E$270,MATCH($D31,'SR_Cash Reconciliation_2E'!$B$9:$B$270,0))="","",INDEX('SR_Cash Reconciliation_2E'!E$9:E$270,MATCH($D31,'SR_Cash Reconciliation_2E'!$B$9:$B$270,0))),"")</f>
        <v/>
      </c>
      <c r="H31" s="917" t="str">
        <f>IFERROR(IF(INDEX('SR_Cash Reconciliation_2E'!F$9:F$270,MATCH($D31,'SR_Cash Reconciliation_2E'!$B$9:$B$270,0))="","",INDEX('SR_Cash Reconciliation_2E'!F$9:F$270,MATCH($D31,'SR_Cash Reconciliation_2E'!$B$9:$B$270,0))),"")</f>
        <v/>
      </c>
      <c r="I31" s="917" t="str">
        <f>IFERROR(IF(INDEX('SR_Cash Reconciliation_2E'!G$9:G$270,MATCH($D31,'SR_Cash Reconciliation_2E'!$B$9:$B$270,0))="","",INDEX('SR_Cash Reconciliation_2E'!G$9:G$270,MATCH($D31,'SR_Cash Reconciliation_2E'!$B$9:$B$270,0))),"")</f>
        <v/>
      </c>
      <c r="J31" s="917" t="str">
        <f>IFERROR(IF(INDEX('SR_Cash Reconciliation_2E'!H$9:H$270,MATCH($D31,'SR_Cash Reconciliation_2E'!$B$9:$B$270,0))="","",INDEX('SR_Cash Reconciliation_2E'!H$9:H$270,MATCH($D31,'SR_Cash Reconciliation_2E'!$B$9:$B$270,0))),"")</f>
        <v/>
      </c>
      <c r="K31" s="917" t="str">
        <f>IFERROR(IF(INDEX('SR_Cash Reconciliation_2E'!I$9:I$270,MATCH($D31,'SR_Cash Reconciliation_2E'!$B$9:$B$270,0))="","",INDEX('SR_Cash Reconciliation_2E'!I$9:I$270,MATCH($D31,'SR_Cash Reconciliation_2E'!$B$9:$B$270,0))),"")</f>
        <v/>
      </c>
      <c r="L31" s="917" t="str">
        <f>IFERROR(IF(INDEX('SR_Cash Reconciliation_2E'!K$9:K$270,MATCH($D31,'SR_Cash Reconciliation_2E'!$B$9:$B$270,0))="","",INDEX('SR_Cash Reconciliation_2E'!K$9:K$270,MATCH($D31,'SR_Cash Reconciliation_2E'!$B$9:$B$270,0))),"")</f>
        <v/>
      </c>
      <c r="M31" s="915" t="str">
        <f>""</f>
        <v/>
      </c>
      <c r="N31" s="917" t="str">
        <f>IFERROR(IF(INDEX('SR_Cash Reconciliation_2E'!N$9:N$270,MATCH($D31,'SR_Cash Reconciliation_2E'!$B$9:$B$270,0))="","",INDEX('SR_Cash Reconciliation_2E'!N$9:N$270,MATCH($D31,'SR_Cash Reconciliation_2E'!$B$9:$B$270,0))),"")</f>
        <v/>
      </c>
    </row>
    <row r="32" spans="1:14" x14ac:dyDescent="0.25">
      <c r="A32" s="637"/>
      <c r="B32" s="915"/>
      <c r="C32" s="915">
        <f t="shared" si="0"/>
        <v>27</v>
      </c>
      <c r="D32" s="915" t="str">
        <f t="shared" si="1"/>
        <v>ID27</v>
      </c>
      <c r="E32" s="916" t="str">
        <f>IFERROR(IF(INDEX('SR_Cash Reconciliation_2E'!C$9:C$270,MATCH($D32,'SR_Cash Reconciliation_2E'!$B$9:$B$270,0))="","",INDEX('SR_Cash Reconciliation_2E'!C$9:C$270,MATCH($D32,'SR_Cash Reconciliation_2E'!$B$9:$B$270,0))),"")</f>
        <v/>
      </c>
      <c r="F32" s="917" t="str">
        <f>IFERROR(IF(INDEX('SR_Cash Reconciliation_2E'!D$9:D$270,MATCH($D32,'SR_Cash Reconciliation_2E'!$B$9:$B$270,0))="","",INDEX('SR_Cash Reconciliation_2E'!D$9:D$270,MATCH($D32,'SR_Cash Reconciliation_2E'!$B$9:$B$270,0))),"")</f>
        <v/>
      </c>
      <c r="G32" s="917" t="str">
        <f>IFERROR(IF(INDEX('SR_Cash Reconciliation_2E'!E$9:E$270,MATCH($D32,'SR_Cash Reconciliation_2E'!$B$9:$B$270,0))="","",INDEX('SR_Cash Reconciliation_2E'!E$9:E$270,MATCH($D32,'SR_Cash Reconciliation_2E'!$B$9:$B$270,0))),"")</f>
        <v/>
      </c>
      <c r="H32" s="917" t="str">
        <f>IFERROR(IF(INDEX('SR_Cash Reconciliation_2E'!F$9:F$270,MATCH($D32,'SR_Cash Reconciliation_2E'!$B$9:$B$270,0))="","",INDEX('SR_Cash Reconciliation_2E'!F$9:F$270,MATCH($D32,'SR_Cash Reconciliation_2E'!$B$9:$B$270,0))),"")</f>
        <v/>
      </c>
      <c r="I32" s="917" t="str">
        <f>IFERROR(IF(INDEX('SR_Cash Reconciliation_2E'!G$9:G$270,MATCH($D32,'SR_Cash Reconciliation_2E'!$B$9:$B$270,0))="","",INDEX('SR_Cash Reconciliation_2E'!G$9:G$270,MATCH($D32,'SR_Cash Reconciliation_2E'!$B$9:$B$270,0))),"")</f>
        <v/>
      </c>
      <c r="J32" s="917" t="str">
        <f>IFERROR(IF(INDEX('SR_Cash Reconciliation_2E'!H$9:H$270,MATCH($D32,'SR_Cash Reconciliation_2E'!$B$9:$B$270,0))="","",INDEX('SR_Cash Reconciliation_2E'!H$9:H$270,MATCH($D32,'SR_Cash Reconciliation_2E'!$B$9:$B$270,0))),"")</f>
        <v/>
      </c>
      <c r="K32" s="917" t="str">
        <f>IFERROR(IF(INDEX('SR_Cash Reconciliation_2E'!I$9:I$270,MATCH($D32,'SR_Cash Reconciliation_2E'!$B$9:$B$270,0))="","",INDEX('SR_Cash Reconciliation_2E'!I$9:I$270,MATCH($D32,'SR_Cash Reconciliation_2E'!$B$9:$B$270,0))),"")</f>
        <v/>
      </c>
      <c r="L32" s="917" t="str">
        <f>IFERROR(IF(INDEX('SR_Cash Reconciliation_2E'!K$9:K$270,MATCH($D32,'SR_Cash Reconciliation_2E'!$B$9:$B$270,0))="","",INDEX('SR_Cash Reconciliation_2E'!K$9:K$270,MATCH($D32,'SR_Cash Reconciliation_2E'!$B$9:$B$270,0))),"")</f>
        <v/>
      </c>
      <c r="M32" s="915" t="str">
        <f>""</f>
        <v/>
      </c>
      <c r="N32" s="917" t="str">
        <f>IFERROR(IF(INDEX('SR_Cash Reconciliation_2E'!N$9:N$270,MATCH($D32,'SR_Cash Reconciliation_2E'!$B$9:$B$270,0))="","",INDEX('SR_Cash Reconciliation_2E'!N$9:N$270,MATCH($D32,'SR_Cash Reconciliation_2E'!$B$9:$B$270,0))),"")</f>
        <v/>
      </c>
    </row>
    <row r="33" spans="1:14" x14ac:dyDescent="0.25">
      <c r="A33" s="637"/>
      <c r="B33" s="915"/>
      <c r="C33" s="915">
        <f t="shared" si="0"/>
        <v>28</v>
      </c>
      <c r="D33" s="915" t="str">
        <f t="shared" si="1"/>
        <v>ID28</v>
      </c>
      <c r="E33" s="916" t="str">
        <f>IFERROR(IF(INDEX('SR_Cash Reconciliation_2E'!C$9:C$270,MATCH($D33,'SR_Cash Reconciliation_2E'!$B$9:$B$270,0))="","",INDEX('SR_Cash Reconciliation_2E'!C$9:C$270,MATCH($D33,'SR_Cash Reconciliation_2E'!$B$9:$B$270,0))),"")</f>
        <v/>
      </c>
      <c r="F33" s="917" t="str">
        <f>IFERROR(IF(INDEX('SR_Cash Reconciliation_2E'!D$9:D$270,MATCH($D33,'SR_Cash Reconciliation_2E'!$B$9:$B$270,0))="","",INDEX('SR_Cash Reconciliation_2E'!D$9:D$270,MATCH($D33,'SR_Cash Reconciliation_2E'!$B$9:$B$270,0))),"")</f>
        <v/>
      </c>
      <c r="G33" s="917" t="str">
        <f>IFERROR(IF(INDEX('SR_Cash Reconciliation_2E'!E$9:E$270,MATCH($D33,'SR_Cash Reconciliation_2E'!$B$9:$B$270,0))="","",INDEX('SR_Cash Reconciliation_2E'!E$9:E$270,MATCH($D33,'SR_Cash Reconciliation_2E'!$B$9:$B$270,0))),"")</f>
        <v/>
      </c>
      <c r="H33" s="917" t="str">
        <f>IFERROR(IF(INDEX('SR_Cash Reconciliation_2E'!F$9:F$270,MATCH($D33,'SR_Cash Reconciliation_2E'!$B$9:$B$270,0))="","",INDEX('SR_Cash Reconciliation_2E'!F$9:F$270,MATCH($D33,'SR_Cash Reconciliation_2E'!$B$9:$B$270,0))),"")</f>
        <v/>
      </c>
      <c r="I33" s="917" t="str">
        <f>IFERROR(IF(INDEX('SR_Cash Reconciliation_2E'!G$9:G$270,MATCH($D33,'SR_Cash Reconciliation_2E'!$B$9:$B$270,0))="","",INDEX('SR_Cash Reconciliation_2E'!G$9:G$270,MATCH($D33,'SR_Cash Reconciliation_2E'!$B$9:$B$270,0))),"")</f>
        <v/>
      </c>
      <c r="J33" s="917" t="str">
        <f>IFERROR(IF(INDEX('SR_Cash Reconciliation_2E'!H$9:H$270,MATCH($D33,'SR_Cash Reconciliation_2E'!$B$9:$B$270,0))="","",INDEX('SR_Cash Reconciliation_2E'!H$9:H$270,MATCH($D33,'SR_Cash Reconciliation_2E'!$B$9:$B$270,0))),"")</f>
        <v/>
      </c>
      <c r="K33" s="917" t="str">
        <f>IFERROR(IF(INDEX('SR_Cash Reconciliation_2E'!I$9:I$270,MATCH($D33,'SR_Cash Reconciliation_2E'!$B$9:$B$270,0))="","",INDEX('SR_Cash Reconciliation_2E'!I$9:I$270,MATCH($D33,'SR_Cash Reconciliation_2E'!$B$9:$B$270,0))),"")</f>
        <v/>
      </c>
      <c r="L33" s="917" t="str">
        <f>IFERROR(IF(INDEX('SR_Cash Reconciliation_2E'!K$9:K$270,MATCH($D33,'SR_Cash Reconciliation_2E'!$B$9:$B$270,0))="","",INDEX('SR_Cash Reconciliation_2E'!K$9:K$270,MATCH($D33,'SR_Cash Reconciliation_2E'!$B$9:$B$270,0))),"")</f>
        <v/>
      </c>
      <c r="M33" s="915" t="str">
        <f>""</f>
        <v/>
      </c>
      <c r="N33" s="917" t="str">
        <f>IFERROR(IF(INDEX('SR_Cash Reconciliation_2E'!N$9:N$270,MATCH($D33,'SR_Cash Reconciliation_2E'!$B$9:$B$270,0))="","",INDEX('SR_Cash Reconciliation_2E'!N$9:N$270,MATCH($D33,'SR_Cash Reconciliation_2E'!$B$9:$B$270,0))),"")</f>
        <v/>
      </c>
    </row>
    <row r="34" spans="1:14" x14ac:dyDescent="0.25">
      <c r="A34" s="637"/>
      <c r="B34" s="915"/>
      <c r="C34" s="915">
        <f t="shared" si="0"/>
        <v>29</v>
      </c>
      <c r="D34" s="915" t="str">
        <f t="shared" si="1"/>
        <v>ID29</v>
      </c>
      <c r="E34" s="916" t="str">
        <f>IFERROR(IF(INDEX('SR_Cash Reconciliation_2E'!C$9:C$270,MATCH($D34,'SR_Cash Reconciliation_2E'!$B$9:$B$270,0))="","",INDEX('SR_Cash Reconciliation_2E'!C$9:C$270,MATCH($D34,'SR_Cash Reconciliation_2E'!$B$9:$B$270,0))),"")</f>
        <v/>
      </c>
      <c r="F34" s="917" t="str">
        <f>IFERROR(IF(INDEX('SR_Cash Reconciliation_2E'!D$9:D$270,MATCH($D34,'SR_Cash Reconciliation_2E'!$B$9:$B$270,0))="","",INDEX('SR_Cash Reconciliation_2E'!D$9:D$270,MATCH($D34,'SR_Cash Reconciliation_2E'!$B$9:$B$270,0))),"")</f>
        <v/>
      </c>
      <c r="G34" s="917" t="str">
        <f>IFERROR(IF(INDEX('SR_Cash Reconciliation_2E'!E$9:E$270,MATCH($D34,'SR_Cash Reconciliation_2E'!$B$9:$B$270,0))="","",INDEX('SR_Cash Reconciliation_2E'!E$9:E$270,MATCH($D34,'SR_Cash Reconciliation_2E'!$B$9:$B$270,0))),"")</f>
        <v/>
      </c>
      <c r="H34" s="917" t="str">
        <f>IFERROR(IF(INDEX('SR_Cash Reconciliation_2E'!F$9:F$270,MATCH($D34,'SR_Cash Reconciliation_2E'!$B$9:$B$270,0))="","",INDEX('SR_Cash Reconciliation_2E'!F$9:F$270,MATCH($D34,'SR_Cash Reconciliation_2E'!$B$9:$B$270,0))),"")</f>
        <v/>
      </c>
      <c r="I34" s="917" t="str">
        <f>IFERROR(IF(INDEX('SR_Cash Reconciliation_2E'!G$9:G$270,MATCH($D34,'SR_Cash Reconciliation_2E'!$B$9:$B$270,0))="","",INDEX('SR_Cash Reconciliation_2E'!G$9:G$270,MATCH($D34,'SR_Cash Reconciliation_2E'!$B$9:$B$270,0))),"")</f>
        <v/>
      </c>
      <c r="J34" s="917" t="str">
        <f>IFERROR(IF(INDEX('SR_Cash Reconciliation_2E'!H$9:H$270,MATCH($D34,'SR_Cash Reconciliation_2E'!$B$9:$B$270,0))="","",INDEX('SR_Cash Reconciliation_2E'!H$9:H$270,MATCH($D34,'SR_Cash Reconciliation_2E'!$B$9:$B$270,0))),"")</f>
        <v/>
      </c>
      <c r="K34" s="917" t="str">
        <f>IFERROR(IF(INDEX('SR_Cash Reconciliation_2E'!I$9:I$270,MATCH($D34,'SR_Cash Reconciliation_2E'!$B$9:$B$270,0))="","",INDEX('SR_Cash Reconciliation_2E'!I$9:I$270,MATCH($D34,'SR_Cash Reconciliation_2E'!$B$9:$B$270,0))),"")</f>
        <v/>
      </c>
      <c r="L34" s="917" t="str">
        <f>IFERROR(IF(INDEX('SR_Cash Reconciliation_2E'!K$9:K$270,MATCH($D34,'SR_Cash Reconciliation_2E'!$B$9:$B$270,0))="","",INDEX('SR_Cash Reconciliation_2E'!K$9:K$270,MATCH($D34,'SR_Cash Reconciliation_2E'!$B$9:$B$270,0))),"")</f>
        <v/>
      </c>
      <c r="M34" s="915" t="str">
        <f>""</f>
        <v/>
      </c>
      <c r="N34" s="917" t="str">
        <f>IFERROR(IF(INDEX('SR_Cash Reconciliation_2E'!N$9:N$270,MATCH($D34,'SR_Cash Reconciliation_2E'!$B$9:$B$270,0))="","",INDEX('SR_Cash Reconciliation_2E'!N$9:N$270,MATCH($D34,'SR_Cash Reconciliation_2E'!$B$9:$B$270,0))),"")</f>
        <v/>
      </c>
    </row>
    <row r="35" spans="1:14" x14ac:dyDescent="0.25">
      <c r="A35" s="637"/>
      <c r="B35" s="915"/>
      <c r="C35" s="915">
        <f t="shared" si="0"/>
        <v>30</v>
      </c>
      <c r="D35" s="915" t="str">
        <f t="shared" si="1"/>
        <v>ID30</v>
      </c>
      <c r="E35" s="916" t="str">
        <f>IFERROR(IF(INDEX('SR_Cash Reconciliation_2E'!C$9:C$270,MATCH($D35,'SR_Cash Reconciliation_2E'!$B$9:$B$270,0))="","",INDEX('SR_Cash Reconciliation_2E'!C$9:C$270,MATCH($D35,'SR_Cash Reconciliation_2E'!$B$9:$B$270,0))),"")</f>
        <v/>
      </c>
      <c r="F35" s="917" t="str">
        <f>IFERROR(IF(INDEX('SR_Cash Reconciliation_2E'!D$9:D$270,MATCH($D35,'SR_Cash Reconciliation_2E'!$B$9:$B$270,0))="","",INDEX('SR_Cash Reconciliation_2E'!D$9:D$270,MATCH($D35,'SR_Cash Reconciliation_2E'!$B$9:$B$270,0))),"")</f>
        <v/>
      </c>
      <c r="G35" s="917" t="str">
        <f>IFERROR(IF(INDEX('SR_Cash Reconciliation_2E'!E$9:E$270,MATCH($D35,'SR_Cash Reconciliation_2E'!$B$9:$B$270,0))="","",INDEX('SR_Cash Reconciliation_2E'!E$9:E$270,MATCH($D35,'SR_Cash Reconciliation_2E'!$B$9:$B$270,0))),"")</f>
        <v/>
      </c>
      <c r="H35" s="917" t="str">
        <f>IFERROR(IF(INDEX('SR_Cash Reconciliation_2E'!F$9:F$270,MATCH($D35,'SR_Cash Reconciliation_2E'!$B$9:$B$270,0))="","",INDEX('SR_Cash Reconciliation_2E'!F$9:F$270,MATCH($D35,'SR_Cash Reconciliation_2E'!$B$9:$B$270,0))),"")</f>
        <v/>
      </c>
      <c r="I35" s="917" t="str">
        <f>IFERROR(IF(INDEX('SR_Cash Reconciliation_2E'!G$9:G$270,MATCH($D35,'SR_Cash Reconciliation_2E'!$B$9:$B$270,0))="","",INDEX('SR_Cash Reconciliation_2E'!G$9:G$270,MATCH($D35,'SR_Cash Reconciliation_2E'!$B$9:$B$270,0))),"")</f>
        <v/>
      </c>
      <c r="J35" s="917" t="str">
        <f>IFERROR(IF(INDEX('SR_Cash Reconciliation_2E'!H$9:H$270,MATCH($D35,'SR_Cash Reconciliation_2E'!$B$9:$B$270,0))="","",INDEX('SR_Cash Reconciliation_2E'!H$9:H$270,MATCH($D35,'SR_Cash Reconciliation_2E'!$B$9:$B$270,0))),"")</f>
        <v/>
      </c>
      <c r="K35" s="917" t="str">
        <f>IFERROR(IF(INDEX('SR_Cash Reconciliation_2E'!I$9:I$270,MATCH($D35,'SR_Cash Reconciliation_2E'!$B$9:$B$270,0))="","",INDEX('SR_Cash Reconciliation_2E'!I$9:I$270,MATCH($D35,'SR_Cash Reconciliation_2E'!$B$9:$B$270,0))),"")</f>
        <v/>
      </c>
      <c r="L35" s="917" t="str">
        <f>IFERROR(IF(INDEX('SR_Cash Reconciliation_2E'!K$9:K$270,MATCH($D35,'SR_Cash Reconciliation_2E'!$B$9:$B$270,0))="","",INDEX('SR_Cash Reconciliation_2E'!K$9:K$270,MATCH($D35,'SR_Cash Reconciliation_2E'!$B$9:$B$270,0))),"")</f>
        <v/>
      </c>
      <c r="M35" s="915" t="str">
        <f>""</f>
        <v/>
      </c>
      <c r="N35" s="917" t="str">
        <f>IFERROR(IF(INDEX('SR_Cash Reconciliation_2E'!N$9:N$270,MATCH($D35,'SR_Cash Reconciliation_2E'!$B$9:$B$270,0))="","",INDEX('SR_Cash Reconciliation_2E'!N$9:N$270,MATCH($D35,'SR_Cash Reconciliation_2E'!$B$9:$B$270,0))),"")</f>
        <v/>
      </c>
    </row>
    <row r="36" spans="1:14" x14ac:dyDescent="0.25">
      <c r="A36" s="637"/>
      <c r="B36" s="915"/>
      <c r="C36" s="915">
        <f t="shared" si="0"/>
        <v>31</v>
      </c>
      <c r="D36" s="915" t="str">
        <f t="shared" si="1"/>
        <v>ID31</v>
      </c>
      <c r="E36" s="916" t="str">
        <f>IFERROR(IF(INDEX('SR_Cash Reconciliation_2E'!C$9:C$270,MATCH($D36,'SR_Cash Reconciliation_2E'!$B$9:$B$270,0))="","",INDEX('SR_Cash Reconciliation_2E'!C$9:C$270,MATCH($D36,'SR_Cash Reconciliation_2E'!$B$9:$B$270,0))),"")</f>
        <v/>
      </c>
      <c r="F36" s="917" t="str">
        <f>IFERROR(IF(INDEX('SR_Cash Reconciliation_2E'!D$9:D$270,MATCH($D36,'SR_Cash Reconciliation_2E'!$B$9:$B$270,0))="","",INDEX('SR_Cash Reconciliation_2E'!D$9:D$270,MATCH($D36,'SR_Cash Reconciliation_2E'!$B$9:$B$270,0))),"")</f>
        <v/>
      </c>
      <c r="G36" s="917" t="str">
        <f>IFERROR(IF(INDEX('SR_Cash Reconciliation_2E'!E$9:E$270,MATCH($D36,'SR_Cash Reconciliation_2E'!$B$9:$B$270,0))="","",INDEX('SR_Cash Reconciliation_2E'!E$9:E$270,MATCH($D36,'SR_Cash Reconciliation_2E'!$B$9:$B$270,0))),"")</f>
        <v/>
      </c>
      <c r="H36" s="917" t="str">
        <f>IFERROR(IF(INDEX('SR_Cash Reconciliation_2E'!F$9:F$270,MATCH($D36,'SR_Cash Reconciliation_2E'!$B$9:$B$270,0))="","",INDEX('SR_Cash Reconciliation_2E'!F$9:F$270,MATCH($D36,'SR_Cash Reconciliation_2E'!$B$9:$B$270,0))),"")</f>
        <v/>
      </c>
      <c r="I36" s="917" t="str">
        <f>IFERROR(IF(INDEX('SR_Cash Reconciliation_2E'!G$9:G$270,MATCH($D36,'SR_Cash Reconciliation_2E'!$B$9:$B$270,0))="","",INDEX('SR_Cash Reconciliation_2E'!G$9:G$270,MATCH($D36,'SR_Cash Reconciliation_2E'!$B$9:$B$270,0))),"")</f>
        <v/>
      </c>
      <c r="J36" s="917" t="str">
        <f>IFERROR(IF(INDEX('SR_Cash Reconciliation_2E'!H$9:H$270,MATCH($D36,'SR_Cash Reconciliation_2E'!$B$9:$B$270,0))="","",INDEX('SR_Cash Reconciliation_2E'!H$9:H$270,MATCH($D36,'SR_Cash Reconciliation_2E'!$B$9:$B$270,0))),"")</f>
        <v/>
      </c>
      <c r="K36" s="917" t="str">
        <f>IFERROR(IF(INDEX('SR_Cash Reconciliation_2E'!I$9:I$270,MATCH($D36,'SR_Cash Reconciliation_2E'!$B$9:$B$270,0))="","",INDEX('SR_Cash Reconciliation_2E'!I$9:I$270,MATCH($D36,'SR_Cash Reconciliation_2E'!$B$9:$B$270,0))),"")</f>
        <v/>
      </c>
      <c r="L36" s="917" t="str">
        <f>IFERROR(IF(INDEX('SR_Cash Reconciliation_2E'!K$9:K$270,MATCH($D36,'SR_Cash Reconciliation_2E'!$B$9:$B$270,0))="","",INDEX('SR_Cash Reconciliation_2E'!K$9:K$270,MATCH($D36,'SR_Cash Reconciliation_2E'!$B$9:$B$270,0))),"")</f>
        <v/>
      </c>
      <c r="M36" s="915" t="str">
        <f>""</f>
        <v/>
      </c>
      <c r="N36" s="917" t="str">
        <f>IFERROR(IF(INDEX('SR_Cash Reconciliation_2E'!N$9:N$270,MATCH($D36,'SR_Cash Reconciliation_2E'!$B$9:$B$270,0))="","",INDEX('SR_Cash Reconciliation_2E'!N$9:N$270,MATCH($D36,'SR_Cash Reconciliation_2E'!$B$9:$B$270,0))),"")</f>
        <v/>
      </c>
    </row>
    <row r="37" spans="1:14" x14ac:dyDescent="0.25">
      <c r="A37" s="637"/>
      <c r="B37" s="915"/>
      <c r="C37" s="915">
        <f t="shared" si="0"/>
        <v>32</v>
      </c>
      <c r="D37" s="915" t="str">
        <f t="shared" si="1"/>
        <v>ID32</v>
      </c>
      <c r="E37" s="916" t="str">
        <f>IFERROR(IF(INDEX('SR_Cash Reconciliation_2E'!C$9:C$270,MATCH($D37,'SR_Cash Reconciliation_2E'!$B$9:$B$270,0))="","",INDEX('SR_Cash Reconciliation_2E'!C$9:C$270,MATCH($D37,'SR_Cash Reconciliation_2E'!$B$9:$B$270,0))),"")</f>
        <v/>
      </c>
      <c r="F37" s="917" t="str">
        <f>IFERROR(IF(INDEX('SR_Cash Reconciliation_2E'!D$9:D$270,MATCH($D37,'SR_Cash Reconciliation_2E'!$B$9:$B$270,0))="","",INDEX('SR_Cash Reconciliation_2E'!D$9:D$270,MATCH($D37,'SR_Cash Reconciliation_2E'!$B$9:$B$270,0))),"")</f>
        <v/>
      </c>
      <c r="G37" s="917" t="str">
        <f>IFERROR(IF(INDEX('SR_Cash Reconciliation_2E'!E$9:E$270,MATCH($D37,'SR_Cash Reconciliation_2E'!$B$9:$B$270,0))="","",INDEX('SR_Cash Reconciliation_2E'!E$9:E$270,MATCH($D37,'SR_Cash Reconciliation_2E'!$B$9:$B$270,0))),"")</f>
        <v/>
      </c>
      <c r="H37" s="917" t="str">
        <f>IFERROR(IF(INDEX('SR_Cash Reconciliation_2E'!F$9:F$270,MATCH($D37,'SR_Cash Reconciliation_2E'!$B$9:$B$270,0))="","",INDEX('SR_Cash Reconciliation_2E'!F$9:F$270,MATCH($D37,'SR_Cash Reconciliation_2E'!$B$9:$B$270,0))),"")</f>
        <v/>
      </c>
      <c r="I37" s="917" t="str">
        <f>IFERROR(IF(INDEX('SR_Cash Reconciliation_2E'!G$9:G$270,MATCH($D37,'SR_Cash Reconciliation_2E'!$B$9:$B$270,0))="","",INDEX('SR_Cash Reconciliation_2E'!G$9:G$270,MATCH($D37,'SR_Cash Reconciliation_2E'!$B$9:$B$270,0))),"")</f>
        <v/>
      </c>
      <c r="J37" s="917" t="str">
        <f>IFERROR(IF(INDEX('SR_Cash Reconciliation_2E'!H$9:H$270,MATCH($D37,'SR_Cash Reconciliation_2E'!$B$9:$B$270,0))="","",INDEX('SR_Cash Reconciliation_2E'!H$9:H$270,MATCH($D37,'SR_Cash Reconciliation_2E'!$B$9:$B$270,0))),"")</f>
        <v/>
      </c>
      <c r="K37" s="917" t="str">
        <f>IFERROR(IF(INDEX('SR_Cash Reconciliation_2E'!I$9:I$270,MATCH($D37,'SR_Cash Reconciliation_2E'!$B$9:$B$270,0))="","",INDEX('SR_Cash Reconciliation_2E'!I$9:I$270,MATCH($D37,'SR_Cash Reconciliation_2E'!$B$9:$B$270,0))),"")</f>
        <v/>
      </c>
      <c r="L37" s="917" t="str">
        <f>IFERROR(IF(INDEX('SR_Cash Reconciliation_2E'!K$9:K$270,MATCH($D37,'SR_Cash Reconciliation_2E'!$B$9:$B$270,0))="","",INDEX('SR_Cash Reconciliation_2E'!K$9:K$270,MATCH($D37,'SR_Cash Reconciliation_2E'!$B$9:$B$270,0))),"")</f>
        <v/>
      </c>
      <c r="M37" s="915" t="str">
        <f>""</f>
        <v/>
      </c>
      <c r="N37" s="917" t="str">
        <f>IFERROR(IF(INDEX('SR_Cash Reconciliation_2E'!N$9:N$270,MATCH($D37,'SR_Cash Reconciliation_2E'!$B$9:$B$270,0))="","",INDEX('SR_Cash Reconciliation_2E'!N$9:N$270,MATCH($D37,'SR_Cash Reconciliation_2E'!$B$9:$B$270,0))),"")</f>
        <v/>
      </c>
    </row>
    <row r="38" spans="1:14" x14ac:dyDescent="0.25">
      <c r="A38" s="637"/>
      <c r="B38" s="915"/>
      <c r="C38" s="915">
        <f t="shared" si="0"/>
        <v>33</v>
      </c>
      <c r="D38" s="915" t="str">
        <f t="shared" si="1"/>
        <v>ID33</v>
      </c>
      <c r="E38" s="916" t="str">
        <f>IFERROR(IF(INDEX('SR_Cash Reconciliation_2E'!C$9:C$270,MATCH($D38,'SR_Cash Reconciliation_2E'!$B$9:$B$270,0))="","",INDEX('SR_Cash Reconciliation_2E'!C$9:C$270,MATCH($D38,'SR_Cash Reconciliation_2E'!$B$9:$B$270,0))),"")</f>
        <v/>
      </c>
      <c r="F38" s="917" t="str">
        <f>IFERROR(IF(INDEX('SR_Cash Reconciliation_2E'!D$9:D$270,MATCH($D38,'SR_Cash Reconciliation_2E'!$B$9:$B$270,0))="","",INDEX('SR_Cash Reconciliation_2E'!D$9:D$270,MATCH($D38,'SR_Cash Reconciliation_2E'!$B$9:$B$270,0))),"")</f>
        <v/>
      </c>
      <c r="G38" s="917" t="str">
        <f>IFERROR(IF(INDEX('SR_Cash Reconciliation_2E'!E$9:E$270,MATCH($D38,'SR_Cash Reconciliation_2E'!$B$9:$B$270,0))="","",INDEX('SR_Cash Reconciliation_2E'!E$9:E$270,MATCH($D38,'SR_Cash Reconciliation_2E'!$B$9:$B$270,0))),"")</f>
        <v/>
      </c>
      <c r="H38" s="917" t="str">
        <f>IFERROR(IF(INDEX('SR_Cash Reconciliation_2E'!F$9:F$270,MATCH($D38,'SR_Cash Reconciliation_2E'!$B$9:$B$270,0))="","",INDEX('SR_Cash Reconciliation_2E'!F$9:F$270,MATCH($D38,'SR_Cash Reconciliation_2E'!$B$9:$B$270,0))),"")</f>
        <v/>
      </c>
      <c r="I38" s="917" t="str">
        <f>IFERROR(IF(INDEX('SR_Cash Reconciliation_2E'!G$9:G$270,MATCH($D38,'SR_Cash Reconciliation_2E'!$B$9:$B$270,0))="","",INDEX('SR_Cash Reconciliation_2E'!G$9:G$270,MATCH($D38,'SR_Cash Reconciliation_2E'!$B$9:$B$270,0))),"")</f>
        <v/>
      </c>
      <c r="J38" s="917" t="str">
        <f>IFERROR(IF(INDEX('SR_Cash Reconciliation_2E'!H$9:H$270,MATCH($D38,'SR_Cash Reconciliation_2E'!$B$9:$B$270,0))="","",INDEX('SR_Cash Reconciliation_2E'!H$9:H$270,MATCH($D38,'SR_Cash Reconciliation_2E'!$B$9:$B$270,0))),"")</f>
        <v/>
      </c>
      <c r="K38" s="917" t="str">
        <f>IFERROR(IF(INDEX('SR_Cash Reconciliation_2E'!I$9:I$270,MATCH($D38,'SR_Cash Reconciliation_2E'!$B$9:$B$270,0))="","",INDEX('SR_Cash Reconciliation_2E'!I$9:I$270,MATCH($D38,'SR_Cash Reconciliation_2E'!$B$9:$B$270,0))),"")</f>
        <v/>
      </c>
      <c r="L38" s="917" t="str">
        <f>IFERROR(IF(INDEX('SR_Cash Reconciliation_2E'!K$9:K$270,MATCH($D38,'SR_Cash Reconciliation_2E'!$B$9:$B$270,0))="","",INDEX('SR_Cash Reconciliation_2E'!K$9:K$270,MATCH($D38,'SR_Cash Reconciliation_2E'!$B$9:$B$270,0))),"")</f>
        <v/>
      </c>
      <c r="M38" s="915" t="str">
        <f>""</f>
        <v/>
      </c>
      <c r="N38" s="917" t="str">
        <f>IFERROR(IF(INDEX('SR_Cash Reconciliation_2E'!N$9:N$270,MATCH($D38,'SR_Cash Reconciliation_2E'!$B$9:$B$270,0))="","",INDEX('SR_Cash Reconciliation_2E'!N$9:N$270,MATCH($D38,'SR_Cash Reconciliation_2E'!$B$9:$B$270,0))),"")</f>
        <v/>
      </c>
    </row>
    <row r="39" spans="1:14" x14ac:dyDescent="0.25">
      <c r="A39" s="637"/>
      <c r="B39" s="915"/>
      <c r="C39" s="915">
        <f t="shared" si="0"/>
        <v>34</v>
      </c>
      <c r="D39" s="915" t="str">
        <f t="shared" si="1"/>
        <v>ID34</v>
      </c>
      <c r="E39" s="916" t="str">
        <f>IFERROR(IF(INDEX('SR_Cash Reconciliation_2E'!C$9:C$270,MATCH($D39,'SR_Cash Reconciliation_2E'!$B$9:$B$270,0))="","",INDEX('SR_Cash Reconciliation_2E'!C$9:C$270,MATCH($D39,'SR_Cash Reconciliation_2E'!$B$9:$B$270,0))),"")</f>
        <v/>
      </c>
      <c r="F39" s="917" t="str">
        <f>IFERROR(IF(INDEX('SR_Cash Reconciliation_2E'!D$9:D$270,MATCH($D39,'SR_Cash Reconciliation_2E'!$B$9:$B$270,0))="","",INDEX('SR_Cash Reconciliation_2E'!D$9:D$270,MATCH($D39,'SR_Cash Reconciliation_2E'!$B$9:$B$270,0))),"")</f>
        <v/>
      </c>
      <c r="G39" s="917" t="str">
        <f>IFERROR(IF(INDEX('SR_Cash Reconciliation_2E'!E$9:E$270,MATCH($D39,'SR_Cash Reconciliation_2E'!$B$9:$B$270,0))="","",INDEX('SR_Cash Reconciliation_2E'!E$9:E$270,MATCH($D39,'SR_Cash Reconciliation_2E'!$B$9:$B$270,0))),"")</f>
        <v/>
      </c>
      <c r="H39" s="917" t="str">
        <f>IFERROR(IF(INDEX('SR_Cash Reconciliation_2E'!F$9:F$270,MATCH($D39,'SR_Cash Reconciliation_2E'!$B$9:$B$270,0))="","",INDEX('SR_Cash Reconciliation_2E'!F$9:F$270,MATCH($D39,'SR_Cash Reconciliation_2E'!$B$9:$B$270,0))),"")</f>
        <v/>
      </c>
      <c r="I39" s="917" t="str">
        <f>IFERROR(IF(INDEX('SR_Cash Reconciliation_2E'!G$9:G$270,MATCH($D39,'SR_Cash Reconciliation_2E'!$B$9:$B$270,0))="","",INDEX('SR_Cash Reconciliation_2E'!G$9:G$270,MATCH($D39,'SR_Cash Reconciliation_2E'!$B$9:$B$270,0))),"")</f>
        <v/>
      </c>
      <c r="J39" s="917" t="str">
        <f>IFERROR(IF(INDEX('SR_Cash Reconciliation_2E'!H$9:H$270,MATCH($D39,'SR_Cash Reconciliation_2E'!$B$9:$B$270,0))="","",INDEX('SR_Cash Reconciliation_2E'!H$9:H$270,MATCH($D39,'SR_Cash Reconciliation_2E'!$B$9:$B$270,0))),"")</f>
        <v/>
      </c>
      <c r="K39" s="917" t="str">
        <f>IFERROR(IF(INDEX('SR_Cash Reconciliation_2E'!I$9:I$270,MATCH($D39,'SR_Cash Reconciliation_2E'!$B$9:$B$270,0))="","",INDEX('SR_Cash Reconciliation_2E'!I$9:I$270,MATCH($D39,'SR_Cash Reconciliation_2E'!$B$9:$B$270,0))),"")</f>
        <v/>
      </c>
      <c r="L39" s="917" t="str">
        <f>IFERROR(IF(INDEX('SR_Cash Reconciliation_2E'!K$9:K$270,MATCH($D39,'SR_Cash Reconciliation_2E'!$B$9:$B$270,0))="","",INDEX('SR_Cash Reconciliation_2E'!K$9:K$270,MATCH($D39,'SR_Cash Reconciliation_2E'!$B$9:$B$270,0))),"")</f>
        <v/>
      </c>
      <c r="M39" s="915" t="str">
        <f>""</f>
        <v/>
      </c>
      <c r="N39" s="917" t="str">
        <f>IFERROR(IF(INDEX('SR_Cash Reconciliation_2E'!N$9:N$270,MATCH($D39,'SR_Cash Reconciliation_2E'!$B$9:$B$270,0))="","",INDEX('SR_Cash Reconciliation_2E'!N$9:N$270,MATCH($D39,'SR_Cash Reconciliation_2E'!$B$9:$B$270,0))),"")</f>
        <v/>
      </c>
    </row>
    <row r="40" spans="1:14" x14ac:dyDescent="0.25">
      <c r="A40" s="637"/>
      <c r="B40" s="915"/>
      <c r="C40" s="915">
        <f t="shared" si="0"/>
        <v>35</v>
      </c>
      <c r="D40" s="915" t="str">
        <f t="shared" si="1"/>
        <v>ID35</v>
      </c>
      <c r="E40" s="916" t="str">
        <f>IFERROR(IF(INDEX('SR_Cash Reconciliation_2E'!C$9:C$270,MATCH($D40,'SR_Cash Reconciliation_2E'!$B$9:$B$270,0))="","",INDEX('SR_Cash Reconciliation_2E'!C$9:C$270,MATCH($D40,'SR_Cash Reconciliation_2E'!$B$9:$B$270,0))),"")</f>
        <v/>
      </c>
      <c r="F40" s="917" t="str">
        <f>IFERROR(IF(INDEX('SR_Cash Reconciliation_2E'!D$9:D$270,MATCH($D40,'SR_Cash Reconciliation_2E'!$B$9:$B$270,0))="","",INDEX('SR_Cash Reconciliation_2E'!D$9:D$270,MATCH($D40,'SR_Cash Reconciliation_2E'!$B$9:$B$270,0))),"")</f>
        <v/>
      </c>
      <c r="G40" s="917" t="str">
        <f>IFERROR(IF(INDEX('SR_Cash Reconciliation_2E'!E$9:E$270,MATCH($D40,'SR_Cash Reconciliation_2E'!$B$9:$B$270,0))="","",INDEX('SR_Cash Reconciliation_2E'!E$9:E$270,MATCH($D40,'SR_Cash Reconciliation_2E'!$B$9:$B$270,0))),"")</f>
        <v/>
      </c>
      <c r="H40" s="917" t="str">
        <f>IFERROR(IF(INDEX('SR_Cash Reconciliation_2E'!F$9:F$270,MATCH($D40,'SR_Cash Reconciliation_2E'!$B$9:$B$270,0))="","",INDEX('SR_Cash Reconciliation_2E'!F$9:F$270,MATCH($D40,'SR_Cash Reconciliation_2E'!$B$9:$B$270,0))),"")</f>
        <v/>
      </c>
      <c r="I40" s="917" t="str">
        <f>IFERROR(IF(INDEX('SR_Cash Reconciliation_2E'!G$9:G$270,MATCH($D40,'SR_Cash Reconciliation_2E'!$B$9:$B$270,0))="","",INDEX('SR_Cash Reconciliation_2E'!G$9:G$270,MATCH($D40,'SR_Cash Reconciliation_2E'!$B$9:$B$270,0))),"")</f>
        <v/>
      </c>
      <c r="J40" s="917" t="str">
        <f>IFERROR(IF(INDEX('SR_Cash Reconciliation_2E'!H$9:H$270,MATCH($D40,'SR_Cash Reconciliation_2E'!$B$9:$B$270,0))="","",INDEX('SR_Cash Reconciliation_2E'!H$9:H$270,MATCH($D40,'SR_Cash Reconciliation_2E'!$B$9:$B$270,0))),"")</f>
        <v/>
      </c>
      <c r="K40" s="917" t="str">
        <f>IFERROR(IF(INDEX('SR_Cash Reconciliation_2E'!I$9:I$270,MATCH($D40,'SR_Cash Reconciliation_2E'!$B$9:$B$270,0))="","",INDEX('SR_Cash Reconciliation_2E'!I$9:I$270,MATCH($D40,'SR_Cash Reconciliation_2E'!$B$9:$B$270,0))),"")</f>
        <v/>
      </c>
      <c r="L40" s="917" t="str">
        <f>IFERROR(IF(INDEX('SR_Cash Reconciliation_2E'!K$9:K$270,MATCH($D40,'SR_Cash Reconciliation_2E'!$B$9:$B$270,0))="","",INDEX('SR_Cash Reconciliation_2E'!K$9:K$270,MATCH($D40,'SR_Cash Reconciliation_2E'!$B$9:$B$270,0))),"")</f>
        <v/>
      </c>
      <c r="M40" s="915" t="str">
        <f>""</f>
        <v/>
      </c>
      <c r="N40" s="917" t="str">
        <f>IFERROR(IF(INDEX('SR_Cash Reconciliation_2E'!N$9:N$270,MATCH($D40,'SR_Cash Reconciliation_2E'!$B$9:$B$270,0))="","",INDEX('SR_Cash Reconciliation_2E'!N$9:N$270,MATCH($D40,'SR_Cash Reconciliation_2E'!$B$9:$B$270,0))),"")</f>
        <v/>
      </c>
    </row>
    <row r="41" spans="1:14" x14ac:dyDescent="0.25">
      <c r="A41" s="637"/>
      <c r="B41" s="915"/>
      <c r="C41" s="915">
        <f t="shared" si="0"/>
        <v>36</v>
      </c>
      <c r="D41" s="915" t="str">
        <f t="shared" si="1"/>
        <v>ID36</v>
      </c>
      <c r="E41" s="916" t="str">
        <f>IFERROR(IF(INDEX('SR_Cash Reconciliation_2E'!C$9:C$270,MATCH($D41,'SR_Cash Reconciliation_2E'!$B$9:$B$270,0))="","",INDEX('SR_Cash Reconciliation_2E'!C$9:C$270,MATCH($D41,'SR_Cash Reconciliation_2E'!$B$9:$B$270,0))),"")</f>
        <v/>
      </c>
      <c r="F41" s="917" t="str">
        <f>IFERROR(IF(INDEX('SR_Cash Reconciliation_2E'!D$9:D$270,MATCH($D41,'SR_Cash Reconciliation_2E'!$B$9:$B$270,0))="","",INDEX('SR_Cash Reconciliation_2E'!D$9:D$270,MATCH($D41,'SR_Cash Reconciliation_2E'!$B$9:$B$270,0))),"")</f>
        <v/>
      </c>
      <c r="G41" s="917" t="str">
        <f>IFERROR(IF(INDEX('SR_Cash Reconciliation_2E'!E$9:E$270,MATCH($D41,'SR_Cash Reconciliation_2E'!$B$9:$B$270,0))="","",INDEX('SR_Cash Reconciliation_2E'!E$9:E$270,MATCH($D41,'SR_Cash Reconciliation_2E'!$B$9:$B$270,0))),"")</f>
        <v/>
      </c>
      <c r="H41" s="917" t="str">
        <f>IFERROR(IF(INDEX('SR_Cash Reconciliation_2E'!F$9:F$270,MATCH($D41,'SR_Cash Reconciliation_2E'!$B$9:$B$270,0))="","",INDEX('SR_Cash Reconciliation_2E'!F$9:F$270,MATCH($D41,'SR_Cash Reconciliation_2E'!$B$9:$B$270,0))),"")</f>
        <v/>
      </c>
      <c r="I41" s="917" t="str">
        <f>IFERROR(IF(INDEX('SR_Cash Reconciliation_2E'!G$9:G$270,MATCH($D41,'SR_Cash Reconciliation_2E'!$B$9:$B$270,0))="","",INDEX('SR_Cash Reconciliation_2E'!G$9:G$270,MATCH($D41,'SR_Cash Reconciliation_2E'!$B$9:$B$270,0))),"")</f>
        <v/>
      </c>
      <c r="J41" s="917" t="str">
        <f>IFERROR(IF(INDEX('SR_Cash Reconciliation_2E'!H$9:H$270,MATCH($D41,'SR_Cash Reconciliation_2E'!$B$9:$B$270,0))="","",INDEX('SR_Cash Reconciliation_2E'!H$9:H$270,MATCH($D41,'SR_Cash Reconciliation_2E'!$B$9:$B$270,0))),"")</f>
        <v/>
      </c>
      <c r="K41" s="917" t="str">
        <f>IFERROR(IF(INDEX('SR_Cash Reconciliation_2E'!I$9:I$270,MATCH($D41,'SR_Cash Reconciliation_2E'!$B$9:$B$270,0))="","",INDEX('SR_Cash Reconciliation_2E'!I$9:I$270,MATCH($D41,'SR_Cash Reconciliation_2E'!$B$9:$B$270,0))),"")</f>
        <v/>
      </c>
      <c r="L41" s="917" t="str">
        <f>IFERROR(IF(INDEX('SR_Cash Reconciliation_2E'!K$9:K$270,MATCH($D41,'SR_Cash Reconciliation_2E'!$B$9:$B$270,0))="","",INDEX('SR_Cash Reconciliation_2E'!K$9:K$270,MATCH($D41,'SR_Cash Reconciliation_2E'!$B$9:$B$270,0))),"")</f>
        <v/>
      </c>
      <c r="M41" s="915" t="str">
        <f>""</f>
        <v/>
      </c>
      <c r="N41" s="917" t="str">
        <f>IFERROR(IF(INDEX('SR_Cash Reconciliation_2E'!N$9:N$270,MATCH($D41,'SR_Cash Reconciliation_2E'!$B$9:$B$270,0))="","",INDEX('SR_Cash Reconciliation_2E'!N$9:N$270,MATCH($D41,'SR_Cash Reconciliation_2E'!$B$9:$B$270,0))),"")</f>
        <v/>
      </c>
    </row>
    <row r="42" spans="1:14" x14ac:dyDescent="0.25">
      <c r="A42" s="637"/>
      <c r="B42" s="915"/>
      <c r="C42" s="915">
        <f t="shared" si="0"/>
        <v>37</v>
      </c>
      <c r="D42" s="915" t="str">
        <f t="shared" si="1"/>
        <v>ID37</v>
      </c>
      <c r="E42" s="916" t="str">
        <f>IFERROR(IF(INDEX('SR_Cash Reconciliation_2E'!C$9:C$270,MATCH($D42,'SR_Cash Reconciliation_2E'!$B$9:$B$270,0))="","",INDEX('SR_Cash Reconciliation_2E'!C$9:C$270,MATCH($D42,'SR_Cash Reconciliation_2E'!$B$9:$B$270,0))),"")</f>
        <v/>
      </c>
      <c r="F42" s="917" t="str">
        <f>IFERROR(IF(INDEX('SR_Cash Reconciliation_2E'!D$9:D$270,MATCH($D42,'SR_Cash Reconciliation_2E'!$B$9:$B$270,0))="","",INDEX('SR_Cash Reconciliation_2E'!D$9:D$270,MATCH($D42,'SR_Cash Reconciliation_2E'!$B$9:$B$270,0))),"")</f>
        <v/>
      </c>
      <c r="G42" s="917" t="str">
        <f>IFERROR(IF(INDEX('SR_Cash Reconciliation_2E'!E$9:E$270,MATCH($D42,'SR_Cash Reconciliation_2E'!$B$9:$B$270,0))="","",INDEX('SR_Cash Reconciliation_2E'!E$9:E$270,MATCH($D42,'SR_Cash Reconciliation_2E'!$B$9:$B$270,0))),"")</f>
        <v/>
      </c>
      <c r="H42" s="917" t="str">
        <f>IFERROR(IF(INDEX('SR_Cash Reconciliation_2E'!F$9:F$270,MATCH($D42,'SR_Cash Reconciliation_2E'!$B$9:$B$270,0))="","",INDEX('SR_Cash Reconciliation_2E'!F$9:F$270,MATCH($D42,'SR_Cash Reconciliation_2E'!$B$9:$B$270,0))),"")</f>
        <v/>
      </c>
      <c r="I42" s="917" t="str">
        <f>IFERROR(IF(INDEX('SR_Cash Reconciliation_2E'!G$9:G$270,MATCH($D42,'SR_Cash Reconciliation_2E'!$B$9:$B$270,0))="","",INDEX('SR_Cash Reconciliation_2E'!G$9:G$270,MATCH($D42,'SR_Cash Reconciliation_2E'!$B$9:$B$270,0))),"")</f>
        <v/>
      </c>
      <c r="J42" s="917" t="str">
        <f>IFERROR(IF(INDEX('SR_Cash Reconciliation_2E'!H$9:H$270,MATCH($D42,'SR_Cash Reconciliation_2E'!$B$9:$B$270,0))="","",INDEX('SR_Cash Reconciliation_2E'!H$9:H$270,MATCH($D42,'SR_Cash Reconciliation_2E'!$B$9:$B$270,0))),"")</f>
        <v/>
      </c>
      <c r="K42" s="917" t="str">
        <f>IFERROR(IF(INDEX('SR_Cash Reconciliation_2E'!I$9:I$270,MATCH($D42,'SR_Cash Reconciliation_2E'!$B$9:$B$270,0))="","",INDEX('SR_Cash Reconciliation_2E'!I$9:I$270,MATCH($D42,'SR_Cash Reconciliation_2E'!$B$9:$B$270,0))),"")</f>
        <v/>
      </c>
      <c r="L42" s="917" t="str">
        <f>IFERROR(IF(INDEX('SR_Cash Reconciliation_2E'!K$9:K$270,MATCH($D42,'SR_Cash Reconciliation_2E'!$B$9:$B$270,0))="","",INDEX('SR_Cash Reconciliation_2E'!K$9:K$270,MATCH($D42,'SR_Cash Reconciliation_2E'!$B$9:$B$270,0))),"")</f>
        <v/>
      </c>
      <c r="M42" s="915" t="str">
        <f>""</f>
        <v/>
      </c>
      <c r="N42" s="917" t="str">
        <f>IFERROR(IF(INDEX('SR_Cash Reconciliation_2E'!N$9:N$270,MATCH($D42,'SR_Cash Reconciliation_2E'!$B$9:$B$270,0))="","",INDEX('SR_Cash Reconciliation_2E'!N$9:N$270,MATCH($D42,'SR_Cash Reconciliation_2E'!$B$9:$B$270,0))),"")</f>
        <v/>
      </c>
    </row>
    <row r="43" spans="1:14" x14ac:dyDescent="0.25">
      <c r="A43" s="637"/>
      <c r="B43" s="915"/>
      <c r="C43" s="915">
        <f t="shared" si="0"/>
        <v>38</v>
      </c>
      <c r="D43" s="915" t="str">
        <f t="shared" si="1"/>
        <v>ID38</v>
      </c>
      <c r="E43" s="916" t="str">
        <f>IFERROR(IF(INDEX('SR_Cash Reconciliation_2E'!C$9:C$270,MATCH($D43,'SR_Cash Reconciliation_2E'!$B$9:$B$270,0))="","",INDEX('SR_Cash Reconciliation_2E'!C$9:C$270,MATCH($D43,'SR_Cash Reconciliation_2E'!$B$9:$B$270,0))),"")</f>
        <v/>
      </c>
      <c r="F43" s="917" t="str">
        <f>IFERROR(IF(INDEX('SR_Cash Reconciliation_2E'!D$9:D$270,MATCH($D43,'SR_Cash Reconciliation_2E'!$B$9:$B$270,0))="","",INDEX('SR_Cash Reconciliation_2E'!D$9:D$270,MATCH($D43,'SR_Cash Reconciliation_2E'!$B$9:$B$270,0))),"")</f>
        <v/>
      </c>
      <c r="G43" s="917" t="str">
        <f>IFERROR(IF(INDEX('SR_Cash Reconciliation_2E'!E$9:E$270,MATCH($D43,'SR_Cash Reconciliation_2E'!$B$9:$B$270,0))="","",INDEX('SR_Cash Reconciliation_2E'!E$9:E$270,MATCH($D43,'SR_Cash Reconciliation_2E'!$B$9:$B$270,0))),"")</f>
        <v/>
      </c>
      <c r="H43" s="917" t="str">
        <f>IFERROR(IF(INDEX('SR_Cash Reconciliation_2E'!F$9:F$270,MATCH($D43,'SR_Cash Reconciliation_2E'!$B$9:$B$270,0))="","",INDEX('SR_Cash Reconciliation_2E'!F$9:F$270,MATCH($D43,'SR_Cash Reconciliation_2E'!$B$9:$B$270,0))),"")</f>
        <v/>
      </c>
      <c r="I43" s="917" t="str">
        <f>IFERROR(IF(INDEX('SR_Cash Reconciliation_2E'!G$9:G$270,MATCH($D43,'SR_Cash Reconciliation_2E'!$B$9:$B$270,0))="","",INDEX('SR_Cash Reconciliation_2E'!G$9:G$270,MATCH($D43,'SR_Cash Reconciliation_2E'!$B$9:$B$270,0))),"")</f>
        <v/>
      </c>
      <c r="J43" s="917" t="str">
        <f>IFERROR(IF(INDEX('SR_Cash Reconciliation_2E'!H$9:H$270,MATCH($D43,'SR_Cash Reconciliation_2E'!$B$9:$B$270,0))="","",INDEX('SR_Cash Reconciliation_2E'!H$9:H$270,MATCH($D43,'SR_Cash Reconciliation_2E'!$B$9:$B$270,0))),"")</f>
        <v/>
      </c>
      <c r="K43" s="917" t="str">
        <f>IFERROR(IF(INDEX('SR_Cash Reconciliation_2E'!I$9:I$270,MATCH($D43,'SR_Cash Reconciliation_2E'!$B$9:$B$270,0))="","",INDEX('SR_Cash Reconciliation_2E'!I$9:I$270,MATCH($D43,'SR_Cash Reconciliation_2E'!$B$9:$B$270,0))),"")</f>
        <v/>
      </c>
      <c r="L43" s="917" t="str">
        <f>IFERROR(IF(INDEX('SR_Cash Reconciliation_2E'!K$9:K$270,MATCH($D43,'SR_Cash Reconciliation_2E'!$B$9:$B$270,0))="","",INDEX('SR_Cash Reconciliation_2E'!K$9:K$270,MATCH($D43,'SR_Cash Reconciliation_2E'!$B$9:$B$270,0))),"")</f>
        <v/>
      </c>
      <c r="M43" s="915" t="str">
        <f>""</f>
        <v/>
      </c>
      <c r="N43" s="917" t="str">
        <f>IFERROR(IF(INDEX('SR_Cash Reconciliation_2E'!N$9:N$270,MATCH($D43,'SR_Cash Reconciliation_2E'!$B$9:$B$270,0))="","",INDEX('SR_Cash Reconciliation_2E'!N$9:N$270,MATCH($D43,'SR_Cash Reconciliation_2E'!$B$9:$B$270,0))),"")</f>
        <v/>
      </c>
    </row>
    <row r="44" spans="1:14" x14ac:dyDescent="0.25">
      <c r="A44" s="637"/>
      <c r="B44" s="915"/>
      <c r="C44" s="915">
        <f t="shared" si="0"/>
        <v>39</v>
      </c>
      <c r="D44" s="915" t="str">
        <f t="shared" si="1"/>
        <v>ID39</v>
      </c>
      <c r="E44" s="916" t="str">
        <f>IFERROR(IF(INDEX('SR_Cash Reconciliation_2E'!C$9:C$270,MATCH($D44,'SR_Cash Reconciliation_2E'!$B$9:$B$270,0))="","",INDEX('SR_Cash Reconciliation_2E'!C$9:C$270,MATCH($D44,'SR_Cash Reconciliation_2E'!$B$9:$B$270,0))),"")</f>
        <v/>
      </c>
      <c r="F44" s="917" t="str">
        <f>IFERROR(IF(INDEX('SR_Cash Reconciliation_2E'!D$9:D$270,MATCH($D44,'SR_Cash Reconciliation_2E'!$B$9:$B$270,0))="","",INDEX('SR_Cash Reconciliation_2E'!D$9:D$270,MATCH($D44,'SR_Cash Reconciliation_2E'!$B$9:$B$270,0))),"")</f>
        <v/>
      </c>
      <c r="G44" s="917" t="str">
        <f>IFERROR(IF(INDEX('SR_Cash Reconciliation_2E'!E$9:E$270,MATCH($D44,'SR_Cash Reconciliation_2E'!$B$9:$B$270,0))="","",INDEX('SR_Cash Reconciliation_2E'!E$9:E$270,MATCH($D44,'SR_Cash Reconciliation_2E'!$B$9:$B$270,0))),"")</f>
        <v/>
      </c>
      <c r="H44" s="917" t="str">
        <f>IFERROR(IF(INDEX('SR_Cash Reconciliation_2E'!F$9:F$270,MATCH($D44,'SR_Cash Reconciliation_2E'!$B$9:$B$270,0))="","",INDEX('SR_Cash Reconciliation_2E'!F$9:F$270,MATCH($D44,'SR_Cash Reconciliation_2E'!$B$9:$B$270,0))),"")</f>
        <v/>
      </c>
      <c r="I44" s="917" t="str">
        <f>IFERROR(IF(INDEX('SR_Cash Reconciliation_2E'!G$9:G$270,MATCH($D44,'SR_Cash Reconciliation_2E'!$B$9:$B$270,0))="","",INDEX('SR_Cash Reconciliation_2E'!G$9:G$270,MATCH($D44,'SR_Cash Reconciliation_2E'!$B$9:$B$270,0))),"")</f>
        <v/>
      </c>
      <c r="J44" s="917" t="str">
        <f>IFERROR(IF(INDEX('SR_Cash Reconciliation_2E'!H$9:H$270,MATCH($D44,'SR_Cash Reconciliation_2E'!$B$9:$B$270,0))="","",INDEX('SR_Cash Reconciliation_2E'!H$9:H$270,MATCH($D44,'SR_Cash Reconciliation_2E'!$B$9:$B$270,0))),"")</f>
        <v/>
      </c>
      <c r="K44" s="917" t="str">
        <f>IFERROR(IF(INDEX('SR_Cash Reconciliation_2E'!I$9:I$270,MATCH($D44,'SR_Cash Reconciliation_2E'!$B$9:$B$270,0))="","",INDEX('SR_Cash Reconciliation_2E'!I$9:I$270,MATCH($D44,'SR_Cash Reconciliation_2E'!$B$9:$B$270,0))),"")</f>
        <v/>
      </c>
      <c r="L44" s="917" t="str">
        <f>IFERROR(IF(INDEX('SR_Cash Reconciliation_2E'!K$9:K$270,MATCH($D44,'SR_Cash Reconciliation_2E'!$B$9:$B$270,0))="","",INDEX('SR_Cash Reconciliation_2E'!K$9:K$270,MATCH($D44,'SR_Cash Reconciliation_2E'!$B$9:$B$270,0))),"")</f>
        <v/>
      </c>
      <c r="M44" s="915" t="str">
        <f>""</f>
        <v/>
      </c>
      <c r="N44" s="917" t="str">
        <f>IFERROR(IF(INDEX('SR_Cash Reconciliation_2E'!N$9:N$270,MATCH($D44,'SR_Cash Reconciliation_2E'!$B$9:$B$270,0))="","",INDEX('SR_Cash Reconciliation_2E'!N$9:N$270,MATCH($D44,'SR_Cash Reconciliation_2E'!$B$9:$B$270,0))),"")</f>
        <v/>
      </c>
    </row>
    <row r="45" spans="1:14" x14ac:dyDescent="0.25">
      <c r="A45" s="637"/>
      <c r="B45" s="915"/>
      <c r="C45" s="915">
        <f t="shared" si="0"/>
        <v>40</v>
      </c>
      <c r="D45" s="915" t="str">
        <f t="shared" si="1"/>
        <v>ID40</v>
      </c>
      <c r="E45" s="916" t="str">
        <f>IFERROR(IF(INDEX('SR_Cash Reconciliation_2E'!C$9:C$270,MATCH($D45,'SR_Cash Reconciliation_2E'!$B$9:$B$270,0))="","",INDEX('SR_Cash Reconciliation_2E'!C$9:C$270,MATCH($D45,'SR_Cash Reconciliation_2E'!$B$9:$B$270,0))),"")</f>
        <v/>
      </c>
      <c r="F45" s="917" t="str">
        <f>IFERROR(IF(INDEX('SR_Cash Reconciliation_2E'!D$9:D$270,MATCH($D45,'SR_Cash Reconciliation_2E'!$B$9:$B$270,0))="","",INDEX('SR_Cash Reconciliation_2E'!D$9:D$270,MATCH($D45,'SR_Cash Reconciliation_2E'!$B$9:$B$270,0))),"")</f>
        <v/>
      </c>
      <c r="G45" s="917" t="str">
        <f>IFERROR(IF(INDEX('SR_Cash Reconciliation_2E'!E$9:E$270,MATCH($D45,'SR_Cash Reconciliation_2E'!$B$9:$B$270,0))="","",INDEX('SR_Cash Reconciliation_2E'!E$9:E$270,MATCH($D45,'SR_Cash Reconciliation_2E'!$B$9:$B$270,0))),"")</f>
        <v/>
      </c>
      <c r="H45" s="917" t="str">
        <f>IFERROR(IF(INDEX('SR_Cash Reconciliation_2E'!F$9:F$270,MATCH($D45,'SR_Cash Reconciliation_2E'!$B$9:$B$270,0))="","",INDEX('SR_Cash Reconciliation_2E'!F$9:F$270,MATCH($D45,'SR_Cash Reconciliation_2E'!$B$9:$B$270,0))),"")</f>
        <v/>
      </c>
      <c r="I45" s="917" t="str">
        <f>IFERROR(IF(INDEX('SR_Cash Reconciliation_2E'!G$9:G$270,MATCH($D45,'SR_Cash Reconciliation_2E'!$B$9:$B$270,0))="","",INDEX('SR_Cash Reconciliation_2E'!G$9:G$270,MATCH($D45,'SR_Cash Reconciliation_2E'!$B$9:$B$270,0))),"")</f>
        <v/>
      </c>
      <c r="J45" s="917" t="str">
        <f>IFERROR(IF(INDEX('SR_Cash Reconciliation_2E'!H$9:H$270,MATCH($D45,'SR_Cash Reconciliation_2E'!$B$9:$B$270,0))="","",INDEX('SR_Cash Reconciliation_2E'!H$9:H$270,MATCH($D45,'SR_Cash Reconciliation_2E'!$B$9:$B$270,0))),"")</f>
        <v/>
      </c>
      <c r="K45" s="917" t="str">
        <f>IFERROR(IF(INDEX('SR_Cash Reconciliation_2E'!I$9:I$270,MATCH($D45,'SR_Cash Reconciliation_2E'!$B$9:$B$270,0))="","",INDEX('SR_Cash Reconciliation_2E'!I$9:I$270,MATCH($D45,'SR_Cash Reconciliation_2E'!$B$9:$B$270,0))),"")</f>
        <v/>
      </c>
      <c r="L45" s="917" t="str">
        <f>IFERROR(IF(INDEX('SR_Cash Reconciliation_2E'!K$9:K$270,MATCH($D45,'SR_Cash Reconciliation_2E'!$B$9:$B$270,0))="","",INDEX('SR_Cash Reconciliation_2E'!K$9:K$270,MATCH($D45,'SR_Cash Reconciliation_2E'!$B$9:$B$270,0))),"")</f>
        <v/>
      </c>
      <c r="M45" s="915" t="str">
        <f>""</f>
        <v/>
      </c>
      <c r="N45" s="917" t="str">
        <f>IFERROR(IF(INDEX('SR_Cash Reconciliation_2E'!N$9:N$270,MATCH($D45,'SR_Cash Reconciliation_2E'!$B$9:$B$270,0))="","",INDEX('SR_Cash Reconciliation_2E'!N$9:N$270,MATCH($D45,'SR_Cash Reconciliation_2E'!$B$9:$B$270,0))),"")</f>
        <v/>
      </c>
    </row>
    <row r="46" spans="1:14" x14ac:dyDescent="0.25">
      <c r="A46" s="637"/>
      <c r="B46" s="915"/>
      <c r="C46" s="915">
        <f t="shared" si="0"/>
        <v>41</v>
      </c>
      <c r="D46" s="915" t="str">
        <f t="shared" si="1"/>
        <v>ID41</v>
      </c>
      <c r="E46" s="916" t="str">
        <f>IFERROR(IF(INDEX('SR_Cash Reconciliation_2E'!C$9:C$270,MATCH($D46,'SR_Cash Reconciliation_2E'!$B$9:$B$270,0))="","",INDEX('SR_Cash Reconciliation_2E'!C$9:C$270,MATCH($D46,'SR_Cash Reconciliation_2E'!$B$9:$B$270,0))),"")</f>
        <v/>
      </c>
      <c r="F46" s="917" t="str">
        <f>IFERROR(IF(INDEX('SR_Cash Reconciliation_2E'!D$9:D$270,MATCH($D46,'SR_Cash Reconciliation_2E'!$B$9:$B$270,0))="","",INDEX('SR_Cash Reconciliation_2E'!D$9:D$270,MATCH($D46,'SR_Cash Reconciliation_2E'!$B$9:$B$270,0))),"")</f>
        <v/>
      </c>
      <c r="G46" s="917" t="str">
        <f>IFERROR(IF(INDEX('SR_Cash Reconciliation_2E'!E$9:E$270,MATCH($D46,'SR_Cash Reconciliation_2E'!$B$9:$B$270,0))="","",INDEX('SR_Cash Reconciliation_2E'!E$9:E$270,MATCH($D46,'SR_Cash Reconciliation_2E'!$B$9:$B$270,0))),"")</f>
        <v/>
      </c>
      <c r="H46" s="917" t="str">
        <f>IFERROR(IF(INDEX('SR_Cash Reconciliation_2E'!F$9:F$270,MATCH($D46,'SR_Cash Reconciliation_2E'!$B$9:$B$270,0))="","",INDEX('SR_Cash Reconciliation_2E'!F$9:F$270,MATCH($D46,'SR_Cash Reconciliation_2E'!$B$9:$B$270,0))),"")</f>
        <v/>
      </c>
      <c r="I46" s="917" t="str">
        <f>IFERROR(IF(INDEX('SR_Cash Reconciliation_2E'!G$9:G$270,MATCH($D46,'SR_Cash Reconciliation_2E'!$B$9:$B$270,0))="","",INDEX('SR_Cash Reconciliation_2E'!G$9:G$270,MATCH($D46,'SR_Cash Reconciliation_2E'!$B$9:$B$270,0))),"")</f>
        <v/>
      </c>
      <c r="J46" s="917" t="str">
        <f>IFERROR(IF(INDEX('SR_Cash Reconciliation_2E'!H$9:H$270,MATCH($D46,'SR_Cash Reconciliation_2E'!$B$9:$B$270,0))="","",INDEX('SR_Cash Reconciliation_2E'!H$9:H$270,MATCH($D46,'SR_Cash Reconciliation_2E'!$B$9:$B$270,0))),"")</f>
        <v/>
      </c>
      <c r="K46" s="917" t="str">
        <f>IFERROR(IF(INDEX('SR_Cash Reconciliation_2E'!I$9:I$270,MATCH($D46,'SR_Cash Reconciliation_2E'!$B$9:$B$270,0))="","",INDEX('SR_Cash Reconciliation_2E'!I$9:I$270,MATCH($D46,'SR_Cash Reconciliation_2E'!$B$9:$B$270,0))),"")</f>
        <v/>
      </c>
      <c r="L46" s="917" t="str">
        <f>IFERROR(IF(INDEX('SR_Cash Reconciliation_2E'!K$9:K$270,MATCH($D46,'SR_Cash Reconciliation_2E'!$B$9:$B$270,0))="","",INDEX('SR_Cash Reconciliation_2E'!K$9:K$270,MATCH($D46,'SR_Cash Reconciliation_2E'!$B$9:$B$270,0))),"")</f>
        <v/>
      </c>
      <c r="M46" s="915" t="str">
        <f>""</f>
        <v/>
      </c>
      <c r="N46" s="917" t="str">
        <f>IFERROR(IF(INDEX('SR_Cash Reconciliation_2E'!N$9:N$270,MATCH($D46,'SR_Cash Reconciliation_2E'!$B$9:$B$270,0))="","",INDEX('SR_Cash Reconciliation_2E'!N$9:N$270,MATCH($D46,'SR_Cash Reconciliation_2E'!$B$9:$B$270,0))),"")</f>
        <v/>
      </c>
    </row>
    <row r="47" spans="1:14" x14ac:dyDescent="0.25">
      <c r="A47" s="637"/>
      <c r="B47" s="915"/>
      <c r="C47" s="915">
        <f t="shared" si="0"/>
        <v>42</v>
      </c>
      <c r="D47" s="915" t="str">
        <f t="shared" si="1"/>
        <v>ID42</v>
      </c>
      <c r="E47" s="916" t="str">
        <f>IFERROR(IF(INDEX('SR_Cash Reconciliation_2E'!C$9:C$270,MATCH($D47,'SR_Cash Reconciliation_2E'!$B$9:$B$270,0))="","",INDEX('SR_Cash Reconciliation_2E'!C$9:C$270,MATCH($D47,'SR_Cash Reconciliation_2E'!$B$9:$B$270,0))),"")</f>
        <v/>
      </c>
      <c r="F47" s="917" t="str">
        <f>IFERROR(IF(INDEX('SR_Cash Reconciliation_2E'!D$9:D$270,MATCH($D47,'SR_Cash Reconciliation_2E'!$B$9:$B$270,0))="","",INDEX('SR_Cash Reconciliation_2E'!D$9:D$270,MATCH($D47,'SR_Cash Reconciliation_2E'!$B$9:$B$270,0))),"")</f>
        <v/>
      </c>
      <c r="G47" s="917" t="str">
        <f>IFERROR(IF(INDEX('SR_Cash Reconciliation_2E'!E$9:E$270,MATCH($D47,'SR_Cash Reconciliation_2E'!$B$9:$B$270,0))="","",INDEX('SR_Cash Reconciliation_2E'!E$9:E$270,MATCH($D47,'SR_Cash Reconciliation_2E'!$B$9:$B$270,0))),"")</f>
        <v/>
      </c>
      <c r="H47" s="917" t="str">
        <f>IFERROR(IF(INDEX('SR_Cash Reconciliation_2E'!F$9:F$270,MATCH($D47,'SR_Cash Reconciliation_2E'!$B$9:$B$270,0))="","",INDEX('SR_Cash Reconciliation_2E'!F$9:F$270,MATCH($D47,'SR_Cash Reconciliation_2E'!$B$9:$B$270,0))),"")</f>
        <v/>
      </c>
      <c r="I47" s="917" t="str">
        <f>IFERROR(IF(INDEX('SR_Cash Reconciliation_2E'!G$9:G$270,MATCH($D47,'SR_Cash Reconciliation_2E'!$B$9:$B$270,0))="","",INDEX('SR_Cash Reconciliation_2E'!G$9:G$270,MATCH($D47,'SR_Cash Reconciliation_2E'!$B$9:$B$270,0))),"")</f>
        <v/>
      </c>
      <c r="J47" s="917" t="str">
        <f>IFERROR(IF(INDEX('SR_Cash Reconciliation_2E'!H$9:H$270,MATCH($D47,'SR_Cash Reconciliation_2E'!$B$9:$B$270,0))="","",INDEX('SR_Cash Reconciliation_2E'!H$9:H$270,MATCH($D47,'SR_Cash Reconciliation_2E'!$B$9:$B$270,0))),"")</f>
        <v/>
      </c>
      <c r="K47" s="917" t="str">
        <f>IFERROR(IF(INDEX('SR_Cash Reconciliation_2E'!I$9:I$270,MATCH($D47,'SR_Cash Reconciliation_2E'!$B$9:$B$270,0))="","",INDEX('SR_Cash Reconciliation_2E'!I$9:I$270,MATCH($D47,'SR_Cash Reconciliation_2E'!$B$9:$B$270,0))),"")</f>
        <v/>
      </c>
      <c r="L47" s="917" t="str">
        <f>IFERROR(IF(INDEX('SR_Cash Reconciliation_2E'!K$9:K$270,MATCH($D47,'SR_Cash Reconciliation_2E'!$B$9:$B$270,0))="","",INDEX('SR_Cash Reconciliation_2E'!K$9:K$270,MATCH($D47,'SR_Cash Reconciliation_2E'!$B$9:$B$270,0))),"")</f>
        <v/>
      </c>
      <c r="M47" s="915" t="str">
        <f>""</f>
        <v/>
      </c>
      <c r="N47" s="917" t="str">
        <f>IFERROR(IF(INDEX('SR_Cash Reconciliation_2E'!N$9:N$270,MATCH($D47,'SR_Cash Reconciliation_2E'!$B$9:$B$270,0))="","",INDEX('SR_Cash Reconciliation_2E'!N$9:N$270,MATCH($D47,'SR_Cash Reconciliation_2E'!$B$9:$B$270,0))),"")</f>
        <v/>
      </c>
    </row>
    <row r="48" spans="1:14" x14ac:dyDescent="0.25">
      <c r="A48" s="637"/>
      <c r="B48" s="915"/>
      <c r="C48" s="915">
        <f t="shared" si="0"/>
        <v>43</v>
      </c>
      <c r="D48" s="915" t="str">
        <f t="shared" si="1"/>
        <v>ID43</v>
      </c>
      <c r="E48" s="916" t="str">
        <f>IFERROR(IF(INDEX('SR_Cash Reconciliation_2E'!C$9:C$270,MATCH($D48,'SR_Cash Reconciliation_2E'!$B$9:$B$270,0))="","",INDEX('SR_Cash Reconciliation_2E'!C$9:C$270,MATCH($D48,'SR_Cash Reconciliation_2E'!$B$9:$B$270,0))),"")</f>
        <v/>
      </c>
      <c r="F48" s="917" t="str">
        <f>IFERROR(IF(INDEX('SR_Cash Reconciliation_2E'!D$9:D$270,MATCH($D48,'SR_Cash Reconciliation_2E'!$B$9:$B$270,0))="","",INDEX('SR_Cash Reconciliation_2E'!D$9:D$270,MATCH($D48,'SR_Cash Reconciliation_2E'!$B$9:$B$270,0))),"")</f>
        <v/>
      </c>
      <c r="G48" s="917" t="str">
        <f>IFERROR(IF(INDEX('SR_Cash Reconciliation_2E'!E$9:E$270,MATCH($D48,'SR_Cash Reconciliation_2E'!$B$9:$B$270,0))="","",INDEX('SR_Cash Reconciliation_2E'!E$9:E$270,MATCH($D48,'SR_Cash Reconciliation_2E'!$B$9:$B$270,0))),"")</f>
        <v/>
      </c>
      <c r="H48" s="917" t="str">
        <f>IFERROR(IF(INDEX('SR_Cash Reconciliation_2E'!F$9:F$270,MATCH($D48,'SR_Cash Reconciliation_2E'!$B$9:$B$270,0))="","",INDEX('SR_Cash Reconciliation_2E'!F$9:F$270,MATCH($D48,'SR_Cash Reconciliation_2E'!$B$9:$B$270,0))),"")</f>
        <v/>
      </c>
      <c r="I48" s="917" t="str">
        <f>IFERROR(IF(INDEX('SR_Cash Reconciliation_2E'!G$9:G$270,MATCH($D48,'SR_Cash Reconciliation_2E'!$B$9:$B$270,0))="","",INDEX('SR_Cash Reconciliation_2E'!G$9:G$270,MATCH($D48,'SR_Cash Reconciliation_2E'!$B$9:$B$270,0))),"")</f>
        <v/>
      </c>
      <c r="J48" s="917" t="str">
        <f>IFERROR(IF(INDEX('SR_Cash Reconciliation_2E'!H$9:H$270,MATCH($D48,'SR_Cash Reconciliation_2E'!$B$9:$B$270,0))="","",INDEX('SR_Cash Reconciliation_2E'!H$9:H$270,MATCH($D48,'SR_Cash Reconciliation_2E'!$B$9:$B$270,0))),"")</f>
        <v/>
      </c>
      <c r="K48" s="917" t="str">
        <f>IFERROR(IF(INDEX('SR_Cash Reconciliation_2E'!I$9:I$270,MATCH($D48,'SR_Cash Reconciliation_2E'!$B$9:$B$270,0))="","",INDEX('SR_Cash Reconciliation_2E'!I$9:I$270,MATCH($D48,'SR_Cash Reconciliation_2E'!$B$9:$B$270,0))),"")</f>
        <v/>
      </c>
      <c r="L48" s="917" t="str">
        <f>IFERROR(IF(INDEX('SR_Cash Reconciliation_2E'!K$9:K$270,MATCH($D48,'SR_Cash Reconciliation_2E'!$B$9:$B$270,0))="","",INDEX('SR_Cash Reconciliation_2E'!K$9:K$270,MATCH($D48,'SR_Cash Reconciliation_2E'!$B$9:$B$270,0))),"")</f>
        <v/>
      </c>
      <c r="M48" s="915" t="str">
        <f>""</f>
        <v/>
      </c>
      <c r="N48" s="917" t="str">
        <f>IFERROR(IF(INDEX('SR_Cash Reconciliation_2E'!N$9:N$270,MATCH($D48,'SR_Cash Reconciliation_2E'!$B$9:$B$270,0))="","",INDEX('SR_Cash Reconciliation_2E'!N$9:N$270,MATCH($D48,'SR_Cash Reconciliation_2E'!$B$9:$B$270,0))),"")</f>
        <v/>
      </c>
    </row>
    <row r="49" spans="1:14" x14ac:dyDescent="0.25">
      <c r="A49" s="637"/>
      <c r="B49" s="915"/>
      <c r="C49" s="915">
        <f t="shared" si="0"/>
        <v>44</v>
      </c>
      <c r="D49" s="915" t="str">
        <f t="shared" si="1"/>
        <v>ID44</v>
      </c>
      <c r="E49" s="916" t="str">
        <f>IFERROR(IF(INDEX('SR_Cash Reconciliation_2E'!C$9:C$270,MATCH($D49,'SR_Cash Reconciliation_2E'!$B$9:$B$270,0))="","",INDEX('SR_Cash Reconciliation_2E'!C$9:C$270,MATCH($D49,'SR_Cash Reconciliation_2E'!$B$9:$B$270,0))),"")</f>
        <v/>
      </c>
      <c r="F49" s="917" t="str">
        <f>IFERROR(IF(INDEX('SR_Cash Reconciliation_2E'!D$9:D$270,MATCH($D49,'SR_Cash Reconciliation_2E'!$B$9:$B$270,0))="","",INDEX('SR_Cash Reconciliation_2E'!D$9:D$270,MATCH($D49,'SR_Cash Reconciliation_2E'!$B$9:$B$270,0))),"")</f>
        <v/>
      </c>
      <c r="G49" s="917" t="str">
        <f>IFERROR(IF(INDEX('SR_Cash Reconciliation_2E'!E$9:E$270,MATCH($D49,'SR_Cash Reconciliation_2E'!$B$9:$B$270,0))="","",INDEX('SR_Cash Reconciliation_2E'!E$9:E$270,MATCH($D49,'SR_Cash Reconciliation_2E'!$B$9:$B$270,0))),"")</f>
        <v/>
      </c>
      <c r="H49" s="917" t="str">
        <f>IFERROR(IF(INDEX('SR_Cash Reconciliation_2E'!F$9:F$270,MATCH($D49,'SR_Cash Reconciliation_2E'!$B$9:$B$270,0))="","",INDEX('SR_Cash Reconciliation_2E'!F$9:F$270,MATCH($D49,'SR_Cash Reconciliation_2E'!$B$9:$B$270,0))),"")</f>
        <v/>
      </c>
      <c r="I49" s="917" t="str">
        <f>IFERROR(IF(INDEX('SR_Cash Reconciliation_2E'!G$9:G$270,MATCH($D49,'SR_Cash Reconciliation_2E'!$B$9:$B$270,0))="","",INDEX('SR_Cash Reconciliation_2E'!G$9:G$270,MATCH($D49,'SR_Cash Reconciliation_2E'!$B$9:$B$270,0))),"")</f>
        <v/>
      </c>
      <c r="J49" s="917" t="str">
        <f>IFERROR(IF(INDEX('SR_Cash Reconciliation_2E'!H$9:H$270,MATCH($D49,'SR_Cash Reconciliation_2E'!$B$9:$B$270,0))="","",INDEX('SR_Cash Reconciliation_2E'!H$9:H$270,MATCH($D49,'SR_Cash Reconciliation_2E'!$B$9:$B$270,0))),"")</f>
        <v/>
      </c>
      <c r="K49" s="917" t="str">
        <f>IFERROR(IF(INDEX('SR_Cash Reconciliation_2E'!I$9:I$270,MATCH($D49,'SR_Cash Reconciliation_2E'!$B$9:$B$270,0))="","",INDEX('SR_Cash Reconciliation_2E'!I$9:I$270,MATCH($D49,'SR_Cash Reconciliation_2E'!$B$9:$B$270,0))),"")</f>
        <v/>
      </c>
      <c r="L49" s="917" t="str">
        <f>IFERROR(IF(INDEX('SR_Cash Reconciliation_2E'!K$9:K$270,MATCH($D49,'SR_Cash Reconciliation_2E'!$B$9:$B$270,0))="","",INDEX('SR_Cash Reconciliation_2E'!K$9:K$270,MATCH($D49,'SR_Cash Reconciliation_2E'!$B$9:$B$270,0))),"")</f>
        <v/>
      </c>
      <c r="M49" s="915" t="str">
        <f>""</f>
        <v/>
      </c>
      <c r="N49" s="917" t="str">
        <f>IFERROR(IF(INDEX('SR_Cash Reconciliation_2E'!N$9:N$270,MATCH($D49,'SR_Cash Reconciliation_2E'!$B$9:$B$270,0))="","",INDEX('SR_Cash Reconciliation_2E'!N$9:N$270,MATCH($D49,'SR_Cash Reconciliation_2E'!$B$9:$B$270,0))),"")</f>
        <v/>
      </c>
    </row>
    <row r="50" spans="1:14" x14ac:dyDescent="0.25">
      <c r="A50" s="637"/>
      <c r="B50" s="915"/>
      <c r="C50" s="915">
        <f t="shared" si="0"/>
        <v>45</v>
      </c>
      <c r="D50" s="915" t="str">
        <f t="shared" si="1"/>
        <v>ID45</v>
      </c>
      <c r="E50" s="916" t="str">
        <f>IFERROR(IF(INDEX('SR_Cash Reconciliation_2E'!C$9:C$270,MATCH($D50,'SR_Cash Reconciliation_2E'!$B$9:$B$270,0))="","",INDEX('SR_Cash Reconciliation_2E'!C$9:C$270,MATCH($D50,'SR_Cash Reconciliation_2E'!$B$9:$B$270,0))),"")</f>
        <v/>
      </c>
      <c r="F50" s="917" t="str">
        <f>IFERROR(IF(INDEX('SR_Cash Reconciliation_2E'!D$9:D$270,MATCH($D50,'SR_Cash Reconciliation_2E'!$B$9:$B$270,0))="","",INDEX('SR_Cash Reconciliation_2E'!D$9:D$270,MATCH($D50,'SR_Cash Reconciliation_2E'!$B$9:$B$270,0))),"")</f>
        <v/>
      </c>
      <c r="G50" s="917" t="str">
        <f>IFERROR(IF(INDEX('SR_Cash Reconciliation_2E'!E$9:E$270,MATCH($D50,'SR_Cash Reconciliation_2E'!$B$9:$B$270,0))="","",INDEX('SR_Cash Reconciliation_2E'!E$9:E$270,MATCH($D50,'SR_Cash Reconciliation_2E'!$B$9:$B$270,0))),"")</f>
        <v/>
      </c>
      <c r="H50" s="917" t="str">
        <f>IFERROR(IF(INDEX('SR_Cash Reconciliation_2E'!F$9:F$270,MATCH($D50,'SR_Cash Reconciliation_2E'!$B$9:$B$270,0))="","",INDEX('SR_Cash Reconciliation_2E'!F$9:F$270,MATCH($D50,'SR_Cash Reconciliation_2E'!$B$9:$B$270,0))),"")</f>
        <v/>
      </c>
      <c r="I50" s="917" t="str">
        <f>IFERROR(IF(INDEX('SR_Cash Reconciliation_2E'!G$9:G$270,MATCH($D50,'SR_Cash Reconciliation_2E'!$B$9:$B$270,0))="","",INDEX('SR_Cash Reconciliation_2E'!G$9:G$270,MATCH($D50,'SR_Cash Reconciliation_2E'!$B$9:$B$270,0))),"")</f>
        <v/>
      </c>
      <c r="J50" s="917" t="str">
        <f>IFERROR(IF(INDEX('SR_Cash Reconciliation_2E'!H$9:H$270,MATCH($D50,'SR_Cash Reconciliation_2E'!$B$9:$B$270,0))="","",INDEX('SR_Cash Reconciliation_2E'!H$9:H$270,MATCH($D50,'SR_Cash Reconciliation_2E'!$B$9:$B$270,0))),"")</f>
        <v/>
      </c>
      <c r="K50" s="917" t="str">
        <f>IFERROR(IF(INDEX('SR_Cash Reconciliation_2E'!I$9:I$270,MATCH($D50,'SR_Cash Reconciliation_2E'!$B$9:$B$270,0))="","",INDEX('SR_Cash Reconciliation_2E'!I$9:I$270,MATCH($D50,'SR_Cash Reconciliation_2E'!$B$9:$B$270,0))),"")</f>
        <v/>
      </c>
      <c r="L50" s="917" t="str">
        <f>IFERROR(IF(INDEX('SR_Cash Reconciliation_2E'!K$9:K$270,MATCH($D50,'SR_Cash Reconciliation_2E'!$B$9:$B$270,0))="","",INDEX('SR_Cash Reconciliation_2E'!K$9:K$270,MATCH($D50,'SR_Cash Reconciliation_2E'!$B$9:$B$270,0))),"")</f>
        <v/>
      </c>
      <c r="M50" s="915" t="str">
        <f>""</f>
        <v/>
      </c>
      <c r="N50" s="917" t="str">
        <f>IFERROR(IF(INDEX('SR_Cash Reconciliation_2E'!N$9:N$270,MATCH($D50,'SR_Cash Reconciliation_2E'!$B$9:$B$270,0))="","",INDEX('SR_Cash Reconciliation_2E'!N$9:N$270,MATCH($D50,'SR_Cash Reconciliation_2E'!$B$9:$B$270,0))),"")</f>
        <v/>
      </c>
    </row>
    <row r="51" spans="1:14" x14ac:dyDescent="0.25">
      <c r="A51" s="637"/>
      <c r="B51" s="915"/>
      <c r="C51" s="915">
        <f t="shared" si="0"/>
        <v>46</v>
      </c>
      <c r="D51" s="915" t="str">
        <f t="shared" si="1"/>
        <v>ID46</v>
      </c>
      <c r="E51" s="916" t="str">
        <f>IFERROR(IF(INDEX('SR_Cash Reconciliation_2E'!C$9:C$270,MATCH($D51,'SR_Cash Reconciliation_2E'!$B$9:$B$270,0))="","",INDEX('SR_Cash Reconciliation_2E'!C$9:C$270,MATCH($D51,'SR_Cash Reconciliation_2E'!$B$9:$B$270,0))),"")</f>
        <v/>
      </c>
      <c r="F51" s="917" t="str">
        <f>IFERROR(IF(INDEX('SR_Cash Reconciliation_2E'!D$9:D$270,MATCH($D51,'SR_Cash Reconciliation_2E'!$B$9:$B$270,0))="","",INDEX('SR_Cash Reconciliation_2E'!D$9:D$270,MATCH($D51,'SR_Cash Reconciliation_2E'!$B$9:$B$270,0))),"")</f>
        <v/>
      </c>
      <c r="G51" s="917" t="str">
        <f>IFERROR(IF(INDEX('SR_Cash Reconciliation_2E'!E$9:E$270,MATCH($D51,'SR_Cash Reconciliation_2E'!$B$9:$B$270,0))="","",INDEX('SR_Cash Reconciliation_2E'!E$9:E$270,MATCH($D51,'SR_Cash Reconciliation_2E'!$B$9:$B$270,0))),"")</f>
        <v/>
      </c>
      <c r="H51" s="917" t="str">
        <f>IFERROR(IF(INDEX('SR_Cash Reconciliation_2E'!F$9:F$270,MATCH($D51,'SR_Cash Reconciliation_2E'!$B$9:$B$270,0))="","",INDEX('SR_Cash Reconciliation_2E'!F$9:F$270,MATCH($D51,'SR_Cash Reconciliation_2E'!$B$9:$B$270,0))),"")</f>
        <v/>
      </c>
      <c r="I51" s="917" t="str">
        <f>IFERROR(IF(INDEX('SR_Cash Reconciliation_2E'!G$9:G$270,MATCH($D51,'SR_Cash Reconciliation_2E'!$B$9:$B$270,0))="","",INDEX('SR_Cash Reconciliation_2E'!G$9:G$270,MATCH($D51,'SR_Cash Reconciliation_2E'!$B$9:$B$270,0))),"")</f>
        <v/>
      </c>
      <c r="J51" s="917" t="str">
        <f>IFERROR(IF(INDEX('SR_Cash Reconciliation_2E'!H$9:H$270,MATCH($D51,'SR_Cash Reconciliation_2E'!$B$9:$B$270,0))="","",INDEX('SR_Cash Reconciliation_2E'!H$9:H$270,MATCH($D51,'SR_Cash Reconciliation_2E'!$B$9:$B$270,0))),"")</f>
        <v/>
      </c>
      <c r="K51" s="917" t="str">
        <f>IFERROR(IF(INDEX('SR_Cash Reconciliation_2E'!I$9:I$270,MATCH($D51,'SR_Cash Reconciliation_2E'!$B$9:$B$270,0))="","",INDEX('SR_Cash Reconciliation_2E'!I$9:I$270,MATCH($D51,'SR_Cash Reconciliation_2E'!$B$9:$B$270,0))),"")</f>
        <v/>
      </c>
      <c r="L51" s="917" t="str">
        <f>IFERROR(IF(INDEX('SR_Cash Reconciliation_2E'!K$9:K$270,MATCH($D51,'SR_Cash Reconciliation_2E'!$B$9:$B$270,0))="","",INDEX('SR_Cash Reconciliation_2E'!K$9:K$270,MATCH($D51,'SR_Cash Reconciliation_2E'!$B$9:$B$270,0))),"")</f>
        <v/>
      </c>
      <c r="M51" s="915" t="str">
        <f>""</f>
        <v/>
      </c>
      <c r="N51" s="917" t="str">
        <f>IFERROR(IF(INDEX('SR_Cash Reconciliation_2E'!N$9:N$270,MATCH($D51,'SR_Cash Reconciliation_2E'!$B$9:$B$270,0))="","",INDEX('SR_Cash Reconciliation_2E'!N$9:N$270,MATCH($D51,'SR_Cash Reconciliation_2E'!$B$9:$B$270,0))),"")</f>
        <v/>
      </c>
    </row>
    <row r="52" spans="1:14" x14ac:dyDescent="0.25">
      <c r="A52" s="637"/>
      <c r="B52" s="915"/>
      <c r="C52" s="915">
        <f t="shared" si="0"/>
        <v>47</v>
      </c>
      <c r="D52" s="915" t="str">
        <f t="shared" si="1"/>
        <v>ID47</v>
      </c>
      <c r="E52" s="916" t="str">
        <f>IFERROR(IF(INDEX('SR_Cash Reconciliation_2E'!C$9:C$270,MATCH($D52,'SR_Cash Reconciliation_2E'!$B$9:$B$270,0))="","",INDEX('SR_Cash Reconciliation_2E'!C$9:C$270,MATCH($D52,'SR_Cash Reconciliation_2E'!$B$9:$B$270,0))),"")</f>
        <v/>
      </c>
      <c r="F52" s="917" t="str">
        <f>IFERROR(IF(INDEX('SR_Cash Reconciliation_2E'!D$9:D$270,MATCH($D52,'SR_Cash Reconciliation_2E'!$B$9:$B$270,0))="","",INDEX('SR_Cash Reconciliation_2E'!D$9:D$270,MATCH($D52,'SR_Cash Reconciliation_2E'!$B$9:$B$270,0))),"")</f>
        <v/>
      </c>
      <c r="G52" s="917" t="str">
        <f>IFERROR(IF(INDEX('SR_Cash Reconciliation_2E'!E$9:E$270,MATCH($D52,'SR_Cash Reconciliation_2E'!$B$9:$B$270,0))="","",INDEX('SR_Cash Reconciliation_2E'!E$9:E$270,MATCH($D52,'SR_Cash Reconciliation_2E'!$B$9:$B$270,0))),"")</f>
        <v/>
      </c>
      <c r="H52" s="917" t="str">
        <f>IFERROR(IF(INDEX('SR_Cash Reconciliation_2E'!F$9:F$270,MATCH($D52,'SR_Cash Reconciliation_2E'!$B$9:$B$270,0))="","",INDEX('SR_Cash Reconciliation_2E'!F$9:F$270,MATCH($D52,'SR_Cash Reconciliation_2E'!$B$9:$B$270,0))),"")</f>
        <v/>
      </c>
      <c r="I52" s="917" t="str">
        <f>IFERROR(IF(INDEX('SR_Cash Reconciliation_2E'!G$9:G$270,MATCH($D52,'SR_Cash Reconciliation_2E'!$B$9:$B$270,0))="","",INDEX('SR_Cash Reconciliation_2E'!G$9:G$270,MATCH($D52,'SR_Cash Reconciliation_2E'!$B$9:$B$270,0))),"")</f>
        <v/>
      </c>
      <c r="J52" s="917" t="str">
        <f>IFERROR(IF(INDEX('SR_Cash Reconciliation_2E'!H$9:H$270,MATCH($D52,'SR_Cash Reconciliation_2E'!$B$9:$B$270,0))="","",INDEX('SR_Cash Reconciliation_2E'!H$9:H$270,MATCH($D52,'SR_Cash Reconciliation_2E'!$B$9:$B$270,0))),"")</f>
        <v/>
      </c>
      <c r="K52" s="917" t="str">
        <f>IFERROR(IF(INDEX('SR_Cash Reconciliation_2E'!I$9:I$270,MATCH($D52,'SR_Cash Reconciliation_2E'!$B$9:$B$270,0))="","",INDEX('SR_Cash Reconciliation_2E'!I$9:I$270,MATCH($D52,'SR_Cash Reconciliation_2E'!$B$9:$B$270,0))),"")</f>
        <v/>
      </c>
      <c r="L52" s="917" t="str">
        <f>IFERROR(IF(INDEX('SR_Cash Reconciliation_2E'!K$9:K$270,MATCH($D52,'SR_Cash Reconciliation_2E'!$B$9:$B$270,0))="","",INDEX('SR_Cash Reconciliation_2E'!K$9:K$270,MATCH($D52,'SR_Cash Reconciliation_2E'!$B$9:$B$270,0))),"")</f>
        <v/>
      </c>
      <c r="M52" s="915" t="str">
        <f>""</f>
        <v/>
      </c>
      <c r="N52" s="917" t="str">
        <f>IFERROR(IF(INDEX('SR_Cash Reconciliation_2E'!N$9:N$270,MATCH($D52,'SR_Cash Reconciliation_2E'!$B$9:$B$270,0))="","",INDEX('SR_Cash Reconciliation_2E'!N$9:N$270,MATCH($D52,'SR_Cash Reconciliation_2E'!$B$9:$B$270,0))),"")</f>
        <v/>
      </c>
    </row>
    <row r="53" spans="1:14" x14ac:dyDescent="0.25">
      <c r="A53" s="637"/>
      <c r="B53" s="915"/>
      <c r="C53" s="915">
        <f t="shared" si="0"/>
        <v>48</v>
      </c>
      <c r="D53" s="915" t="str">
        <f t="shared" si="1"/>
        <v>ID48</v>
      </c>
      <c r="E53" s="916" t="str">
        <f>IFERROR(IF(INDEX('SR_Cash Reconciliation_2E'!C$9:C$270,MATCH($D53,'SR_Cash Reconciliation_2E'!$B$9:$B$270,0))="","",INDEX('SR_Cash Reconciliation_2E'!C$9:C$270,MATCH($D53,'SR_Cash Reconciliation_2E'!$B$9:$B$270,0))),"")</f>
        <v/>
      </c>
      <c r="F53" s="917" t="str">
        <f>IFERROR(IF(INDEX('SR_Cash Reconciliation_2E'!D$9:D$270,MATCH($D53,'SR_Cash Reconciliation_2E'!$B$9:$B$270,0))="","",INDEX('SR_Cash Reconciliation_2E'!D$9:D$270,MATCH($D53,'SR_Cash Reconciliation_2E'!$B$9:$B$270,0))),"")</f>
        <v/>
      </c>
      <c r="G53" s="917" t="str">
        <f>IFERROR(IF(INDEX('SR_Cash Reconciliation_2E'!E$9:E$270,MATCH($D53,'SR_Cash Reconciliation_2E'!$B$9:$B$270,0))="","",INDEX('SR_Cash Reconciliation_2E'!E$9:E$270,MATCH($D53,'SR_Cash Reconciliation_2E'!$B$9:$B$270,0))),"")</f>
        <v/>
      </c>
      <c r="H53" s="917" t="str">
        <f>IFERROR(IF(INDEX('SR_Cash Reconciliation_2E'!F$9:F$270,MATCH($D53,'SR_Cash Reconciliation_2E'!$B$9:$B$270,0))="","",INDEX('SR_Cash Reconciliation_2E'!F$9:F$270,MATCH($D53,'SR_Cash Reconciliation_2E'!$B$9:$B$270,0))),"")</f>
        <v/>
      </c>
      <c r="I53" s="917" t="str">
        <f>IFERROR(IF(INDEX('SR_Cash Reconciliation_2E'!G$9:G$270,MATCH($D53,'SR_Cash Reconciliation_2E'!$B$9:$B$270,0))="","",INDEX('SR_Cash Reconciliation_2E'!G$9:G$270,MATCH($D53,'SR_Cash Reconciliation_2E'!$B$9:$B$270,0))),"")</f>
        <v/>
      </c>
      <c r="J53" s="917" t="str">
        <f>IFERROR(IF(INDEX('SR_Cash Reconciliation_2E'!H$9:H$270,MATCH($D53,'SR_Cash Reconciliation_2E'!$B$9:$B$270,0))="","",INDEX('SR_Cash Reconciliation_2E'!H$9:H$270,MATCH($D53,'SR_Cash Reconciliation_2E'!$B$9:$B$270,0))),"")</f>
        <v/>
      </c>
      <c r="K53" s="917" t="str">
        <f>IFERROR(IF(INDEX('SR_Cash Reconciliation_2E'!I$9:I$270,MATCH($D53,'SR_Cash Reconciliation_2E'!$B$9:$B$270,0))="","",INDEX('SR_Cash Reconciliation_2E'!I$9:I$270,MATCH($D53,'SR_Cash Reconciliation_2E'!$B$9:$B$270,0))),"")</f>
        <v/>
      </c>
      <c r="L53" s="917" t="str">
        <f>IFERROR(IF(INDEX('SR_Cash Reconciliation_2E'!K$9:K$270,MATCH($D53,'SR_Cash Reconciliation_2E'!$B$9:$B$270,0))="","",INDEX('SR_Cash Reconciliation_2E'!K$9:K$270,MATCH($D53,'SR_Cash Reconciliation_2E'!$B$9:$B$270,0))),"")</f>
        <v/>
      </c>
      <c r="M53" s="915" t="str">
        <f>""</f>
        <v/>
      </c>
      <c r="N53" s="917" t="str">
        <f>IFERROR(IF(INDEX('SR_Cash Reconciliation_2E'!N$9:N$270,MATCH($D53,'SR_Cash Reconciliation_2E'!$B$9:$B$270,0))="","",INDEX('SR_Cash Reconciliation_2E'!N$9:N$270,MATCH($D53,'SR_Cash Reconciliation_2E'!$B$9:$B$270,0))),"")</f>
        <v/>
      </c>
    </row>
    <row r="54" spans="1:14" x14ac:dyDescent="0.25">
      <c r="A54" s="637"/>
      <c r="B54" s="915"/>
      <c r="C54" s="915">
        <f t="shared" si="0"/>
        <v>49</v>
      </c>
      <c r="D54" s="915" t="str">
        <f t="shared" si="1"/>
        <v>ID49</v>
      </c>
      <c r="E54" s="916" t="str">
        <f>IFERROR(IF(INDEX('SR_Cash Reconciliation_2E'!C$9:C$270,MATCH($D54,'SR_Cash Reconciliation_2E'!$B$9:$B$270,0))="","",INDEX('SR_Cash Reconciliation_2E'!C$9:C$270,MATCH($D54,'SR_Cash Reconciliation_2E'!$B$9:$B$270,0))),"")</f>
        <v/>
      </c>
      <c r="F54" s="917" t="str">
        <f>IFERROR(IF(INDEX('SR_Cash Reconciliation_2E'!D$9:D$270,MATCH($D54,'SR_Cash Reconciliation_2E'!$B$9:$B$270,0))="","",INDEX('SR_Cash Reconciliation_2E'!D$9:D$270,MATCH($D54,'SR_Cash Reconciliation_2E'!$B$9:$B$270,0))),"")</f>
        <v/>
      </c>
      <c r="G54" s="917" t="str">
        <f>IFERROR(IF(INDEX('SR_Cash Reconciliation_2E'!E$9:E$270,MATCH($D54,'SR_Cash Reconciliation_2E'!$B$9:$B$270,0))="","",INDEX('SR_Cash Reconciliation_2E'!E$9:E$270,MATCH($D54,'SR_Cash Reconciliation_2E'!$B$9:$B$270,0))),"")</f>
        <v/>
      </c>
      <c r="H54" s="917" t="str">
        <f>IFERROR(IF(INDEX('SR_Cash Reconciliation_2E'!F$9:F$270,MATCH($D54,'SR_Cash Reconciliation_2E'!$B$9:$B$270,0))="","",INDEX('SR_Cash Reconciliation_2E'!F$9:F$270,MATCH($D54,'SR_Cash Reconciliation_2E'!$B$9:$B$270,0))),"")</f>
        <v/>
      </c>
      <c r="I54" s="917" t="str">
        <f>IFERROR(IF(INDEX('SR_Cash Reconciliation_2E'!G$9:G$270,MATCH($D54,'SR_Cash Reconciliation_2E'!$B$9:$B$270,0))="","",INDEX('SR_Cash Reconciliation_2E'!G$9:G$270,MATCH($D54,'SR_Cash Reconciliation_2E'!$B$9:$B$270,0))),"")</f>
        <v/>
      </c>
      <c r="J54" s="917" t="str">
        <f>IFERROR(IF(INDEX('SR_Cash Reconciliation_2E'!H$9:H$270,MATCH($D54,'SR_Cash Reconciliation_2E'!$B$9:$B$270,0))="","",INDEX('SR_Cash Reconciliation_2E'!H$9:H$270,MATCH($D54,'SR_Cash Reconciliation_2E'!$B$9:$B$270,0))),"")</f>
        <v/>
      </c>
      <c r="K54" s="917" t="str">
        <f>IFERROR(IF(INDEX('SR_Cash Reconciliation_2E'!I$9:I$270,MATCH($D54,'SR_Cash Reconciliation_2E'!$B$9:$B$270,0))="","",INDEX('SR_Cash Reconciliation_2E'!I$9:I$270,MATCH($D54,'SR_Cash Reconciliation_2E'!$B$9:$B$270,0))),"")</f>
        <v/>
      </c>
      <c r="L54" s="917" t="str">
        <f>IFERROR(IF(INDEX('SR_Cash Reconciliation_2E'!K$9:K$270,MATCH($D54,'SR_Cash Reconciliation_2E'!$B$9:$B$270,0))="","",INDEX('SR_Cash Reconciliation_2E'!K$9:K$270,MATCH($D54,'SR_Cash Reconciliation_2E'!$B$9:$B$270,0))),"")</f>
        <v/>
      </c>
      <c r="M54" s="915" t="str">
        <f>""</f>
        <v/>
      </c>
      <c r="N54" s="917" t="str">
        <f>IFERROR(IF(INDEX('SR_Cash Reconciliation_2E'!N$9:N$270,MATCH($D54,'SR_Cash Reconciliation_2E'!$B$9:$B$270,0))="","",INDEX('SR_Cash Reconciliation_2E'!N$9:N$270,MATCH($D54,'SR_Cash Reconciliation_2E'!$B$9:$B$270,0))),"")</f>
        <v/>
      </c>
    </row>
    <row r="55" spans="1:14" x14ac:dyDescent="0.25">
      <c r="A55" s="637"/>
      <c r="B55" s="915"/>
      <c r="C55" s="915">
        <f t="shared" si="0"/>
        <v>50</v>
      </c>
      <c r="D55" s="915" t="str">
        <f t="shared" si="1"/>
        <v>ID50</v>
      </c>
      <c r="E55" s="916" t="str">
        <f>IFERROR(IF(INDEX('SR_Cash Reconciliation_2E'!C$9:C$270,MATCH($D55,'SR_Cash Reconciliation_2E'!$B$9:$B$270,0))="","",INDEX('SR_Cash Reconciliation_2E'!C$9:C$270,MATCH($D55,'SR_Cash Reconciliation_2E'!$B$9:$B$270,0))),"")</f>
        <v/>
      </c>
      <c r="F55" s="917" t="str">
        <f>IFERROR(IF(INDEX('SR_Cash Reconciliation_2E'!D$9:D$270,MATCH($D55,'SR_Cash Reconciliation_2E'!$B$9:$B$270,0))="","",INDEX('SR_Cash Reconciliation_2E'!D$9:D$270,MATCH($D55,'SR_Cash Reconciliation_2E'!$B$9:$B$270,0))),"")</f>
        <v/>
      </c>
      <c r="G55" s="917" t="str">
        <f>IFERROR(IF(INDEX('SR_Cash Reconciliation_2E'!E$9:E$270,MATCH($D55,'SR_Cash Reconciliation_2E'!$B$9:$B$270,0))="","",INDEX('SR_Cash Reconciliation_2E'!E$9:E$270,MATCH($D55,'SR_Cash Reconciliation_2E'!$B$9:$B$270,0))),"")</f>
        <v/>
      </c>
      <c r="H55" s="917" t="str">
        <f>IFERROR(IF(INDEX('SR_Cash Reconciliation_2E'!F$9:F$270,MATCH($D55,'SR_Cash Reconciliation_2E'!$B$9:$B$270,0))="","",INDEX('SR_Cash Reconciliation_2E'!F$9:F$270,MATCH($D55,'SR_Cash Reconciliation_2E'!$B$9:$B$270,0))),"")</f>
        <v/>
      </c>
      <c r="I55" s="917" t="str">
        <f>IFERROR(IF(INDEX('SR_Cash Reconciliation_2E'!G$9:G$270,MATCH($D55,'SR_Cash Reconciliation_2E'!$B$9:$B$270,0))="","",INDEX('SR_Cash Reconciliation_2E'!G$9:G$270,MATCH($D55,'SR_Cash Reconciliation_2E'!$B$9:$B$270,0))),"")</f>
        <v/>
      </c>
      <c r="J55" s="917" t="str">
        <f>IFERROR(IF(INDEX('SR_Cash Reconciliation_2E'!H$9:H$270,MATCH($D55,'SR_Cash Reconciliation_2E'!$B$9:$B$270,0))="","",INDEX('SR_Cash Reconciliation_2E'!H$9:H$270,MATCH($D55,'SR_Cash Reconciliation_2E'!$B$9:$B$270,0))),"")</f>
        <v/>
      </c>
      <c r="K55" s="917" t="str">
        <f>IFERROR(IF(INDEX('SR_Cash Reconciliation_2E'!I$9:I$270,MATCH($D55,'SR_Cash Reconciliation_2E'!$B$9:$B$270,0))="","",INDEX('SR_Cash Reconciliation_2E'!I$9:I$270,MATCH($D55,'SR_Cash Reconciliation_2E'!$B$9:$B$270,0))),"")</f>
        <v/>
      </c>
      <c r="L55" s="917" t="str">
        <f>IFERROR(IF(INDEX('SR_Cash Reconciliation_2E'!K$9:K$270,MATCH($D55,'SR_Cash Reconciliation_2E'!$B$9:$B$270,0))="","",INDEX('SR_Cash Reconciliation_2E'!K$9:K$270,MATCH($D55,'SR_Cash Reconciliation_2E'!$B$9:$B$270,0))),"")</f>
        <v/>
      </c>
      <c r="M55" s="915" t="str">
        <f>""</f>
        <v/>
      </c>
      <c r="N55" s="917" t="str">
        <f>IFERROR(IF(INDEX('SR_Cash Reconciliation_2E'!N$9:N$270,MATCH($D55,'SR_Cash Reconciliation_2E'!$B$9:$B$270,0))="","",INDEX('SR_Cash Reconciliation_2E'!N$9:N$270,MATCH($D55,'SR_Cash Reconciliation_2E'!$B$9:$B$270,0))),"")</f>
        <v/>
      </c>
    </row>
    <row r="56" spans="1:14" x14ac:dyDescent="0.25">
      <c r="A56" s="637"/>
      <c r="B56" s="915"/>
      <c r="C56" s="915">
        <f t="shared" si="0"/>
        <v>51</v>
      </c>
      <c r="D56" s="915" t="str">
        <f t="shared" si="1"/>
        <v>ID51</v>
      </c>
      <c r="E56" s="916" t="str">
        <f>IFERROR(IF(INDEX('SR_Cash Reconciliation_2E'!C$9:C$270,MATCH($D56,'SR_Cash Reconciliation_2E'!$B$9:$B$270,0))="","",INDEX('SR_Cash Reconciliation_2E'!C$9:C$270,MATCH($D56,'SR_Cash Reconciliation_2E'!$B$9:$B$270,0))),"")</f>
        <v/>
      </c>
      <c r="F56" s="917" t="str">
        <f>IFERROR(IF(INDEX('SR_Cash Reconciliation_2E'!D$9:D$270,MATCH($D56,'SR_Cash Reconciliation_2E'!$B$9:$B$270,0))="","",INDEX('SR_Cash Reconciliation_2E'!D$9:D$270,MATCH($D56,'SR_Cash Reconciliation_2E'!$B$9:$B$270,0))),"")</f>
        <v/>
      </c>
      <c r="G56" s="917" t="str">
        <f>IFERROR(IF(INDEX('SR_Cash Reconciliation_2E'!E$9:E$270,MATCH($D56,'SR_Cash Reconciliation_2E'!$B$9:$B$270,0))="","",INDEX('SR_Cash Reconciliation_2E'!E$9:E$270,MATCH($D56,'SR_Cash Reconciliation_2E'!$B$9:$B$270,0))),"")</f>
        <v/>
      </c>
      <c r="H56" s="917" t="str">
        <f>IFERROR(IF(INDEX('SR_Cash Reconciliation_2E'!F$9:F$270,MATCH($D56,'SR_Cash Reconciliation_2E'!$B$9:$B$270,0))="","",INDEX('SR_Cash Reconciliation_2E'!F$9:F$270,MATCH($D56,'SR_Cash Reconciliation_2E'!$B$9:$B$270,0))),"")</f>
        <v/>
      </c>
      <c r="I56" s="917" t="str">
        <f>IFERROR(IF(INDEX('SR_Cash Reconciliation_2E'!G$9:G$270,MATCH($D56,'SR_Cash Reconciliation_2E'!$B$9:$B$270,0))="","",INDEX('SR_Cash Reconciliation_2E'!G$9:G$270,MATCH($D56,'SR_Cash Reconciliation_2E'!$B$9:$B$270,0))),"")</f>
        <v/>
      </c>
      <c r="J56" s="917" t="str">
        <f>IFERROR(IF(INDEX('SR_Cash Reconciliation_2E'!H$9:H$270,MATCH($D56,'SR_Cash Reconciliation_2E'!$B$9:$B$270,0))="","",INDEX('SR_Cash Reconciliation_2E'!H$9:H$270,MATCH($D56,'SR_Cash Reconciliation_2E'!$B$9:$B$270,0))),"")</f>
        <v/>
      </c>
      <c r="K56" s="917" t="str">
        <f>IFERROR(IF(INDEX('SR_Cash Reconciliation_2E'!I$9:I$270,MATCH($D56,'SR_Cash Reconciliation_2E'!$B$9:$B$270,0))="","",INDEX('SR_Cash Reconciliation_2E'!I$9:I$270,MATCH($D56,'SR_Cash Reconciliation_2E'!$B$9:$B$270,0))),"")</f>
        <v/>
      </c>
      <c r="L56" s="917" t="str">
        <f>IFERROR(IF(INDEX('SR_Cash Reconciliation_2E'!K$9:K$270,MATCH($D56,'SR_Cash Reconciliation_2E'!$B$9:$B$270,0))="","",INDEX('SR_Cash Reconciliation_2E'!K$9:K$270,MATCH($D56,'SR_Cash Reconciliation_2E'!$B$9:$B$270,0))),"")</f>
        <v/>
      </c>
      <c r="M56" s="915" t="str">
        <f>""</f>
        <v/>
      </c>
      <c r="N56" s="917" t="str">
        <f>IFERROR(IF(INDEX('SR_Cash Reconciliation_2E'!N$9:N$270,MATCH($D56,'SR_Cash Reconciliation_2E'!$B$9:$B$270,0))="","",INDEX('SR_Cash Reconciliation_2E'!N$9:N$270,MATCH($D56,'SR_Cash Reconciliation_2E'!$B$9:$B$270,0))),"")</f>
        <v/>
      </c>
    </row>
    <row r="57" spans="1:14" x14ac:dyDescent="0.25">
      <c r="A57" s="637"/>
      <c r="B57" s="915"/>
      <c r="C57" s="915">
        <f t="shared" si="0"/>
        <v>52</v>
      </c>
      <c r="D57" s="915" t="str">
        <f t="shared" si="1"/>
        <v>ID52</v>
      </c>
      <c r="E57" s="916" t="str">
        <f>IFERROR(IF(INDEX('SR_Cash Reconciliation_2E'!C$9:C$270,MATCH($D57,'SR_Cash Reconciliation_2E'!$B$9:$B$270,0))="","",INDEX('SR_Cash Reconciliation_2E'!C$9:C$270,MATCH($D57,'SR_Cash Reconciliation_2E'!$B$9:$B$270,0))),"")</f>
        <v/>
      </c>
      <c r="F57" s="917" t="str">
        <f>IFERROR(IF(INDEX('SR_Cash Reconciliation_2E'!D$9:D$270,MATCH($D57,'SR_Cash Reconciliation_2E'!$B$9:$B$270,0))="","",INDEX('SR_Cash Reconciliation_2E'!D$9:D$270,MATCH($D57,'SR_Cash Reconciliation_2E'!$B$9:$B$270,0))),"")</f>
        <v/>
      </c>
      <c r="G57" s="917" t="str">
        <f>IFERROR(IF(INDEX('SR_Cash Reconciliation_2E'!E$9:E$270,MATCH($D57,'SR_Cash Reconciliation_2E'!$B$9:$B$270,0))="","",INDEX('SR_Cash Reconciliation_2E'!E$9:E$270,MATCH($D57,'SR_Cash Reconciliation_2E'!$B$9:$B$270,0))),"")</f>
        <v/>
      </c>
      <c r="H57" s="917" t="str">
        <f>IFERROR(IF(INDEX('SR_Cash Reconciliation_2E'!F$9:F$270,MATCH($D57,'SR_Cash Reconciliation_2E'!$B$9:$B$270,0))="","",INDEX('SR_Cash Reconciliation_2E'!F$9:F$270,MATCH($D57,'SR_Cash Reconciliation_2E'!$B$9:$B$270,0))),"")</f>
        <v/>
      </c>
      <c r="I57" s="917" t="str">
        <f>IFERROR(IF(INDEX('SR_Cash Reconciliation_2E'!G$9:G$270,MATCH($D57,'SR_Cash Reconciliation_2E'!$B$9:$B$270,0))="","",INDEX('SR_Cash Reconciliation_2E'!G$9:G$270,MATCH($D57,'SR_Cash Reconciliation_2E'!$B$9:$B$270,0))),"")</f>
        <v/>
      </c>
      <c r="J57" s="917" t="str">
        <f>IFERROR(IF(INDEX('SR_Cash Reconciliation_2E'!H$9:H$270,MATCH($D57,'SR_Cash Reconciliation_2E'!$B$9:$B$270,0))="","",INDEX('SR_Cash Reconciliation_2E'!H$9:H$270,MATCH($D57,'SR_Cash Reconciliation_2E'!$B$9:$B$270,0))),"")</f>
        <v/>
      </c>
      <c r="K57" s="917" t="str">
        <f>IFERROR(IF(INDEX('SR_Cash Reconciliation_2E'!I$9:I$270,MATCH($D57,'SR_Cash Reconciliation_2E'!$B$9:$B$270,0))="","",INDEX('SR_Cash Reconciliation_2E'!I$9:I$270,MATCH($D57,'SR_Cash Reconciliation_2E'!$B$9:$B$270,0))),"")</f>
        <v/>
      </c>
      <c r="L57" s="917" t="str">
        <f>IFERROR(IF(INDEX('SR_Cash Reconciliation_2E'!K$9:K$270,MATCH($D57,'SR_Cash Reconciliation_2E'!$B$9:$B$270,0))="","",INDEX('SR_Cash Reconciliation_2E'!K$9:K$270,MATCH($D57,'SR_Cash Reconciliation_2E'!$B$9:$B$270,0))),"")</f>
        <v/>
      </c>
      <c r="M57" s="915" t="str">
        <f>""</f>
        <v/>
      </c>
      <c r="N57" s="917" t="str">
        <f>IFERROR(IF(INDEX('SR_Cash Reconciliation_2E'!N$9:N$270,MATCH($D57,'SR_Cash Reconciliation_2E'!$B$9:$B$270,0))="","",INDEX('SR_Cash Reconciliation_2E'!N$9:N$270,MATCH($D57,'SR_Cash Reconciliation_2E'!$B$9:$B$270,0))),"")</f>
        <v/>
      </c>
    </row>
    <row r="58" spans="1:14" x14ac:dyDescent="0.25">
      <c r="A58" s="637"/>
      <c r="B58" s="915"/>
      <c r="C58" s="915">
        <f t="shared" si="0"/>
        <v>53</v>
      </c>
      <c r="D58" s="915" t="str">
        <f t="shared" si="1"/>
        <v>ID53</v>
      </c>
      <c r="E58" s="916" t="str">
        <f>IFERROR(IF(INDEX('SR_Cash Reconciliation_2E'!C$9:C$270,MATCH($D58,'SR_Cash Reconciliation_2E'!$B$9:$B$270,0))="","",INDEX('SR_Cash Reconciliation_2E'!C$9:C$270,MATCH($D58,'SR_Cash Reconciliation_2E'!$B$9:$B$270,0))),"")</f>
        <v/>
      </c>
      <c r="F58" s="917" t="str">
        <f>IFERROR(IF(INDEX('SR_Cash Reconciliation_2E'!D$9:D$270,MATCH($D58,'SR_Cash Reconciliation_2E'!$B$9:$B$270,0))="","",INDEX('SR_Cash Reconciliation_2E'!D$9:D$270,MATCH($D58,'SR_Cash Reconciliation_2E'!$B$9:$B$270,0))),"")</f>
        <v/>
      </c>
      <c r="G58" s="917" t="str">
        <f>IFERROR(IF(INDEX('SR_Cash Reconciliation_2E'!E$9:E$270,MATCH($D58,'SR_Cash Reconciliation_2E'!$B$9:$B$270,0))="","",INDEX('SR_Cash Reconciliation_2E'!E$9:E$270,MATCH($D58,'SR_Cash Reconciliation_2E'!$B$9:$B$270,0))),"")</f>
        <v/>
      </c>
      <c r="H58" s="917" t="str">
        <f>IFERROR(IF(INDEX('SR_Cash Reconciliation_2E'!F$9:F$270,MATCH($D58,'SR_Cash Reconciliation_2E'!$B$9:$B$270,0))="","",INDEX('SR_Cash Reconciliation_2E'!F$9:F$270,MATCH($D58,'SR_Cash Reconciliation_2E'!$B$9:$B$270,0))),"")</f>
        <v/>
      </c>
      <c r="I58" s="917" t="str">
        <f>IFERROR(IF(INDEX('SR_Cash Reconciliation_2E'!G$9:G$270,MATCH($D58,'SR_Cash Reconciliation_2E'!$B$9:$B$270,0))="","",INDEX('SR_Cash Reconciliation_2E'!G$9:G$270,MATCH($D58,'SR_Cash Reconciliation_2E'!$B$9:$B$270,0))),"")</f>
        <v/>
      </c>
      <c r="J58" s="917" t="str">
        <f>IFERROR(IF(INDEX('SR_Cash Reconciliation_2E'!H$9:H$270,MATCH($D58,'SR_Cash Reconciliation_2E'!$B$9:$B$270,0))="","",INDEX('SR_Cash Reconciliation_2E'!H$9:H$270,MATCH($D58,'SR_Cash Reconciliation_2E'!$B$9:$B$270,0))),"")</f>
        <v/>
      </c>
      <c r="K58" s="917" t="str">
        <f>IFERROR(IF(INDEX('SR_Cash Reconciliation_2E'!I$9:I$270,MATCH($D58,'SR_Cash Reconciliation_2E'!$B$9:$B$270,0))="","",INDEX('SR_Cash Reconciliation_2E'!I$9:I$270,MATCH($D58,'SR_Cash Reconciliation_2E'!$B$9:$B$270,0))),"")</f>
        <v/>
      </c>
      <c r="L58" s="917" t="str">
        <f>IFERROR(IF(INDEX('SR_Cash Reconciliation_2E'!K$9:K$270,MATCH($D58,'SR_Cash Reconciliation_2E'!$B$9:$B$270,0))="","",INDEX('SR_Cash Reconciliation_2E'!K$9:K$270,MATCH($D58,'SR_Cash Reconciliation_2E'!$B$9:$B$270,0))),"")</f>
        <v/>
      </c>
      <c r="M58" s="915" t="str">
        <f>""</f>
        <v/>
      </c>
      <c r="N58" s="917" t="str">
        <f>IFERROR(IF(INDEX('SR_Cash Reconciliation_2E'!N$9:N$270,MATCH($D58,'SR_Cash Reconciliation_2E'!$B$9:$B$270,0))="","",INDEX('SR_Cash Reconciliation_2E'!N$9:N$270,MATCH($D58,'SR_Cash Reconciliation_2E'!$B$9:$B$270,0))),"")</f>
        <v/>
      </c>
    </row>
    <row r="59" spans="1:14" x14ac:dyDescent="0.25">
      <c r="A59" s="637"/>
      <c r="B59" s="915"/>
      <c r="C59" s="915">
        <f t="shared" si="0"/>
        <v>54</v>
      </c>
      <c r="D59" s="915" t="str">
        <f t="shared" si="1"/>
        <v>ID54</v>
      </c>
      <c r="E59" s="916" t="str">
        <f>IFERROR(IF(INDEX('SR_Cash Reconciliation_2E'!C$9:C$270,MATCH($D59,'SR_Cash Reconciliation_2E'!$B$9:$B$270,0))="","",INDEX('SR_Cash Reconciliation_2E'!C$9:C$270,MATCH($D59,'SR_Cash Reconciliation_2E'!$B$9:$B$270,0))),"")</f>
        <v/>
      </c>
      <c r="F59" s="917" t="str">
        <f>IFERROR(IF(INDEX('SR_Cash Reconciliation_2E'!D$9:D$270,MATCH($D59,'SR_Cash Reconciliation_2E'!$B$9:$B$270,0))="","",INDEX('SR_Cash Reconciliation_2E'!D$9:D$270,MATCH($D59,'SR_Cash Reconciliation_2E'!$B$9:$B$270,0))),"")</f>
        <v/>
      </c>
      <c r="G59" s="917" t="str">
        <f>IFERROR(IF(INDEX('SR_Cash Reconciliation_2E'!E$9:E$270,MATCH($D59,'SR_Cash Reconciliation_2E'!$B$9:$B$270,0))="","",INDEX('SR_Cash Reconciliation_2E'!E$9:E$270,MATCH($D59,'SR_Cash Reconciliation_2E'!$B$9:$B$270,0))),"")</f>
        <v/>
      </c>
      <c r="H59" s="917" t="str">
        <f>IFERROR(IF(INDEX('SR_Cash Reconciliation_2E'!F$9:F$270,MATCH($D59,'SR_Cash Reconciliation_2E'!$B$9:$B$270,0))="","",INDEX('SR_Cash Reconciliation_2E'!F$9:F$270,MATCH($D59,'SR_Cash Reconciliation_2E'!$B$9:$B$270,0))),"")</f>
        <v/>
      </c>
      <c r="I59" s="917" t="str">
        <f>IFERROR(IF(INDEX('SR_Cash Reconciliation_2E'!G$9:G$270,MATCH($D59,'SR_Cash Reconciliation_2E'!$B$9:$B$270,0))="","",INDEX('SR_Cash Reconciliation_2E'!G$9:G$270,MATCH($D59,'SR_Cash Reconciliation_2E'!$B$9:$B$270,0))),"")</f>
        <v/>
      </c>
      <c r="J59" s="917" t="str">
        <f>IFERROR(IF(INDEX('SR_Cash Reconciliation_2E'!H$9:H$270,MATCH($D59,'SR_Cash Reconciliation_2E'!$B$9:$B$270,0))="","",INDEX('SR_Cash Reconciliation_2E'!H$9:H$270,MATCH($D59,'SR_Cash Reconciliation_2E'!$B$9:$B$270,0))),"")</f>
        <v/>
      </c>
      <c r="K59" s="917" t="str">
        <f>IFERROR(IF(INDEX('SR_Cash Reconciliation_2E'!I$9:I$270,MATCH($D59,'SR_Cash Reconciliation_2E'!$B$9:$B$270,0))="","",INDEX('SR_Cash Reconciliation_2E'!I$9:I$270,MATCH($D59,'SR_Cash Reconciliation_2E'!$B$9:$B$270,0))),"")</f>
        <v/>
      </c>
      <c r="L59" s="917" t="str">
        <f>IFERROR(IF(INDEX('SR_Cash Reconciliation_2E'!K$9:K$270,MATCH($D59,'SR_Cash Reconciliation_2E'!$B$9:$B$270,0))="","",INDEX('SR_Cash Reconciliation_2E'!K$9:K$270,MATCH($D59,'SR_Cash Reconciliation_2E'!$B$9:$B$270,0))),"")</f>
        <v/>
      </c>
      <c r="M59" s="915" t="str">
        <f>""</f>
        <v/>
      </c>
      <c r="N59" s="917" t="str">
        <f>IFERROR(IF(INDEX('SR_Cash Reconciliation_2E'!N$9:N$270,MATCH($D59,'SR_Cash Reconciliation_2E'!$B$9:$B$270,0))="","",INDEX('SR_Cash Reconciliation_2E'!N$9:N$270,MATCH($D59,'SR_Cash Reconciliation_2E'!$B$9:$B$270,0))),"")</f>
        <v/>
      </c>
    </row>
    <row r="60" spans="1:14" x14ac:dyDescent="0.25">
      <c r="A60" s="637"/>
      <c r="B60" s="915"/>
      <c r="C60" s="915">
        <f t="shared" si="0"/>
        <v>55</v>
      </c>
      <c r="D60" s="915" t="str">
        <f t="shared" si="1"/>
        <v>ID55</v>
      </c>
      <c r="E60" s="916" t="str">
        <f>IFERROR(IF(INDEX('SR_Cash Reconciliation_2E'!C$9:C$270,MATCH($D60,'SR_Cash Reconciliation_2E'!$B$9:$B$270,0))="","",INDEX('SR_Cash Reconciliation_2E'!C$9:C$270,MATCH($D60,'SR_Cash Reconciliation_2E'!$B$9:$B$270,0))),"")</f>
        <v/>
      </c>
      <c r="F60" s="917" t="str">
        <f>IFERROR(IF(INDEX('SR_Cash Reconciliation_2E'!D$9:D$270,MATCH($D60,'SR_Cash Reconciliation_2E'!$B$9:$B$270,0))="","",INDEX('SR_Cash Reconciliation_2E'!D$9:D$270,MATCH($D60,'SR_Cash Reconciliation_2E'!$B$9:$B$270,0))),"")</f>
        <v/>
      </c>
      <c r="G60" s="917" t="str">
        <f>IFERROR(IF(INDEX('SR_Cash Reconciliation_2E'!E$9:E$270,MATCH($D60,'SR_Cash Reconciliation_2E'!$B$9:$B$270,0))="","",INDEX('SR_Cash Reconciliation_2E'!E$9:E$270,MATCH($D60,'SR_Cash Reconciliation_2E'!$B$9:$B$270,0))),"")</f>
        <v/>
      </c>
      <c r="H60" s="917" t="str">
        <f>IFERROR(IF(INDEX('SR_Cash Reconciliation_2E'!F$9:F$270,MATCH($D60,'SR_Cash Reconciliation_2E'!$B$9:$B$270,0))="","",INDEX('SR_Cash Reconciliation_2E'!F$9:F$270,MATCH($D60,'SR_Cash Reconciliation_2E'!$B$9:$B$270,0))),"")</f>
        <v/>
      </c>
      <c r="I60" s="917" t="str">
        <f>IFERROR(IF(INDEX('SR_Cash Reconciliation_2E'!G$9:G$270,MATCH($D60,'SR_Cash Reconciliation_2E'!$B$9:$B$270,0))="","",INDEX('SR_Cash Reconciliation_2E'!G$9:G$270,MATCH($D60,'SR_Cash Reconciliation_2E'!$B$9:$B$270,0))),"")</f>
        <v/>
      </c>
      <c r="J60" s="917" t="str">
        <f>IFERROR(IF(INDEX('SR_Cash Reconciliation_2E'!H$9:H$270,MATCH($D60,'SR_Cash Reconciliation_2E'!$B$9:$B$270,0))="","",INDEX('SR_Cash Reconciliation_2E'!H$9:H$270,MATCH($D60,'SR_Cash Reconciliation_2E'!$B$9:$B$270,0))),"")</f>
        <v/>
      </c>
      <c r="K60" s="917" t="str">
        <f>IFERROR(IF(INDEX('SR_Cash Reconciliation_2E'!I$9:I$270,MATCH($D60,'SR_Cash Reconciliation_2E'!$B$9:$B$270,0))="","",INDEX('SR_Cash Reconciliation_2E'!I$9:I$270,MATCH($D60,'SR_Cash Reconciliation_2E'!$B$9:$B$270,0))),"")</f>
        <v/>
      </c>
      <c r="L60" s="917" t="str">
        <f>IFERROR(IF(INDEX('SR_Cash Reconciliation_2E'!K$9:K$270,MATCH($D60,'SR_Cash Reconciliation_2E'!$B$9:$B$270,0))="","",INDEX('SR_Cash Reconciliation_2E'!K$9:K$270,MATCH($D60,'SR_Cash Reconciliation_2E'!$B$9:$B$270,0))),"")</f>
        <v/>
      </c>
      <c r="M60" s="915" t="str">
        <f>""</f>
        <v/>
      </c>
      <c r="N60" s="917" t="str">
        <f>IFERROR(IF(INDEX('SR_Cash Reconciliation_2E'!N$9:N$270,MATCH($D60,'SR_Cash Reconciliation_2E'!$B$9:$B$270,0))="","",INDEX('SR_Cash Reconciliation_2E'!N$9:N$270,MATCH($D60,'SR_Cash Reconciliation_2E'!$B$9:$B$270,0))),"")</f>
        <v/>
      </c>
    </row>
    <row r="61" spans="1:14" x14ac:dyDescent="0.25">
      <c r="A61" s="637"/>
      <c r="B61" s="915"/>
      <c r="C61" s="915">
        <f t="shared" si="0"/>
        <v>56</v>
      </c>
      <c r="D61" s="915" t="str">
        <f t="shared" si="1"/>
        <v>ID56</v>
      </c>
      <c r="E61" s="916" t="str">
        <f>IFERROR(IF(INDEX('SR_Cash Reconciliation_2E'!C$9:C$270,MATCH($D61,'SR_Cash Reconciliation_2E'!$B$9:$B$270,0))="","",INDEX('SR_Cash Reconciliation_2E'!C$9:C$270,MATCH($D61,'SR_Cash Reconciliation_2E'!$B$9:$B$270,0))),"")</f>
        <v/>
      </c>
      <c r="F61" s="917" t="str">
        <f>IFERROR(IF(INDEX('SR_Cash Reconciliation_2E'!D$9:D$270,MATCH($D61,'SR_Cash Reconciliation_2E'!$B$9:$B$270,0))="","",INDEX('SR_Cash Reconciliation_2E'!D$9:D$270,MATCH($D61,'SR_Cash Reconciliation_2E'!$B$9:$B$270,0))),"")</f>
        <v/>
      </c>
      <c r="G61" s="917" t="str">
        <f>IFERROR(IF(INDEX('SR_Cash Reconciliation_2E'!E$9:E$270,MATCH($D61,'SR_Cash Reconciliation_2E'!$B$9:$B$270,0))="","",INDEX('SR_Cash Reconciliation_2E'!E$9:E$270,MATCH($D61,'SR_Cash Reconciliation_2E'!$B$9:$B$270,0))),"")</f>
        <v/>
      </c>
      <c r="H61" s="917" t="str">
        <f>IFERROR(IF(INDEX('SR_Cash Reconciliation_2E'!F$9:F$270,MATCH($D61,'SR_Cash Reconciliation_2E'!$B$9:$B$270,0))="","",INDEX('SR_Cash Reconciliation_2E'!F$9:F$270,MATCH($D61,'SR_Cash Reconciliation_2E'!$B$9:$B$270,0))),"")</f>
        <v/>
      </c>
      <c r="I61" s="917" t="str">
        <f>IFERROR(IF(INDEX('SR_Cash Reconciliation_2E'!G$9:G$270,MATCH($D61,'SR_Cash Reconciliation_2E'!$B$9:$B$270,0))="","",INDEX('SR_Cash Reconciliation_2E'!G$9:G$270,MATCH($D61,'SR_Cash Reconciliation_2E'!$B$9:$B$270,0))),"")</f>
        <v/>
      </c>
      <c r="J61" s="917" t="str">
        <f>IFERROR(IF(INDEX('SR_Cash Reconciliation_2E'!H$9:H$270,MATCH($D61,'SR_Cash Reconciliation_2E'!$B$9:$B$270,0))="","",INDEX('SR_Cash Reconciliation_2E'!H$9:H$270,MATCH($D61,'SR_Cash Reconciliation_2E'!$B$9:$B$270,0))),"")</f>
        <v/>
      </c>
      <c r="K61" s="917" t="str">
        <f>IFERROR(IF(INDEX('SR_Cash Reconciliation_2E'!I$9:I$270,MATCH($D61,'SR_Cash Reconciliation_2E'!$B$9:$B$270,0))="","",INDEX('SR_Cash Reconciliation_2E'!I$9:I$270,MATCH($D61,'SR_Cash Reconciliation_2E'!$B$9:$B$270,0))),"")</f>
        <v/>
      </c>
      <c r="L61" s="917" t="str">
        <f>IFERROR(IF(INDEX('SR_Cash Reconciliation_2E'!K$9:K$270,MATCH($D61,'SR_Cash Reconciliation_2E'!$B$9:$B$270,0))="","",INDEX('SR_Cash Reconciliation_2E'!K$9:K$270,MATCH($D61,'SR_Cash Reconciliation_2E'!$B$9:$B$270,0))),"")</f>
        <v/>
      </c>
      <c r="M61" s="915" t="str">
        <f>""</f>
        <v/>
      </c>
      <c r="N61" s="917" t="str">
        <f>IFERROR(IF(INDEX('SR_Cash Reconciliation_2E'!N$9:N$270,MATCH($D61,'SR_Cash Reconciliation_2E'!$B$9:$B$270,0))="","",INDEX('SR_Cash Reconciliation_2E'!N$9:N$270,MATCH($D61,'SR_Cash Reconciliation_2E'!$B$9:$B$270,0))),"")</f>
        <v/>
      </c>
    </row>
    <row r="62" spans="1:14" x14ac:dyDescent="0.25">
      <c r="A62" s="637"/>
      <c r="B62" s="915"/>
      <c r="C62" s="915">
        <f t="shared" si="0"/>
        <v>57</v>
      </c>
      <c r="D62" s="915" t="str">
        <f t="shared" si="1"/>
        <v>ID57</v>
      </c>
      <c r="E62" s="916" t="str">
        <f>IFERROR(IF(INDEX('SR_Cash Reconciliation_2E'!C$9:C$270,MATCH($D62,'SR_Cash Reconciliation_2E'!$B$9:$B$270,0))="","",INDEX('SR_Cash Reconciliation_2E'!C$9:C$270,MATCH($D62,'SR_Cash Reconciliation_2E'!$B$9:$B$270,0))),"")</f>
        <v/>
      </c>
      <c r="F62" s="917" t="str">
        <f>IFERROR(IF(INDEX('SR_Cash Reconciliation_2E'!D$9:D$270,MATCH($D62,'SR_Cash Reconciliation_2E'!$B$9:$B$270,0))="","",INDEX('SR_Cash Reconciliation_2E'!D$9:D$270,MATCH($D62,'SR_Cash Reconciliation_2E'!$B$9:$B$270,0))),"")</f>
        <v/>
      </c>
      <c r="G62" s="917" t="str">
        <f>IFERROR(IF(INDEX('SR_Cash Reconciliation_2E'!E$9:E$270,MATCH($D62,'SR_Cash Reconciliation_2E'!$B$9:$B$270,0))="","",INDEX('SR_Cash Reconciliation_2E'!E$9:E$270,MATCH($D62,'SR_Cash Reconciliation_2E'!$B$9:$B$270,0))),"")</f>
        <v/>
      </c>
      <c r="H62" s="917" t="str">
        <f>IFERROR(IF(INDEX('SR_Cash Reconciliation_2E'!F$9:F$270,MATCH($D62,'SR_Cash Reconciliation_2E'!$B$9:$B$270,0))="","",INDEX('SR_Cash Reconciliation_2E'!F$9:F$270,MATCH($D62,'SR_Cash Reconciliation_2E'!$B$9:$B$270,0))),"")</f>
        <v/>
      </c>
      <c r="I62" s="917" t="str">
        <f>IFERROR(IF(INDEX('SR_Cash Reconciliation_2E'!G$9:G$270,MATCH($D62,'SR_Cash Reconciliation_2E'!$B$9:$B$270,0))="","",INDEX('SR_Cash Reconciliation_2E'!G$9:G$270,MATCH($D62,'SR_Cash Reconciliation_2E'!$B$9:$B$270,0))),"")</f>
        <v/>
      </c>
      <c r="J62" s="917" t="str">
        <f>IFERROR(IF(INDEX('SR_Cash Reconciliation_2E'!H$9:H$270,MATCH($D62,'SR_Cash Reconciliation_2E'!$B$9:$B$270,0))="","",INDEX('SR_Cash Reconciliation_2E'!H$9:H$270,MATCH($D62,'SR_Cash Reconciliation_2E'!$B$9:$B$270,0))),"")</f>
        <v/>
      </c>
      <c r="K62" s="917" t="str">
        <f>IFERROR(IF(INDEX('SR_Cash Reconciliation_2E'!I$9:I$270,MATCH($D62,'SR_Cash Reconciliation_2E'!$B$9:$B$270,0))="","",INDEX('SR_Cash Reconciliation_2E'!I$9:I$270,MATCH($D62,'SR_Cash Reconciliation_2E'!$B$9:$B$270,0))),"")</f>
        <v/>
      </c>
      <c r="L62" s="917" t="str">
        <f>IFERROR(IF(INDEX('SR_Cash Reconciliation_2E'!K$9:K$270,MATCH($D62,'SR_Cash Reconciliation_2E'!$B$9:$B$270,0))="","",INDEX('SR_Cash Reconciliation_2E'!K$9:K$270,MATCH($D62,'SR_Cash Reconciliation_2E'!$B$9:$B$270,0))),"")</f>
        <v/>
      </c>
      <c r="M62" s="915" t="str">
        <f>""</f>
        <v/>
      </c>
      <c r="N62" s="917" t="str">
        <f>IFERROR(IF(INDEX('SR_Cash Reconciliation_2E'!N$9:N$270,MATCH($D62,'SR_Cash Reconciliation_2E'!$B$9:$B$270,0))="","",INDEX('SR_Cash Reconciliation_2E'!N$9:N$270,MATCH($D62,'SR_Cash Reconciliation_2E'!$B$9:$B$270,0))),"")</f>
        <v/>
      </c>
    </row>
    <row r="63" spans="1:14" x14ac:dyDescent="0.25">
      <c r="A63" s="637"/>
      <c r="B63" s="915"/>
      <c r="C63" s="915">
        <f t="shared" si="0"/>
        <v>58</v>
      </c>
      <c r="D63" s="915" t="str">
        <f t="shared" si="1"/>
        <v>ID58</v>
      </c>
      <c r="E63" s="916" t="str">
        <f>IFERROR(IF(INDEX('SR_Cash Reconciliation_2E'!C$9:C$270,MATCH($D63,'SR_Cash Reconciliation_2E'!$B$9:$B$270,0))="","",INDEX('SR_Cash Reconciliation_2E'!C$9:C$270,MATCH($D63,'SR_Cash Reconciliation_2E'!$B$9:$B$270,0))),"")</f>
        <v/>
      </c>
      <c r="F63" s="917" t="str">
        <f>IFERROR(IF(INDEX('SR_Cash Reconciliation_2E'!D$9:D$270,MATCH($D63,'SR_Cash Reconciliation_2E'!$B$9:$B$270,0))="","",INDEX('SR_Cash Reconciliation_2E'!D$9:D$270,MATCH($D63,'SR_Cash Reconciliation_2E'!$B$9:$B$270,0))),"")</f>
        <v/>
      </c>
      <c r="G63" s="917" t="str">
        <f>IFERROR(IF(INDEX('SR_Cash Reconciliation_2E'!E$9:E$270,MATCH($D63,'SR_Cash Reconciliation_2E'!$B$9:$B$270,0))="","",INDEX('SR_Cash Reconciliation_2E'!E$9:E$270,MATCH($D63,'SR_Cash Reconciliation_2E'!$B$9:$B$270,0))),"")</f>
        <v/>
      </c>
      <c r="H63" s="917" t="str">
        <f>IFERROR(IF(INDEX('SR_Cash Reconciliation_2E'!F$9:F$270,MATCH($D63,'SR_Cash Reconciliation_2E'!$B$9:$B$270,0))="","",INDEX('SR_Cash Reconciliation_2E'!F$9:F$270,MATCH($D63,'SR_Cash Reconciliation_2E'!$B$9:$B$270,0))),"")</f>
        <v/>
      </c>
      <c r="I63" s="917" t="str">
        <f>IFERROR(IF(INDEX('SR_Cash Reconciliation_2E'!G$9:G$270,MATCH($D63,'SR_Cash Reconciliation_2E'!$B$9:$B$270,0))="","",INDEX('SR_Cash Reconciliation_2E'!G$9:G$270,MATCH($D63,'SR_Cash Reconciliation_2E'!$B$9:$B$270,0))),"")</f>
        <v/>
      </c>
      <c r="J63" s="917" t="str">
        <f>IFERROR(IF(INDEX('SR_Cash Reconciliation_2E'!H$9:H$270,MATCH($D63,'SR_Cash Reconciliation_2E'!$B$9:$B$270,0))="","",INDEX('SR_Cash Reconciliation_2E'!H$9:H$270,MATCH($D63,'SR_Cash Reconciliation_2E'!$B$9:$B$270,0))),"")</f>
        <v/>
      </c>
      <c r="K63" s="917" t="str">
        <f>IFERROR(IF(INDEX('SR_Cash Reconciliation_2E'!I$9:I$270,MATCH($D63,'SR_Cash Reconciliation_2E'!$B$9:$B$270,0))="","",INDEX('SR_Cash Reconciliation_2E'!I$9:I$270,MATCH($D63,'SR_Cash Reconciliation_2E'!$B$9:$B$270,0))),"")</f>
        <v/>
      </c>
      <c r="L63" s="917" t="str">
        <f>IFERROR(IF(INDEX('SR_Cash Reconciliation_2E'!K$9:K$270,MATCH($D63,'SR_Cash Reconciliation_2E'!$B$9:$B$270,0))="","",INDEX('SR_Cash Reconciliation_2E'!K$9:K$270,MATCH($D63,'SR_Cash Reconciliation_2E'!$B$9:$B$270,0))),"")</f>
        <v/>
      </c>
      <c r="M63" s="915" t="str">
        <f>""</f>
        <v/>
      </c>
      <c r="N63" s="917" t="str">
        <f>IFERROR(IF(INDEX('SR_Cash Reconciliation_2E'!N$9:N$270,MATCH($D63,'SR_Cash Reconciliation_2E'!$B$9:$B$270,0))="","",INDEX('SR_Cash Reconciliation_2E'!N$9:N$270,MATCH($D63,'SR_Cash Reconciliation_2E'!$B$9:$B$270,0))),"")</f>
        <v/>
      </c>
    </row>
    <row r="64" spans="1:14" x14ac:dyDescent="0.25">
      <c r="A64" s="637"/>
      <c r="B64" s="915"/>
      <c r="C64" s="915">
        <f t="shared" si="0"/>
        <v>59</v>
      </c>
      <c r="D64" s="915" t="str">
        <f t="shared" si="1"/>
        <v>ID59</v>
      </c>
      <c r="E64" s="916" t="str">
        <f>IFERROR(IF(INDEX('SR_Cash Reconciliation_2E'!C$9:C$270,MATCH($D64,'SR_Cash Reconciliation_2E'!$B$9:$B$270,0))="","",INDEX('SR_Cash Reconciliation_2E'!C$9:C$270,MATCH($D64,'SR_Cash Reconciliation_2E'!$B$9:$B$270,0))),"")</f>
        <v/>
      </c>
      <c r="F64" s="917" t="str">
        <f>IFERROR(IF(INDEX('SR_Cash Reconciliation_2E'!D$9:D$270,MATCH($D64,'SR_Cash Reconciliation_2E'!$B$9:$B$270,0))="","",INDEX('SR_Cash Reconciliation_2E'!D$9:D$270,MATCH($D64,'SR_Cash Reconciliation_2E'!$B$9:$B$270,0))),"")</f>
        <v/>
      </c>
      <c r="G64" s="917" t="str">
        <f>IFERROR(IF(INDEX('SR_Cash Reconciliation_2E'!E$9:E$270,MATCH($D64,'SR_Cash Reconciliation_2E'!$B$9:$B$270,0))="","",INDEX('SR_Cash Reconciliation_2E'!E$9:E$270,MATCH($D64,'SR_Cash Reconciliation_2E'!$B$9:$B$270,0))),"")</f>
        <v/>
      </c>
      <c r="H64" s="917" t="str">
        <f>IFERROR(IF(INDEX('SR_Cash Reconciliation_2E'!F$9:F$270,MATCH($D64,'SR_Cash Reconciliation_2E'!$B$9:$B$270,0))="","",INDEX('SR_Cash Reconciliation_2E'!F$9:F$270,MATCH($D64,'SR_Cash Reconciliation_2E'!$B$9:$B$270,0))),"")</f>
        <v/>
      </c>
      <c r="I64" s="917" t="str">
        <f>IFERROR(IF(INDEX('SR_Cash Reconciliation_2E'!G$9:G$270,MATCH($D64,'SR_Cash Reconciliation_2E'!$B$9:$B$270,0))="","",INDEX('SR_Cash Reconciliation_2E'!G$9:G$270,MATCH($D64,'SR_Cash Reconciliation_2E'!$B$9:$B$270,0))),"")</f>
        <v/>
      </c>
      <c r="J64" s="917" t="str">
        <f>IFERROR(IF(INDEX('SR_Cash Reconciliation_2E'!H$9:H$270,MATCH($D64,'SR_Cash Reconciliation_2E'!$B$9:$B$270,0))="","",INDEX('SR_Cash Reconciliation_2E'!H$9:H$270,MATCH($D64,'SR_Cash Reconciliation_2E'!$B$9:$B$270,0))),"")</f>
        <v/>
      </c>
      <c r="K64" s="917" t="str">
        <f>IFERROR(IF(INDEX('SR_Cash Reconciliation_2E'!I$9:I$270,MATCH($D64,'SR_Cash Reconciliation_2E'!$B$9:$B$270,0))="","",INDEX('SR_Cash Reconciliation_2E'!I$9:I$270,MATCH($D64,'SR_Cash Reconciliation_2E'!$B$9:$B$270,0))),"")</f>
        <v/>
      </c>
      <c r="L64" s="917" t="str">
        <f>IFERROR(IF(INDEX('SR_Cash Reconciliation_2E'!K$9:K$270,MATCH($D64,'SR_Cash Reconciliation_2E'!$B$9:$B$270,0))="","",INDEX('SR_Cash Reconciliation_2E'!K$9:K$270,MATCH($D64,'SR_Cash Reconciliation_2E'!$B$9:$B$270,0))),"")</f>
        <v/>
      </c>
      <c r="M64" s="915" t="str">
        <f>""</f>
        <v/>
      </c>
      <c r="N64" s="917" t="str">
        <f>IFERROR(IF(INDEX('SR_Cash Reconciliation_2E'!N$9:N$270,MATCH($D64,'SR_Cash Reconciliation_2E'!$B$9:$B$270,0))="","",INDEX('SR_Cash Reconciliation_2E'!N$9:N$270,MATCH($D64,'SR_Cash Reconciliation_2E'!$B$9:$B$270,0))),"")</f>
        <v/>
      </c>
    </row>
    <row r="65" spans="1:14" x14ac:dyDescent="0.25">
      <c r="A65" s="637"/>
      <c r="B65" s="915"/>
      <c r="C65" s="915">
        <f t="shared" si="0"/>
        <v>60</v>
      </c>
      <c r="D65" s="915" t="str">
        <f t="shared" si="1"/>
        <v>ID60</v>
      </c>
      <c r="E65" s="916" t="str">
        <f>IFERROR(IF(INDEX('SR_Cash Reconciliation_2E'!C$9:C$270,MATCH($D65,'SR_Cash Reconciliation_2E'!$B$9:$B$270,0))="","",INDEX('SR_Cash Reconciliation_2E'!C$9:C$270,MATCH($D65,'SR_Cash Reconciliation_2E'!$B$9:$B$270,0))),"")</f>
        <v/>
      </c>
      <c r="F65" s="917" t="str">
        <f>IFERROR(IF(INDEX('SR_Cash Reconciliation_2E'!D$9:D$270,MATCH($D65,'SR_Cash Reconciliation_2E'!$B$9:$B$270,0))="","",INDEX('SR_Cash Reconciliation_2E'!D$9:D$270,MATCH($D65,'SR_Cash Reconciliation_2E'!$B$9:$B$270,0))),"")</f>
        <v/>
      </c>
      <c r="G65" s="917" t="str">
        <f>IFERROR(IF(INDEX('SR_Cash Reconciliation_2E'!E$9:E$270,MATCH($D65,'SR_Cash Reconciliation_2E'!$B$9:$B$270,0))="","",INDEX('SR_Cash Reconciliation_2E'!E$9:E$270,MATCH($D65,'SR_Cash Reconciliation_2E'!$B$9:$B$270,0))),"")</f>
        <v/>
      </c>
      <c r="H65" s="917" t="str">
        <f>IFERROR(IF(INDEX('SR_Cash Reconciliation_2E'!F$9:F$270,MATCH($D65,'SR_Cash Reconciliation_2E'!$B$9:$B$270,0))="","",INDEX('SR_Cash Reconciliation_2E'!F$9:F$270,MATCH($D65,'SR_Cash Reconciliation_2E'!$B$9:$B$270,0))),"")</f>
        <v/>
      </c>
      <c r="I65" s="917" t="str">
        <f>IFERROR(IF(INDEX('SR_Cash Reconciliation_2E'!G$9:G$270,MATCH($D65,'SR_Cash Reconciliation_2E'!$B$9:$B$270,0))="","",INDEX('SR_Cash Reconciliation_2E'!G$9:G$270,MATCH($D65,'SR_Cash Reconciliation_2E'!$B$9:$B$270,0))),"")</f>
        <v/>
      </c>
      <c r="J65" s="917" t="str">
        <f>IFERROR(IF(INDEX('SR_Cash Reconciliation_2E'!H$9:H$270,MATCH($D65,'SR_Cash Reconciliation_2E'!$B$9:$B$270,0))="","",INDEX('SR_Cash Reconciliation_2E'!H$9:H$270,MATCH($D65,'SR_Cash Reconciliation_2E'!$B$9:$B$270,0))),"")</f>
        <v/>
      </c>
      <c r="K65" s="917" t="str">
        <f>IFERROR(IF(INDEX('SR_Cash Reconciliation_2E'!I$9:I$270,MATCH($D65,'SR_Cash Reconciliation_2E'!$B$9:$B$270,0))="","",INDEX('SR_Cash Reconciliation_2E'!I$9:I$270,MATCH($D65,'SR_Cash Reconciliation_2E'!$B$9:$B$270,0))),"")</f>
        <v/>
      </c>
      <c r="L65" s="917" t="str">
        <f>IFERROR(IF(INDEX('SR_Cash Reconciliation_2E'!K$9:K$270,MATCH($D65,'SR_Cash Reconciliation_2E'!$B$9:$B$270,0))="","",INDEX('SR_Cash Reconciliation_2E'!K$9:K$270,MATCH($D65,'SR_Cash Reconciliation_2E'!$B$9:$B$270,0))),"")</f>
        <v/>
      </c>
      <c r="M65" s="915" t="str">
        <f>""</f>
        <v/>
      </c>
      <c r="N65" s="917" t="str">
        <f>IFERROR(IF(INDEX('SR_Cash Reconciliation_2E'!N$9:N$270,MATCH($D65,'SR_Cash Reconciliation_2E'!$B$9:$B$270,0))="","",INDEX('SR_Cash Reconciliation_2E'!N$9:N$270,MATCH($D65,'SR_Cash Reconciliation_2E'!$B$9:$B$270,0))),"")</f>
        <v/>
      </c>
    </row>
    <row r="66" spans="1:14" x14ac:dyDescent="0.25">
      <c r="A66" s="637"/>
      <c r="B66" s="915"/>
      <c r="C66" s="915">
        <f t="shared" si="0"/>
        <v>61</v>
      </c>
      <c r="D66" s="915" t="str">
        <f t="shared" si="1"/>
        <v>ID61</v>
      </c>
      <c r="E66" s="916" t="str">
        <f>IFERROR(IF(INDEX('SR_Cash Reconciliation_2E'!C$9:C$270,MATCH($D66,'SR_Cash Reconciliation_2E'!$B$9:$B$270,0))="","",INDEX('SR_Cash Reconciliation_2E'!C$9:C$270,MATCH($D66,'SR_Cash Reconciliation_2E'!$B$9:$B$270,0))),"")</f>
        <v/>
      </c>
      <c r="F66" s="917" t="str">
        <f>IFERROR(IF(INDEX('SR_Cash Reconciliation_2E'!D$9:D$270,MATCH($D66,'SR_Cash Reconciliation_2E'!$B$9:$B$270,0))="","",INDEX('SR_Cash Reconciliation_2E'!D$9:D$270,MATCH($D66,'SR_Cash Reconciliation_2E'!$B$9:$B$270,0))),"")</f>
        <v/>
      </c>
      <c r="G66" s="917" t="str">
        <f>IFERROR(IF(INDEX('SR_Cash Reconciliation_2E'!E$9:E$270,MATCH($D66,'SR_Cash Reconciliation_2E'!$B$9:$B$270,0))="","",INDEX('SR_Cash Reconciliation_2E'!E$9:E$270,MATCH($D66,'SR_Cash Reconciliation_2E'!$B$9:$B$270,0))),"")</f>
        <v/>
      </c>
      <c r="H66" s="917" t="str">
        <f>IFERROR(IF(INDEX('SR_Cash Reconciliation_2E'!F$9:F$270,MATCH($D66,'SR_Cash Reconciliation_2E'!$B$9:$B$270,0))="","",INDEX('SR_Cash Reconciliation_2E'!F$9:F$270,MATCH($D66,'SR_Cash Reconciliation_2E'!$B$9:$B$270,0))),"")</f>
        <v/>
      </c>
      <c r="I66" s="917" t="str">
        <f>IFERROR(IF(INDEX('SR_Cash Reconciliation_2E'!G$9:G$270,MATCH($D66,'SR_Cash Reconciliation_2E'!$B$9:$B$270,0))="","",INDEX('SR_Cash Reconciliation_2E'!G$9:G$270,MATCH($D66,'SR_Cash Reconciliation_2E'!$B$9:$B$270,0))),"")</f>
        <v/>
      </c>
      <c r="J66" s="917" t="str">
        <f>IFERROR(IF(INDEX('SR_Cash Reconciliation_2E'!H$9:H$270,MATCH($D66,'SR_Cash Reconciliation_2E'!$B$9:$B$270,0))="","",INDEX('SR_Cash Reconciliation_2E'!H$9:H$270,MATCH($D66,'SR_Cash Reconciliation_2E'!$B$9:$B$270,0))),"")</f>
        <v/>
      </c>
      <c r="K66" s="917" t="str">
        <f>IFERROR(IF(INDEX('SR_Cash Reconciliation_2E'!I$9:I$270,MATCH($D66,'SR_Cash Reconciliation_2E'!$B$9:$B$270,0))="","",INDEX('SR_Cash Reconciliation_2E'!I$9:I$270,MATCH($D66,'SR_Cash Reconciliation_2E'!$B$9:$B$270,0))),"")</f>
        <v/>
      </c>
      <c r="L66" s="917" t="str">
        <f>IFERROR(IF(INDEX('SR_Cash Reconciliation_2E'!K$9:K$270,MATCH($D66,'SR_Cash Reconciliation_2E'!$B$9:$B$270,0))="","",INDEX('SR_Cash Reconciliation_2E'!K$9:K$270,MATCH($D66,'SR_Cash Reconciliation_2E'!$B$9:$B$270,0))),"")</f>
        <v/>
      </c>
      <c r="M66" s="915" t="str">
        <f>""</f>
        <v/>
      </c>
      <c r="N66" s="917" t="str">
        <f>IFERROR(IF(INDEX('SR_Cash Reconciliation_2E'!N$9:N$270,MATCH($D66,'SR_Cash Reconciliation_2E'!$B$9:$B$270,0))="","",INDEX('SR_Cash Reconciliation_2E'!N$9:N$270,MATCH($D66,'SR_Cash Reconciliation_2E'!$B$9:$B$270,0))),"")</f>
        <v/>
      </c>
    </row>
    <row r="67" spans="1:14" x14ac:dyDescent="0.25">
      <c r="A67" s="637"/>
      <c r="B67" s="915"/>
      <c r="C67" s="915">
        <f t="shared" si="0"/>
        <v>62</v>
      </c>
      <c r="D67" s="915" t="str">
        <f t="shared" si="1"/>
        <v>ID62</v>
      </c>
      <c r="E67" s="916" t="str">
        <f>IFERROR(IF(INDEX('SR_Cash Reconciliation_2E'!C$9:C$270,MATCH($D67,'SR_Cash Reconciliation_2E'!$B$9:$B$270,0))="","",INDEX('SR_Cash Reconciliation_2E'!C$9:C$270,MATCH($D67,'SR_Cash Reconciliation_2E'!$B$9:$B$270,0))),"")</f>
        <v/>
      </c>
      <c r="F67" s="917" t="str">
        <f>IFERROR(IF(INDEX('SR_Cash Reconciliation_2E'!D$9:D$270,MATCH($D67,'SR_Cash Reconciliation_2E'!$B$9:$B$270,0))="","",INDEX('SR_Cash Reconciliation_2E'!D$9:D$270,MATCH($D67,'SR_Cash Reconciliation_2E'!$B$9:$B$270,0))),"")</f>
        <v/>
      </c>
      <c r="G67" s="917" t="str">
        <f>IFERROR(IF(INDEX('SR_Cash Reconciliation_2E'!E$9:E$270,MATCH($D67,'SR_Cash Reconciliation_2E'!$B$9:$B$270,0))="","",INDEX('SR_Cash Reconciliation_2E'!E$9:E$270,MATCH($D67,'SR_Cash Reconciliation_2E'!$B$9:$B$270,0))),"")</f>
        <v/>
      </c>
      <c r="H67" s="917" t="str">
        <f>IFERROR(IF(INDEX('SR_Cash Reconciliation_2E'!F$9:F$270,MATCH($D67,'SR_Cash Reconciliation_2E'!$B$9:$B$270,0))="","",INDEX('SR_Cash Reconciliation_2E'!F$9:F$270,MATCH($D67,'SR_Cash Reconciliation_2E'!$B$9:$B$270,0))),"")</f>
        <v/>
      </c>
      <c r="I67" s="917" t="str">
        <f>IFERROR(IF(INDEX('SR_Cash Reconciliation_2E'!G$9:G$270,MATCH($D67,'SR_Cash Reconciliation_2E'!$B$9:$B$270,0))="","",INDEX('SR_Cash Reconciliation_2E'!G$9:G$270,MATCH($D67,'SR_Cash Reconciliation_2E'!$B$9:$B$270,0))),"")</f>
        <v/>
      </c>
      <c r="J67" s="917" t="str">
        <f>IFERROR(IF(INDEX('SR_Cash Reconciliation_2E'!H$9:H$270,MATCH($D67,'SR_Cash Reconciliation_2E'!$B$9:$B$270,0))="","",INDEX('SR_Cash Reconciliation_2E'!H$9:H$270,MATCH($D67,'SR_Cash Reconciliation_2E'!$B$9:$B$270,0))),"")</f>
        <v/>
      </c>
      <c r="K67" s="917" t="str">
        <f>IFERROR(IF(INDEX('SR_Cash Reconciliation_2E'!I$9:I$270,MATCH($D67,'SR_Cash Reconciliation_2E'!$B$9:$B$270,0))="","",INDEX('SR_Cash Reconciliation_2E'!I$9:I$270,MATCH($D67,'SR_Cash Reconciliation_2E'!$B$9:$B$270,0))),"")</f>
        <v/>
      </c>
      <c r="L67" s="917" t="str">
        <f>IFERROR(IF(INDEX('SR_Cash Reconciliation_2E'!K$9:K$270,MATCH($D67,'SR_Cash Reconciliation_2E'!$B$9:$B$270,0))="","",INDEX('SR_Cash Reconciliation_2E'!K$9:K$270,MATCH($D67,'SR_Cash Reconciliation_2E'!$B$9:$B$270,0))),"")</f>
        <v/>
      </c>
      <c r="M67" s="915" t="str">
        <f>""</f>
        <v/>
      </c>
      <c r="N67" s="917" t="str">
        <f>IFERROR(IF(INDEX('SR_Cash Reconciliation_2E'!N$9:N$270,MATCH($D67,'SR_Cash Reconciliation_2E'!$B$9:$B$270,0))="","",INDEX('SR_Cash Reconciliation_2E'!N$9:N$270,MATCH($D67,'SR_Cash Reconciliation_2E'!$B$9:$B$270,0))),"")</f>
        <v/>
      </c>
    </row>
    <row r="68" spans="1:14" x14ac:dyDescent="0.25">
      <c r="A68" s="637"/>
      <c r="B68" s="915"/>
      <c r="C68" s="915">
        <f t="shared" si="0"/>
        <v>63</v>
      </c>
      <c r="D68" s="915" t="str">
        <f t="shared" si="1"/>
        <v>ID63</v>
      </c>
      <c r="E68" s="916" t="str">
        <f>IFERROR(IF(INDEX('SR_Cash Reconciliation_2E'!C$9:C$270,MATCH($D68,'SR_Cash Reconciliation_2E'!$B$9:$B$270,0))="","",INDEX('SR_Cash Reconciliation_2E'!C$9:C$270,MATCH($D68,'SR_Cash Reconciliation_2E'!$B$9:$B$270,0))),"")</f>
        <v/>
      </c>
      <c r="F68" s="917" t="str">
        <f>IFERROR(IF(INDEX('SR_Cash Reconciliation_2E'!D$9:D$270,MATCH($D68,'SR_Cash Reconciliation_2E'!$B$9:$B$270,0))="","",INDEX('SR_Cash Reconciliation_2E'!D$9:D$270,MATCH($D68,'SR_Cash Reconciliation_2E'!$B$9:$B$270,0))),"")</f>
        <v/>
      </c>
      <c r="G68" s="917" t="str">
        <f>IFERROR(IF(INDEX('SR_Cash Reconciliation_2E'!E$9:E$270,MATCH($D68,'SR_Cash Reconciliation_2E'!$B$9:$B$270,0))="","",INDEX('SR_Cash Reconciliation_2E'!E$9:E$270,MATCH($D68,'SR_Cash Reconciliation_2E'!$B$9:$B$270,0))),"")</f>
        <v/>
      </c>
      <c r="H68" s="917" t="str">
        <f>IFERROR(IF(INDEX('SR_Cash Reconciliation_2E'!F$9:F$270,MATCH($D68,'SR_Cash Reconciliation_2E'!$B$9:$B$270,0))="","",INDEX('SR_Cash Reconciliation_2E'!F$9:F$270,MATCH($D68,'SR_Cash Reconciliation_2E'!$B$9:$B$270,0))),"")</f>
        <v/>
      </c>
      <c r="I68" s="917" t="str">
        <f>IFERROR(IF(INDEX('SR_Cash Reconciliation_2E'!G$9:G$270,MATCH($D68,'SR_Cash Reconciliation_2E'!$B$9:$B$270,0))="","",INDEX('SR_Cash Reconciliation_2E'!G$9:G$270,MATCH($D68,'SR_Cash Reconciliation_2E'!$B$9:$B$270,0))),"")</f>
        <v/>
      </c>
      <c r="J68" s="917" t="str">
        <f>IFERROR(IF(INDEX('SR_Cash Reconciliation_2E'!H$9:H$270,MATCH($D68,'SR_Cash Reconciliation_2E'!$B$9:$B$270,0))="","",INDEX('SR_Cash Reconciliation_2E'!H$9:H$270,MATCH($D68,'SR_Cash Reconciliation_2E'!$B$9:$B$270,0))),"")</f>
        <v/>
      </c>
      <c r="K68" s="917" t="str">
        <f>IFERROR(IF(INDEX('SR_Cash Reconciliation_2E'!I$9:I$270,MATCH($D68,'SR_Cash Reconciliation_2E'!$B$9:$B$270,0))="","",INDEX('SR_Cash Reconciliation_2E'!I$9:I$270,MATCH($D68,'SR_Cash Reconciliation_2E'!$B$9:$B$270,0))),"")</f>
        <v/>
      </c>
      <c r="L68" s="917" t="str">
        <f>IFERROR(IF(INDEX('SR_Cash Reconciliation_2E'!K$9:K$270,MATCH($D68,'SR_Cash Reconciliation_2E'!$B$9:$B$270,0))="","",INDEX('SR_Cash Reconciliation_2E'!K$9:K$270,MATCH($D68,'SR_Cash Reconciliation_2E'!$B$9:$B$270,0))),"")</f>
        <v/>
      </c>
      <c r="M68" s="915" t="str">
        <f>""</f>
        <v/>
      </c>
      <c r="N68" s="917" t="str">
        <f>IFERROR(IF(INDEX('SR_Cash Reconciliation_2E'!N$9:N$270,MATCH($D68,'SR_Cash Reconciliation_2E'!$B$9:$B$270,0))="","",INDEX('SR_Cash Reconciliation_2E'!N$9:N$270,MATCH($D68,'SR_Cash Reconciliation_2E'!$B$9:$B$270,0))),"")</f>
        <v/>
      </c>
    </row>
    <row r="69" spans="1:14" x14ac:dyDescent="0.25">
      <c r="A69" s="637"/>
      <c r="B69" s="915"/>
      <c r="C69" s="915">
        <f t="shared" si="0"/>
        <v>64</v>
      </c>
      <c r="D69" s="915" t="str">
        <f t="shared" si="1"/>
        <v>ID64</v>
      </c>
      <c r="E69" s="916" t="str">
        <f>IFERROR(IF(INDEX('SR_Cash Reconciliation_2E'!C$9:C$270,MATCH($D69,'SR_Cash Reconciliation_2E'!$B$9:$B$270,0))="","",INDEX('SR_Cash Reconciliation_2E'!C$9:C$270,MATCH($D69,'SR_Cash Reconciliation_2E'!$B$9:$B$270,0))),"")</f>
        <v/>
      </c>
      <c r="F69" s="917" t="str">
        <f>IFERROR(IF(INDEX('SR_Cash Reconciliation_2E'!D$9:D$270,MATCH($D69,'SR_Cash Reconciliation_2E'!$B$9:$B$270,0))="","",INDEX('SR_Cash Reconciliation_2E'!D$9:D$270,MATCH($D69,'SR_Cash Reconciliation_2E'!$B$9:$B$270,0))),"")</f>
        <v/>
      </c>
      <c r="G69" s="917" t="str">
        <f>IFERROR(IF(INDEX('SR_Cash Reconciliation_2E'!E$9:E$270,MATCH($D69,'SR_Cash Reconciliation_2E'!$B$9:$B$270,0))="","",INDEX('SR_Cash Reconciliation_2E'!E$9:E$270,MATCH($D69,'SR_Cash Reconciliation_2E'!$B$9:$B$270,0))),"")</f>
        <v/>
      </c>
      <c r="H69" s="917" t="str">
        <f>IFERROR(IF(INDEX('SR_Cash Reconciliation_2E'!F$9:F$270,MATCH($D69,'SR_Cash Reconciliation_2E'!$B$9:$B$270,0))="","",INDEX('SR_Cash Reconciliation_2E'!F$9:F$270,MATCH($D69,'SR_Cash Reconciliation_2E'!$B$9:$B$270,0))),"")</f>
        <v/>
      </c>
      <c r="I69" s="917" t="str">
        <f>IFERROR(IF(INDEX('SR_Cash Reconciliation_2E'!G$9:G$270,MATCH($D69,'SR_Cash Reconciliation_2E'!$B$9:$B$270,0))="","",INDEX('SR_Cash Reconciliation_2E'!G$9:G$270,MATCH($D69,'SR_Cash Reconciliation_2E'!$B$9:$B$270,0))),"")</f>
        <v/>
      </c>
      <c r="J69" s="917" t="str">
        <f>IFERROR(IF(INDEX('SR_Cash Reconciliation_2E'!H$9:H$270,MATCH($D69,'SR_Cash Reconciliation_2E'!$B$9:$B$270,0))="","",INDEX('SR_Cash Reconciliation_2E'!H$9:H$270,MATCH($D69,'SR_Cash Reconciliation_2E'!$B$9:$B$270,0))),"")</f>
        <v/>
      </c>
      <c r="K69" s="917" t="str">
        <f>IFERROR(IF(INDEX('SR_Cash Reconciliation_2E'!I$9:I$270,MATCH($D69,'SR_Cash Reconciliation_2E'!$B$9:$B$270,0))="","",INDEX('SR_Cash Reconciliation_2E'!I$9:I$270,MATCH($D69,'SR_Cash Reconciliation_2E'!$B$9:$B$270,0))),"")</f>
        <v/>
      </c>
      <c r="L69" s="917" t="str">
        <f>IFERROR(IF(INDEX('SR_Cash Reconciliation_2E'!K$9:K$270,MATCH($D69,'SR_Cash Reconciliation_2E'!$B$9:$B$270,0))="","",INDEX('SR_Cash Reconciliation_2E'!K$9:K$270,MATCH($D69,'SR_Cash Reconciliation_2E'!$B$9:$B$270,0))),"")</f>
        <v/>
      </c>
      <c r="M69" s="915" t="str">
        <f>""</f>
        <v/>
      </c>
      <c r="N69" s="917" t="str">
        <f>IFERROR(IF(INDEX('SR_Cash Reconciliation_2E'!N$9:N$270,MATCH($D69,'SR_Cash Reconciliation_2E'!$B$9:$B$270,0))="","",INDEX('SR_Cash Reconciliation_2E'!N$9:N$270,MATCH($D69,'SR_Cash Reconciliation_2E'!$B$9:$B$270,0))),"")</f>
        <v/>
      </c>
    </row>
    <row r="70" spans="1:14" x14ac:dyDescent="0.25">
      <c r="A70" s="637"/>
      <c r="B70" s="915"/>
      <c r="C70" s="915">
        <f t="shared" ref="C70:C105" si="2">C69+1</f>
        <v>65</v>
      </c>
      <c r="D70" s="915" t="str">
        <f t="shared" ref="D70:D105" si="3">"ID"&amp;C70</f>
        <v>ID65</v>
      </c>
      <c r="E70" s="916" t="str">
        <f>IFERROR(IF(INDEX('SR_Cash Reconciliation_2E'!C$9:C$270,MATCH($D70,'SR_Cash Reconciliation_2E'!$B$9:$B$270,0))="","",INDEX('SR_Cash Reconciliation_2E'!C$9:C$270,MATCH($D70,'SR_Cash Reconciliation_2E'!$B$9:$B$270,0))),"")</f>
        <v/>
      </c>
      <c r="F70" s="917" t="str">
        <f>IFERROR(IF(INDEX('SR_Cash Reconciliation_2E'!D$9:D$270,MATCH($D70,'SR_Cash Reconciliation_2E'!$B$9:$B$270,0))="","",INDEX('SR_Cash Reconciliation_2E'!D$9:D$270,MATCH($D70,'SR_Cash Reconciliation_2E'!$B$9:$B$270,0))),"")</f>
        <v/>
      </c>
      <c r="G70" s="917" t="str">
        <f>IFERROR(IF(INDEX('SR_Cash Reconciliation_2E'!E$9:E$270,MATCH($D70,'SR_Cash Reconciliation_2E'!$B$9:$B$270,0))="","",INDEX('SR_Cash Reconciliation_2E'!E$9:E$270,MATCH($D70,'SR_Cash Reconciliation_2E'!$B$9:$B$270,0))),"")</f>
        <v/>
      </c>
      <c r="H70" s="917" t="str">
        <f>IFERROR(IF(INDEX('SR_Cash Reconciliation_2E'!F$9:F$270,MATCH($D70,'SR_Cash Reconciliation_2E'!$B$9:$B$270,0))="","",INDEX('SR_Cash Reconciliation_2E'!F$9:F$270,MATCH($D70,'SR_Cash Reconciliation_2E'!$B$9:$B$270,0))),"")</f>
        <v/>
      </c>
      <c r="I70" s="917" t="str">
        <f>IFERROR(IF(INDEX('SR_Cash Reconciliation_2E'!G$9:G$270,MATCH($D70,'SR_Cash Reconciliation_2E'!$B$9:$B$270,0))="","",INDEX('SR_Cash Reconciliation_2E'!G$9:G$270,MATCH($D70,'SR_Cash Reconciliation_2E'!$B$9:$B$270,0))),"")</f>
        <v/>
      </c>
      <c r="J70" s="917" t="str">
        <f>IFERROR(IF(INDEX('SR_Cash Reconciliation_2E'!H$9:H$270,MATCH($D70,'SR_Cash Reconciliation_2E'!$B$9:$B$270,0))="","",INDEX('SR_Cash Reconciliation_2E'!H$9:H$270,MATCH($D70,'SR_Cash Reconciliation_2E'!$B$9:$B$270,0))),"")</f>
        <v/>
      </c>
      <c r="K70" s="917" t="str">
        <f>IFERROR(IF(INDEX('SR_Cash Reconciliation_2E'!I$9:I$270,MATCH($D70,'SR_Cash Reconciliation_2E'!$B$9:$B$270,0))="","",INDEX('SR_Cash Reconciliation_2E'!I$9:I$270,MATCH($D70,'SR_Cash Reconciliation_2E'!$B$9:$B$270,0))),"")</f>
        <v/>
      </c>
      <c r="L70" s="917" t="str">
        <f>IFERROR(IF(INDEX('SR_Cash Reconciliation_2E'!K$9:K$270,MATCH($D70,'SR_Cash Reconciliation_2E'!$B$9:$B$270,0))="","",INDEX('SR_Cash Reconciliation_2E'!K$9:K$270,MATCH($D70,'SR_Cash Reconciliation_2E'!$B$9:$B$270,0))),"")</f>
        <v/>
      </c>
      <c r="M70" s="915" t="str">
        <f>""</f>
        <v/>
      </c>
      <c r="N70" s="917" t="str">
        <f>IFERROR(IF(INDEX('SR_Cash Reconciliation_2E'!N$9:N$270,MATCH($D70,'SR_Cash Reconciliation_2E'!$B$9:$B$270,0))="","",INDEX('SR_Cash Reconciliation_2E'!N$9:N$270,MATCH($D70,'SR_Cash Reconciliation_2E'!$B$9:$B$270,0))),"")</f>
        <v/>
      </c>
    </row>
    <row r="71" spans="1:14" x14ac:dyDescent="0.25">
      <c r="A71" s="637"/>
      <c r="B71" s="915"/>
      <c r="C71" s="915">
        <f t="shared" si="2"/>
        <v>66</v>
      </c>
      <c r="D71" s="915" t="str">
        <f t="shared" si="3"/>
        <v>ID66</v>
      </c>
      <c r="E71" s="916" t="str">
        <f>IFERROR(IF(INDEX('SR_Cash Reconciliation_2E'!C$9:C$270,MATCH($D71,'SR_Cash Reconciliation_2E'!$B$9:$B$270,0))="","",INDEX('SR_Cash Reconciliation_2E'!C$9:C$270,MATCH($D71,'SR_Cash Reconciliation_2E'!$B$9:$B$270,0))),"")</f>
        <v/>
      </c>
      <c r="F71" s="917" t="str">
        <f>IFERROR(IF(INDEX('SR_Cash Reconciliation_2E'!D$9:D$270,MATCH($D71,'SR_Cash Reconciliation_2E'!$B$9:$B$270,0))="","",INDEX('SR_Cash Reconciliation_2E'!D$9:D$270,MATCH($D71,'SR_Cash Reconciliation_2E'!$B$9:$B$270,0))),"")</f>
        <v/>
      </c>
      <c r="G71" s="917" t="str">
        <f>IFERROR(IF(INDEX('SR_Cash Reconciliation_2E'!E$9:E$270,MATCH($D71,'SR_Cash Reconciliation_2E'!$B$9:$B$270,0))="","",INDEX('SR_Cash Reconciliation_2E'!E$9:E$270,MATCH($D71,'SR_Cash Reconciliation_2E'!$B$9:$B$270,0))),"")</f>
        <v/>
      </c>
      <c r="H71" s="917" t="str">
        <f>IFERROR(IF(INDEX('SR_Cash Reconciliation_2E'!F$9:F$270,MATCH($D71,'SR_Cash Reconciliation_2E'!$B$9:$B$270,0))="","",INDEX('SR_Cash Reconciliation_2E'!F$9:F$270,MATCH($D71,'SR_Cash Reconciliation_2E'!$B$9:$B$270,0))),"")</f>
        <v/>
      </c>
      <c r="I71" s="917" t="str">
        <f>IFERROR(IF(INDEX('SR_Cash Reconciliation_2E'!G$9:G$270,MATCH($D71,'SR_Cash Reconciliation_2E'!$B$9:$B$270,0))="","",INDEX('SR_Cash Reconciliation_2E'!G$9:G$270,MATCH($D71,'SR_Cash Reconciliation_2E'!$B$9:$B$270,0))),"")</f>
        <v/>
      </c>
      <c r="J71" s="917" t="str">
        <f>IFERROR(IF(INDEX('SR_Cash Reconciliation_2E'!H$9:H$270,MATCH($D71,'SR_Cash Reconciliation_2E'!$B$9:$B$270,0))="","",INDEX('SR_Cash Reconciliation_2E'!H$9:H$270,MATCH($D71,'SR_Cash Reconciliation_2E'!$B$9:$B$270,0))),"")</f>
        <v/>
      </c>
      <c r="K71" s="917" t="str">
        <f>IFERROR(IF(INDEX('SR_Cash Reconciliation_2E'!I$9:I$270,MATCH($D71,'SR_Cash Reconciliation_2E'!$B$9:$B$270,0))="","",INDEX('SR_Cash Reconciliation_2E'!I$9:I$270,MATCH($D71,'SR_Cash Reconciliation_2E'!$B$9:$B$270,0))),"")</f>
        <v/>
      </c>
      <c r="L71" s="917" t="str">
        <f>IFERROR(IF(INDEX('SR_Cash Reconciliation_2E'!K$9:K$270,MATCH($D71,'SR_Cash Reconciliation_2E'!$B$9:$B$270,0))="","",INDEX('SR_Cash Reconciliation_2E'!K$9:K$270,MATCH($D71,'SR_Cash Reconciliation_2E'!$B$9:$B$270,0))),"")</f>
        <v/>
      </c>
      <c r="M71" s="915" t="str">
        <f>""</f>
        <v/>
      </c>
      <c r="N71" s="917" t="str">
        <f>IFERROR(IF(INDEX('SR_Cash Reconciliation_2E'!N$9:N$270,MATCH($D71,'SR_Cash Reconciliation_2E'!$B$9:$B$270,0))="","",INDEX('SR_Cash Reconciliation_2E'!N$9:N$270,MATCH($D71,'SR_Cash Reconciliation_2E'!$B$9:$B$270,0))),"")</f>
        <v/>
      </c>
    </row>
    <row r="72" spans="1:14" x14ac:dyDescent="0.25">
      <c r="A72" s="637"/>
      <c r="B72" s="915"/>
      <c r="C72" s="915">
        <f t="shared" si="2"/>
        <v>67</v>
      </c>
      <c r="D72" s="915" t="str">
        <f t="shared" si="3"/>
        <v>ID67</v>
      </c>
      <c r="E72" s="916" t="str">
        <f>IFERROR(IF(INDEX('SR_Cash Reconciliation_2E'!C$9:C$270,MATCH($D72,'SR_Cash Reconciliation_2E'!$B$9:$B$270,0))="","",INDEX('SR_Cash Reconciliation_2E'!C$9:C$270,MATCH($D72,'SR_Cash Reconciliation_2E'!$B$9:$B$270,0))),"")</f>
        <v/>
      </c>
      <c r="F72" s="917" t="str">
        <f>IFERROR(IF(INDEX('SR_Cash Reconciliation_2E'!D$9:D$270,MATCH($D72,'SR_Cash Reconciliation_2E'!$B$9:$B$270,0))="","",INDEX('SR_Cash Reconciliation_2E'!D$9:D$270,MATCH($D72,'SR_Cash Reconciliation_2E'!$B$9:$B$270,0))),"")</f>
        <v/>
      </c>
      <c r="G72" s="917" t="str">
        <f>IFERROR(IF(INDEX('SR_Cash Reconciliation_2E'!E$9:E$270,MATCH($D72,'SR_Cash Reconciliation_2E'!$B$9:$B$270,0))="","",INDEX('SR_Cash Reconciliation_2E'!E$9:E$270,MATCH($D72,'SR_Cash Reconciliation_2E'!$B$9:$B$270,0))),"")</f>
        <v/>
      </c>
      <c r="H72" s="917" t="str">
        <f>IFERROR(IF(INDEX('SR_Cash Reconciliation_2E'!F$9:F$270,MATCH($D72,'SR_Cash Reconciliation_2E'!$B$9:$B$270,0))="","",INDEX('SR_Cash Reconciliation_2E'!F$9:F$270,MATCH($D72,'SR_Cash Reconciliation_2E'!$B$9:$B$270,0))),"")</f>
        <v/>
      </c>
      <c r="I72" s="917" t="str">
        <f>IFERROR(IF(INDEX('SR_Cash Reconciliation_2E'!G$9:G$270,MATCH($D72,'SR_Cash Reconciliation_2E'!$B$9:$B$270,0))="","",INDEX('SR_Cash Reconciliation_2E'!G$9:G$270,MATCH($D72,'SR_Cash Reconciliation_2E'!$B$9:$B$270,0))),"")</f>
        <v/>
      </c>
      <c r="J72" s="917" t="str">
        <f>IFERROR(IF(INDEX('SR_Cash Reconciliation_2E'!H$9:H$270,MATCH($D72,'SR_Cash Reconciliation_2E'!$B$9:$B$270,0))="","",INDEX('SR_Cash Reconciliation_2E'!H$9:H$270,MATCH($D72,'SR_Cash Reconciliation_2E'!$B$9:$B$270,0))),"")</f>
        <v/>
      </c>
      <c r="K72" s="917" t="str">
        <f>IFERROR(IF(INDEX('SR_Cash Reconciliation_2E'!I$9:I$270,MATCH($D72,'SR_Cash Reconciliation_2E'!$B$9:$B$270,0))="","",INDEX('SR_Cash Reconciliation_2E'!I$9:I$270,MATCH($D72,'SR_Cash Reconciliation_2E'!$B$9:$B$270,0))),"")</f>
        <v/>
      </c>
      <c r="L72" s="917" t="str">
        <f>IFERROR(IF(INDEX('SR_Cash Reconciliation_2E'!K$9:K$270,MATCH($D72,'SR_Cash Reconciliation_2E'!$B$9:$B$270,0))="","",INDEX('SR_Cash Reconciliation_2E'!K$9:K$270,MATCH($D72,'SR_Cash Reconciliation_2E'!$B$9:$B$270,0))),"")</f>
        <v/>
      </c>
      <c r="M72" s="915" t="str">
        <f>""</f>
        <v/>
      </c>
      <c r="N72" s="917" t="str">
        <f>IFERROR(IF(INDEX('SR_Cash Reconciliation_2E'!N$9:N$270,MATCH($D72,'SR_Cash Reconciliation_2E'!$B$9:$B$270,0))="","",INDEX('SR_Cash Reconciliation_2E'!N$9:N$270,MATCH($D72,'SR_Cash Reconciliation_2E'!$B$9:$B$270,0))),"")</f>
        <v/>
      </c>
    </row>
    <row r="73" spans="1:14" x14ac:dyDescent="0.25">
      <c r="A73" s="637"/>
      <c r="B73" s="915"/>
      <c r="C73" s="915">
        <f t="shared" si="2"/>
        <v>68</v>
      </c>
      <c r="D73" s="915" t="str">
        <f t="shared" si="3"/>
        <v>ID68</v>
      </c>
      <c r="E73" s="916" t="str">
        <f>IFERROR(IF(INDEX('SR_Cash Reconciliation_2E'!C$9:C$270,MATCH($D73,'SR_Cash Reconciliation_2E'!$B$9:$B$270,0))="","",INDEX('SR_Cash Reconciliation_2E'!C$9:C$270,MATCH($D73,'SR_Cash Reconciliation_2E'!$B$9:$B$270,0))),"")</f>
        <v/>
      </c>
      <c r="F73" s="917" t="str">
        <f>IFERROR(IF(INDEX('SR_Cash Reconciliation_2E'!D$9:D$270,MATCH($D73,'SR_Cash Reconciliation_2E'!$B$9:$B$270,0))="","",INDEX('SR_Cash Reconciliation_2E'!D$9:D$270,MATCH($D73,'SR_Cash Reconciliation_2E'!$B$9:$B$270,0))),"")</f>
        <v/>
      </c>
      <c r="G73" s="917" t="str">
        <f>IFERROR(IF(INDEX('SR_Cash Reconciliation_2E'!E$9:E$270,MATCH($D73,'SR_Cash Reconciliation_2E'!$B$9:$B$270,0))="","",INDEX('SR_Cash Reconciliation_2E'!E$9:E$270,MATCH($D73,'SR_Cash Reconciliation_2E'!$B$9:$B$270,0))),"")</f>
        <v/>
      </c>
      <c r="H73" s="917" t="str">
        <f>IFERROR(IF(INDEX('SR_Cash Reconciliation_2E'!F$9:F$270,MATCH($D73,'SR_Cash Reconciliation_2E'!$B$9:$B$270,0))="","",INDEX('SR_Cash Reconciliation_2E'!F$9:F$270,MATCH($D73,'SR_Cash Reconciliation_2E'!$B$9:$B$270,0))),"")</f>
        <v/>
      </c>
      <c r="I73" s="917" t="str">
        <f>IFERROR(IF(INDEX('SR_Cash Reconciliation_2E'!G$9:G$270,MATCH($D73,'SR_Cash Reconciliation_2E'!$B$9:$B$270,0))="","",INDEX('SR_Cash Reconciliation_2E'!G$9:G$270,MATCH($D73,'SR_Cash Reconciliation_2E'!$B$9:$B$270,0))),"")</f>
        <v/>
      </c>
      <c r="J73" s="917" t="str">
        <f>IFERROR(IF(INDEX('SR_Cash Reconciliation_2E'!H$9:H$270,MATCH($D73,'SR_Cash Reconciliation_2E'!$B$9:$B$270,0))="","",INDEX('SR_Cash Reconciliation_2E'!H$9:H$270,MATCH($D73,'SR_Cash Reconciliation_2E'!$B$9:$B$270,0))),"")</f>
        <v/>
      </c>
      <c r="K73" s="917" t="str">
        <f>IFERROR(IF(INDEX('SR_Cash Reconciliation_2E'!I$9:I$270,MATCH($D73,'SR_Cash Reconciliation_2E'!$B$9:$B$270,0))="","",INDEX('SR_Cash Reconciliation_2E'!I$9:I$270,MATCH($D73,'SR_Cash Reconciliation_2E'!$B$9:$B$270,0))),"")</f>
        <v/>
      </c>
      <c r="L73" s="917" t="str">
        <f>IFERROR(IF(INDEX('SR_Cash Reconciliation_2E'!K$9:K$270,MATCH($D73,'SR_Cash Reconciliation_2E'!$B$9:$B$270,0))="","",INDEX('SR_Cash Reconciliation_2E'!K$9:K$270,MATCH($D73,'SR_Cash Reconciliation_2E'!$B$9:$B$270,0))),"")</f>
        <v/>
      </c>
      <c r="M73" s="915" t="str">
        <f>""</f>
        <v/>
      </c>
      <c r="N73" s="917" t="str">
        <f>IFERROR(IF(INDEX('SR_Cash Reconciliation_2E'!N$9:N$270,MATCH($D73,'SR_Cash Reconciliation_2E'!$B$9:$B$270,0))="","",INDEX('SR_Cash Reconciliation_2E'!N$9:N$270,MATCH($D73,'SR_Cash Reconciliation_2E'!$B$9:$B$270,0))),"")</f>
        <v/>
      </c>
    </row>
    <row r="74" spans="1:14" x14ac:dyDescent="0.25">
      <c r="A74" s="637"/>
      <c r="B74" s="915"/>
      <c r="C74" s="915">
        <f t="shared" si="2"/>
        <v>69</v>
      </c>
      <c r="D74" s="915" t="str">
        <f t="shared" si="3"/>
        <v>ID69</v>
      </c>
      <c r="E74" s="916" t="str">
        <f>IFERROR(IF(INDEX('SR_Cash Reconciliation_2E'!C$9:C$270,MATCH($D74,'SR_Cash Reconciliation_2E'!$B$9:$B$270,0))="","",INDEX('SR_Cash Reconciliation_2E'!C$9:C$270,MATCH($D74,'SR_Cash Reconciliation_2E'!$B$9:$B$270,0))),"")</f>
        <v/>
      </c>
      <c r="F74" s="917" t="str">
        <f>IFERROR(IF(INDEX('SR_Cash Reconciliation_2E'!D$9:D$270,MATCH($D74,'SR_Cash Reconciliation_2E'!$B$9:$B$270,0))="","",INDEX('SR_Cash Reconciliation_2E'!D$9:D$270,MATCH($D74,'SR_Cash Reconciliation_2E'!$B$9:$B$270,0))),"")</f>
        <v/>
      </c>
      <c r="G74" s="917" t="str">
        <f>IFERROR(IF(INDEX('SR_Cash Reconciliation_2E'!E$9:E$270,MATCH($D74,'SR_Cash Reconciliation_2E'!$B$9:$B$270,0))="","",INDEX('SR_Cash Reconciliation_2E'!E$9:E$270,MATCH($D74,'SR_Cash Reconciliation_2E'!$B$9:$B$270,0))),"")</f>
        <v/>
      </c>
      <c r="H74" s="917" t="str">
        <f>IFERROR(IF(INDEX('SR_Cash Reconciliation_2E'!F$9:F$270,MATCH($D74,'SR_Cash Reconciliation_2E'!$B$9:$B$270,0))="","",INDEX('SR_Cash Reconciliation_2E'!F$9:F$270,MATCH($D74,'SR_Cash Reconciliation_2E'!$B$9:$B$270,0))),"")</f>
        <v/>
      </c>
      <c r="I74" s="917" t="str">
        <f>IFERROR(IF(INDEX('SR_Cash Reconciliation_2E'!G$9:G$270,MATCH($D74,'SR_Cash Reconciliation_2E'!$B$9:$B$270,0))="","",INDEX('SR_Cash Reconciliation_2E'!G$9:G$270,MATCH($D74,'SR_Cash Reconciliation_2E'!$B$9:$B$270,0))),"")</f>
        <v/>
      </c>
      <c r="J74" s="917" t="str">
        <f>IFERROR(IF(INDEX('SR_Cash Reconciliation_2E'!H$9:H$270,MATCH($D74,'SR_Cash Reconciliation_2E'!$B$9:$B$270,0))="","",INDEX('SR_Cash Reconciliation_2E'!H$9:H$270,MATCH($D74,'SR_Cash Reconciliation_2E'!$B$9:$B$270,0))),"")</f>
        <v/>
      </c>
      <c r="K74" s="917" t="str">
        <f>IFERROR(IF(INDEX('SR_Cash Reconciliation_2E'!I$9:I$270,MATCH($D74,'SR_Cash Reconciliation_2E'!$B$9:$B$270,0))="","",INDEX('SR_Cash Reconciliation_2E'!I$9:I$270,MATCH($D74,'SR_Cash Reconciliation_2E'!$B$9:$B$270,0))),"")</f>
        <v/>
      </c>
      <c r="L74" s="917" t="str">
        <f>IFERROR(IF(INDEX('SR_Cash Reconciliation_2E'!K$9:K$270,MATCH($D74,'SR_Cash Reconciliation_2E'!$B$9:$B$270,0))="","",INDEX('SR_Cash Reconciliation_2E'!K$9:K$270,MATCH($D74,'SR_Cash Reconciliation_2E'!$B$9:$B$270,0))),"")</f>
        <v/>
      </c>
      <c r="M74" s="915" t="str">
        <f>""</f>
        <v/>
      </c>
      <c r="N74" s="917" t="str">
        <f>IFERROR(IF(INDEX('SR_Cash Reconciliation_2E'!N$9:N$270,MATCH($D74,'SR_Cash Reconciliation_2E'!$B$9:$B$270,0))="","",INDEX('SR_Cash Reconciliation_2E'!N$9:N$270,MATCH($D74,'SR_Cash Reconciliation_2E'!$B$9:$B$270,0))),"")</f>
        <v/>
      </c>
    </row>
    <row r="75" spans="1:14" x14ac:dyDescent="0.25">
      <c r="A75" s="637"/>
      <c r="B75" s="915"/>
      <c r="C75" s="915">
        <f t="shared" si="2"/>
        <v>70</v>
      </c>
      <c r="D75" s="915" t="str">
        <f t="shared" si="3"/>
        <v>ID70</v>
      </c>
      <c r="E75" s="916" t="str">
        <f>IFERROR(IF(INDEX('SR_Cash Reconciliation_2E'!C$9:C$270,MATCH($D75,'SR_Cash Reconciliation_2E'!$B$9:$B$270,0))="","",INDEX('SR_Cash Reconciliation_2E'!C$9:C$270,MATCH($D75,'SR_Cash Reconciliation_2E'!$B$9:$B$270,0))),"")</f>
        <v/>
      </c>
      <c r="F75" s="917" t="str">
        <f>IFERROR(IF(INDEX('SR_Cash Reconciliation_2E'!D$9:D$270,MATCH($D75,'SR_Cash Reconciliation_2E'!$B$9:$B$270,0))="","",INDEX('SR_Cash Reconciliation_2E'!D$9:D$270,MATCH($D75,'SR_Cash Reconciliation_2E'!$B$9:$B$270,0))),"")</f>
        <v/>
      </c>
      <c r="G75" s="917" t="str">
        <f>IFERROR(IF(INDEX('SR_Cash Reconciliation_2E'!E$9:E$270,MATCH($D75,'SR_Cash Reconciliation_2E'!$B$9:$B$270,0))="","",INDEX('SR_Cash Reconciliation_2E'!E$9:E$270,MATCH($D75,'SR_Cash Reconciliation_2E'!$B$9:$B$270,0))),"")</f>
        <v/>
      </c>
      <c r="H75" s="917" t="str">
        <f>IFERROR(IF(INDEX('SR_Cash Reconciliation_2E'!F$9:F$270,MATCH($D75,'SR_Cash Reconciliation_2E'!$B$9:$B$270,0))="","",INDEX('SR_Cash Reconciliation_2E'!F$9:F$270,MATCH($D75,'SR_Cash Reconciliation_2E'!$B$9:$B$270,0))),"")</f>
        <v/>
      </c>
      <c r="I75" s="917" t="str">
        <f>IFERROR(IF(INDEX('SR_Cash Reconciliation_2E'!G$9:G$270,MATCH($D75,'SR_Cash Reconciliation_2E'!$B$9:$B$270,0))="","",INDEX('SR_Cash Reconciliation_2E'!G$9:G$270,MATCH($D75,'SR_Cash Reconciliation_2E'!$B$9:$B$270,0))),"")</f>
        <v/>
      </c>
      <c r="J75" s="917" t="str">
        <f>IFERROR(IF(INDEX('SR_Cash Reconciliation_2E'!H$9:H$270,MATCH($D75,'SR_Cash Reconciliation_2E'!$B$9:$B$270,0))="","",INDEX('SR_Cash Reconciliation_2E'!H$9:H$270,MATCH($D75,'SR_Cash Reconciliation_2E'!$B$9:$B$270,0))),"")</f>
        <v/>
      </c>
      <c r="K75" s="917" t="str">
        <f>IFERROR(IF(INDEX('SR_Cash Reconciliation_2E'!I$9:I$270,MATCH($D75,'SR_Cash Reconciliation_2E'!$B$9:$B$270,0))="","",INDEX('SR_Cash Reconciliation_2E'!I$9:I$270,MATCH($D75,'SR_Cash Reconciliation_2E'!$B$9:$B$270,0))),"")</f>
        <v/>
      </c>
      <c r="L75" s="917" t="str">
        <f>IFERROR(IF(INDEX('SR_Cash Reconciliation_2E'!K$9:K$270,MATCH($D75,'SR_Cash Reconciliation_2E'!$B$9:$B$270,0))="","",INDEX('SR_Cash Reconciliation_2E'!K$9:K$270,MATCH($D75,'SR_Cash Reconciliation_2E'!$B$9:$B$270,0))),"")</f>
        <v/>
      </c>
      <c r="M75" s="915" t="str">
        <f>""</f>
        <v/>
      </c>
      <c r="N75" s="917" t="str">
        <f>IFERROR(IF(INDEX('SR_Cash Reconciliation_2E'!N$9:N$270,MATCH($D75,'SR_Cash Reconciliation_2E'!$B$9:$B$270,0))="","",INDEX('SR_Cash Reconciliation_2E'!N$9:N$270,MATCH($D75,'SR_Cash Reconciliation_2E'!$B$9:$B$270,0))),"")</f>
        <v/>
      </c>
    </row>
    <row r="76" spans="1:14" x14ac:dyDescent="0.25">
      <c r="A76" s="637"/>
      <c r="B76" s="915"/>
      <c r="C76" s="915">
        <f t="shared" si="2"/>
        <v>71</v>
      </c>
      <c r="D76" s="915" t="str">
        <f t="shared" si="3"/>
        <v>ID71</v>
      </c>
      <c r="E76" s="916" t="str">
        <f>IFERROR(IF(INDEX('SR_Cash Reconciliation_2E'!C$9:C$270,MATCH($D76,'SR_Cash Reconciliation_2E'!$B$9:$B$270,0))="","",INDEX('SR_Cash Reconciliation_2E'!C$9:C$270,MATCH($D76,'SR_Cash Reconciliation_2E'!$B$9:$B$270,0))),"")</f>
        <v/>
      </c>
      <c r="F76" s="917" t="str">
        <f>IFERROR(IF(INDEX('SR_Cash Reconciliation_2E'!D$9:D$270,MATCH($D76,'SR_Cash Reconciliation_2E'!$B$9:$B$270,0))="","",INDEX('SR_Cash Reconciliation_2E'!D$9:D$270,MATCH($D76,'SR_Cash Reconciliation_2E'!$B$9:$B$270,0))),"")</f>
        <v/>
      </c>
      <c r="G76" s="917" t="str">
        <f>IFERROR(IF(INDEX('SR_Cash Reconciliation_2E'!E$9:E$270,MATCH($D76,'SR_Cash Reconciliation_2E'!$B$9:$B$270,0))="","",INDEX('SR_Cash Reconciliation_2E'!E$9:E$270,MATCH($D76,'SR_Cash Reconciliation_2E'!$B$9:$B$270,0))),"")</f>
        <v/>
      </c>
      <c r="H76" s="917" t="str">
        <f>IFERROR(IF(INDEX('SR_Cash Reconciliation_2E'!F$9:F$270,MATCH($D76,'SR_Cash Reconciliation_2E'!$B$9:$B$270,0))="","",INDEX('SR_Cash Reconciliation_2E'!F$9:F$270,MATCH($D76,'SR_Cash Reconciliation_2E'!$B$9:$B$270,0))),"")</f>
        <v/>
      </c>
      <c r="I76" s="917" t="str">
        <f>IFERROR(IF(INDEX('SR_Cash Reconciliation_2E'!G$9:G$270,MATCH($D76,'SR_Cash Reconciliation_2E'!$B$9:$B$270,0))="","",INDEX('SR_Cash Reconciliation_2E'!G$9:G$270,MATCH($D76,'SR_Cash Reconciliation_2E'!$B$9:$B$270,0))),"")</f>
        <v/>
      </c>
      <c r="J76" s="917" t="str">
        <f>IFERROR(IF(INDEX('SR_Cash Reconciliation_2E'!H$9:H$270,MATCH($D76,'SR_Cash Reconciliation_2E'!$B$9:$B$270,0))="","",INDEX('SR_Cash Reconciliation_2E'!H$9:H$270,MATCH($D76,'SR_Cash Reconciliation_2E'!$B$9:$B$270,0))),"")</f>
        <v/>
      </c>
      <c r="K76" s="917" t="str">
        <f>IFERROR(IF(INDEX('SR_Cash Reconciliation_2E'!I$9:I$270,MATCH($D76,'SR_Cash Reconciliation_2E'!$B$9:$B$270,0))="","",INDEX('SR_Cash Reconciliation_2E'!I$9:I$270,MATCH($D76,'SR_Cash Reconciliation_2E'!$B$9:$B$270,0))),"")</f>
        <v/>
      </c>
      <c r="L76" s="917" t="str">
        <f>IFERROR(IF(INDEX('SR_Cash Reconciliation_2E'!K$9:K$270,MATCH($D76,'SR_Cash Reconciliation_2E'!$B$9:$B$270,0))="","",INDEX('SR_Cash Reconciliation_2E'!K$9:K$270,MATCH($D76,'SR_Cash Reconciliation_2E'!$B$9:$B$270,0))),"")</f>
        <v/>
      </c>
      <c r="M76" s="915" t="str">
        <f>""</f>
        <v/>
      </c>
      <c r="N76" s="917" t="str">
        <f>IFERROR(IF(INDEX('SR_Cash Reconciliation_2E'!N$9:N$270,MATCH($D76,'SR_Cash Reconciliation_2E'!$B$9:$B$270,0))="","",INDEX('SR_Cash Reconciliation_2E'!N$9:N$270,MATCH($D76,'SR_Cash Reconciliation_2E'!$B$9:$B$270,0))),"")</f>
        <v/>
      </c>
    </row>
    <row r="77" spans="1:14" x14ac:dyDescent="0.25">
      <c r="A77" s="637"/>
      <c r="B77" s="915"/>
      <c r="C77" s="915">
        <f t="shared" si="2"/>
        <v>72</v>
      </c>
      <c r="D77" s="915" t="str">
        <f t="shared" si="3"/>
        <v>ID72</v>
      </c>
      <c r="E77" s="916" t="str">
        <f>IFERROR(IF(INDEX('SR_Cash Reconciliation_2E'!C$9:C$270,MATCH($D77,'SR_Cash Reconciliation_2E'!$B$9:$B$270,0))="","",INDEX('SR_Cash Reconciliation_2E'!C$9:C$270,MATCH($D77,'SR_Cash Reconciliation_2E'!$B$9:$B$270,0))),"")</f>
        <v/>
      </c>
      <c r="F77" s="917" t="str">
        <f>IFERROR(IF(INDEX('SR_Cash Reconciliation_2E'!D$9:D$270,MATCH($D77,'SR_Cash Reconciliation_2E'!$B$9:$B$270,0))="","",INDEX('SR_Cash Reconciliation_2E'!D$9:D$270,MATCH($D77,'SR_Cash Reconciliation_2E'!$B$9:$B$270,0))),"")</f>
        <v/>
      </c>
      <c r="G77" s="917" t="str">
        <f>IFERROR(IF(INDEX('SR_Cash Reconciliation_2E'!E$9:E$270,MATCH($D77,'SR_Cash Reconciliation_2E'!$B$9:$B$270,0))="","",INDEX('SR_Cash Reconciliation_2E'!E$9:E$270,MATCH($D77,'SR_Cash Reconciliation_2E'!$B$9:$B$270,0))),"")</f>
        <v/>
      </c>
      <c r="H77" s="917" t="str">
        <f>IFERROR(IF(INDEX('SR_Cash Reconciliation_2E'!F$9:F$270,MATCH($D77,'SR_Cash Reconciliation_2E'!$B$9:$B$270,0))="","",INDEX('SR_Cash Reconciliation_2E'!F$9:F$270,MATCH($D77,'SR_Cash Reconciliation_2E'!$B$9:$B$270,0))),"")</f>
        <v/>
      </c>
      <c r="I77" s="917" t="str">
        <f>IFERROR(IF(INDEX('SR_Cash Reconciliation_2E'!G$9:G$270,MATCH($D77,'SR_Cash Reconciliation_2E'!$B$9:$B$270,0))="","",INDEX('SR_Cash Reconciliation_2E'!G$9:G$270,MATCH($D77,'SR_Cash Reconciliation_2E'!$B$9:$B$270,0))),"")</f>
        <v/>
      </c>
      <c r="J77" s="917" t="str">
        <f>IFERROR(IF(INDEX('SR_Cash Reconciliation_2E'!H$9:H$270,MATCH($D77,'SR_Cash Reconciliation_2E'!$B$9:$B$270,0))="","",INDEX('SR_Cash Reconciliation_2E'!H$9:H$270,MATCH($D77,'SR_Cash Reconciliation_2E'!$B$9:$B$270,0))),"")</f>
        <v/>
      </c>
      <c r="K77" s="917" t="str">
        <f>IFERROR(IF(INDEX('SR_Cash Reconciliation_2E'!I$9:I$270,MATCH($D77,'SR_Cash Reconciliation_2E'!$B$9:$B$270,0))="","",INDEX('SR_Cash Reconciliation_2E'!I$9:I$270,MATCH($D77,'SR_Cash Reconciliation_2E'!$B$9:$B$270,0))),"")</f>
        <v/>
      </c>
      <c r="L77" s="917" t="str">
        <f>IFERROR(IF(INDEX('SR_Cash Reconciliation_2E'!K$9:K$270,MATCH($D77,'SR_Cash Reconciliation_2E'!$B$9:$B$270,0))="","",INDEX('SR_Cash Reconciliation_2E'!K$9:K$270,MATCH($D77,'SR_Cash Reconciliation_2E'!$B$9:$B$270,0))),"")</f>
        <v/>
      </c>
      <c r="M77" s="915" t="str">
        <f>""</f>
        <v/>
      </c>
      <c r="N77" s="917" t="str">
        <f>IFERROR(IF(INDEX('SR_Cash Reconciliation_2E'!N$9:N$270,MATCH($D77,'SR_Cash Reconciliation_2E'!$B$9:$B$270,0))="","",INDEX('SR_Cash Reconciliation_2E'!N$9:N$270,MATCH($D77,'SR_Cash Reconciliation_2E'!$B$9:$B$270,0))),"")</f>
        <v/>
      </c>
    </row>
    <row r="78" spans="1:14" x14ac:dyDescent="0.25">
      <c r="A78" s="637"/>
      <c r="B78" s="915"/>
      <c r="C78" s="915">
        <f t="shared" si="2"/>
        <v>73</v>
      </c>
      <c r="D78" s="915" t="str">
        <f t="shared" si="3"/>
        <v>ID73</v>
      </c>
      <c r="E78" s="916" t="str">
        <f>IFERROR(IF(INDEX('SR_Cash Reconciliation_2E'!C$9:C$270,MATCH($D78,'SR_Cash Reconciliation_2E'!$B$9:$B$270,0))="","",INDEX('SR_Cash Reconciliation_2E'!C$9:C$270,MATCH($D78,'SR_Cash Reconciliation_2E'!$B$9:$B$270,0))),"")</f>
        <v/>
      </c>
      <c r="F78" s="917" t="str">
        <f>IFERROR(IF(INDEX('SR_Cash Reconciliation_2E'!D$9:D$270,MATCH($D78,'SR_Cash Reconciliation_2E'!$B$9:$B$270,0))="","",INDEX('SR_Cash Reconciliation_2E'!D$9:D$270,MATCH($D78,'SR_Cash Reconciliation_2E'!$B$9:$B$270,0))),"")</f>
        <v/>
      </c>
      <c r="G78" s="917" t="str">
        <f>IFERROR(IF(INDEX('SR_Cash Reconciliation_2E'!E$9:E$270,MATCH($D78,'SR_Cash Reconciliation_2E'!$B$9:$B$270,0))="","",INDEX('SR_Cash Reconciliation_2E'!E$9:E$270,MATCH($D78,'SR_Cash Reconciliation_2E'!$B$9:$B$270,0))),"")</f>
        <v/>
      </c>
      <c r="H78" s="917" t="str">
        <f>IFERROR(IF(INDEX('SR_Cash Reconciliation_2E'!F$9:F$270,MATCH($D78,'SR_Cash Reconciliation_2E'!$B$9:$B$270,0))="","",INDEX('SR_Cash Reconciliation_2E'!F$9:F$270,MATCH($D78,'SR_Cash Reconciliation_2E'!$B$9:$B$270,0))),"")</f>
        <v/>
      </c>
      <c r="I78" s="917" t="str">
        <f>IFERROR(IF(INDEX('SR_Cash Reconciliation_2E'!G$9:G$270,MATCH($D78,'SR_Cash Reconciliation_2E'!$B$9:$B$270,0))="","",INDEX('SR_Cash Reconciliation_2E'!G$9:G$270,MATCH($D78,'SR_Cash Reconciliation_2E'!$B$9:$B$270,0))),"")</f>
        <v/>
      </c>
      <c r="J78" s="917" t="str">
        <f>IFERROR(IF(INDEX('SR_Cash Reconciliation_2E'!H$9:H$270,MATCH($D78,'SR_Cash Reconciliation_2E'!$B$9:$B$270,0))="","",INDEX('SR_Cash Reconciliation_2E'!H$9:H$270,MATCH($D78,'SR_Cash Reconciliation_2E'!$B$9:$B$270,0))),"")</f>
        <v/>
      </c>
      <c r="K78" s="917" t="str">
        <f>IFERROR(IF(INDEX('SR_Cash Reconciliation_2E'!I$9:I$270,MATCH($D78,'SR_Cash Reconciliation_2E'!$B$9:$B$270,0))="","",INDEX('SR_Cash Reconciliation_2E'!I$9:I$270,MATCH($D78,'SR_Cash Reconciliation_2E'!$B$9:$B$270,0))),"")</f>
        <v/>
      </c>
      <c r="L78" s="917" t="str">
        <f>IFERROR(IF(INDEX('SR_Cash Reconciliation_2E'!K$9:K$270,MATCH($D78,'SR_Cash Reconciliation_2E'!$B$9:$B$270,0))="","",INDEX('SR_Cash Reconciliation_2E'!K$9:K$270,MATCH($D78,'SR_Cash Reconciliation_2E'!$B$9:$B$270,0))),"")</f>
        <v/>
      </c>
      <c r="M78" s="915" t="str">
        <f>""</f>
        <v/>
      </c>
      <c r="N78" s="917" t="str">
        <f>IFERROR(IF(INDEX('SR_Cash Reconciliation_2E'!N$9:N$270,MATCH($D78,'SR_Cash Reconciliation_2E'!$B$9:$B$270,0))="","",INDEX('SR_Cash Reconciliation_2E'!N$9:N$270,MATCH($D78,'SR_Cash Reconciliation_2E'!$B$9:$B$270,0))),"")</f>
        <v/>
      </c>
    </row>
    <row r="79" spans="1:14" x14ac:dyDescent="0.25">
      <c r="A79" s="637"/>
      <c r="B79" s="915"/>
      <c r="C79" s="915">
        <f t="shared" si="2"/>
        <v>74</v>
      </c>
      <c r="D79" s="915" t="str">
        <f t="shared" si="3"/>
        <v>ID74</v>
      </c>
      <c r="E79" s="916" t="str">
        <f>IFERROR(IF(INDEX('SR_Cash Reconciliation_2E'!C$9:C$270,MATCH($D79,'SR_Cash Reconciliation_2E'!$B$9:$B$270,0))="","",INDEX('SR_Cash Reconciliation_2E'!C$9:C$270,MATCH($D79,'SR_Cash Reconciliation_2E'!$B$9:$B$270,0))),"")</f>
        <v/>
      </c>
      <c r="F79" s="917" t="str">
        <f>IFERROR(IF(INDEX('SR_Cash Reconciliation_2E'!D$9:D$270,MATCH($D79,'SR_Cash Reconciliation_2E'!$B$9:$B$270,0))="","",INDEX('SR_Cash Reconciliation_2E'!D$9:D$270,MATCH($D79,'SR_Cash Reconciliation_2E'!$B$9:$B$270,0))),"")</f>
        <v/>
      </c>
      <c r="G79" s="917" t="str">
        <f>IFERROR(IF(INDEX('SR_Cash Reconciliation_2E'!E$9:E$270,MATCH($D79,'SR_Cash Reconciliation_2E'!$B$9:$B$270,0))="","",INDEX('SR_Cash Reconciliation_2E'!E$9:E$270,MATCH($D79,'SR_Cash Reconciliation_2E'!$B$9:$B$270,0))),"")</f>
        <v/>
      </c>
      <c r="H79" s="917" t="str">
        <f>IFERROR(IF(INDEX('SR_Cash Reconciliation_2E'!F$9:F$270,MATCH($D79,'SR_Cash Reconciliation_2E'!$B$9:$B$270,0))="","",INDEX('SR_Cash Reconciliation_2E'!F$9:F$270,MATCH($D79,'SR_Cash Reconciliation_2E'!$B$9:$B$270,0))),"")</f>
        <v/>
      </c>
      <c r="I79" s="917" t="str">
        <f>IFERROR(IF(INDEX('SR_Cash Reconciliation_2E'!G$9:G$270,MATCH($D79,'SR_Cash Reconciliation_2E'!$B$9:$B$270,0))="","",INDEX('SR_Cash Reconciliation_2E'!G$9:G$270,MATCH($D79,'SR_Cash Reconciliation_2E'!$B$9:$B$270,0))),"")</f>
        <v/>
      </c>
      <c r="J79" s="917" t="str">
        <f>IFERROR(IF(INDEX('SR_Cash Reconciliation_2E'!H$9:H$270,MATCH($D79,'SR_Cash Reconciliation_2E'!$B$9:$B$270,0))="","",INDEX('SR_Cash Reconciliation_2E'!H$9:H$270,MATCH($D79,'SR_Cash Reconciliation_2E'!$B$9:$B$270,0))),"")</f>
        <v/>
      </c>
      <c r="K79" s="917" t="str">
        <f>IFERROR(IF(INDEX('SR_Cash Reconciliation_2E'!I$9:I$270,MATCH($D79,'SR_Cash Reconciliation_2E'!$B$9:$B$270,0))="","",INDEX('SR_Cash Reconciliation_2E'!I$9:I$270,MATCH($D79,'SR_Cash Reconciliation_2E'!$B$9:$B$270,0))),"")</f>
        <v/>
      </c>
      <c r="L79" s="917" t="str">
        <f>IFERROR(IF(INDEX('SR_Cash Reconciliation_2E'!K$9:K$270,MATCH($D79,'SR_Cash Reconciliation_2E'!$B$9:$B$270,0))="","",INDEX('SR_Cash Reconciliation_2E'!K$9:K$270,MATCH($D79,'SR_Cash Reconciliation_2E'!$B$9:$B$270,0))),"")</f>
        <v/>
      </c>
      <c r="M79" s="915" t="str">
        <f>""</f>
        <v/>
      </c>
      <c r="N79" s="917" t="str">
        <f>IFERROR(IF(INDEX('SR_Cash Reconciliation_2E'!N$9:N$270,MATCH($D79,'SR_Cash Reconciliation_2E'!$B$9:$B$270,0))="","",INDEX('SR_Cash Reconciliation_2E'!N$9:N$270,MATCH($D79,'SR_Cash Reconciliation_2E'!$B$9:$B$270,0))),"")</f>
        <v/>
      </c>
    </row>
    <row r="80" spans="1:14" x14ac:dyDescent="0.25">
      <c r="A80" s="637"/>
      <c r="B80" s="915"/>
      <c r="C80" s="915">
        <f t="shared" si="2"/>
        <v>75</v>
      </c>
      <c r="D80" s="915" t="str">
        <f t="shared" si="3"/>
        <v>ID75</v>
      </c>
      <c r="E80" s="916" t="str">
        <f>IFERROR(IF(INDEX('SR_Cash Reconciliation_2E'!C$9:C$270,MATCH($D80,'SR_Cash Reconciliation_2E'!$B$9:$B$270,0))="","",INDEX('SR_Cash Reconciliation_2E'!C$9:C$270,MATCH($D80,'SR_Cash Reconciliation_2E'!$B$9:$B$270,0))),"")</f>
        <v/>
      </c>
      <c r="F80" s="917" t="str">
        <f>IFERROR(IF(INDEX('SR_Cash Reconciliation_2E'!D$9:D$270,MATCH($D80,'SR_Cash Reconciliation_2E'!$B$9:$B$270,0))="","",INDEX('SR_Cash Reconciliation_2E'!D$9:D$270,MATCH($D80,'SR_Cash Reconciliation_2E'!$B$9:$B$270,0))),"")</f>
        <v/>
      </c>
      <c r="G80" s="917" t="str">
        <f>IFERROR(IF(INDEX('SR_Cash Reconciliation_2E'!E$9:E$270,MATCH($D80,'SR_Cash Reconciliation_2E'!$B$9:$B$270,0))="","",INDEX('SR_Cash Reconciliation_2E'!E$9:E$270,MATCH($D80,'SR_Cash Reconciliation_2E'!$B$9:$B$270,0))),"")</f>
        <v/>
      </c>
      <c r="H80" s="917" t="str">
        <f>IFERROR(IF(INDEX('SR_Cash Reconciliation_2E'!F$9:F$270,MATCH($D80,'SR_Cash Reconciliation_2E'!$B$9:$B$270,0))="","",INDEX('SR_Cash Reconciliation_2E'!F$9:F$270,MATCH($D80,'SR_Cash Reconciliation_2E'!$B$9:$B$270,0))),"")</f>
        <v/>
      </c>
      <c r="I80" s="917" t="str">
        <f>IFERROR(IF(INDEX('SR_Cash Reconciliation_2E'!G$9:G$270,MATCH($D80,'SR_Cash Reconciliation_2E'!$B$9:$B$270,0))="","",INDEX('SR_Cash Reconciliation_2E'!G$9:G$270,MATCH($D80,'SR_Cash Reconciliation_2E'!$B$9:$B$270,0))),"")</f>
        <v/>
      </c>
      <c r="J80" s="917" t="str">
        <f>IFERROR(IF(INDEX('SR_Cash Reconciliation_2E'!H$9:H$270,MATCH($D80,'SR_Cash Reconciliation_2E'!$B$9:$B$270,0))="","",INDEX('SR_Cash Reconciliation_2E'!H$9:H$270,MATCH($D80,'SR_Cash Reconciliation_2E'!$B$9:$B$270,0))),"")</f>
        <v/>
      </c>
      <c r="K80" s="917" t="str">
        <f>IFERROR(IF(INDEX('SR_Cash Reconciliation_2E'!I$9:I$270,MATCH($D80,'SR_Cash Reconciliation_2E'!$B$9:$B$270,0))="","",INDEX('SR_Cash Reconciliation_2E'!I$9:I$270,MATCH($D80,'SR_Cash Reconciliation_2E'!$B$9:$B$270,0))),"")</f>
        <v/>
      </c>
      <c r="L80" s="917" t="str">
        <f>IFERROR(IF(INDEX('SR_Cash Reconciliation_2E'!K$9:K$270,MATCH($D80,'SR_Cash Reconciliation_2E'!$B$9:$B$270,0))="","",INDEX('SR_Cash Reconciliation_2E'!K$9:K$270,MATCH($D80,'SR_Cash Reconciliation_2E'!$B$9:$B$270,0))),"")</f>
        <v/>
      </c>
      <c r="M80" s="915" t="str">
        <f>""</f>
        <v/>
      </c>
      <c r="N80" s="917" t="str">
        <f>IFERROR(IF(INDEX('SR_Cash Reconciliation_2E'!N$9:N$270,MATCH($D80,'SR_Cash Reconciliation_2E'!$B$9:$B$270,0))="","",INDEX('SR_Cash Reconciliation_2E'!N$9:N$270,MATCH($D80,'SR_Cash Reconciliation_2E'!$B$9:$B$270,0))),"")</f>
        <v/>
      </c>
    </row>
    <row r="81" spans="1:14" x14ac:dyDescent="0.25">
      <c r="A81" s="637"/>
      <c r="B81" s="915"/>
      <c r="C81" s="915">
        <f t="shared" si="2"/>
        <v>76</v>
      </c>
      <c r="D81" s="915" t="str">
        <f t="shared" si="3"/>
        <v>ID76</v>
      </c>
      <c r="E81" s="916" t="str">
        <f>IFERROR(IF(INDEX('SR_Cash Reconciliation_2E'!C$9:C$270,MATCH($D81,'SR_Cash Reconciliation_2E'!$B$9:$B$270,0))="","",INDEX('SR_Cash Reconciliation_2E'!C$9:C$270,MATCH($D81,'SR_Cash Reconciliation_2E'!$B$9:$B$270,0))),"")</f>
        <v/>
      </c>
      <c r="F81" s="917" t="str">
        <f>IFERROR(IF(INDEX('SR_Cash Reconciliation_2E'!D$9:D$270,MATCH($D81,'SR_Cash Reconciliation_2E'!$B$9:$B$270,0))="","",INDEX('SR_Cash Reconciliation_2E'!D$9:D$270,MATCH($D81,'SR_Cash Reconciliation_2E'!$B$9:$B$270,0))),"")</f>
        <v/>
      </c>
      <c r="G81" s="917" t="str">
        <f>IFERROR(IF(INDEX('SR_Cash Reconciliation_2E'!E$9:E$270,MATCH($D81,'SR_Cash Reconciliation_2E'!$B$9:$B$270,0))="","",INDEX('SR_Cash Reconciliation_2E'!E$9:E$270,MATCH($D81,'SR_Cash Reconciliation_2E'!$B$9:$B$270,0))),"")</f>
        <v/>
      </c>
      <c r="H81" s="917" t="str">
        <f>IFERROR(IF(INDEX('SR_Cash Reconciliation_2E'!F$9:F$270,MATCH($D81,'SR_Cash Reconciliation_2E'!$B$9:$B$270,0))="","",INDEX('SR_Cash Reconciliation_2E'!F$9:F$270,MATCH($D81,'SR_Cash Reconciliation_2E'!$B$9:$B$270,0))),"")</f>
        <v/>
      </c>
      <c r="I81" s="917" t="str">
        <f>IFERROR(IF(INDEX('SR_Cash Reconciliation_2E'!G$9:G$270,MATCH($D81,'SR_Cash Reconciliation_2E'!$B$9:$B$270,0))="","",INDEX('SR_Cash Reconciliation_2E'!G$9:G$270,MATCH($D81,'SR_Cash Reconciliation_2E'!$B$9:$B$270,0))),"")</f>
        <v/>
      </c>
      <c r="J81" s="917" t="str">
        <f>IFERROR(IF(INDEX('SR_Cash Reconciliation_2E'!H$9:H$270,MATCH($D81,'SR_Cash Reconciliation_2E'!$B$9:$B$270,0))="","",INDEX('SR_Cash Reconciliation_2E'!H$9:H$270,MATCH($D81,'SR_Cash Reconciliation_2E'!$B$9:$B$270,0))),"")</f>
        <v/>
      </c>
      <c r="K81" s="917" t="str">
        <f>IFERROR(IF(INDEX('SR_Cash Reconciliation_2E'!I$9:I$270,MATCH($D81,'SR_Cash Reconciliation_2E'!$B$9:$B$270,0))="","",INDEX('SR_Cash Reconciliation_2E'!I$9:I$270,MATCH($D81,'SR_Cash Reconciliation_2E'!$B$9:$B$270,0))),"")</f>
        <v/>
      </c>
      <c r="L81" s="917" t="str">
        <f>IFERROR(IF(INDEX('SR_Cash Reconciliation_2E'!K$9:K$270,MATCH($D81,'SR_Cash Reconciliation_2E'!$B$9:$B$270,0))="","",INDEX('SR_Cash Reconciliation_2E'!K$9:K$270,MATCH($D81,'SR_Cash Reconciliation_2E'!$B$9:$B$270,0))),"")</f>
        <v/>
      </c>
      <c r="M81" s="915" t="str">
        <f>""</f>
        <v/>
      </c>
      <c r="N81" s="917" t="str">
        <f>IFERROR(IF(INDEX('SR_Cash Reconciliation_2E'!N$9:N$270,MATCH($D81,'SR_Cash Reconciliation_2E'!$B$9:$B$270,0))="","",INDEX('SR_Cash Reconciliation_2E'!N$9:N$270,MATCH($D81,'SR_Cash Reconciliation_2E'!$B$9:$B$270,0))),"")</f>
        <v/>
      </c>
    </row>
    <row r="82" spans="1:14" x14ac:dyDescent="0.25">
      <c r="A82" s="637"/>
      <c r="B82" s="915"/>
      <c r="C82" s="915">
        <f t="shared" si="2"/>
        <v>77</v>
      </c>
      <c r="D82" s="915" t="str">
        <f t="shared" si="3"/>
        <v>ID77</v>
      </c>
      <c r="E82" s="916" t="str">
        <f>IFERROR(IF(INDEX('SR_Cash Reconciliation_2E'!C$9:C$270,MATCH($D82,'SR_Cash Reconciliation_2E'!$B$9:$B$270,0))="","",INDEX('SR_Cash Reconciliation_2E'!C$9:C$270,MATCH($D82,'SR_Cash Reconciliation_2E'!$B$9:$B$270,0))),"")</f>
        <v/>
      </c>
      <c r="F82" s="917" t="str">
        <f>IFERROR(IF(INDEX('SR_Cash Reconciliation_2E'!D$9:D$270,MATCH($D82,'SR_Cash Reconciliation_2E'!$B$9:$B$270,0))="","",INDEX('SR_Cash Reconciliation_2E'!D$9:D$270,MATCH($D82,'SR_Cash Reconciliation_2E'!$B$9:$B$270,0))),"")</f>
        <v/>
      </c>
      <c r="G82" s="917" t="str">
        <f>IFERROR(IF(INDEX('SR_Cash Reconciliation_2E'!E$9:E$270,MATCH($D82,'SR_Cash Reconciliation_2E'!$B$9:$B$270,0))="","",INDEX('SR_Cash Reconciliation_2E'!E$9:E$270,MATCH($D82,'SR_Cash Reconciliation_2E'!$B$9:$B$270,0))),"")</f>
        <v/>
      </c>
      <c r="H82" s="917" t="str">
        <f>IFERROR(IF(INDEX('SR_Cash Reconciliation_2E'!F$9:F$270,MATCH($D82,'SR_Cash Reconciliation_2E'!$B$9:$B$270,0))="","",INDEX('SR_Cash Reconciliation_2E'!F$9:F$270,MATCH($D82,'SR_Cash Reconciliation_2E'!$B$9:$B$270,0))),"")</f>
        <v/>
      </c>
      <c r="I82" s="917" t="str">
        <f>IFERROR(IF(INDEX('SR_Cash Reconciliation_2E'!G$9:G$270,MATCH($D82,'SR_Cash Reconciliation_2E'!$B$9:$B$270,0))="","",INDEX('SR_Cash Reconciliation_2E'!G$9:G$270,MATCH($D82,'SR_Cash Reconciliation_2E'!$B$9:$B$270,0))),"")</f>
        <v/>
      </c>
      <c r="J82" s="917" t="str">
        <f>IFERROR(IF(INDEX('SR_Cash Reconciliation_2E'!H$9:H$270,MATCH($D82,'SR_Cash Reconciliation_2E'!$B$9:$B$270,0))="","",INDEX('SR_Cash Reconciliation_2E'!H$9:H$270,MATCH($D82,'SR_Cash Reconciliation_2E'!$B$9:$B$270,0))),"")</f>
        <v/>
      </c>
      <c r="K82" s="917" t="str">
        <f>IFERROR(IF(INDEX('SR_Cash Reconciliation_2E'!I$9:I$270,MATCH($D82,'SR_Cash Reconciliation_2E'!$B$9:$B$270,0))="","",INDEX('SR_Cash Reconciliation_2E'!I$9:I$270,MATCH($D82,'SR_Cash Reconciliation_2E'!$B$9:$B$270,0))),"")</f>
        <v/>
      </c>
      <c r="L82" s="917" t="str">
        <f>IFERROR(IF(INDEX('SR_Cash Reconciliation_2E'!K$9:K$270,MATCH($D82,'SR_Cash Reconciliation_2E'!$B$9:$B$270,0))="","",INDEX('SR_Cash Reconciliation_2E'!K$9:K$270,MATCH($D82,'SR_Cash Reconciliation_2E'!$B$9:$B$270,0))),"")</f>
        <v/>
      </c>
      <c r="M82" s="915" t="str">
        <f>""</f>
        <v/>
      </c>
      <c r="N82" s="917" t="str">
        <f>IFERROR(IF(INDEX('SR_Cash Reconciliation_2E'!N$9:N$270,MATCH($D82,'SR_Cash Reconciliation_2E'!$B$9:$B$270,0))="","",INDEX('SR_Cash Reconciliation_2E'!N$9:N$270,MATCH($D82,'SR_Cash Reconciliation_2E'!$B$9:$B$270,0))),"")</f>
        <v/>
      </c>
    </row>
    <row r="83" spans="1:14" x14ac:dyDescent="0.25">
      <c r="A83" s="637"/>
      <c r="B83" s="915"/>
      <c r="C83" s="915">
        <f t="shared" si="2"/>
        <v>78</v>
      </c>
      <c r="D83" s="915" t="str">
        <f t="shared" si="3"/>
        <v>ID78</v>
      </c>
      <c r="E83" s="916" t="str">
        <f>IFERROR(IF(INDEX('SR_Cash Reconciliation_2E'!C$9:C$270,MATCH($D83,'SR_Cash Reconciliation_2E'!$B$9:$B$270,0))="","",INDEX('SR_Cash Reconciliation_2E'!C$9:C$270,MATCH($D83,'SR_Cash Reconciliation_2E'!$B$9:$B$270,0))),"")</f>
        <v/>
      </c>
      <c r="F83" s="917" t="str">
        <f>IFERROR(IF(INDEX('SR_Cash Reconciliation_2E'!D$9:D$270,MATCH($D83,'SR_Cash Reconciliation_2E'!$B$9:$B$270,0))="","",INDEX('SR_Cash Reconciliation_2E'!D$9:D$270,MATCH($D83,'SR_Cash Reconciliation_2E'!$B$9:$B$270,0))),"")</f>
        <v/>
      </c>
      <c r="G83" s="917" t="str">
        <f>IFERROR(IF(INDEX('SR_Cash Reconciliation_2E'!E$9:E$270,MATCH($D83,'SR_Cash Reconciliation_2E'!$B$9:$B$270,0))="","",INDEX('SR_Cash Reconciliation_2E'!E$9:E$270,MATCH($D83,'SR_Cash Reconciliation_2E'!$B$9:$B$270,0))),"")</f>
        <v/>
      </c>
      <c r="H83" s="917" t="str">
        <f>IFERROR(IF(INDEX('SR_Cash Reconciliation_2E'!F$9:F$270,MATCH($D83,'SR_Cash Reconciliation_2E'!$B$9:$B$270,0))="","",INDEX('SR_Cash Reconciliation_2E'!F$9:F$270,MATCH($D83,'SR_Cash Reconciliation_2E'!$B$9:$B$270,0))),"")</f>
        <v/>
      </c>
      <c r="I83" s="917" t="str">
        <f>IFERROR(IF(INDEX('SR_Cash Reconciliation_2E'!G$9:G$270,MATCH($D83,'SR_Cash Reconciliation_2E'!$B$9:$B$270,0))="","",INDEX('SR_Cash Reconciliation_2E'!G$9:G$270,MATCH($D83,'SR_Cash Reconciliation_2E'!$B$9:$B$270,0))),"")</f>
        <v/>
      </c>
      <c r="J83" s="917" t="str">
        <f>IFERROR(IF(INDEX('SR_Cash Reconciliation_2E'!H$9:H$270,MATCH($D83,'SR_Cash Reconciliation_2E'!$B$9:$B$270,0))="","",INDEX('SR_Cash Reconciliation_2E'!H$9:H$270,MATCH($D83,'SR_Cash Reconciliation_2E'!$B$9:$B$270,0))),"")</f>
        <v/>
      </c>
      <c r="K83" s="917" t="str">
        <f>IFERROR(IF(INDEX('SR_Cash Reconciliation_2E'!I$9:I$270,MATCH($D83,'SR_Cash Reconciliation_2E'!$B$9:$B$270,0))="","",INDEX('SR_Cash Reconciliation_2E'!I$9:I$270,MATCH($D83,'SR_Cash Reconciliation_2E'!$B$9:$B$270,0))),"")</f>
        <v/>
      </c>
      <c r="L83" s="917" t="str">
        <f>IFERROR(IF(INDEX('SR_Cash Reconciliation_2E'!K$9:K$270,MATCH($D83,'SR_Cash Reconciliation_2E'!$B$9:$B$270,0))="","",INDEX('SR_Cash Reconciliation_2E'!K$9:K$270,MATCH($D83,'SR_Cash Reconciliation_2E'!$B$9:$B$270,0))),"")</f>
        <v/>
      </c>
      <c r="M83" s="915" t="str">
        <f>""</f>
        <v/>
      </c>
      <c r="N83" s="917" t="str">
        <f>IFERROR(IF(INDEX('SR_Cash Reconciliation_2E'!N$9:N$270,MATCH($D83,'SR_Cash Reconciliation_2E'!$B$9:$B$270,0))="","",INDEX('SR_Cash Reconciliation_2E'!N$9:N$270,MATCH($D83,'SR_Cash Reconciliation_2E'!$B$9:$B$270,0))),"")</f>
        <v/>
      </c>
    </row>
    <row r="84" spans="1:14" x14ac:dyDescent="0.25">
      <c r="A84" s="637"/>
      <c r="B84" s="915"/>
      <c r="C84" s="915">
        <f t="shared" si="2"/>
        <v>79</v>
      </c>
      <c r="D84" s="915" t="str">
        <f t="shared" si="3"/>
        <v>ID79</v>
      </c>
      <c r="E84" s="916" t="str">
        <f>IFERROR(IF(INDEX('SR_Cash Reconciliation_2E'!C$9:C$270,MATCH($D84,'SR_Cash Reconciliation_2E'!$B$9:$B$270,0))="","",INDEX('SR_Cash Reconciliation_2E'!C$9:C$270,MATCH($D84,'SR_Cash Reconciliation_2E'!$B$9:$B$270,0))),"")</f>
        <v/>
      </c>
      <c r="F84" s="917" t="str">
        <f>IFERROR(IF(INDEX('SR_Cash Reconciliation_2E'!D$9:D$270,MATCH($D84,'SR_Cash Reconciliation_2E'!$B$9:$B$270,0))="","",INDEX('SR_Cash Reconciliation_2E'!D$9:D$270,MATCH($D84,'SR_Cash Reconciliation_2E'!$B$9:$B$270,0))),"")</f>
        <v/>
      </c>
      <c r="G84" s="917" t="str">
        <f>IFERROR(IF(INDEX('SR_Cash Reconciliation_2E'!E$9:E$270,MATCH($D84,'SR_Cash Reconciliation_2E'!$B$9:$B$270,0))="","",INDEX('SR_Cash Reconciliation_2E'!E$9:E$270,MATCH($D84,'SR_Cash Reconciliation_2E'!$B$9:$B$270,0))),"")</f>
        <v/>
      </c>
      <c r="H84" s="917" t="str">
        <f>IFERROR(IF(INDEX('SR_Cash Reconciliation_2E'!F$9:F$270,MATCH($D84,'SR_Cash Reconciliation_2E'!$B$9:$B$270,0))="","",INDEX('SR_Cash Reconciliation_2E'!F$9:F$270,MATCH($D84,'SR_Cash Reconciliation_2E'!$B$9:$B$270,0))),"")</f>
        <v/>
      </c>
      <c r="I84" s="917" t="str">
        <f>IFERROR(IF(INDEX('SR_Cash Reconciliation_2E'!G$9:G$270,MATCH($D84,'SR_Cash Reconciliation_2E'!$B$9:$B$270,0))="","",INDEX('SR_Cash Reconciliation_2E'!G$9:G$270,MATCH($D84,'SR_Cash Reconciliation_2E'!$B$9:$B$270,0))),"")</f>
        <v/>
      </c>
      <c r="J84" s="917" t="str">
        <f>IFERROR(IF(INDEX('SR_Cash Reconciliation_2E'!H$9:H$270,MATCH($D84,'SR_Cash Reconciliation_2E'!$B$9:$B$270,0))="","",INDEX('SR_Cash Reconciliation_2E'!H$9:H$270,MATCH($D84,'SR_Cash Reconciliation_2E'!$B$9:$B$270,0))),"")</f>
        <v/>
      </c>
      <c r="K84" s="917" t="str">
        <f>IFERROR(IF(INDEX('SR_Cash Reconciliation_2E'!I$9:I$270,MATCH($D84,'SR_Cash Reconciliation_2E'!$B$9:$B$270,0))="","",INDEX('SR_Cash Reconciliation_2E'!I$9:I$270,MATCH($D84,'SR_Cash Reconciliation_2E'!$B$9:$B$270,0))),"")</f>
        <v/>
      </c>
      <c r="L84" s="917" t="str">
        <f>IFERROR(IF(INDEX('SR_Cash Reconciliation_2E'!K$9:K$270,MATCH($D84,'SR_Cash Reconciliation_2E'!$B$9:$B$270,0))="","",INDEX('SR_Cash Reconciliation_2E'!K$9:K$270,MATCH($D84,'SR_Cash Reconciliation_2E'!$B$9:$B$270,0))),"")</f>
        <v/>
      </c>
      <c r="M84" s="915" t="str">
        <f>""</f>
        <v/>
      </c>
      <c r="N84" s="917" t="str">
        <f>IFERROR(IF(INDEX('SR_Cash Reconciliation_2E'!N$9:N$270,MATCH($D84,'SR_Cash Reconciliation_2E'!$B$9:$B$270,0))="","",INDEX('SR_Cash Reconciliation_2E'!N$9:N$270,MATCH($D84,'SR_Cash Reconciliation_2E'!$B$9:$B$270,0))),"")</f>
        <v/>
      </c>
    </row>
    <row r="85" spans="1:14" x14ac:dyDescent="0.25">
      <c r="A85" s="637"/>
      <c r="B85" s="915"/>
      <c r="C85" s="915">
        <f t="shared" si="2"/>
        <v>80</v>
      </c>
      <c r="D85" s="915" t="str">
        <f t="shared" si="3"/>
        <v>ID80</v>
      </c>
      <c r="E85" s="916" t="str">
        <f>IFERROR(IF(INDEX('SR_Cash Reconciliation_2E'!C$9:C$270,MATCH($D85,'SR_Cash Reconciliation_2E'!$B$9:$B$270,0))="","",INDEX('SR_Cash Reconciliation_2E'!C$9:C$270,MATCH($D85,'SR_Cash Reconciliation_2E'!$B$9:$B$270,0))),"")</f>
        <v/>
      </c>
      <c r="F85" s="917" t="str">
        <f>IFERROR(IF(INDEX('SR_Cash Reconciliation_2E'!D$9:D$270,MATCH($D85,'SR_Cash Reconciliation_2E'!$B$9:$B$270,0))="","",INDEX('SR_Cash Reconciliation_2E'!D$9:D$270,MATCH($D85,'SR_Cash Reconciliation_2E'!$B$9:$B$270,0))),"")</f>
        <v/>
      </c>
      <c r="G85" s="917" t="str">
        <f>IFERROR(IF(INDEX('SR_Cash Reconciliation_2E'!E$9:E$270,MATCH($D85,'SR_Cash Reconciliation_2E'!$B$9:$B$270,0))="","",INDEX('SR_Cash Reconciliation_2E'!E$9:E$270,MATCH($D85,'SR_Cash Reconciliation_2E'!$B$9:$B$270,0))),"")</f>
        <v/>
      </c>
      <c r="H85" s="917" t="str">
        <f>IFERROR(IF(INDEX('SR_Cash Reconciliation_2E'!F$9:F$270,MATCH($D85,'SR_Cash Reconciliation_2E'!$B$9:$B$270,0))="","",INDEX('SR_Cash Reconciliation_2E'!F$9:F$270,MATCH($D85,'SR_Cash Reconciliation_2E'!$B$9:$B$270,0))),"")</f>
        <v/>
      </c>
      <c r="I85" s="917" t="str">
        <f>IFERROR(IF(INDEX('SR_Cash Reconciliation_2E'!G$9:G$270,MATCH($D85,'SR_Cash Reconciliation_2E'!$B$9:$B$270,0))="","",INDEX('SR_Cash Reconciliation_2E'!G$9:G$270,MATCH($D85,'SR_Cash Reconciliation_2E'!$B$9:$B$270,0))),"")</f>
        <v/>
      </c>
      <c r="J85" s="917" t="str">
        <f>IFERROR(IF(INDEX('SR_Cash Reconciliation_2E'!H$9:H$270,MATCH($D85,'SR_Cash Reconciliation_2E'!$B$9:$B$270,0))="","",INDEX('SR_Cash Reconciliation_2E'!H$9:H$270,MATCH($D85,'SR_Cash Reconciliation_2E'!$B$9:$B$270,0))),"")</f>
        <v/>
      </c>
      <c r="K85" s="917" t="str">
        <f>IFERROR(IF(INDEX('SR_Cash Reconciliation_2E'!I$9:I$270,MATCH($D85,'SR_Cash Reconciliation_2E'!$B$9:$B$270,0))="","",INDEX('SR_Cash Reconciliation_2E'!I$9:I$270,MATCH($D85,'SR_Cash Reconciliation_2E'!$B$9:$B$270,0))),"")</f>
        <v/>
      </c>
      <c r="L85" s="917" t="str">
        <f>IFERROR(IF(INDEX('SR_Cash Reconciliation_2E'!K$9:K$270,MATCH($D85,'SR_Cash Reconciliation_2E'!$B$9:$B$270,0))="","",INDEX('SR_Cash Reconciliation_2E'!K$9:K$270,MATCH($D85,'SR_Cash Reconciliation_2E'!$B$9:$B$270,0))),"")</f>
        <v/>
      </c>
      <c r="M85" s="915" t="str">
        <f>""</f>
        <v/>
      </c>
      <c r="N85" s="917" t="str">
        <f>IFERROR(IF(INDEX('SR_Cash Reconciliation_2E'!N$9:N$270,MATCH($D85,'SR_Cash Reconciliation_2E'!$B$9:$B$270,0))="","",INDEX('SR_Cash Reconciliation_2E'!N$9:N$270,MATCH($D85,'SR_Cash Reconciliation_2E'!$B$9:$B$270,0))),"")</f>
        <v/>
      </c>
    </row>
    <row r="86" spans="1:14" x14ac:dyDescent="0.25">
      <c r="A86" s="637"/>
      <c r="B86" s="915"/>
      <c r="C86" s="915">
        <f t="shared" si="2"/>
        <v>81</v>
      </c>
      <c r="D86" s="915" t="str">
        <f t="shared" si="3"/>
        <v>ID81</v>
      </c>
      <c r="E86" s="916" t="str">
        <f>IFERROR(IF(INDEX('SR_Cash Reconciliation_2E'!C$9:C$270,MATCH($D86,'SR_Cash Reconciliation_2E'!$B$9:$B$270,0))="","",INDEX('SR_Cash Reconciliation_2E'!C$9:C$270,MATCH($D86,'SR_Cash Reconciliation_2E'!$B$9:$B$270,0))),"")</f>
        <v/>
      </c>
      <c r="F86" s="917" t="str">
        <f>IFERROR(IF(INDEX('SR_Cash Reconciliation_2E'!D$9:D$270,MATCH($D86,'SR_Cash Reconciliation_2E'!$B$9:$B$270,0))="","",INDEX('SR_Cash Reconciliation_2E'!D$9:D$270,MATCH($D86,'SR_Cash Reconciliation_2E'!$B$9:$B$270,0))),"")</f>
        <v/>
      </c>
      <c r="G86" s="917" t="str">
        <f>IFERROR(IF(INDEX('SR_Cash Reconciliation_2E'!E$9:E$270,MATCH($D86,'SR_Cash Reconciliation_2E'!$B$9:$B$270,0))="","",INDEX('SR_Cash Reconciliation_2E'!E$9:E$270,MATCH($D86,'SR_Cash Reconciliation_2E'!$B$9:$B$270,0))),"")</f>
        <v/>
      </c>
      <c r="H86" s="917" t="str">
        <f>IFERROR(IF(INDEX('SR_Cash Reconciliation_2E'!F$9:F$270,MATCH($D86,'SR_Cash Reconciliation_2E'!$B$9:$B$270,0))="","",INDEX('SR_Cash Reconciliation_2E'!F$9:F$270,MATCH($D86,'SR_Cash Reconciliation_2E'!$B$9:$B$270,0))),"")</f>
        <v/>
      </c>
      <c r="I86" s="917" t="str">
        <f>IFERROR(IF(INDEX('SR_Cash Reconciliation_2E'!G$9:G$270,MATCH($D86,'SR_Cash Reconciliation_2E'!$B$9:$B$270,0))="","",INDEX('SR_Cash Reconciliation_2E'!G$9:G$270,MATCH($D86,'SR_Cash Reconciliation_2E'!$B$9:$B$270,0))),"")</f>
        <v/>
      </c>
      <c r="J86" s="917" t="str">
        <f>IFERROR(IF(INDEX('SR_Cash Reconciliation_2E'!H$9:H$270,MATCH($D86,'SR_Cash Reconciliation_2E'!$B$9:$B$270,0))="","",INDEX('SR_Cash Reconciliation_2E'!H$9:H$270,MATCH($D86,'SR_Cash Reconciliation_2E'!$B$9:$B$270,0))),"")</f>
        <v/>
      </c>
      <c r="K86" s="917" t="str">
        <f>IFERROR(IF(INDEX('SR_Cash Reconciliation_2E'!I$9:I$270,MATCH($D86,'SR_Cash Reconciliation_2E'!$B$9:$B$270,0))="","",INDEX('SR_Cash Reconciliation_2E'!I$9:I$270,MATCH($D86,'SR_Cash Reconciliation_2E'!$B$9:$B$270,0))),"")</f>
        <v/>
      </c>
      <c r="L86" s="917" t="str">
        <f>IFERROR(IF(INDEX('SR_Cash Reconciliation_2E'!K$9:K$270,MATCH($D86,'SR_Cash Reconciliation_2E'!$B$9:$B$270,0))="","",INDEX('SR_Cash Reconciliation_2E'!K$9:K$270,MATCH($D86,'SR_Cash Reconciliation_2E'!$B$9:$B$270,0))),"")</f>
        <v/>
      </c>
      <c r="M86" s="915" t="str">
        <f>""</f>
        <v/>
      </c>
      <c r="N86" s="917" t="str">
        <f>IFERROR(IF(INDEX('SR_Cash Reconciliation_2E'!N$9:N$270,MATCH($D86,'SR_Cash Reconciliation_2E'!$B$9:$B$270,0))="","",INDEX('SR_Cash Reconciliation_2E'!N$9:N$270,MATCH($D86,'SR_Cash Reconciliation_2E'!$B$9:$B$270,0))),"")</f>
        <v/>
      </c>
    </row>
    <row r="87" spans="1:14" x14ac:dyDescent="0.25">
      <c r="A87" s="637"/>
      <c r="B87" s="915"/>
      <c r="C87" s="915">
        <f t="shared" si="2"/>
        <v>82</v>
      </c>
      <c r="D87" s="915" t="str">
        <f t="shared" si="3"/>
        <v>ID82</v>
      </c>
      <c r="E87" s="916" t="str">
        <f>IFERROR(IF(INDEX('SR_Cash Reconciliation_2E'!C$9:C$270,MATCH($D87,'SR_Cash Reconciliation_2E'!$B$9:$B$270,0))="","",INDEX('SR_Cash Reconciliation_2E'!C$9:C$270,MATCH($D87,'SR_Cash Reconciliation_2E'!$B$9:$B$270,0))),"")</f>
        <v/>
      </c>
      <c r="F87" s="917" t="str">
        <f>IFERROR(IF(INDEX('SR_Cash Reconciliation_2E'!D$9:D$270,MATCH($D87,'SR_Cash Reconciliation_2E'!$B$9:$B$270,0))="","",INDEX('SR_Cash Reconciliation_2E'!D$9:D$270,MATCH($D87,'SR_Cash Reconciliation_2E'!$B$9:$B$270,0))),"")</f>
        <v/>
      </c>
      <c r="G87" s="917" t="str">
        <f>IFERROR(IF(INDEX('SR_Cash Reconciliation_2E'!E$9:E$270,MATCH($D87,'SR_Cash Reconciliation_2E'!$B$9:$B$270,0))="","",INDEX('SR_Cash Reconciliation_2E'!E$9:E$270,MATCH($D87,'SR_Cash Reconciliation_2E'!$B$9:$B$270,0))),"")</f>
        <v/>
      </c>
      <c r="H87" s="917" t="str">
        <f>IFERROR(IF(INDEX('SR_Cash Reconciliation_2E'!F$9:F$270,MATCH($D87,'SR_Cash Reconciliation_2E'!$B$9:$B$270,0))="","",INDEX('SR_Cash Reconciliation_2E'!F$9:F$270,MATCH($D87,'SR_Cash Reconciliation_2E'!$B$9:$B$270,0))),"")</f>
        <v/>
      </c>
      <c r="I87" s="917" t="str">
        <f>IFERROR(IF(INDEX('SR_Cash Reconciliation_2E'!G$9:G$270,MATCH($D87,'SR_Cash Reconciliation_2E'!$B$9:$B$270,0))="","",INDEX('SR_Cash Reconciliation_2E'!G$9:G$270,MATCH($D87,'SR_Cash Reconciliation_2E'!$B$9:$B$270,0))),"")</f>
        <v/>
      </c>
      <c r="J87" s="917" t="str">
        <f>IFERROR(IF(INDEX('SR_Cash Reconciliation_2E'!H$9:H$270,MATCH($D87,'SR_Cash Reconciliation_2E'!$B$9:$B$270,0))="","",INDEX('SR_Cash Reconciliation_2E'!H$9:H$270,MATCH($D87,'SR_Cash Reconciliation_2E'!$B$9:$B$270,0))),"")</f>
        <v/>
      </c>
      <c r="K87" s="917" t="str">
        <f>IFERROR(IF(INDEX('SR_Cash Reconciliation_2E'!I$9:I$270,MATCH($D87,'SR_Cash Reconciliation_2E'!$B$9:$B$270,0))="","",INDEX('SR_Cash Reconciliation_2E'!I$9:I$270,MATCH($D87,'SR_Cash Reconciliation_2E'!$B$9:$B$270,0))),"")</f>
        <v/>
      </c>
      <c r="L87" s="917" t="str">
        <f>IFERROR(IF(INDEX('SR_Cash Reconciliation_2E'!K$9:K$270,MATCH($D87,'SR_Cash Reconciliation_2E'!$B$9:$B$270,0))="","",INDEX('SR_Cash Reconciliation_2E'!K$9:K$270,MATCH($D87,'SR_Cash Reconciliation_2E'!$B$9:$B$270,0))),"")</f>
        <v/>
      </c>
      <c r="M87" s="915" t="str">
        <f>""</f>
        <v/>
      </c>
      <c r="N87" s="917" t="str">
        <f>IFERROR(IF(INDEX('SR_Cash Reconciliation_2E'!N$9:N$270,MATCH($D87,'SR_Cash Reconciliation_2E'!$B$9:$B$270,0))="","",INDEX('SR_Cash Reconciliation_2E'!N$9:N$270,MATCH($D87,'SR_Cash Reconciliation_2E'!$B$9:$B$270,0))),"")</f>
        <v/>
      </c>
    </row>
    <row r="88" spans="1:14" x14ac:dyDescent="0.25">
      <c r="A88" s="637"/>
      <c r="B88" s="915"/>
      <c r="C88" s="915">
        <f t="shared" si="2"/>
        <v>83</v>
      </c>
      <c r="D88" s="915" t="str">
        <f t="shared" si="3"/>
        <v>ID83</v>
      </c>
      <c r="E88" s="916" t="str">
        <f>IFERROR(IF(INDEX('SR_Cash Reconciliation_2E'!C$9:C$270,MATCH($D88,'SR_Cash Reconciliation_2E'!$B$9:$B$270,0))="","",INDEX('SR_Cash Reconciliation_2E'!C$9:C$270,MATCH($D88,'SR_Cash Reconciliation_2E'!$B$9:$B$270,0))),"")</f>
        <v/>
      </c>
      <c r="F88" s="917" t="str">
        <f>IFERROR(IF(INDEX('SR_Cash Reconciliation_2E'!D$9:D$270,MATCH($D88,'SR_Cash Reconciliation_2E'!$B$9:$B$270,0))="","",INDEX('SR_Cash Reconciliation_2E'!D$9:D$270,MATCH($D88,'SR_Cash Reconciliation_2E'!$B$9:$B$270,0))),"")</f>
        <v/>
      </c>
      <c r="G88" s="917" t="str">
        <f>IFERROR(IF(INDEX('SR_Cash Reconciliation_2E'!E$9:E$270,MATCH($D88,'SR_Cash Reconciliation_2E'!$B$9:$B$270,0))="","",INDEX('SR_Cash Reconciliation_2E'!E$9:E$270,MATCH($D88,'SR_Cash Reconciliation_2E'!$B$9:$B$270,0))),"")</f>
        <v/>
      </c>
      <c r="H88" s="917" t="str">
        <f>IFERROR(IF(INDEX('SR_Cash Reconciliation_2E'!F$9:F$270,MATCH($D88,'SR_Cash Reconciliation_2E'!$B$9:$B$270,0))="","",INDEX('SR_Cash Reconciliation_2E'!F$9:F$270,MATCH($D88,'SR_Cash Reconciliation_2E'!$B$9:$B$270,0))),"")</f>
        <v/>
      </c>
      <c r="I88" s="917" t="str">
        <f>IFERROR(IF(INDEX('SR_Cash Reconciliation_2E'!G$9:G$270,MATCH($D88,'SR_Cash Reconciliation_2E'!$B$9:$B$270,0))="","",INDEX('SR_Cash Reconciliation_2E'!G$9:G$270,MATCH($D88,'SR_Cash Reconciliation_2E'!$B$9:$B$270,0))),"")</f>
        <v/>
      </c>
      <c r="J88" s="917" t="str">
        <f>IFERROR(IF(INDEX('SR_Cash Reconciliation_2E'!H$9:H$270,MATCH($D88,'SR_Cash Reconciliation_2E'!$B$9:$B$270,0))="","",INDEX('SR_Cash Reconciliation_2E'!H$9:H$270,MATCH($D88,'SR_Cash Reconciliation_2E'!$B$9:$B$270,0))),"")</f>
        <v/>
      </c>
      <c r="K88" s="917" t="str">
        <f>IFERROR(IF(INDEX('SR_Cash Reconciliation_2E'!I$9:I$270,MATCH($D88,'SR_Cash Reconciliation_2E'!$B$9:$B$270,0))="","",INDEX('SR_Cash Reconciliation_2E'!I$9:I$270,MATCH($D88,'SR_Cash Reconciliation_2E'!$B$9:$B$270,0))),"")</f>
        <v/>
      </c>
      <c r="L88" s="917" t="str">
        <f>IFERROR(IF(INDEX('SR_Cash Reconciliation_2E'!K$9:K$270,MATCH($D88,'SR_Cash Reconciliation_2E'!$B$9:$B$270,0))="","",INDEX('SR_Cash Reconciliation_2E'!K$9:K$270,MATCH($D88,'SR_Cash Reconciliation_2E'!$B$9:$B$270,0))),"")</f>
        <v/>
      </c>
      <c r="M88" s="915" t="str">
        <f>""</f>
        <v/>
      </c>
      <c r="N88" s="917" t="str">
        <f>IFERROR(IF(INDEX('SR_Cash Reconciliation_2E'!N$9:N$270,MATCH($D88,'SR_Cash Reconciliation_2E'!$B$9:$B$270,0))="","",INDEX('SR_Cash Reconciliation_2E'!N$9:N$270,MATCH($D88,'SR_Cash Reconciliation_2E'!$B$9:$B$270,0))),"")</f>
        <v/>
      </c>
    </row>
    <row r="89" spans="1:14" x14ac:dyDescent="0.25">
      <c r="A89" s="637"/>
      <c r="B89" s="915"/>
      <c r="C89" s="915">
        <f t="shared" si="2"/>
        <v>84</v>
      </c>
      <c r="D89" s="915" t="str">
        <f t="shared" si="3"/>
        <v>ID84</v>
      </c>
      <c r="E89" s="916" t="str">
        <f>IFERROR(IF(INDEX('SR_Cash Reconciliation_2E'!C$9:C$270,MATCH($D89,'SR_Cash Reconciliation_2E'!$B$9:$B$270,0))="","",INDEX('SR_Cash Reconciliation_2E'!C$9:C$270,MATCH($D89,'SR_Cash Reconciliation_2E'!$B$9:$B$270,0))),"")</f>
        <v/>
      </c>
      <c r="F89" s="917" t="str">
        <f>IFERROR(IF(INDEX('SR_Cash Reconciliation_2E'!D$9:D$270,MATCH($D89,'SR_Cash Reconciliation_2E'!$B$9:$B$270,0))="","",INDEX('SR_Cash Reconciliation_2E'!D$9:D$270,MATCH($D89,'SR_Cash Reconciliation_2E'!$B$9:$B$270,0))),"")</f>
        <v/>
      </c>
      <c r="G89" s="917" t="str">
        <f>IFERROR(IF(INDEX('SR_Cash Reconciliation_2E'!E$9:E$270,MATCH($D89,'SR_Cash Reconciliation_2E'!$B$9:$B$270,0))="","",INDEX('SR_Cash Reconciliation_2E'!E$9:E$270,MATCH($D89,'SR_Cash Reconciliation_2E'!$B$9:$B$270,0))),"")</f>
        <v/>
      </c>
      <c r="H89" s="917" t="str">
        <f>IFERROR(IF(INDEX('SR_Cash Reconciliation_2E'!F$9:F$270,MATCH($D89,'SR_Cash Reconciliation_2E'!$B$9:$B$270,0))="","",INDEX('SR_Cash Reconciliation_2E'!F$9:F$270,MATCH($D89,'SR_Cash Reconciliation_2E'!$B$9:$B$270,0))),"")</f>
        <v/>
      </c>
      <c r="I89" s="917" t="str">
        <f>IFERROR(IF(INDEX('SR_Cash Reconciliation_2E'!G$9:G$270,MATCH($D89,'SR_Cash Reconciliation_2E'!$B$9:$B$270,0))="","",INDEX('SR_Cash Reconciliation_2E'!G$9:G$270,MATCH($D89,'SR_Cash Reconciliation_2E'!$B$9:$B$270,0))),"")</f>
        <v/>
      </c>
      <c r="J89" s="917" t="str">
        <f>IFERROR(IF(INDEX('SR_Cash Reconciliation_2E'!H$9:H$270,MATCH($D89,'SR_Cash Reconciliation_2E'!$B$9:$B$270,0))="","",INDEX('SR_Cash Reconciliation_2E'!H$9:H$270,MATCH($D89,'SR_Cash Reconciliation_2E'!$B$9:$B$270,0))),"")</f>
        <v/>
      </c>
      <c r="K89" s="917" t="str">
        <f>IFERROR(IF(INDEX('SR_Cash Reconciliation_2E'!I$9:I$270,MATCH($D89,'SR_Cash Reconciliation_2E'!$B$9:$B$270,0))="","",INDEX('SR_Cash Reconciliation_2E'!I$9:I$270,MATCH($D89,'SR_Cash Reconciliation_2E'!$B$9:$B$270,0))),"")</f>
        <v/>
      </c>
      <c r="L89" s="917" t="str">
        <f>IFERROR(IF(INDEX('SR_Cash Reconciliation_2E'!K$9:K$270,MATCH($D89,'SR_Cash Reconciliation_2E'!$B$9:$B$270,0))="","",INDEX('SR_Cash Reconciliation_2E'!K$9:K$270,MATCH($D89,'SR_Cash Reconciliation_2E'!$B$9:$B$270,0))),"")</f>
        <v/>
      </c>
      <c r="M89" s="915" t="str">
        <f>""</f>
        <v/>
      </c>
      <c r="N89" s="917" t="str">
        <f>IFERROR(IF(INDEX('SR_Cash Reconciliation_2E'!N$9:N$270,MATCH($D89,'SR_Cash Reconciliation_2E'!$B$9:$B$270,0))="","",INDEX('SR_Cash Reconciliation_2E'!N$9:N$270,MATCH($D89,'SR_Cash Reconciliation_2E'!$B$9:$B$270,0))),"")</f>
        <v/>
      </c>
    </row>
    <row r="90" spans="1:14" x14ac:dyDescent="0.25">
      <c r="A90" s="637"/>
      <c r="B90" s="915"/>
      <c r="C90" s="915">
        <f t="shared" si="2"/>
        <v>85</v>
      </c>
      <c r="D90" s="915" t="str">
        <f t="shared" si="3"/>
        <v>ID85</v>
      </c>
      <c r="E90" s="916" t="str">
        <f>IFERROR(IF(INDEX('SR_Cash Reconciliation_2E'!C$9:C$270,MATCH($D90,'SR_Cash Reconciliation_2E'!$B$9:$B$270,0))="","",INDEX('SR_Cash Reconciliation_2E'!C$9:C$270,MATCH($D90,'SR_Cash Reconciliation_2E'!$B$9:$B$270,0))),"")</f>
        <v/>
      </c>
      <c r="F90" s="917" t="str">
        <f>IFERROR(IF(INDEX('SR_Cash Reconciliation_2E'!D$9:D$270,MATCH($D90,'SR_Cash Reconciliation_2E'!$B$9:$B$270,0))="","",INDEX('SR_Cash Reconciliation_2E'!D$9:D$270,MATCH($D90,'SR_Cash Reconciliation_2E'!$B$9:$B$270,0))),"")</f>
        <v/>
      </c>
      <c r="G90" s="917" t="str">
        <f>IFERROR(IF(INDEX('SR_Cash Reconciliation_2E'!E$9:E$270,MATCH($D90,'SR_Cash Reconciliation_2E'!$B$9:$B$270,0))="","",INDEX('SR_Cash Reconciliation_2E'!E$9:E$270,MATCH($D90,'SR_Cash Reconciliation_2E'!$B$9:$B$270,0))),"")</f>
        <v/>
      </c>
      <c r="H90" s="917" t="str">
        <f>IFERROR(IF(INDEX('SR_Cash Reconciliation_2E'!F$9:F$270,MATCH($D90,'SR_Cash Reconciliation_2E'!$B$9:$B$270,0))="","",INDEX('SR_Cash Reconciliation_2E'!F$9:F$270,MATCH($D90,'SR_Cash Reconciliation_2E'!$B$9:$B$270,0))),"")</f>
        <v/>
      </c>
      <c r="I90" s="917" t="str">
        <f>IFERROR(IF(INDEX('SR_Cash Reconciliation_2E'!G$9:G$270,MATCH($D90,'SR_Cash Reconciliation_2E'!$B$9:$B$270,0))="","",INDEX('SR_Cash Reconciliation_2E'!G$9:G$270,MATCH($D90,'SR_Cash Reconciliation_2E'!$B$9:$B$270,0))),"")</f>
        <v/>
      </c>
      <c r="J90" s="917" t="str">
        <f>IFERROR(IF(INDEX('SR_Cash Reconciliation_2E'!H$9:H$270,MATCH($D90,'SR_Cash Reconciliation_2E'!$B$9:$B$270,0))="","",INDEX('SR_Cash Reconciliation_2E'!H$9:H$270,MATCH($D90,'SR_Cash Reconciliation_2E'!$B$9:$B$270,0))),"")</f>
        <v/>
      </c>
      <c r="K90" s="917" t="str">
        <f>IFERROR(IF(INDEX('SR_Cash Reconciliation_2E'!I$9:I$270,MATCH($D90,'SR_Cash Reconciliation_2E'!$B$9:$B$270,0))="","",INDEX('SR_Cash Reconciliation_2E'!I$9:I$270,MATCH($D90,'SR_Cash Reconciliation_2E'!$B$9:$B$270,0))),"")</f>
        <v/>
      </c>
      <c r="L90" s="917" t="str">
        <f>IFERROR(IF(INDEX('SR_Cash Reconciliation_2E'!K$9:K$270,MATCH($D90,'SR_Cash Reconciliation_2E'!$B$9:$B$270,0))="","",INDEX('SR_Cash Reconciliation_2E'!K$9:K$270,MATCH($D90,'SR_Cash Reconciliation_2E'!$B$9:$B$270,0))),"")</f>
        <v/>
      </c>
      <c r="M90" s="915" t="str">
        <f>""</f>
        <v/>
      </c>
      <c r="N90" s="917" t="str">
        <f>IFERROR(IF(INDEX('SR_Cash Reconciliation_2E'!N$9:N$270,MATCH($D90,'SR_Cash Reconciliation_2E'!$B$9:$B$270,0))="","",INDEX('SR_Cash Reconciliation_2E'!N$9:N$270,MATCH($D90,'SR_Cash Reconciliation_2E'!$B$9:$B$270,0))),"")</f>
        <v/>
      </c>
    </row>
    <row r="91" spans="1:14" x14ac:dyDescent="0.25">
      <c r="A91" s="637"/>
      <c r="B91" s="915"/>
      <c r="C91" s="915">
        <f t="shared" si="2"/>
        <v>86</v>
      </c>
      <c r="D91" s="915" t="str">
        <f t="shared" si="3"/>
        <v>ID86</v>
      </c>
      <c r="E91" s="916" t="str">
        <f>IFERROR(IF(INDEX('SR_Cash Reconciliation_2E'!C$9:C$270,MATCH($D91,'SR_Cash Reconciliation_2E'!$B$9:$B$270,0))="","",INDEX('SR_Cash Reconciliation_2E'!C$9:C$270,MATCH($D91,'SR_Cash Reconciliation_2E'!$B$9:$B$270,0))),"")</f>
        <v/>
      </c>
      <c r="F91" s="917" t="str">
        <f>IFERROR(IF(INDEX('SR_Cash Reconciliation_2E'!D$9:D$270,MATCH($D91,'SR_Cash Reconciliation_2E'!$B$9:$B$270,0))="","",INDEX('SR_Cash Reconciliation_2E'!D$9:D$270,MATCH($D91,'SR_Cash Reconciliation_2E'!$B$9:$B$270,0))),"")</f>
        <v/>
      </c>
      <c r="G91" s="917" t="str">
        <f>IFERROR(IF(INDEX('SR_Cash Reconciliation_2E'!E$9:E$270,MATCH($D91,'SR_Cash Reconciliation_2E'!$B$9:$B$270,0))="","",INDEX('SR_Cash Reconciliation_2E'!E$9:E$270,MATCH($D91,'SR_Cash Reconciliation_2E'!$B$9:$B$270,0))),"")</f>
        <v/>
      </c>
      <c r="H91" s="917" t="str">
        <f>IFERROR(IF(INDEX('SR_Cash Reconciliation_2E'!F$9:F$270,MATCH($D91,'SR_Cash Reconciliation_2E'!$B$9:$B$270,0))="","",INDEX('SR_Cash Reconciliation_2E'!F$9:F$270,MATCH($D91,'SR_Cash Reconciliation_2E'!$B$9:$B$270,0))),"")</f>
        <v/>
      </c>
      <c r="I91" s="917" t="str">
        <f>IFERROR(IF(INDEX('SR_Cash Reconciliation_2E'!G$9:G$270,MATCH($D91,'SR_Cash Reconciliation_2E'!$B$9:$B$270,0))="","",INDEX('SR_Cash Reconciliation_2E'!G$9:G$270,MATCH($D91,'SR_Cash Reconciliation_2E'!$B$9:$B$270,0))),"")</f>
        <v/>
      </c>
      <c r="J91" s="917" t="str">
        <f>IFERROR(IF(INDEX('SR_Cash Reconciliation_2E'!H$9:H$270,MATCH($D91,'SR_Cash Reconciliation_2E'!$B$9:$B$270,0))="","",INDEX('SR_Cash Reconciliation_2E'!H$9:H$270,MATCH($D91,'SR_Cash Reconciliation_2E'!$B$9:$B$270,0))),"")</f>
        <v/>
      </c>
      <c r="K91" s="917" t="str">
        <f>IFERROR(IF(INDEX('SR_Cash Reconciliation_2E'!I$9:I$270,MATCH($D91,'SR_Cash Reconciliation_2E'!$B$9:$B$270,0))="","",INDEX('SR_Cash Reconciliation_2E'!I$9:I$270,MATCH($D91,'SR_Cash Reconciliation_2E'!$B$9:$B$270,0))),"")</f>
        <v/>
      </c>
      <c r="L91" s="917" t="str">
        <f>IFERROR(IF(INDEX('SR_Cash Reconciliation_2E'!K$9:K$270,MATCH($D91,'SR_Cash Reconciliation_2E'!$B$9:$B$270,0))="","",INDEX('SR_Cash Reconciliation_2E'!K$9:K$270,MATCH($D91,'SR_Cash Reconciliation_2E'!$B$9:$B$270,0))),"")</f>
        <v/>
      </c>
      <c r="M91" s="915" t="str">
        <f>""</f>
        <v/>
      </c>
      <c r="N91" s="917" t="str">
        <f>IFERROR(IF(INDEX('SR_Cash Reconciliation_2E'!N$9:N$270,MATCH($D91,'SR_Cash Reconciliation_2E'!$B$9:$B$270,0))="","",INDEX('SR_Cash Reconciliation_2E'!N$9:N$270,MATCH($D91,'SR_Cash Reconciliation_2E'!$B$9:$B$270,0))),"")</f>
        <v/>
      </c>
    </row>
    <row r="92" spans="1:14" x14ac:dyDescent="0.25">
      <c r="A92" s="637"/>
      <c r="B92" s="915"/>
      <c r="C92" s="915">
        <f t="shared" si="2"/>
        <v>87</v>
      </c>
      <c r="D92" s="915" t="str">
        <f t="shared" si="3"/>
        <v>ID87</v>
      </c>
      <c r="E92" s="916" t="str">
        <f>IFERROR(IF(INDEX('SR_Cash Reconciliation_2E'!C$9:C$270,MATCH($D92,'SR_Cash Reconciliation_2E'!$B$9:$B$270,0))="","",INDEX('SR_Cash Reconciliation_2E'!C$9:C$270,MATCH($D92,'SR_Cash Reconciliation_2E'!$B$9:$B$270,0))),"")</f>
        <v/>
      </c>
      <c r="F92" s="917" t="str">
        <f>IFERROR(IF(INDEX('SR_Cash Reconciliation_2E'!D$9:D$270,MATCH($D92,'SR_Cash Reconciliation_2E'!$B$9:$B$270,0))="","",INDEX('SR_Cash Reconciliation_2E'!D$9:D$270,MATCH($D92,'SR_Cash Reconciliation_2E'!$B$9:$B$270,0))),"")</f>
        <v/>
      </c>
      <c r="G92" s="917" t="str">
        <f>IFERROR(IF(INDEX('SR_Cash Reconciliation_2E'!E$9:E$270,MATCH($D92,'SR_Cash Reconciliation_2E'!$B$9:$B$270,0))="","",INDEX('SR_Cash Reconciliation_2E'!E$9:E$270,MATCH($D92,'SR_Cash Reconciliation_2E'!$B$9:$B$270,0))),"")</f>
        <v/>
      </c>
      <c r="H92" s="917" t="str">
        <f>IFERROR(IF(INDEX('SR_Cash Reconciliation_2E'!F$9:F$270,MATCH($D92,'SR_Cash Reconciliation_2E'!$B$9:$B$270,0))="","",INDEX('SR_Cash Reconciliation_2E'!F$9:F$270,MATCH($D92,'SR_Cash Reconciliation_2E'!$B$9:$B$270,0))),"")</f>
        <v/>
      </c>
      <c r="I92" s="917" t="str">
        <f>IFERROR(IF(INDEX('SR_Cash Reconciliation_2E'!G$9:G$270,MATCH($D92,'SR_Cash Reconciliation_2E'!$B$9:$B$270,0))="","",INDEX('SR_Cash Reconciliation_2E'!G$9:G$270,MATCH($D92,'SR_Cash Reconciliation_2E'!$B$9:$B$270,0))),"")</f>
        <v/>
      </c>
      <c r="J92" s="917" t="str">
        <f>IFERROR(IF(INDEX('SR_Cash Reconciliation_2E'!H$9:H$270,MATCH($D92,'SR_Cash Reconciliation_2E'!$B$9:$B$270,0))="","",INDEX('SR_Cash Reconciliation_2E'!H$9:H$270,MATCH($D92,'SR_Cash Reconciliation_2E'!$B$9:$B$270,0))),"")</f>
        <v/>
      </c>
      <c r="K92" s="917" t="str">
        <f>IFERROR(IF(INDEX('SR_Cash Reconciliation_2E'!I$9:I$270,MATCH($D92,'SR_Cash Reconciliation_2E'!$B$9:$B$270,0))="","",INDEX('SR_Cash Reconciliation_2E'!I$9:I$270,MATCH($D92,'SR_Cash Reconciliation_2E'!$B$9:$B$270,0))),"")</f>
        <v/>
      </c>
      <c r="L92" s="917" t="str">
        <f>IFERROR(IF(INDEX('SR_Cash Reconciliation_2E'!K$9:K$270,MATCH($D92,'SR_Cash Reconciliation_2E'!$B$9:$B$270,0))="","",INDEX('SR_Cash Reconciliation_2E'!K$9:K$270,MATCH($D92,'SR_Cash Reconciliation_2E'!$B$9:$B$270,0))),"")</f>
        <v/>
      </c>
      <c r="M92" s="915" t="str">
        <f>""</f>
        <v/>
      </c>
      <c r="N92" s="917" t="str">
        <f>IFERROR(IF(INDEX('SR_Cash Reconciliation_2E'!N$9:N$270,MATCH($D92,'SR_Cash Reconciliation_2E'!$B$9:$B$270,0))="","",INDEX('SR_Cash Reconciliation_2E'!N$9:N$270,MATCH($D92,'SR_Cash Reconciliation_2E'!$B$9:$B$270,0))),"")</f>
        <v/>
      </c>
    </row>
    <row r="93" spans="1:14" x14ac:dyDescent="0.25">
      <c r="A93" s="637"/>
      <c r="B93" s="915"/>
      <c r="C93" s="915">
        <f t="shared" si="2"/>
        <v>88</v>
      </c>
      <c r="D93" s="915" t="str">
        <f t="shared" si="3"/>
        <v>ID88</v>
      </c>
      <c r="E93" s="916" t="str">
        <f>IFERROR(IF(INDEX('SR_Cash Reconciliation_2E'!C$9:C$270,MATCH($D93,'SR_Cash Reconciliation_2E'!$B$9:$B$270,0))="","",INDEX('SR_Cash Reconciliation_2E'!C$9:C$270,MATCH($D93,'SR_Cash Reconciliation_2E'!$B$9:$B$270,0))),"")</f>
        <v/>
      </c>
      <c r="F93" s="917" t="str">
        <f>IFERROR(IF(INDEX('SR_Cash Reconciliation_2E'!D$9:D$270,MATCH($D93,'SR_Cash Reconciliation_2E'!$B$9:$B$270,0))="","",INDEX('SR_Cash Reconciliation_2E'!D$9:D$270,MATCH($D93,'SR_Cash Reconciliation_2E'!$B$9:$B$270,0))),"")</f>
        <v/>
      </c>
      <c r="G93" s="917" t="str">
        <f>IFERROR(IF(INDEX('SR_Cash Reconciliation_2E'!E$9:E$270,MATCH($D93,'SR_Cash Reconciliation_2E'!$B$9:$B$270,0))="","",INDEX('SR_Cash Reconciliation_2E'!E$9:E$270,MATCH($D93,'SR_Cash Reconciliation_2E'!$B$9:$B$270,0))),"")</f>
        <v/>
      </c>
      <c r="H93" s="917" t="str">
        <f>IFERROR(IF(INDEX('SR_Cash Reconciliation_2E'!F$9:F$270,MATCH($D93,'SR_Cash Reconciliation_2E'!$B$9:$B$270,0))="","",INDEX('SR_Cash Reconciliation_2E'!F$9:F$270,MATCH($D93,'SR_Cash Reconciliation_2E'!$B$9:$B$270,0))),"")</f>
        <v/>
      </c>
      <c r="I93" s="917" t="str">
        <f>IFERROR(IF(INDEX('SR_Cash Reconciliation_2E'!G$9:G$270,MATCH($D93,'SR_Cash Reconciliation_2E'!$B$9:$B$270,0))="","",INDEX('SR_Cash Reconciliation_2E'!G$9:G$270,MATCH($D93,'SR_Cash Reconciliation_2E'!$B$9:$B$270,0))),"")</f>
        <v/>
      </c>
      <c r="J93" s="917" t="str">
        <f>IFERROR(IF(INDEX('SR_Cash Reconciliation_2E'!H$9:H$270,MATCH($D93,'SR_Cash Reconciliation_2E'!$B$9:$B$270,0))="","",INDEX('SR_Cash Reconciliation_2E'!H$9:H$270,MATCH($D93,'SR_Cash Reconciliation_2E'!$B$9:$B$270,0))),"")</f>
        <v/>
      </c>
      <c r="K93" s="917" t="str">
        <f>IFERROR(IF(INDEX('SR_Cash Reconciliation_2E'!I$9:I$270,MATCH($D93,'SR_Cash Reconciliation_2E'!$B$9:$B$270,0))="","",INDEX('SR_Cash Reconciliation_2E'!I$9:I$270,MATCH($D93,'SR_Cash Reconciliation_2E'!$B$9:$B$270,0))),"")</f>
        <v/>
      </c>
      <c r="L93" s="917" t="str">
        <f>IFERROR(IF(INDEX('SR_Cash Reconciliation_2E'!K$9:K$270,MATCH($D93,'SR_Cash Reconciliation_2E'!$B$9:$B$270,0))="","",INDEX('SR_Cash Reconciliation_2E'!K$9:K$270,MATCH($D93,'SR_Cash Reconciliation_2E'!$B$9:$B$270,0))),"")</f>
        <v/>
      </c>
      <c r="M93" s="915" t="str">
        <f>""</f>
        <v/>
      </c>
      <c r="N93" s="917" t="str">
        <f>IFERROR(IF(INDEX('SR_Cash Reconciliation_2E'!N$9:N$270,MATCH($D93,'SR_Cash Reconciliation_2E'!$B$9:$B$270,0))="","",INDEX('SR_Cash Reconciliation_2E'!N$9:N$270,MATCH($D93,'SR_Cash Reconciliation_2E'!$B$9:$B$270,0))),"")</f>
        <v/>
      </c>
    </row>
    <row r="94" spans="1:14" x14ac:dyDescent="0.25">
      <c r="A94" s="637"/>
      <c r="B94" s="915"/>
      <c r="C94" s="915">
        <f t="shared" si="2"/>
        <v>89</v>
      </c>
      <c r="D94" s="915" t="str">
        <f t="shared" si="3"/>
        <v>ID89</v>
      </c>
      <c r="E94" s="916" t="str">
        <f>IFERROR(IF(INDEX('SR_Cash Reconciliation_2E'!C$9:C$270,MATCH($D94,'SR_Cash Reconciliation_2E'!$B$9:$B$270,0))="","",INDEX('SR_Cash Reconciliation_2E'!C$9:C$270,MATCH($D94,'SR_Cash Reconciliation_2E'!$B$9:$B$270,0))),"")</f>
        <v/>
      </c>
      <c r="F94" s="917" t="str">
        <f>IFERROR(IF(INDEX('SR_Cash Reconciliation_2E'!D$9:D$270,MATCH($D94,'SR_Cash Reconciliation_2E'!$B$9:$B$270,0))="","",INDEX('SR_Cash Reconciliation_2E'!D$9:D$270,MATCH($D94,'SR_Cash Reconciliation_2E'!$B$9:$B$270,0))),"")</f>
        <v/>
      </c>
      <c r="G94" s="917" t="str">
        <f>IFERROR(IF(INDEX('SR_Cash Reconciliation_2E'!E$9:E$270,MATCH($D94,'SR_Cash Reconciliation_2E'!$B$9:$B$270,0))="","",INDEX('SR_Cash Reconciliation_2E'!E$9:E$270,MATCH($D94,'SR_Cash Reconciliation_2E'!$B$9:$B$270,0))),"")</f>
        <v/>
      </c>
      <c r="H94" s="917" t="str">
        <f>IFERROR(IF(INDEX('SR_Cash Reconciliation_2E'!F$9:F$270,MATCH($D94,'SR_Cash Reconciliation_2E'!$B$9:$B$270,0))="","",INDEX('SR_Cash Reconciliation_2E'!F$9:F$270,MATCH($D94,'SR_Cash Reconciliation_2E'!$B$9:$B$270,0))),"")</f>
        <v/>
      </c>
      <c r="I94" s="917" t="str">
        <f>IFERROR(IF(INDEX('SR_Cash Reconciliation_2E'!G$9:G$270,MATCH($D94,'SR_Cash Reconciliation_2E'!$B$9:$B$270,0))="","",INDEX('SR_Cash Reconciliation_2E'!G$9:G$270,MATCH($D94,'SR_Cash Reconciliation_2E'!$B$9:$B$270,0))),"")</f>
        <v/>
      </c>
      <c r="J94" s="917" t="str">
        <f>IFERROR(IF(INDEX('SR_Cash Reconciliation_2E'!H$9:H$270,MATCH($D94,'SR_Cash Reconciliation_2E'!$B$9:$B$270,0))="","",INDEX('SR_Cash Reconciliation_2E'!H$9:H$270,MATCH($D94,'SR_Cash Reconciliation_2E'!$B$9:$B$270,0))),"")</f>
        <v/>
      </c>
      <c r="K94" s="917" t="str">
        <f>IFERROR(IF(INDEX('SR_Cash Reconciliation_2E'!I$9:I$270,MATCH($D94,'SR_Cash Reconciliation_2E'!$B$9:$B$270,0))="","",INDEX('SR_Cash Reconciliation_2E'!I$9:I$270,MATCH($D94,'SR_Cash Reconciliation_2E'!$B$9:$B$270,0))),"")</f>
        <v/>
      </c>
      <c r="L94" s="917" t="str">
        <f>IFERROR(IF(INDEX('SR_Cash Reconciliation_2E'!K$9:K$270,MATCH($D94,'SR_Cash Reconciliation_2E'!$B$9:$B$270,0))="","",INDEX('SR_Cash Reconciliation_2E'!K$9:K$270,MATCH($D94,'SR_Cash Reconciliation_2E'!$B$9:$B$270,0))),"")</f>
        <v/>
      </c>
      <c r="M94" s="915" t="str">
        <f>""</f>
        <v/>
      </c>
      <c r="N94" s="917" t="str">
        <f>IFERROR(IF(INDEX('SR_Cash Reconciliation_2E'!N$9:N$270,MATCH($D94,'SR_Cash Reconciliation_2E'!$B$9:$B$270,0))="","",INDEX('SR_Cash Reconciliation_2E'!N$9:N$270,MATCH($D94,'SR_Cash Reconciliation_2E'!$B$9:$B$270,0))),"")</f>
        <v/>
      </c>
    </row>
    <row r="95" spans="1:14" x14ac:dyDescent="0.25">
      <c r="A95" s="637"/>
      <c r="B95" s="915"/>
      <c r="C95" s="915">
        <f t="shared" si="2"/>
        <v>90</v>
      </c>
      <c r="D95" s="915" t="str">
        <f t="shared" si="3"/>
        <v>ID90</v>
      </c>
      <c r="E95" s="916" t="str">
        <f>IFERROR(IF(INDEX('SR_Cash Reconciliation_2E'!C$9:C$270,MATCH($D95,'SR_Cash Reconciliation_2E'!$B$9:$B$270,0))="","",INDEX('SR_Cash Reconciliation_2E'!C$9:C$270,MATCH($D95,'SR_Cash Reconciliation_2E'!$B$9:$B$270,0))),"")</f>
        <v/>
      </c>
      <c r="F95" s="917" t="str">
        <f>IFERROR(IF(INDEX('SR_Cash Reconciliation_2E'!D$9:D$270,MATCH($D95,'SR_Cash Reconciliation_2E'!$B$9:$B$270,0))="","",INDEX('SR_Cash Reconciliation_2E'!D$9:D$270,MATCH($D95,'SR_Cash Reconciliation_2E'!$B$9:$B$270,0))),"")</f>
        <v/>
      </c>
      <c r="G95" s="917" t="str">
        <f>IFERROR(IF(INDEX('SR_Cash Reconciliation_2E'!E$9:E$270,MATCH($D95,'SR_Cash Reconciliation_2E'!$B$9:$B$270,0))="","",INDEX('SR_Cash Reconciliation_2E'!E$9:E$270,MATCH($D95,'SR_Cash Reconciliation_2E'!$B$9:$B$270,0))),"")</f>
        <v/>
      </c>
      <c r="H95" s="917" t="str">
        <f>IFERROR(IF(INDEX('SR_Cash Reconciliation_2E'!F$9:F$270,MATCH($D95,'SR_Cash Reconciliation_2E'!$B$9:$B$270,0))="","",INDEX('SR_Cash Reconciliation_2E'!F$9:F$270,MATCH($D95,'SR_Cash Reconciliation_2E'!$B$9:$B$270,0))),"")</f>
        <v/>
      </c>
      <c r="I95" s="917" t="str">
        <f>IFERROR(IF(INDEX('SR_Cash Reconciliation_2E'!G$9:G$270,MATCH($D95,'SR_Cash Reconciliation_2E'!$B$9:$B$270,0))="","",INDEX('SR_Cash Reconciliation_2E'!G$9:G$270,MATCH($D95,'SR_Cash Reconciliation_2E'!$B$9:$B$270,0))),"")</f>
        <v/>
      </c>
      <c r="J95" s="917" t="str">
        <f>IFERROR(IF(INDEX('SR_Cash Reconciliation_2E'!H$9:H$270,MATCH($D95,'SR_Cash Reconciliation_2E'!$B$9:$B$270,0))="","",INDEX('SR_Cash Reconciliation_2E'!H$9:H$270,MATCH($D95,'SR_Cash Reconciliation_2E'!$B$9:$B$270,0))),"")</f>
        <v/>
      </c>
      <c r="K95" s="917" t="str">
        <f>IFERROR(IF(INDEX('SR_Cash Reconciliation_2E'!I$9:I$270,MATCH($D95,'SR_Cash Reconciliation_2E'!$B$9:$B$270,0))="","",INDEX('SR_Cash Reconciliation_2E'!I$9:I$270,MATCH($D95,'SR_Cash Reconciliation_2E'!$B$9:$B$270,0))),"")</f>
        <v/>
      </c>
      <c r="L95" s="917" t="str">
        <f>IFERROR(IF(INDEX('SR_Cash Reconciliation_2E'!K$9:K$270,MATCH($D95,'SR_Cash Reconciliation_2E'!$B$9:$B$270,0))="","",INDEX('SR_Cash Reconciliation_2E'!K$9:K$270,MATCH($D95,'SR_Cash Reconciliation_2E'!$B$9:$B$270,0))),"")</f>
        <v/>
      </c>
      <c r="M95" s="915" t="str">
        <f>""</f>
        <v/>
      </c>
      <c r="N95" s="917" t="str">
        <f>IFERROR(IF(INDEX('SR_Cash Reconciliation_2E'!N$9:N$270,MATCH($D95,'SR_Cash Reconciliation_2E'!$B$9:$B$270,0))="","",INDEX('SR_Cash Reconciliation_2E'!N$9:N$270,MATCH($D95,'SR_Cash Reconciliation_2E'!$B$9:$B$270,0))),"")</f>
        <v/>
      </c>
    </row>
    <row r="96" spans="1:14" x14ac:dyDescent="0.25">
      <c r="A96" s="637"/>
      <c r="B96" s="915"/>
      <c r="C96" s="915">
        <f t="shared" si="2"/>
        <v>91</v>
      </c>
      <c r="D96" s="915" t="str">
        <f t="shared" si="3"/>
        <v>ID91</v>
      </c>
      <c r="E96" s="916" t="str">
        <f>IFERROR(IF(INDEX('SR_Cash Reconciliation_2E'!C$9:C$270,MATCH($D96,'SR_Cash Reconciliation_2E'!$B$9:$B$270,0))="","",INDEX('SR_Cash Reconciliation_2E'!C$9:C$270,MATCH($D96,'SR_Cash Reconciliation_2E'!$B$9:$B$270,0))),"")</f>
        <v/>
      </c>
      <c r="F96" s="917" t="str">
        <f>IFERROR(IF(INDEX('SR_Cash Reconciliation_2E'!D$9:D$270,MATCH($D96,'SR_Cash Reconciliation_2E'!$B$9:$B$270,0))="","",INDEX('SR_Cash Reconciliation_2E'!D$9:D$270,MATCH($D96,'SR_Cash Reconciliation_2E'!$B$9:$B$270,0))),"")</f>
        <v/>
      </c>
      <c r="G96" s="917" t="str">
        <f>IFERROR(IF(INDEX('SR_Cash Reconciliation_2E'!E$9:E$270,MATCH($D96,'SR_Cash Reconciliation_2E'!$B$9:$B$270,0))="","",INDEX('SR_Cash Reconciliation_2E'!E$9:E$270,MATCH($D96,'SR_Cash Reconciliation_2E'!$B$9:$B$270,0))),"")</f>
        <v/>
      </c>
      <c r="H96" s="917" t="str">
        <f>IFERROR(IF(INDEX('SR_Cash Reconciliation_2E'!F$9:F$270,MATCH($D96,'SR_Cash Reconciliation_2E'!$B$9:$B$270,0))="","",INDEX('SR_Cash Reconciliation_2E'!F$9:F$270,MATCH($D96,'SR_Cash Reconciliation_2E'!$B$9:$B$270,0))),"")</f>
        <v/>
      </c>
      <c r="I96" s="917" t="str">
        <f>IFERROR(IF(INDEX('SR_Cash Reconciliation_2E'!G$9:G$270,MATCH($D96,'SR_Cash Reconciliation_2E'!$B$9:$B$270,0))="","",INDEX('SR_Cash Reconciliation_2E'!G$9:G$270,MATCH($D96,'SR_Cash Reconciliation_2E'!$B$9:$B$270,0))),"")</f>
        <v/>
      </c>
      <c r="J96" s="917" t="str">
        <f>IFERROR(IF(INDEX('SR_Cash Reconciliation_2E'!H$9:H$270,MATCH($D96,'SR_Cash Reconciliation_2E'!$B$9:$B$270,0))="","",INDEX('SR_Cash Reconciliation_2E'!H$9:H$270,MATCH($D96,'SR_Cash Reconciliation_2E'!$B$9:$B$270,0))),"")</f>
        <v/>
      </c>
      <c r="K96" s="917" t="str">
        <f>IFERROR(IF(INDEX('SR_Cash Reconciliation_2E'!I$9:I$270,MATCH($D96,'SR_Cash Reconciliation_2E'!$B$9:$B$270,0))="","",INDEX('SR_Cash Reconciliation_2E'!I$9:I$270,MATCH($D96,'SR_Cash Reconciliation_2E'!$B$9:$B$270,0))),"")</f>
        <v/>
      </c>
      <c r="L96" s="917" t="str">
        <f>IFERROR(IF(INDEX('SR_Cash Reconciliation_2E'!K$9:K$270,MATCH($D96,'SR_Cash Reconciliation_2E'!$B$9:$B$270,0))="","",INDEX('SR_Cash Reconciliation_2E'!K$9:K$270,MATCH($D96,'SR_Cash Reconciliation_2E'!$B$9:$B$270,0))),"")</f>
        <v/>
      </c>
      <c r="M96" s="915" t="str">
        <f>""</f>
        <v/>
      </c>
      <c r="N96" s="917" t="str">
        <f>IFERROR(IF(INDEX('SR_Cash Reconciliation_2E'!N$9:N$270,MATCH($D96,'SR_Cash Reconciliation_2E'!$B$9:$B$270,0))="","",INDEX('SR_Cash Reconciliation_2E'!N$9:N$270,MATCH($D96,'SR_Cash Reconciliation_2E'!$B$9:$B$270,0))),"")</f>
        <v/>
      </c>
    </row>
    <row r="97" spans="1:14" x14ac:dyDescent="0.25">
      <c r="A97" s="637"/>
      <c r="B97" s="915"/>
      <c r="C97" s="915">
        <f t="shared" si="2"/>
        <v>92</v>
      </c>
      <c r="D97" s="915" t="str">
        <f t="shared" si="3"/>
        <v>ID92</v>
      </c>
      <c r="E97" s="916" t="str">
        <f>IFERROR(IF(INDEX('SR_Cash Reconciliation_2E'!C$9:C$270,MATCH($D97,'SR_Cash Reconciliation_2E'!$B$9:$B$270,0))="","",INDEX('SR_Cash Reconciliation_2E'!C$9:C$270,MATCH($D97,'SR_Cash Reconciliation_2E'!$B$9:$B$270,0))),"")</f>
        <v/>
      </c>
      <c r="F97" s="917" t="str">
        <f>IFERROR(IF(INDEX('SR_Cash Reconciliation_2E'!D$9:D$270,MATCH($D97,'SR_Cash Reconciliation_2E'!$B$9:$B$270,0))="","",INDEX('SR_Cash Reconciliation_2E'!D$9:D$270,MATCH($D97,'SR_Cash Reconciliation_2E'!$B$9:$B$270,0))),"")</f>
        <v/>
      </c>
      <c r="G97" s="917" t="str">
        <f>IFERROR(IF(INDEX('SR_Cash Reconciliation_2E'!E$9:E$270,MATCH($D97,'SR_Cash Reconciliation_2E'!$B$9:$B$270,0))="","",INDEX('SR_Cash Reconciliation_2E'!E$9:E$270,MATCH($D97,'SR_Cash Reconciliation_2E'!$B$9:$B$270,0))),"")</f>
        <v/>
      </c>
      <c r="H97" s="917" t="str">
        <f>IFERROR(IF(INDEX('SR_Cash Reconciliation_2E'!F$9:F$270,MATCH($D97,'SR_Cash Reconciliation_2E'!$B$9:$B$270,0))="","",INDEX('SR_Cash Reconciliation_2E'!F$9:F$270,MATCH($D97,'SR_Cash Reconciliation_2E'!$B$9:$B$270,0))),"")</f>
        <v/>
      </c>
      <c r="I97" s="917" t="str">
        <f>IFERROR(IF(INDEX('SR_Cash Reconciliation_2E'!G$9:G$270,MATCH($D97,'SR_Cash Reconciliation_2E'!$B$9:$B$270,0))="","",INDEX('SR_Cash Reconciliation_2E'!G$9:G$270,MATCH($D97,'SR_Cash Reconciliation_2E'!$B$9:$B$270,0))),"")</f>
        <v/>
      </c>
      <c r="J97" s="917" t="str">
        <f>IFERROR(IF(INDEX('SR_Cash Reconciliation_2E'!H$9:H$270,MATCH($D97,'SR_Cash Reconciliation_2E'!$B$9:$B$270,0))="","",INDEX('SR_Cash Reconciliation_2E'!H$9:H$270,MATCH($D97,'SR_Cash Reconciliation_2E'!$B$9:$B$270,0))),"")</f>
        <v/>
      </c>
      <c r="K97" s="917" t="str">
        <f>IFERROR(IF(INDEX('SR_Cash Reconciliation_2E'!I$9:I$270,MATCH($D97,'SR_Cash Reconciliation_2E'!$B$9:$B$270,0))="","",INDEX('SR_Cash Reconciliation_2E'!I$9:I$270,MATCH($D97,'SR_Cash Reconciliation_2E'!$B$9:$B$270,0))),"")</f>
        <v/>
      </c>
      <c r="L97" s="917" t="str">
        <f>IFERROR(IF(INDEX('SR_Cash Reconciliation_2E'!K$9:K$270,MATCH($D97,'SR_Cash Reconciliation_2E'!$B$9:$B$270,0))="","",INDEX('SR_Cash Reconciliation_2E'!K$9:K$270,MATCH($D97,'SR_Cash Reconciliation_2E'!$B$9:$B$270,0))),"")</f>
        <v/>
      </c>
      <c r="M97" s="915" t="str">
        <f>""</f>
        <v/>
      </c>
      <c r="N97" s="917" t="str">
        <f>IFERROR(IF(INDEX('SR_Cash Reconciliation_2E'!N$9:N$270,MATCH($D97,'SR_Cash Reconciliation_2E'!$B$9:$B$270,0))="","",INDEX('SR_Cash Reconciliation_2E'!N$9:N$270,MATCH($D97,'SR_Cash Reconciliation_2E'!$B$9:$B$270,0))),"")</f>
        <v/>
      </c>
    </row>
    <row r="98" spans="1:14" x14ac:dyDescent="0.25">
      <c r="A98" s="637"/>
      <c r="B98" s="915"/>
      <c r="C98" s="915">
        <f t="shared" si="2"/>
        <v>93</v>
      </c>
      <c r="D98" s="915" t="str">
        <f t="shared" si="3"/>
        <v>ID93</v>
      </c>
      <c r="E98" s="916" t="str">
        <f>IFERROR(IF(INDEX('SR_Cash Reconciliation_2E'!C$9:C$270,MATCH($D98,'SR_Cash Reconciliation_2E'!$B$9:$B$270,0))="","",INDEX('SR_Cash Reconciliation_2E'!C$9:C$270,MATCH($D98,'SR_Cash Reconciliation_2E'!$B$9:$B$270,0))),"")</f>
        <v/>
      </c>
      <c r="F98" s="917" t="str">
        <f>IFERROR(IF(INDEX('SR_Cash Reconciliation_2E'!D$9:D$270,MATCH($D98,'SR_Cash Reconciliation_2E'!$B$9:$B$270,0))="","",INDEX('SR_Cash Reconciliation_2E'!D$9:D$270,MATCH($D98,'SR_Cash Reconciliation_2E'!$B$9:$B$270,0))),"")</f>
        <v/>
      </c>
      <c r="G98" s="917" t="str">
        <f>IFERROR(IF(INDEX('SR_Cash Reconciliation_2E'!E$9:E$270,MATCH($D98,'SR_Cash Reconciliation_2E'!$B$9:$B$270,0))="","",INDEX('SR_Cash Reconciliation_2E'!E$9:E$270,MATCH($D98,'SR_Cash Reconciliation_2E'!$B$9:$B$270,0))),"")</f>
        <v/>
      </c>
      <c r="H98" s="917" t="str">
        <f>IFERROR(IF(INDEX('SR_Cash Reconciliation_2E'!F$9:F$270,MATCH($D98,'SR_Cash Reconciliation_2E'!$B$9:$B$270,0))="","",INDEX('SR_Cash Reconciliation_2E'!F$9:F$270,MATCH($D98,'SR_Cash Reconciliation_2E'!$B$9:$B$270,0))),"")</f>
        <v/>
      </c>
      <c r="I98" s="917" t="str">
        <f>IFERROR(IF(INDEX('SR_Cash Reconciliation_2E'!G$9:G$270,MATCH($D98,'SR_Cash Reconciliation_2E'!$B$9:$B$270,0))="","",INDEX('SR_Cash Reconciliation_2E'!G$9:G$270,MATCH($D98,'SR_Cash Reconciliation_2E'!$B$9:$B$270,0))),"")</f>
        <v/>
      </c>
      <c r="J98" s="917" t="str">
        <f>IFERROR(IF(INDEX('SR_Cash Reconciliation_2E'!H$9:H$270,MATCH($D98,'SR_Cash Reconciliation_2E'!$B$9:$B$270,0))="","",INDEX('SR_Cash Reconciliation_2E'!H$9:H$270,MATCH($D98,'SR_Cash Reconciliation_2E'!$B$9:$B$270,0))),"")</f>
        <v/>
      </c>
      <c r="K98" s="917" t="str">
        <f>IFERROR(IF(INDEX('SR_Cash Reconciliation_2E'!I$9:I$270,MATCH($D98,'SR_Cash Reconciliation_2E'!$B$9:$B$270,0))="","",INDEX('SR_Cash Reconciliation_2E'!I$9:I$270,MATCH($D98,'SR_Cash Reconciliation_2E'!$B$9:$B$270,0))),"")</f>
        <v/>
      </c>
      <c r="L98" s="917" t="str">
        <f>IFERROR(IF(INDEX('SR_Cash Reconciliation_2E'!K$9:K$270,MATCH($D98,'SR_Cash Reconciliation_2E'!$B$9:$B$270,0))="","",INDEX('SR_Cash Reconciliation_2E'!K$9:K$270,MATCH($D98,'SR_Cash Reconciliation_2E'!$B$9:$B$270,0))),"")</f>
        <v/>
      </c>
      <c r="M98" s="915" t="str">
        <f>""</f>
        <v/>
      </c>
      <c r="N98" s="917" t="str">
        <f>IFERROR(IF(INDEX('SR_Cash Reconciliation_2E'!N$9:N$270,MATCH($D98,'SR_Cash Reconciliation_2E'!$B$9:$B$270,0))="","",INDEX('SR_Cash Reconciliation_2E'!N$9:N$270,MATCH($D98,'SR_Cash Reconciliation_2E'!$B$9:$B$270,0))),"")</f>
        <v/>
      </c>
    </row>
    <row r="99" spans="1:14" x14ac:dyDescent="0.25">
      <c r="A99" s="637"/>
      <c r="B99" s="915"/>
      <c r="C99" s="915">
        <f t="shared" si="2"/>
        <v>94</v>
      </c>
      <c r="D99" s="915" t="str">
        <f t="shared" si="3"/>
        <v>ID94</v>
      </c>
      <c r="E99" s="916" t="str">
        <f>IFERROR(IF(INDEX('SR_Cash Reconciliation_2E'!C$9:C$270,MATCH($D99,'SR_Cash Reconciliation_2E'!$B$9:$B$270,0))="","",INDEX('SR_Cash Reconciliation_2E'!C$9:C$270,MATCH($D99,'SR_Cash Reconciliation_2E'!$B$9:$B$270,0))),"")</f>
        <v/>
      </c>
      <c r="F99" s="917" t="str">
        <f>IFERROR(IF(INDEX('SR_Cash Reconciliation_2E'!D$9:D$270,MATCH($D99,'SR_Cash Reconciliation_2E'!$B$9:$B$270,0))="","",INDEX('SR_Cash Reconciliation_2E'!D$9:D$270,MATCH($D99,'SR_Cash Reconciliation_2E'!$B$9:$B$270,0))),"")</f>
        <v/>
      </c>
      <c r="G99" s="917" t="str">
        <f>IFERROR(IF(INDEX('SR_Cash Reconciliation_2E'!E$9:E$270,MATCH($D99,'SR_Cash Reconciliation_2E'!$B$9:$B$270,0))="","",INDEX('SR_Cash Reconciliation_2E'!E$9:E$270,MATCH($D99,'SR_Cash Reconciliation_2E'!$B$9:$B$270,0))),"")</f>
        <v/>
      </c>
      <c r="H99" s="917" t="str">
        <f>IFERROR(IF(INDEX('SR_Cash Reconciliation_2E'!F$9:F$270,MATCH($D99,'SR_Cash Reconciliation_2E'!$B$9:$B$270,0))="","",INDEX('SR_Cash Reconciliation_2E'!F$9:F$270,MATCH($D99,'SR_Cash Reconciliation_2E'!$B$9:$B$270,0))),"")</f>
        <v/>
      </c>
      <c r="I99" s="917" t="str">
        <f>IFERROR(IF(INDEX('SR_Cash Reconciliation_2E'!G$9:G$270,MATCH($D99,'SR_Cash Reconciliation_2E'!$B$9:$B$270,0))="","",INDEX('SR_Cash Reconciliation_2E'!G$9:G$270,MATCH($D99,'SR_Cash Reconciliation_2E'!$B$9:$B$270,0))),"")</f>
        <v/>
      </c>
      <c r="J99" s="917" t="str">
        <f>IFERROR(IF(INDEX('SR_Cash Reconciliation_2E'!H$9:H$270,MATCH($D99,'SR_Cash Reconciliation_2E'!$B$9:$B$270,0))="","",INDEX('SR_Cash Reconciliation_2E'!H$9:H$270,MATCH($D99,'SR_Cash Reconciliation_2E'!$B$9:$B$270,0))),"")</f>
        <v/>
      </c>
      <c r="K99" s="917" t="str">
        <f>IFERROR(IF(INDEX('SR_Cash Reconciliation_2E'!I$9:I$270,MATCH($D99,'SR_Cash Reconciliation_2E'!$B$9:$B$270,0))="","",INDEX('SR_Cash Reconciliation_2E'!I$9:I$270,MATCH($D99,'SR_Cash Reconciliation_2E'!$B$9:$B$270,0))),"")</f>
        <v/>
      </c>
      <c r="L99" s="917" t="str">
        <f>IFERROR(IF(INDEX('SR_Cash Reconciliation_2E'!K$9:K$270,MATCH($D99,'SR_Cash Reconciliation_2E'!$B$9:$B$270,0))="","",INDEX('SR_Cash Reconciliation_2E'!K$9:K$270,MATCH($D99,'SR_Cash Reconciliation_2E'!$B$9:$B$270,0))),"")</f>
        <v/>
      </c>
      <c r="M99" s="915" t="str">
        <f>""</f>
        <v/>
      </c>
      <c r="N99" s="917" t="str">
        <f>IFERROR(IF(INDEX('SR_Cash Reconciliation_2E'!N$9:N$270,MATCH($D99,'SR_Cash Reconciliation_2E'!$B$9:$B$270,0))="","",INDEX('SR_Cash Reconciliation_2E'!N$9:N$270,MATCH($D99,'SR_Cash Reconciliation_2E'!$B$9:$B$270,0))),"")</f>
        <v/>
      </c>
    </row>
    <row r="100" spans="1:14" x14ac:dyDescent="0.25">
      <c r="A100" s="637"/>
      <c r="B100" s="915"/>
      <c r="C100" s="915">
        <f t="shared" si="2"/>
        <v>95</v>
      </c>
      <c r="D100" s="915" t="str">
        <f t="shared" si="3"/>
        <v>ID95</v>
      </c>
      <c r="E100" s="916" t="str">
        <f>IFERROR(IF(INDEX('SR_Cash Reconciliation_2E'!C$9:C$270,MATCH($D100,'SR_Cash Reconciliation_2E'!$B$9:$B$270,0))="","",INDEX('SR_Cash Reconciliation_2E'!C$9:C$270,MATCH($D100,'SR_Cash Reconciliation_2E'!$B$9:$B$270,0))),"")</f>
        <v/>
      </c>
      <c r="F100" s="917" t="str">
        <f>IFERROR(IF(INDEX('SR_Cash Reconciliation_2E'!D$9:D$270,MATCH($D100,'SR_Cash Reconciliation_2E'!$B$9:$B$270,0))="","",INDEX('SR_Cash Reconciliation_2E'!D$9:D$270,MATCH($D100,'SR_Cash Reconciliation_2E'!$B$9:$B$270,0))),"")</f>
        <v/>
      </c>
      <c r="G100" s="917" t="str">
        <f>IFERROR(IF(INDEX('SR_Cash Reconciliation_2E'!E$9:E$270,MATCH($D100,'SR_Cash Reconciliation_2E'!$B$9:$B$270,0))="","",INDEX('SR_Cash Reconciliation_2E'!E$9:E$270,MATCH($D100,'SR_Cash Reconciliation_2E'!$B$9:$B$270,0))),"")</f>
        <v/>
      </c>
      <c r="H100" s="917" t="str">
        <f>IFERROR(IF(INDEX('SR_Cash Reconciliation_2E'!F$9:F$270,MATCH($D100,'SR_Cash Reconciliation_2E'!$B$9:$B$270,0))="","",INDEX('SR_Cash Reconciliation_2E'!F$9:F$270,MATCH($D100,'SR_Cash Reconciliation_2E'!$B$9:$B$270,0))),"")</f>
        <v/>
      </c>
      <c r="I100" s="917" t="str">
        <f>IFERROR(IF(INDEX('SR_Cash Reconciliation_2E'!G$9:G$270,MATCH($D100,'SR_Cash Reconciliation_2E'!$B$9:$B$270,0))="","",INDEX('SR_Cash Reconciliation_2E'!G$9:G$270,MATCH($D100,'SR_Cash Reconciliation_2E'!$B$9:$B$270,0))),"")</f>
        <v/>
      </c>
      <c r="J100" s="917" t="str">
        <f>IFERROR(IF(INDEX('SR_Cash Reconciliation_2E'!H$9:H$270,MATCH($D100,'SR_Cash Reconciliation_2E'!$B$9:$B$270,0))="","",INDEX('SR_Cash Reconciliation_2E'!H$9:H$270,MATCH($D100,'SR_Cash Reconciliation_2E'!$B$9:$B$270,0))),"")</f>
        <v/>
      </c>
      <c r="K100" s="917" t="str">
        <f>IFERROR(IF(INDEX('SR_Cash Reconciliation_2E'!I$9:I$270,MATCH($D100,'SR_Cash Reconciliation_2E'!$B$9:$B$270,0))="","",INDEX('SR_Cash Reconciliation_2E'!I$9:I$270,MATCH($D100,'SR_Cash Reconciliation_2E'!$B$9:$B$270,0))),"")</f>
        <v/>
      </c>
      <c r="L100" s="917" t="str">
        <f>IFERROR(IF(INDEX('SR_Cash Reconciliation_2E'!K$9:K$270,MATCH($D100,'SR_Cash Reconciliation_2E'!$B$9:$B$270,0))="","",INDEX('SR_Cash Reconciliation_2E'!K$9:K$270,MATCH($D100,'SR_Cash Reconciliation_2E'!$B$9:$B$270,0))),"")</f>
        <v/>
      </c>
      <c r="M100" s="915" t="str">
        <f>""</f>
        <v/>
      </c>
      <c r="N100" s="917" t="str">
        <f>IFERROR(IF(INDEX('SR_Cash Reconciliation_2E'!N$9:N$270,MATCH($D100,'SR_Cash Reconciliation_2E'!$B$9:$B$270,0))="","",INDEX('SR_Cash Reconciliation_2E'!N$9:N$270,MATCH($D100,'SR_Cash Reconciliation_2E'!$B$9:$B$270,0))),"")</f>
        <v/>
      </c>
    </row>
    <row r="101" spans="1:14" x14ac:dyDescent="0.25">
      <c r="A101" s="637"/>
      <c r="B101" s="915"/>
      <c r="C101" s="915">
        <f t="shared" si="2"/>
        <v>96</v>
      </c>
      <c r="D101" s="915" t="str">
        <f t="shared" si="3"/>
        <v>ID96</v>
      </c>
      <c r="E101" s="916" t="str">
        <f>IFERROR(IF(INDEX('SR_Cash Reconciliation_2E'!C$9:C$270,MATCH($D101,'SR_Cash Reconciliation_2E'!$B$9:$B$270,0))="","",INDEX('SR_Cash Reconciliation_2E'!C$9:C$270,MATCH($D101,'SR_Cash Reconciliation_2E'!$B$9:$B$270,0))),"")</f>
        <v/>
      </c>
      <c r="F101" s="917" t="str">
        <f>IFERROR(IF(INDEX('SR_Cash Reconciliation_2E'!D$9:D$270,MATCH($D101,'SR_Cash Reconciliation_2E'!$B$9:$B$270,0))="","",INDEX('SR_Cash Reconciliation_2E'!D$9:D$270,MATCH($D101,'SR_Cash Reconciliation_2E'!$B$9:$B$270,0))),"")</f>
        <v/>
      </c>
      <c r="G101" s="917" t="str">
        <f>IFERROR(IF(INDEX('SR_Cash Reconciliation_2E'!E$9:E$270,MATCH($D101,'SR_Cash Reconciliation_2E'!$B$9:$B$270,0))="","",INDEX('SR_Cash Reconciliation_2E'!E$9:E$270,MATCH($D101,'SR_Cash Reconciliation_2E'!$B$9:$B$270,0))),"")</f>
        <v/>
      </c>
      <c r="H101" s="917" t="str">
        <f>IFERROR(IF(INDEX('SR_Cash Reconciliation_2E'!F$9:F$270,MATCH($D101,'SR_Cash Reconciliation_2E'!$B$9:$B$270,0))="","",INDEX('SR_Cash Reconciliation_2E'!F$9:F$270,MATCH($D101,'SR_Cash Reconciliation_2E'!$B$9:$B$270,0))),"")</f>
        <v/>
      </c>
      <c r="I101" s="917" t="str">
        <f>IFERROR(IF(INDEX('SR_Cash Reconciliation_2E'!G$9:G$270,MATCH($D101,'SR_Cash Reconciliation_2E'!$B$9:$B$270,0))="","",INDEX('SR_Cash Reconciliation_2E'!G$9:G$270,MATCH($D101,'SR_Cash Reconciliation_2E'!$B$9:$B$270,0))),"")</f>
        <v/>
      </c>
      <c r="J101" s="917" t="str">
        <f>IFERROR(IF(INDEX('SR_Cash Reconciliation_2E'!H$9:H$270,MATCH($D101,'SR_Cash Reconciliation_2E'!$B$9:$B$270,0))="","",INDEX('SR_Cash Reconciliation_2E'!H$9:H$270,MATCH($D101,'SR_Cash Reconciliation_2E'!$B$9:$B$270,0))),"")</f>
        <v/>
      </c>
      <c r="K101" s="917" t="str">
        <f>IFERROR(IF(INDEX('SR_Cash Reconciliation_2E'!I$9:I$270,MATCH($D101,'SR_Cash Reconciliation_2E'!$B$9:$B$270,0))="","",INDEX('SR_Cash Reconciliation_2E'!I$9:I$270,MATCH($D101,'SR_Cash Reconciliation_2E'!$B$9:$B$270,0))),"")</f>
        <v/>
      </c>
      <c r="L101" s="917" t="str">
        <f>IFERROR(IF(INDEX('SR_Cash Reconciliation_2E'!K$9:K$270,MATCH($D101,'SR_Cash Reconciliation_2E'!$B$9:$B$270,0))="","",INDEX('SR_Cash Reconciliation_2E'!K$9:K$270,MATCH($D101,'SR_Cash Reconciliation_2E'!$B$9:$B$270,0))),"")</f>
        <v/>
      </c>
      <c r="M101" s="915" t="str">
        <f>""</f>
        <v/>
      </c>
      <c r="N101" s="917" t="str">
        <f>IFERROR(IF(INDEX('SR_Cash Reconciliation_2E'!N$9:N$270,MATCH($D101,'SR_Cash Reconciliation_2E'!$B$9:$B$270,0))="","",INDEX('SR_Cash Reconciliation_2E'!N$9:N$270,MATCH($D101,'SR_Cash Reconciliation_2E'!$B$9:$B$270,0))),"")</f>
        <v/>
      </c>
    </row>
    <row r="102" spans="1:14" x14ac:dyDescent="0.25">
      <c r="A102" s="637"/>
      <c r="B102" s="915"/>
      <c r="C102" s="915">
        <f t="shared" si="2"/>
        <v>97</v>
      </c>
      <c r="D102" s="915" t="str">
        <f t="shared" si="3"/>
        <v>ID97</v>
      </c>
      <c r="E102" s="916" t="str">
        <f>IFERROR(IF(INDEX('SR_Cash Reconciliation_2E'!C$9:C$270,MATCH($D102,'SR_Cash Reconciliation_2E'!$B$9:$B$270,0))="","",INDEX('SR_Cash Reconciliation_2E'!C$9:C$270,MATCH($D102,'SR_Cash Reconciliation_2E'!$B$9:$B$270,0))),"")</f>
        <v/>
      </c>
      <c r="F102" s="917" t="str">
        <f>IFERROR(IF(INDEX('SR_Cash Reconciliation_2E'!D$9:D$270,MATCH($D102,'SR_Cash Reconciliation_2E'!$B$9:$B$270,0))="","",INDEX('SR_Cash Reconciliation_2E'!D$9:D$270,MATCH($D102,'SR_Cash Reconciliation_2E'!$B$9:$B$270,0))),"")</f>
        <v/>
      </c>
      <c r="G102" s="917" t="str">
        <f>IFERROR(IF(INDEX('SR_Cash Reconciliation_2E'!E$9:E$270,MATCH($D102,'SR_Cash Reconciliation_2E'!$B$9:$B$270,0))="","",INDEX('SR_Cash Reconciliation_2E'!E$9:E$270,MATCH($D102,'SR_Cash Reconciliation_2E'!$B$9:$B$270,0))),"")</f>
        <v/>
      </c>
      <c r="H102" s="917" t="str">
        <f>IFERROR(IF(INDEX('SR_Cash Reconciliation_2E'!F$9:F$270,MATCH($D102,'SR_Cash Reconciliation_2E'!$B$9:$B$270,0))="","",INDEX('SR_Cash Reconciliation_2E'!F$9:F$270,MATCH($D102,'SR_Cash Reconciliation_2E'!$B$9:$B$270,0))),"")</f>
        <v/>
      </c>
      <c r="I102" s="917" t="str">
        <f>IFERROR(IF(INDEX('SR_Cash Reconciliation_2E'!G$9:G$270,MATCH($D102,'SR_Cash Reconciliation_2E'!$B$9:$B$270,0))="","",INDEX('SR_Cash Reconciliation_2E'!G$9:G$270,MATCH($D102,'SR_Cash Reconciliation_2E'!$B$9:$B$270,0))),"")</f>
        <v/>
      </c>
      <c r="J102" s="917" t="str">
        <f>IFERROR(IF(INDEX('SR_Cash Reconciliation_2E'!H$9:H$270,MATCH($D102,'SR_Cash Reconciliation_2E'!$B$9:$B$270,0))="","",INDEX('SR_Cash Reconciliation_2E'!H$9:H$270,MATCH($D102,'SR_Cash Reconciliation_2E'!$B$9:$B$270,0))),"")</f>
        <v/>
      </c>
      <c r="K102" s="917" t="str">
        <f>IFERROR(IF(INDEX('SR_Cash Reconciliation_2E'!I$9:I$270,MATCH($D102,'SR_Cash Reconciliation_2E'!$B$9:$B$270,0))="","",INDEX('SR_Cash Reconciliation_2E'!I$9:I$270,MATCH($D102,'SR_Cash Reconciliation_2E'!$B$9:$B$270,0))),"")</f>
        <v/>
      </c>
      <c r="L102" s="917" t="str">
        <f>IFERROR(IF(INDEX('SR_Cash Reconciliation_2E'!K$9:K$270,MATCH($D102,'SR_Cash Reconciliation_2E'!$B$9:$B$270,0))="","",INDEX('SR_Cash Reconciliation_2E'!K$9:K$270,MATCH($D102,'SR_Cash Reconciliation_2E'!$B$9:$B$270,0))),"")</f>
        <v/>
      </c>
      <c r="M102" s="915" t="str">
        <f>""</f>
        <v/>
      </c>
      <c r="N102" s="917" t="str">
        <f>IFERROR(IF(INDEX('SR_Cash Reconciliation_2E'!N$9:N$270,MATCH($D102,'SR_Cash Reconciliation_2E'!$B$9:$B$270,0))="","",INDEX('SR_Cash Reconciliation_2E'!N$9:N$270,MATCH($D102,'SR_Cash Reconciliation_2E'!$B$9:$B$270,0))),"")</f>
        <v/>
      </c>
    </row>
    <row r="103" spans="1:14" x14ac:dyDescent="0.25">
      <c r="A103" s="637"/>
      <c r="B103" s="915"/>
      <c r="C103" s="915">
        <f t="shared" si="2"/>
        <v>98</v>
      </c>
      <c r="D103" s="915" t="str">
        <f t="shared" si="3"/>
        <v>ID98</v>
      </c>
      <c r="E103" s="916" t="str">
        <f>IFERROR(IF(INDEX('SR_Cash Reconciliation_2E'!C$9:C$270,MATCH($D103,'SR_Cash Reconciliation_2E'!$B$9:$B$270,0))="","",INDEX('SR_Cash Reconciliation_2E'!C$9:C$270,MATCH($D103,'SR_Cash Reconciliation_2E'!$B$9:$B$270,0))),"")</f>
        <v/>
      </c>
      <c r="F103" s="917" t="str">
        <f>IFERROR(IF(INDEX('SR_Cash Reconciliation_2E'!D$9:D$270,MATCH($D103,'SR_Cash Reconciliation_2E'!$B$9:$B$270,0))="","",INDEX('SR_Cash Reconciliation_2E'!D$9:D$270,MATCH($D103,'SR_Cash Reconciliation_2E'!$B$9:$B$270,0))),"")</f>
        <v/>
      </c>
      <c r="G103" s="917" t="str">
        <f>IFERROR(IF(INDEX('SR_Cash Reconciliation_2E'!E$9:E$270,MATCH($D103,'SR_Cash Reconciliation_2E'!$B$9:$B$270,0))="","",INDEX('SR_Cash Reconciliation_2E'!E$9:E$270,MATCH($D103,'SR_Cash Reconciliation_2E'!$B$9:$B$270,0))),"")</f>
        <v/>
      </c>
      <c r="H103" s="917" t="str">
        <f>IFERROR(IF(INDEX('SR_Cash Reconciliation_2E'!F$9:F$270,MATCH($D103,'SR_Cash Reconciliation_2E'!$B$9:$B$270,0))="","",INDEX('SR_Cash Reconciliation_2E'!F$9:F$270,MATCH($D103,'SR_Cash Reconciliation_2E'!$B$9:$B$270,0))),"")</f>
        <v/>
      </c>
      <c r="I103" s="917" t="str">
        <f>IFERROR(IF(INDEX('SR_Cash Reconciliation_2E'!G$9:G$270,MATCH($D103,'SR_Cash Reconciliation_2E'!$B$9:$B$270,0))="","",INDEX('SR_Cash Reconciliation_2E'!G$9:G$270,MATCH($D103,'SR_Cash Reconciliation_2E'!$B$9:$B$270,0))),"")</f>
        <v/>
      </c>
      <c r="J103" s="917" t="str">
        <f>IFERROR(IF(INDEX('SR_Cash Reconciliation_2E'!H$9:H$270,MATCH($D103,'SR_Cash Reconciliation_2E'!$B$9:$B$270,0))="","",INDEX('SR_Cash Reconciliation_2E'!H$9:H$270,MATCH($D103,'SR_Cash Reconciliation_2E'!$B$9:$B$270,0))),"")</f>
        <v/>
      </c>
      <c r="K103" s="917" t="str">
        <f>IFERROR(IF(INDEX('SR_Cash Reconciliation_2E'!I$9:I$270,MATCH($D103,'SR_Cash Reconciliation_2E'!$B$9:$B$270,0))="","",INDEX('SR_Cash Reconciliation_2E'!I$9:I$270,MATCH($D103,'SR_Cash Reconciliation_2E'!$B$9:$B$270,0))),"")</f>
        <v/>
      </c>
      <c r="L103" s="917" t="str">
        <f>IFERROR(IF(INDEX('SR_Cash Reconciliation_2E'!K$9:K$270,MATCH($D103,'SR_Cash Reconciliation_2E'!$B$9:$B$270,0))="","",INDEX('SR_Cash Reconciliation_2E'!K$9:K$270,MATCH($D103,'SR_Cash Reconciliation_2E'!$B$9:$B$270,0))),"")</f>
        <v/>
      </c>
      <c r="M103" s="915" t="str">
        <f>""</f>
        <v/>
      </c>
      <c r="N103" s="917" t="str">
        <f>IFERROR(IF(INDEX('SR_Cash Reconciliation_2E'!N$9:N$270,MATCH($D103,'SR_Cash Reconciliation_2E'!$B$9:$B$270,0))="","",INDEX('SR_Cash Reconciliation_2E'!N$9:N$270,MATCH($D103,'SR_Cash Reconciliation_2E'!$B$9:$B$270,0))),"")</f>
        <v/>
      </c>
    </row>
    <row r="104" spans="1:14" x14ac:dyDescent="0.25">
      <c r="A104" s="637"/>
      <c r="B104" s="915"/>
      <c r="C104" s="915">
        <f t="shared" si="2"/>
        <v>99</v>
      </c>
      <c r="D104" s="915" t="str">
        <f t="shared" si="3"/>
        <v>ID99</v>
      </c>
      <c r="E104" s="916" t="str">
        <f>IFERROR(IF(INDEX('SR_Cash Reconciliation_2E'!C$9:C$270,MATCH($D104,'SR_Cash Reconciliation_2E'!$B$9:$B$270,0))="","",INDEX('SR_Cash Reconciliation_2E'!C$9:C$270,MATCH($D104,'SR_Cash Reconciliation_2E'!$B$9:$B$270,0))),"")</f>
        <v/>
      </c>
      <c r="F104" s="917" t="str">
        <f>IFERROR(IF(INDEX('SR_Cash Reconciliation_2E'!D$9:D$270,MATCH($D104,'SR_Cash Reconciliation_2E'!$B$9:$B$270,0))="","",INDEX('SR_Cash Reconciliation_2E'!D$9:D$270,MATCH($D104,'SR_Cash Reconciliation_2E'!$B$9:$B$270,0))),"")</f>
        <v/>
      </c>
      <c r="G104" s="917" t="str">
        <f>IFERROR(IF(INDEX('SR_Cash Reconciliation_2E'!E$9:E$270,MATCH($D104,'SR_Cash Reconciliation_2E'!$B$9:$B$270,0))="","",INDEX('SR_Cash Reconciliation_2E'!E$9:E$270,MATCH($D104,'SR_Cash Reconciliation_2E'!$B$9:$B$270,0))),"")</f>
        <v/>
      </c>
      <c r="H104" s="917" t="str">
        <f>IFERROR(IF(INDEX('SR_Cash Reconciliation_2E'!F$9:F$270,MATCH($D104,'SR_Cash Reconciliation_2E'!$B$9:$B$270,0))="","",INDEX('SR_Cash Reconciliation_2E'!F$9:F$270,MATCH($D104,'SR_Cash Reconciliation_2E'!$B$9:$B$270,0))),"")</f>
        <v/>
      </c>
      <c r="I104" s="917" t="str">
        <f>IFERROR(IF(INDEX('SR_Cash Reconciliation_2E'!G$9:G$270,MATCH($D104,'SR_Cash Reconciliation_2E'!$B$9:$B$270,0))="","",INDEX('SR_Cash Reconciliation_2E'!G$9:G$270,MATCH($D104,'SR_Cash Reconciliation_2E'!$B$9:$B$270,0))),"")</f>
        <v/>
      </c>
      <c r="J104" s="917" t="str">
        <f>IFERROR(IF(INDEX('SR_Cash Reconciliation_2E'!H$9:H$270,MATCH($D104,'SR_Cash Reconciliation_2E'!$B$9:$B$270,0))="","",INDEX('SR_Cash Reconciliation_2E'!H$9:H$270,MATCH($D104,'SR_Cash Reconciliation_2E'!$B$9:$B$270,0))),"")</f>
        <v/>
      </c>
      <c r="K104" s="917" t="str">
        <f>IFERROR(IF(INDEX('SR_Cash Reconciliation_2E'!I$9:I$270,MATCH($D104,'SR_Cash Reconciliation_2E'!$B$9:$B$270,0))="","",INDEX('SR_Cash Reconciliation_2E'!I$9:I$270,MATCH($D104,'SR_Cash Reconciliation_2E'!$B$9:$B$270,0))),"")</f>
        <v/>
      </c>
      <c r="L104" s="917" t="str">
        <f>IFERROR(IF(INDEX('SR_Cash Reconciliation_2E'!K$9:K$270,MATCH($D104,'SR_Cash Reconciliation_2E'!$B$9:$B$270,0))="","",INDEX('SR_Cash Reconciliation_2E'!K$9:K$270,MATCH($D104,'SR_Cash Reconciliation_2E'!$B$9:$B$270,0))),"")</f>
        <v/>
      </c>
      <c r="M104" s="915" t="str">
        <f>""</f>
        <v/>
      </c>
      <c r="N104" s="917" t="str">
        <f>IFERROR(IF(INDEX('SR_Cash Reconciliation_2E'!N$9:N$270,MATCH($D104,'SR_Cash Reconciliation_2E'!$B$9:$B$270,0))="","",INDEX('SR_Cash Reconciliation_2E'!N$9:N$270,MATCH($D104,'SR_Cash Reconciliation_2E'!$B$9:$B$270,0))),"")</f>
        <v/>
      </c>
    </row>
    <row r="105" spans="1:14" x14ac:dyDescent="0.25">
      <c r="A105" s="637"/>
      <c r="B105" s="915"/>
      <c r="C105" s="915">
        <f t="shared" si="2"/>
        <v>100</v>
      </c>
      <c r="D105" s="915" t="str">
        <f t="shared" si="3"/>
        <v>ID100</v>
      </c>
      <c r="E105" s="916" t="str">
        <f>IFERROR(IF(INDEX('SR_Cash Reconciliation_2E'!C$9:C$270,MATCH($D105,'SR_Cash Reconciliation_2E'!$B$9:$B$270,0))="","",INDEX('SR_Cash Reconciliation_2E'!C$9:C$270,MATCH($D105,'SR_Cash Reconciliation_2E'!$B$9:$B$270,0))),"")</f>
        <v/>
      </c>
      <c r="F105" s="917" t="str">
        <f>IFERROR(IF(INDEX('SR_Cash Reconciliation_2E'!D$9:D$270,MATCH($D105,'SR_Cash Reconciliation_2E'!$B$9:$B$270,0))="","",INDEX('SR_Cash Reconciliation_2E'!D$9:D$270,MATCH($D105,'SR_Cash Reconciliation_2E'!$B$9:$B$270,0))),"")</f>
        <v/>
      </c>
      <c r="G105" s="917" t="str">
        <f>IFERROR(IF(INDEX('SR_Cash Reconciliation_2E'!E$9:E$270,MATCH($D105,'SR_Cash Reconciliation_2E'!$B$9:$B$270,0))="","",INDEX('SR_Cash Reconciliation_2E'!E$9:E$270,MATCH($D105,'SR_Cash Reconciliation_2E'!$B$9:$B$270,0))),"")</f>
        <v/>
      </c>
      <c r="H105" s="917" t="str">
        <f>IFERROR(IF(INDEX('SR_Cash Reconciliation_2E'!F$9:F$270,MATCH($D105,'SR_Cash Reconciliation_2E'!$B$9:$B$270,0))="","",INDEX('SR_Cash Reconciliation_2E'!F$9:F$270,MATCH($D105,'SR_Cash Reconciliation_2E'!$B$9:$B$270,0))),"")</f>
        <v/>
      </c>
      <c r="I105" s="917" t="str">
        <f>IFERROR(IF(INDEX('SR_Cash Reconciliation_2E'!G$9:G$270,MATCH($D105,'SR_Cash Reconciliation_2E'!$B$9:$B$270,0))="","",INDEX('SR_Cash Reconciliation_2E'!G$9:G$270,MATCH($D105,'SR_Cash Reconciliation_2E'!$B$9:$B$270,0))),"")</f>
        <v/>
      </c>
      <c r="J105" s="917" t="str">
        <f>IFERROR(IF(INDEX('SR_Cash Reconciliation_2E'!H$9:H$270,MATCH($D105,'SR_Cash Reconciliation_2E'!$B$9:$B$270,0))="","",INDEX('SR_Cash Reconciliation_2E'!H$9:H$270,MATCH($D105,'SR_Cash Reconciliation_2E'!$B$9:$B$270,0))),"")</f>
        <v/>
      </c>
      <c r="K105" s="917" t="str">
        <f>IFERROR(IF(INDEX('SR_Cash Reconciliation_2E'!I$9:I$270,MATCH($D105,'SR_Cash Reconciliation_2E'!$B$9:$B$270,0))="","",INDEX('SR_Cash Reconciliation_2E'!I$9:I$270,MATCH($D105,'SR_Cash Reconciliation_2E'!$B$9:$B$270,0))),"")</f>
        <v/>
      </c>
      <c r="L105" s="917" t="str">
        <f>IFERROR(IF(INDEX('SR_Cash Reconciliation_2E'!K$9:K$270,MATCH($D105,'SR_Cash Reconciliation_2E'!$B$9:$B$270,0))="","",INDEX('SR_Cash Reconciliation_2E'!K$9:K$270,MATCH($D105,'SR_Cash Reconciliation_2E'!$B$9:$B$270,0))),"")</f>
        <v/>
      </c>
      <c r="M105" s="915" t="str">
        <f>""</f>
        <v/>
      </c>
      <c r="N105" s="917" t="str">
        <f>IFERROR(IF(INDEX('SR_Cash Reconciliation_2E'!N$9:N$270,MATCH($D105,'SR_Cash Reconciliation_2E'!$B$9:$B$270,0))="","",INDEX('SR_Cash Reconciliation_2E'!N$9:N$270,MATCH($D105,'SR_Cash Reconciliation_2E'!$B$9:$B$270,0))),"")</f>
        <v/>
      </c>
    </row>
  </sheetData>
  <sheetProtection password="8443" sheet="1" objects="1" scenarios="1" formatCells="0" formatColumns="0"/>
  <autoFilter ref="A4:N105" xr:uid="{00000000-0009-0000-0000-000012000000}"/>
  <dataValidations count="10">
    <dataValidation type="custom" allowBlank="1" showInputMessage="1" showErrorMessage="1" errorTitle="X-Author for Excel" error="Id and Lookup fields are not editable." promptTitle="X-Author for Excel" sqref="A5:B105" xr:uid="{00000000-0002-0000-1200-000000000000}">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F5:F105" xr:uid="{00000000-0002-0000-1200-000001000000}">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G5:G105" xr:uid="{00000000-0002-0000-1200-000002000000}">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H5:H105" xr:uid="{00000000-0002-0000-1200-000003000000}">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I5:I105" xr:uid="{00000000-0002-0000-1200-000004000000}">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J5:J105" xr:uid="{00000000-0002-0000-1200-000005000000}">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K5:K105" xr:uid="{00000000-0002-0000-1200-000006000000}">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L5:L105" xr:uid="{00000000-0002-0000-1200-000007000000}">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M5:M105" xr:uid="{00000000-0002-0000-1200-000008000000}">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N5:N105" xr:uid="{00000000-0002-0000-1200-000009000000}">
      <formula1>-9999999999.99</formula1>
      <formula2>9999999999.99</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1:E20"/>
  <sheetViews>
    <sheetView topLeftCell="A7" zoomScale="85" zoomScaleNormal="85" workbookViewId="0">
      <selection activeCell="C18" sqref="C18"/>
    </sheetView>
  </sheetViews>
  <sheetFormatPr baseColWidth="10" defaultColWidth="9.140625" defaultRowHeight="15" x14ac:dyDescent="0.25"/>
  <cols>
    <col min="1" max="2" width="17.42578125" customWidth="1"/>
    <col min="3" max="3" width="62" customWidth="1"/>
    <col min="4" max="4" width="47.85546875" customWidth="1"/>
    <col min="5" max="5" width="25.140625" customWidth="1"/>
  </cols>
  <sheetData>
    <row r="1" spans="1:5" x14ac:dyDescent="0.25">
      <c r="A1" s="1010" t="s">
        <v>2</v>
      </c>
      <c r="B1" s="1010" t="s">
        <v>3</v>
      </c>
      <c r="C1" s="1010" t="s">
        <v>4</v>
      </c>
      <c r="D1" s="1010" t="s">
        <v>5</v>
      </c>
      <c r="E1" s="1010" t="s">
        <v>6</v>
      </c>
    </row>
    <row r="2" spans="1:5" ht="30" x14ac:dyDescent="0.25">
      <c r="A2" s="1010">
        <v>1</v>
      </c>
      <c r="B2" s="1011">
        <v>43297</v>
      </c>
      <c r="C2" s="1012" t="s">
        <v>7</v>
      </c>
      <c r="D2" s="1010" t="s">
        <v>8</v>
      </c>
      <c r="E2" s="1010" t="s">
        <v>8</v>
      </c>
    </row>
    <row r="3" spans="1:5" ht="60" x14ac:dyDescent="0.25">
      <c r="A3" s="1010">
        <v>2</v>
      </c>
      <c r="B3" s="1011">
        <v>43297</v>
      </c>
      <c r="C3" s="1012" t="s">
        <v>9</v>
      </c>
      <c r="D3" s="1010" t="s">
        <v>8</v>
      </c>
      <c r="E3" s="1010" t="s">
        <v>8</v>
      </c>
    </row>
    <row r="4" spans="1:5" ht="105" x14ac:dyDescent="0.25">
      <c r="A4" s="1010">
        <v>3</v>
      </c>
      <c r="B4" s="1011">
        <v>43301</v>
      </c>
      <c r="C4" s="1012" t="s">
        <v>10</v>
      </c>
      <c r="D4" s="1010" t="s">
        <v>8</v>
      </c>
      <c r="E4" s="1010" t="s">
        <v>8</v>
      </c>
    </row>
    <row r="5" spans="1:5" ht="150" x14ac:dyDescent="0.25">
      <c r="A5" s="1010">
        <v>4</v>
      </c>
      <c r="B5" s="1011">
        <v>43327</v>
      </c>
      <c r="C5" s="1012" t="s">
        <v>11</v>
      </c>
      <c r="D5" s="1010" t="s">
        <v>8</v>
      </c>
      <c r="E5" s="1010" t="s">
        <v>8</v>
      </c>
    </row>
    <row r="6" spans="1:5" ht="105" x14ac:dyDescent="0.25">
      <c r="A6" s="1010">
        <v>5</v>
      </c>
      <c r="B6" s="1013">
        <v>43454</v>
      </c>
      <c r="C6" s="1012" t="s">
        <v>12</v>
      </c>
      <c r="D6" s="1010" t="s">
        <v>8</v>
      </c>
      <c r="E6" s="1010" t="s">
        <v>13</v>
      </c>
    </row>
    <row r="7" spans="1:5" ht="45" x14ac:dyDescent="0.25">
      <c r="A7" s="1010">
        <v>6</v>
      </c>
      <c r="B7" s="1013">
        <v>43103</v>
      </c>
      <c r="C7" s="1012" t="s">
        <v>14</v>
      </c>
      <c r="D7" s="1010" t="s">
        <v>15</v>
      </c>
      <c r="E7" s="1010" t="s">
        <v>13</v>
      </c>
    </row>
    <row r="8" spans="1:5" ht="45" x14ac:dyDescent="0.25">
      <c r="A8" s="1010">
        <v>7</v>
      </c>
      <c r="B8" s="1013">
        <v>43608</v>
      </c>
      <c r="C8" s="1012" t="s">
        <v>16</v>
      </c>
      <c r="D8" s="1010" t="s">
        <v>15</v>
      </c>
      <c r="E8" s="1010" t="s">
        <v>13</v>
      </c>
    </row>
    <row r="9" spans="1:5" x14ac:dyDescent="0.25">
      <c r="A9" s="1010">
        <v>8</v>
      </c>
      <c r="B9" s="1013">
        <v>43665</v>
      </c>
      <c r="C9" s="1010" t="s">
        <v>17</v>
      </c>
      <c r="D9" s="1010" t="s">
        <v>18</v>
      </c>
      <c r="E9" s="1010" t="s">
        <v>8</v>
      </c>
    </row>
    <row r="10" spans="1:5" x14ac:dyDescent="0.25">
      <c r="A10" s="1010">
        <v>9</v>
      </c>
      <c r="B10" s="1013">
        <v>43756</v>
      </c>
      <c r="C10" s="1010" t="s">
        <v>19</v>
      </c>
      <c r="D10" s="1010" t="s">
        <v>18</v>
      </c>
      <c r="E10" s="1010" t="s">
        <v>8</v>
      </c>
    </row>
    <row r="11" spans="1:5" x14ac:dyDescent="0.25">
      <c r="A11" s="1010"/>
      <c r="B11" s="1010"/>
      <c r="C11" s="1010"/>
      <c r="D11" s="1010"/>
      <c r="E11" s="1010"/>
    </row>
    <row r="12" spans="1:5" x14ac:dyDescent="0.25">
      <c r="A12" s="1010"/>
      <c r="B12" s="1010"/>
      <c r="C12" s="1010"/>
      <c r="D12" s="1010"/>
      <c r="E12" s="1010"/>
    </row>
    <row r="13" spans="1:5" x14ac:dyDescent="0.25">
      <c r="A13" s="1010"/>
      <c r="B13" s="1010"/>
      <c r="C13" s="1010"/>
      <c r="D13" s="1010"/>
      <c r="E13" s="1010"/>
    </row>
    <row r="14" spans="1:5" x14ac:dyDescent="0.25">
      <c r="A14" s="1010"/>
      <c r="B14" s="1010"/>
      <c r="C14" s="1010"/>
      <c r="D14" s="1010"/>
      <c r="E14" s="1010"/>
    </row>
    <row r="15" spans="1:5" x14ac:dyDescent="0.25">
      <c r="A15" s="1010"/>
      <c r="B15" s="1010"/>
      <c r="C15" s="1010"/>
      <c r="D15" s="1010"/>
      <c r="E15" s="1010"/>
    </row>
    <row r="16" spans="1:5" x14ac:dyDescent="0.25">
      <c r="A16" s="1010"/>
      <c r="B16" s="1010"/>
      <c r="C16" s="1010"/>
      <c r="D16" s="1010"/>
      <c r="E16" s="1010"/>
    </row>
    <row r="17" spans="1:5" x14ac:dyDescent="0.25">
      <c r="A17" s="1010"/>
      <c r="B17" s="1010"/>
      <c r="C17" s="1010"/>
      <c r="D17" s="1010"/>
      <c r="E17" s="1010"/>
    </row>
    <row r="18" spans="1:5" x14ac:dyDescent="0.25">
      <c r="A18" s="1010"/>
      <c r="B18" s="1010"/>
      <c r="C18" s="1010"/>
      <c r="D18" s="1010"/>
      <c r="E18" s="1010"/>
    </row>
    <row r="19" spans="1:5" x14ac:dyDescent="0.25">
      <c r="A19" s="1010"/>
      <c r="B19" s="1010"/>
      <c r="C19" s="1010"/>
      <c r="D19" s="1010"/>
      <c r="E19" s="1010"/>
    </row>
    <row r="20" spans="1:5" x14ac:dyDescent="0.25">
      <c r="A20" s="1010"/>
      <c r="B20" s="1010"/>
      <c r="C20" s="1010"/>
      <c r="D20" s="1010"/>
      <c r="E20" s="101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sheetPr>
  <dimension ref="A1:O31"/>
  <sheetViews>
    <sheetView showGridLines="0" topLeftCell="F10" zoomScale="70" zoomScaleNormal="70" zoomScaleSheetLayoutView="50" workbookViewId="0">
      <selection activeCell="H9" sqref="H9:I9"/>
    </sheetView>
  </sheetViews>
  <sheetFormatPr baseColWidth="10" defaultColWidth="9.140625" defaultRowHeight="12.75" x14ac:dyDescent="0.2"/>
  <cols>
    <col min="1" max="1" width="28.85546875" style="60" customWidth="1"/>
    <col min="2" max="2" width="57.85546875" style="60" bestFit="1" customWidth="1"/>
    <col min="3" max="3" width="7.140625" style="60" customWidth="1"/>
    <col min="4" max="4" width="43.42578125" style="60" customWidth="1"/>
    <col min="5" max="5" width="48.5703125" style="60" customWidth="1"/>
    <col min="6" max="6" width="24.42578125" style="60" customWidth="1"/>
    <col min="7" max="7" width="25.140625" style="60" customWidth="1"/>
    <col min="8" max="8" width="36.140625" style="60" bestFit="1" customWidth="1"/>
    <col min="9" max="9" width="90.42578125" style="60" customWidth="1"/>
    <col min="10" max="10" width="50.85546875" style="60" bestFit="1" customWidth="1"/>
    <col min="11" max="11" width="54.140625" style="60" bestFit="1" customWidth="1"/>
    <col min="12" max="12" width="25.42578125" style="60" customWidth="1"/>
    <col min="13" max="13" width="27" style="60" customWidth="1"/>
    <col min="14" max="14" width="136" style="60" customWidth="1"/>
    <col min="15" max="15" width="9.140625" style="60"/>
    <col min="16" max="16" width="9.140625" style="60" customWidth="1"/>
    <col min="17" max="16384" width="9.140625" style="60"/>
  </cols>
  <sheetData>
    <row r="1" spans="1:15" s="145" customFormat="1" ht="51.75" customHeight="1" thickBot="1" x14ac:dyDescent="0.65">
      <c r="A1" s="520" t="str">
        <f>CoverSheet!A1</f>
        <v>Rapport périodique sur les résultats actuels et demande de décaissement</v>
      </c>
      <c r="B1" s="521"/>
      <c r="C1" s="520"/>
      <c r="D1" s="520"/>
      <c r="E1" s="520"/>
      <c r="F1" s="520"/>
      <c r="G1" s="520"/>
      <c r="H1" s="522"/>
      <c r="I1" s="522"/>
      <c r="J1" s="523"/>
      <c r="K1" s="523"/>
      <c r="L1" s="523"/>
      <c r="M1" s="524"/>
      <c r="N1" s="524"/>
    </row>
    <row r="2" spans="1:15" s="144" customFormat="1" ht="40.5" customHeight="1" thickBot="1" x14ac:dyDescent="0.3">
      <c r="A2" s="1577" t="str">
        <f>VLOOKUP(Translations!B158,Translations!B3:H508,4,0)</f>
        <v>Section 2 : Information financière</v>
      </c>
      <c r="B2" s="1578"/>
      <c r="C2" s="1578"/>
      <c r="D2" s="1579"/>
      <c r="E2" s="1583" t="str">
        <f>CoverSheet!F12</f>
        <v>Période couverte par le rapport sur les information financière</v>
      </c>
      <c r="F2" s="1583"/>
      <c r="G2" s="517">
        <f>CoverSheet!J12</f>
        <v>43466</v>
      </c>
      <c r="H2" s="525" t="str">
        <f>CoverSheet!K12</f>
        <v>Date de fin:</v>
      </c>
      <c r="I2" s="517">
        <f>CoverSheet!L12</f>
        <v>43830</v>
      </c>
      <c r="J2" s="1561"/>
      <c r="K2" s="1562"/>
      <c r="L2" s="1562"/>
      <c r="M2" s="1562"/>
      <c r="N2" s="1563"/>
    </row>
    <row r="3" spans="1:15" s="143" customFormat="1" ht="40.5" customHeight="1" thickBot="1" x14ac:dyDescent="0.3">
      <c r="A3" s="1580"/>
      <c r="B3" s="1581"/>
      <c r="C3" s="1581"/>
      <c r="D3" s="1582"/>
      <c r="E3" s="1583" t="s">
        <v>1084</v>
      </c>
      <c r="F3" s="1583"/>
      <c r="G3" s="517">
        <f>CoverSheet!D13</f>
        <v>43101</v>
      </c>
      <c r="H3" s="1248" t="str">
        <f>CoverSheet!K12</f>
        <v>Date de fin:</v>
      </c>
      <c r="I3" s="517">
        <f>CoverSheet!L12</f>
        <v>43830</v>
      </c>
      <c r="J3" s="1564"/>
      <c r="K3" s="1565"/>
      <c r="L3" s="1565"/>
      <c r="M3" s="1565"/>
      <c r="N3" s="1566"/>
    </row>
    <row r="4" spans="1:15" s="130" customFormat="1" ht="33" customHeight="1" thickBot="1" x14ac:dyDescent="0.3">
      <c r="A4" s="1584" t="str">
        <f>VLOOKUP(Translations!B192,Translations!B3:H508,4,0)</f>
        <v>Écart budgétaire total du récipiendaire principal et analyse de l'absorption des fonds</v>
      </c>
      <c r="B4" s="1585"/>
      <c r="C4" s="1585"/>
      <c r="D4" s="1585"/>
      <c r="E4" s="1585"/>
      <c r="F4" s="1585"/>
      <c r="G4" s="1585"/>
      <c r="H4" s="1585"/>
      <c r="I4" s="1585"/>
      <c r="J4" s="1585"/>
      <c r="K4" s="1585"/>
      <c r="L4" s="1585"/>
      <c r="M4" s="1585"/>
      <c r="N4" s="1585"/>
      <c r="O4" s="142"/>
    </row>
    <row r="5" spans="1:15" s="61" customFormat="1" ht="0.75" customHeight="1" thickBot="1" x14ac:dyDescent="0.25">
      <c r="B5" s="128"/>
      <c r="C5" s="128"/>
      <c r="D5" s="128"/>
      <c r="E5" s="128"/>
      <c r="F5" s="128"/>
      <c r="G5" s="128"/>
      <c r="H5" s="128"/>
      <c r="I5" s="128"/>
      <c r="J5" s="128"/>
      <c r="K5" s="128"/>
      <c r="L5" s="141"/>
    </row>
    <row r="6" spans="1:15" s="63" customFormat="1" ht="30" customHeight="1" thickBot="1" x14ac:dyDescent="0.25">
      <c r="B6" s="140"/>
      <c r="C6" s="139"/>
      <c r="D6" s="1586" t="str">
        <f>VLOOKUP(Translations!B193,Translations!B3:H508,4,0)</f>
        <v>Récipiendaire principal</v>
      </c>
      <c r="E6" s="1587"/>
      <c r="F6" s="1587"/>
      <c r="G6" s="1587"/>
      <c r="H6" s="1587"/>
      <c r="I6" s="1587"/>
      <c r="J6" s="1587"/>
      <c r="K6" s="1587"/>
      <c r="L6" s="1587"/>
      <c r="M6" s="1587"/>
      <c r="N6" s="1588"/>
      <c r="O6" s="138"/>
    </row>
    <row r="7" spans="1:15" s="63" customFormat="1" ht="93" customHeight="1" thickBot="1" x14ac:dyDescent="0.25">
      <c r="B7" s="1573"/>
      <c r="C7" s="1574"/>
      <c r="D7" s="137" t="str">
        <f>VLOOKUP(Translations!B194,Translations!B3:H508,4,0)</f>
        <v>Budget pour la période de rapport</v>
      </c>
      <c r="E7" s="1249" t="str">
        <f>VLOOKUP(Translations!B195,Translations!B3:H508,4,0)</f>
        <v>Sorties de fonds réelles de la subvention - Comptabilité de trésorerie pour la période de rapport</v>
      </c>
      <c r="F7" s="1249" t="str">
        <f>VLOOKUP(Translations!B196,Translations!B3:H508,4,0)</f>
        <v>Écarts budget - dép. réelles</v>
      </c>
      <c r="G7" s="1249" t="str">
        <f>VLOOKUP(Translations!B197,Translations!B3:H508,4,0)</f>
        <v>Capacité d'absorption</v>
      </c>
      <c r="H7" s="1575" t="str">
        <f>VLOOKUP(Translations!B198,Translations!B3:H508,4,0)</f>
        <v>Motifs de l'écart</v>
      </c>
      <c r="I7" s="1576"/>
      <c r="J7" s="1249" t="str">
        <f>VLOOKUP(Translations!B199,Translations!B3:H508,4,0)</f>
        <v>Budget cumulé jusqu'à la fin de la période du rapport</v>
      </c>
      <c r="K7" s="1249" t="str">
        <f>VLOOKUP(Translations!B200,Translations!B3:H508,4,0)</f>
        <v>Sorties de fonds réelles cumulées de la subvention - comptabilité de trésorerie - jusqu’à la fin de la période du rapport</v>
      </c>
      <c r="L7" s="1249" t="str">
        <f>VLOOKUP(Translations!B201,Translations!B3:H508,4,0)</f>
        <v>Écarts cumulés budget - dép. réelles</v>
      </c>
      <c r="M7" s="1249" t="str">
        <f>VLOOKUP(Translations!B202,Translations!B3:H508,4,0)</f>
        <v>Capacité d'absorption</v>
      </c>
      <c r="N7" s="1249" t="str">
        <f>VLOOKUP(Translations!B203,Translations!B3:H508,4,0)</f>
        <v>Motifs de l'écart</v>
      </c>
    </row>
    <row r="8" spans="1:15" s="63" customFormat="1" ht="46.5" customHeight="1" x14ac:dyDescent="0.2">
      <c r="B8" s="1589" t="str">
        <f>VLOOKUP(Translations!B204,Translations!B3:H508,4,0)</f>
        <v>1. Sorties de fonds totales du récipiendaire principal par rapport au budget</v>
      </c>
      <c r="C8" s="1590"/>
      <c r="D8" s="1204">
        <f>SUM(D9:D10)</f>
        <v>11755487.666502319</v>
      </c>
      <c r="E8" s="1204">
        <f>SUM(E9:E10)</f>
        <v>10712810.810000001</v>
      </c>
      <c r="F8" s="1204">
        <f>IF(D8="",IF(E8="","",D8-E8),D8-E8)</f>
        <v>1042676.8565023188</v>
      </c>
      <c r="G8" s="1250">
        <f>E8/D8</f>
        <v>0.91130296878508377</v>
      </c>
      <c r="H8" s="1591"/>
      <c r="I8" s="1592"/>
      <c r="J8" s="1204">
        <f>SUM(J9:J10)</f>
        <v>20014677.11612631</v>
      </c>
      <c r="K8" s="1204">
        <f>SUM(K9:K10)</f>
        <v>17688203.710000001</v>
      </c>
      <c r="L8" s="1147">
        <f>IF(J8="",IF(K8="","",J8-K8),J8-K8)</f>
        <v>2326473.4061263092</v>
      </c>
      <c r="M8" s="1250">
        <f>K8/J8</f>
        <v>0.88376163189503498</v>
      </c>
      <c r="N8" s="1251"/>
    </row>
    <row r="9" spans="1:15" s="63" customFormat="1" ht="408.75" customHeight="1" x14ac:dyDescent="0.2">
      <c r="B9" s="1593" t="str">
        <f>VLOOKUP(Translations!B205,Translations!B3:H508,4,0)</f>
        <v xml:space="preserve">    1a. Dépenses totales du récipiendaire principal (y compris tout décaissement direct à des tiers)</v>
      </c>
      <c r="C9" s="1594"/>
      <c r="D9" s="1147">
        <f>_757bbdaf_a251_4e14_80bf_570115bbd806</f>
        <v>8187721.1854574401</v>
      </c>
      <c r="E9" s="1147">
        <f>'PR Cash Reconciliation_2A,B,C,D'!D18+'PR Cash Reconciliation_2A,B,C,D'!D19+'PR Cash Reconciliation_2A,B,C,D'!D21</f>
        <v>8799864.3200000003</v>
      </c>
      <c r="F9" s="1147">
        <f>IF(D9="",IF(E9="",0,D9-E9),D9-E9)</f>
        <v>-612143.1345425602</v>
      </c>
      <c r="G9" s="1250">
        <f>E9/D9</f>
        <v>1.0747635539458542</v>
      </c>
      <c r="H9" s="1595" t="s">
        <v>1106</v>
      </c>
      <c r="I9" s="1596"/>
      <c r="J9" s="1147">
        <f>_5fc8d853_c679_4a06_bfcf_5a675070866e</f>
        <v>12803329.0222059</v>
      </c>
      <c r="K9" s="1147">
        <f>'PR Cash Reconciliation_2A,B,C,D'!D18+'PR Cash Reconciliation_2A,B,C,D'!D19+'PR Cash Reconciliation_2A,B,C,D'!D21+'PR Cash Reconciliation_2A,B,C,D'!C18+'PR Cash Reconciliation_2A,B,C,D'!C19+'PR Cash Reconciliation_2A,B,C,D'!C21</f>
        <v>12866840.4</v>
      </c>
      <c r="L9" s="1147">
        <f>IF(J9="",IF(K9="",0,J9-K9),J9-K9)</f>
        <v>-63511.377794099972</v>
      </c>
      <c r="M9" s="1250">
        <f>K9/J9</f>
        <v>1.0049605362545904</v>
      </c>
      <c r="N9" s="1252" t="s">
        <v>1107</v>
      </c>
    </row>
    <row r="10" spans="1:15" s="63" customFormat="1" ht="336" customHeight="1" x14ac:dyDescent="0.2">
      <c r="B10" s="1597" t="str">
        <f>VLOOKUP(Translations!B206,Translations!B3:H508,4,0)</f>
        <v xml:space="preserve">    1b. Décaissements aux sous-récipiendaires</v>
      </c>
      <c r="C10" s="1598"/>
      <c r="D10" s="1147">
        <f>_b2735405_dd56_44ce_9ea7_7c9dcc4cf6e1</f>
        <v>3567766.4810448801</v>
      </c>
      <c r="E10" s="1147">
        <f>'PR Cash Reconciliation_2A,B,C,D'!D20</f>
        <v>1912946.49</v>
      </c>
      <c r="F10" s="1147">
        <f>IF(D10="",IF(E10="",0,D10-E10),D10-E10)</f>
        <v>1654819.9910448801</v>
      </c>
      <c r="G10" s="1250">
        <f>E10/D10</f>
        <v>0.53617480296517661</v>
      </c>
      <c r="H10" s="1595" t="s">
        <v>1108</v>
      </c>
      <c r="I10" s="1596"/>
      <c r="J10" s="1147">
        <f>_08e720bb_96ae_4d23_aca2_de6c0f6242bd</f>
        <v>7211348.0939204097</v>
      </c>
      <c r="K10" s="1147">
        <f>'PR Cash Reconciliation_2A,B,C,D'!D20+'PR Cash Reconciliation_2A,B,C,D'!C20</f>
        <v>4821363.3100000005</v>
      </c>
      <c r="L10" s="1147">
        <f>IF(J10="",IF(K10="",0,J10-K10),J10-K10)</f>
        <v>2389984.7839204092</v>
      </c>
      <c r="M10" s="1250">
        <f>K10/J10</f>
        <v>0.66858002792358517</v>
      </c>
      <c r="N10" s="1252" t="s">
        <v>1109</v>
      </c>
    </row>
    <row r="11" spans="1:15" s="63" customFormat="1" ht="15.75" thickBot="1" x14ac:dyDescent="0.25">
      <c r="B11" s="732"/>
      <c r="C11" s="732"/>
      <c r="D11" s="733"/>
      <c r="E11" s="733"/>
      <c r="F11" s="734"/>
      <c r="I11" s="735"/>
      <c r="J11" s="735"/>
      <c r="K11" s="733"/>
      <c r="L11" s="733"/>
      <c r="N11" s="734"/>
    </row>
    <row r="12" spans="1:15" s="63" customFormat="1" ht="90" customHeight="1" x14ac:dyDescent="0.2">
      <c r="B12" s="1573" t="str">
        <f>VLOOKUP(Translations!B207,Translations!B3:H508,4,0)</f>
        <v>Données d'achats à des fins d'analyse</v>
      </c>
      <c r="C12" s="1599"/>
      <c r="D12" s="736" t="str">
        <f>D7</f>
        <v>Budget pour la période de rapport</v>
      </c>
      <c r="E12" s="736" t="str">
        <f>E7</f>
        <v>Sorties de fonds réelles de la subvention - Comptabilité de trésorerie pour la période de rapport</v>
      </c>
      <c r="F12" s="736" t="str">
        <f t="shared" ref="F12:G12" si="0">F7</f>
        <v>Écarts budget - dép. réelles</v>
      </c>
      <c r="G12" s="736" t="str">
        <f t="shared" si="0"/>
        <v>Capacité d'absorption</v>
      </c>
      <c r="H12" s="1600" t="str">
        <f>H7</f>
        <v>Motifs de l'écart</v>
      </c>
      <c r="I12" s="1600"/>
      <c r="J12" s="736" t="str">
        <f>J7</f>
        <v>Budget cumulé jusqu'à la fin de la période du rapport</v>
      </c>
      <c r="K12" s="736" t="str">
        <f t="shared" ref="K12:N12" si="1">K7</f>
        <v>Sorties de fonds réelles cumulées de la subvention - comptabilité de trésorerie - jusqu’à la fin de la période du rapport</v>
      </c>
      <c r="L12" s="736" t="str">
        <f t="shared" si="1"/>
        <v>Écarts cumulés budget - dép. réelles</v>
      </c>
      <c r="M12" s="736" t="str">
        <f t="shared" si="1"/>
        <v>Capacité d'absorption</v>
      </c>
      <c r="N12" s="737" t="str">
        <f t="shared" si="1"/>
        <v>Motifs de l'écart</v>
      </c>
    </row>
    <row r="13" spans="1:15" s="63" customFormat="1" ht="54" customHeight="1" x14ac:dyDescent="0.2">
      <c r="B13" s="1589" t="str">
        <f>VLOOKUP(Translations!B218,Translations!B3:H508,4,0)</f>
        <v>2. Dépenses pharmaceutiques et non pharmaceutiques (y compris équipements) totales par rapport au budget</v>
      </c>
      <c r="C13" s="1590"/>
      <c r="D13" s="1204">
        <f>D14+D15</f>
        <v>4966285.0238885395</v>
      </c>
      <c r="E13" s="1204">
        <f>E14+E15</f>
        <v>5234956.6099999994</v>
      </c>
      <c r="F13" s="1204">
        <f>IF(D13="",IF(E13="","",D13-E13),D13-E13)</f>
        <v>-268671.58611145988</v>
      </c>
      <c r="G13" s="1250">
        <f>E13/D13</f>
        <v>1.0540991072439683</v>
      </c>
      <c r="H13" s="1601"/>
      <c r="I13" s="1601"/>
      <c r="J13" s="1253">
        <f>J14+J15</f>
        <v>7033806.0538885398</v>
      </c>
      <c r="K13" s="1204">
        <f>K14+K15</f>
        <v>7686531.7400000002</v>
      </c>
      <c r="L13" s="1204">
        <f>IF(J13="",IF(K13="","",J13-K13),J13-K13)</f>
        <v>-652725.68611146044</v>
      </c>
      <c r="M13" s="1250">
        <f>K13/J13</f>
        <v>1.0927983628082281</v>
      </c>
      <c r="N13" s="1254"/>
    </row>
    <row r="14" spans="1:15" s="63" customFormat="1" ht="168.75" customHeight="1" x14ac:dyDescent="0.2">
      <c r="B14" s="1593" t="str">
        <f>VLOOKUP(Translations!B219,Translations!B3:H508,4,0)</f>
        <v xml:space="preserve">    2a.  Produits de santé - Produits pharmaceutiques</v>
      </c>
      <c r="C14" s="1594"/>
      <c r="D14" s="1255">
        <f>_96216c52_3538_4325_8126_72dc62827a1b</f>
        <v>2974342.34</v>
      </c>
      <c r="E14" s="1235">
        <v>3677496.34</v>
      </c>
      <c r="F14" s="1147">
        <f>IF(D14="",IF(E14="",0,D14-E14),D14-E14)</f>
        <v>-703154</v>
      </c>
      <c r="G14" s="1250">
        <f>E14/D14</f>
        <v>1.2364065462619209</v>
      </c>
      <c r="H14" s="1602" t="s">
        <v>1110</v>
      </c>
      <c r="I14" s="1602"/>
      <c r="J14" s="1255">
        <f>_1c12bfc2_41c8_4c56_8c9f_396f5701dc1c</f>
        <v>3975842.53</v>
      </c>
      <c r="K14" s="1235">
        <f>(182995.5+1244331.78+117817.5-2808.86)+226.32+ (107029.72+35432.8)+8474.64+E14</f>
        <v>5370995.7400000002</v>
      </c>
      <c r="L14" s="1147">
        <f>IF(J14="",IF(K14="",0,J14-K14),J14-K14)</f>
        <v>-1395153.2100000004</v>
      </c>
      <c r="M14" s="1250">
        <f>K14/J14</f>
        <v>1.350907562226817</v>
      </c>
      <c r="N14" s="1256" t="s">
        <v>1111</v>
      </c>
    </row>
    <row r="15" spans="1:15" s="63" customFormat="1" ht="408.75" customHeight="1" thickBot="1" x14ac:dyDescent="0.25">
      <c r="B15" s="1605" t="str">
        <f>VLOOKUP(Translations!B220,Translations!B3:H508,4,0)</f>
        <v xml:space="preserve">    2b.  Produits de santé - Produits non pharmaceutiques et équipements</v>
      </c>
      <c r="C15" s="1606"/>
      <c r="D15" s="1257">
        <f>_627ca42b_04e2_43b0_9dd3_6a366d7df9ec</f>
        <v>1991942.6838885399</v>
      </c>
      <c r="E15" s="1258">
        <f>1553845.61+3614.66</f>
        <v>1557460.27</v>
      </c>
      <c r="F15" s="1224">
        <f>IF(D15="",IF(E15="",0,D15-E15),D15-E15)</f>
        <v>434482.41388853989</v>
      </c>
      <c r="G15" s="1259">
        <f>E15/D15</f>
        <v>0.78188006241205099</v>
      </c>
      <c r="H15" s="1607" t="s">
        <v>1112</v>
      </c>
      <c r="I15" s="1607"/>
      <c r="J15" s="1257">
        <f>_d7b38c7a_acf6_4726_87a0_eeda6bd08f2c</f>
        <v>3057963.52388854</v>
      </c>
      <c r="K15" s="1258">
        <f>(64312.5+28500+191790)+(12585.55+174.83+217026+13695)+(60707.57+318.35+5230.7+244.17)+(155688+3903.06)+3900+E15</f>
        <v>2315536</v>
      </c>
      <c r="L15" s="1224">
        <f>IF(J15="",IF(K15="",0,J15-K15),J15-K15)</f>
        <v>742427.52388853999</v>
      </c>
      <c r="M15" s="1259">
        <f>K15/J15</f>
        <v>0.75721504913686444</v>
      </c>
      <c r="N15" s="1260" t="s">
        <v>1113</v>
      </c>
    </row>
    <row r="16" spans="1:15" s="61" customFormat="1" x14ac:dyDescent="0.2"/>
    <row r="17" spans="1:14" s="61" customFormat="1" x14ac:dyDescent="0.2"/>
    <row r="18" spans="1:14" s="61" customFormat="1" ht="60.75" customHeight="1" thickBot="1" x14ac:dyDescent="0.25">
      <c r="A18" s="136" t="s">
        <v>1114</v>
      </c>
      <c r="B18" s="135"/>
      <c r="C18" s="134"/>
      <c r="D18" s="134"/>
      <c r="E18" s="134"/>
      <c r="F18" s="134"/>
      <c r="G18" s="134"/>
      <c r="H18" s="134"/>
      <c r="I18" s="134"/>
      <c r="J18" s="133"/>
      <c r="K18" s="132"/>
      <c r="L18" s="132"/>
    </row>
    <row r="19" spans="1:14" s="130" customFormat="1" ht="33" customHeight="1" thickBot="1" x14ac:dyDescent="0.3">
      <c r="A19" s="1608" t="s">
        <v>1115</v>
      </c>
      <c r="B19" s="1608"/>
      <c r="C19" s="1608"/>
      <c r="D19" s="1608"/>
      <c r="E19" s="1608"/>
      <c r="F19" s="1608"/>
      <c r="G19" s="1608"/>
      <c r="H19" s="1608"/>
      <c r="I19" s="1608"/>
      <c r="J19" s="1608"/>
      <c r="K19" s="1608"/>
      <c r="L19" s="1608"/>
      <c r="M19" s="131"/>
      <c r="N19" s="131"/>
    </row>
    <row r="20" spans="1:14" s="61" customFormat="1" ht="21" hidden="1" thickBot="1" x14ac:dyDescent="0.25">
      <c r="B20" s="128"/>
      <c r="C20" s="129"/>
      <c r="D20" s="128"/>
      <c r="E20" s="127"/>
      <c r="F20" s="128"/>
      <c r="G20" s="127"/>
      <c r="H20" s="128"/>
      <c r="I20" s="128"/>
      <c r="J20" s="127"/>
      <c r="K20" s="127"/>
      <c r="L20" s="126"/>
    </row>
    <row r="21" spans="1:14" s="61" customFormat="1" ht="28.5" customHeight="1" thickBot="1" x14ac:dyDescent="0.25">
      <c r="A21" s="125"/>
      <c r="B21" s="124"/>
      <c r="C21" s="123"/>
      <c r="D21" s="1603" t="s">
        <v>1116</v>
      </c>
      <c r="E21" s="1609"/>
      <c r="F21" s="1609"/>
      <c r="G21" s="1609"/>
      <c r="H21" s="1609"/>
      <c r="I21" s="1609"/>
      <c r="J21" s="1609"/>
      <c r="K21" s="1609"/>
      <c r="L21" s="1609"/>
      <c r="M21" s="1609"/>
      <c r="N21" s="1609"/>
    </row>
    <row r="22" spans="1:14" s="61" customFormat="1" ht="80.099999999999994" customHeight="1" thickBot="1" x14ac:dyDescent="0.25">
      <c r="B22" s="1573"/>
      <c r="C22" s="1574"/>
      <c r="D22" s="122" t="s">
        <v>1117</v>
      </c>
      <c r="E22" s="121" t="s">
        <v>1118</v>
      </c>
      <c r="F22" s="119" t="s">
        <v>1119</v>
      </c>
      <c r="G22" s="109" t="s">
        <v>1120</v>
      </c>
      <c r="H22" s="1537" t="s">
        <v>1121</v>
      </c>
      <c r="I22" s="1539"/>
      <c r="J22" s="119" t="s">
        <v>1122</v>
      </c>
      <c r="K22" s="120" t="s">
        <v>1123</v>
      </c>
      <c r="L22" s="119" t="s">
        <v>1124</v>
      </c>
      <c r="M22" s="110" t="s">
        <v>1120</v>
      </c>
      <c r="N22" s="109" t="s">
        <v>1125</v>
      </c>
    </row>
    <row r="23" spans="1:14" s="61" customFormat="1" ht="46.5" customHeight="1" x14ac:dyDescent="0.2">
      <c r="B23" s="1610" t="s">
        <v>1126</v>
      </c>
      <c r="C23" s="1611"/>
      <c r="D23" s="117">
        <f>SUM(D24:D25)</f>
        <v>11755487.666502319</v>
      </c>
      <c r="E23" s="117">
        <f>SUM(E24:E25)</f>
        <v>10712810.810000001</v>
      </c>
      <c r="F23" s="117">
        <f>IF(D23="",IF(E23="","",D23-E23),D23-E23)</f>
        <v>1042676.8565023188</v>
      </c>
      <c r="G23" s="118">
        <f>E23/D23</f>
        <v>0.91130296878508377</v>
      </c>
      <c r="H23" s="1612"/>
      <c r="I23" s="1613"/>
      <c r="J23" s="117">
        <f>SUM(J24:J25)</f>
        <v>20014677.11612631</v>
      </c>
      <c r="K23" s="117">
        <f>SUM(K24:K25)</f>
        <v>10712810.810000001</v>
      </c>
      <c r="L23" s="117">
        <f>IF(J23="",IF(K23="","",J23-K23),J23-K23)</f>
        <v>9301866.3061263096</v>
      </c>
      <c r="M23" s="107">
        <f>K23/J23</f>
        <v>0.53524774583390256</v>
      </c>
      <c r="N23" s="116"/>
    </row>
    <row r="24" spans="1:14" s="61" customFormat="1" ht="65.25" customHeight="1" x14ac:dyDescent="0.2">
      <c r="B24" s="1593" t="s">
        <v>1127</v>
      </c>
      <c r="C24" s="1594"/>
      <c r="D24" s="1255">
        <f>_757bbdaf_a251_4e14_80bf_570115bbd806</f>
        <v>8187721.1854574401</v>
      </c>
      <c r="E24" s="1261">
        <f>'PR Cash Reconciliation_2A,B,C,D'!H18+'PR Cash Reconciliation_2A,B,C,D'!H19+'PR Cash Reconciliation_2A,B,C,D'!H21</f>
        <v>8799864.3200000003</v>
      </c>
      <c r="F24" s="1147">
        <f>IF(D24="",IF(E24="",0,D24-E24),D24-E24)</f>
        <v>-612143.1345425602</v>
      </c>
      <c r="G24" s="1262">
        <f>E24/D24</f>
        <v>1.0747635539458542</v>
      </c>
      <c r="H24" s="1595"/>
      <c r="I24" s="1596"/>
      <c r="J24" s="1255">
        <f>_5fc8d853_c679_4a06_bfcf_5a675070866e</f>
        <v>12803329.0222059</v>
      </c>
      <c r="K24" s="1147">
        <f>'PR Cash Reconciliation_2A,B,C,D'!F18+'PR Cash Reconciliation_2A,B,C,D'!F19+'PR Cash Reconciliation_2A,B,C,D'!F21+E24</f>
        <v>8799864.3200000003</v>
      </c>
      <c r="L24" s="1147">
        <f>IF(J24="",IF(K24="",0,J24-K24),J24-K24)</f>
        <v>4003464.7022059001</v>
      </c>
      <c r="M24" s="1250">
        <f>K24/J24</f>
        <v>0.68731064434395528</v>
      </c>
      <c r="N24" s="1252"/>
    </row>
    <row r="25" spans="1:14" s="61" customFormat="1" ht="65.25" customHeight="1" x14ac:dyDescent="0.2">
      <c r="B25" s="1597" t="s">
        <v>1128</v>
      </c>
      <c r="C25" s="1598"/>
      <c r="D25" s="1255">
        <f>_b2735405_dd56_44ce_9ea7_7c9dcc4cf6e1</f>
        <v>3567766.4810448801</v>
      </c>
      <c r="E25" s="1261">
        <f>'PR Cash Reconciliation_2A,B,C,D'!H20</f>
        <v>1912946.49</v>
      </c>
      <c r="F25" s="1147">
        <f>IF(D25="",IF(E25="",0,D25-E25),D25-E25)</f>
        <v>1654819.9910448801</v>
      </c>
      <c r="G25" s="1262">
        <f>E25/D25</f>
        <v>0.53617480296517661</v>
      </c>
      <c r="H25" s="1595"/>
      <c r="I25" s="1596"/>
      <c r="J25" s="1255">
        <f>_08e720bb_96ae_4d23_aca2_de6c0f6242bd</f>
        <v>7211348.0939204097</v>
      </c>
      <c r="K25" s="1147">
        <f>'PR Cash Reconciliation_2A,B,C,D'!F20+E25</f>
        <v>1912946.49</v>
      </c>
      <c r="L25" s="1147">
        <f>IF(J25="",IF(K25="",0,J25-K25),J25-K25)</f>
        <v>5298401.6039204095</v>
      </c>
      <c r="M25" s="1250">
        <f>K25/J25</f>
        <v>0.26526891575414674</v>
      </c>
      <c r="N25" s="1252"/>
    </row>
    <row r="26" spans="1:14" s="61" customFormat="1" ht="15.75" thickBot="1" x14ac:dyDescent="0.25">
      <c r="B26" s="115"/>
      <c r="C26" s="115"/>
      <c r="D26" s="113"/>
      <c r="E26" s="113"/>
      <c r="F26" s="112"/>
      <c r="I26" s="114"/>
      <c r="J26" s="114"/>
      <c r="K26" s="113"/>
      <c r="L26" s="113"/>
      <c r="N26" s="112"/>
    </row>
    <row r="27" spans="1:14" s="61" customFormat="1" ht="90.75" customHeight="1" thickBot="1" x14ac:dyDescent="0.25">
      <c r="B27" s="1573" t="s">
        <v>1129</v>
      </c>
      <c r="C27" s="1574"/>
      <c r="D27" s="111" t="s">
        <v>1117</v>
      </c>
      <c r="E27" s="111" t="s">
        <v>1118</v>
      </c>
      <c r="F27" s="111" t="s">
        <v>1119</v>
      </c>
      <c r="G27" s="109" t="s">
        <v>1120</v>
      </c>
      <c r="H27" s="1603" t="s">
        <v>1125</v>
      </c>
      <c r="I27" s="1604"/>
      <c r="J27" s="111" t="s">
        <v>1122</v>
      </c>
      <c r="K27" s="111" t="s">
        <v>1123</v>
      </c>
      <c r="L27" s="109" t="s">
        <v>1124</v>
      </c>
      <c r="M27" s="110" t="s">
        <v>1120</v>
      </c>
      <c r="N27" s="109" t="s">
        <v>1125</v>
      </c>
    </row>
    <row r="28" spans="1:14" s="61" customFormat="1" ht="54" customHeight="1" x14ac:dyDescent="0.2">
      <c r="B28" s="1589" t="s">
        <v>1130</v>
      </c>
      <c r="C28" s="1590"/>
      <c r="D28" s="108">
        <f>D29+D30</f>
        <v>4966285.0238885395</v>
      </c>
      <c r="E28" s="108">
        <f>E29+E30</f>
        <v>0</v>
      </c>
      <c r="F28" s="108">
        <f>IF(D28="",IF(E28="","",D28-E28),D28-E28)</f>
        <v>4966285.0238885395</v>
      </c>
      <c r="G28" s="107">
        <f>E28/D28</f>
        <v>0</v>
      </c>
      <c r="H28" s="946"/>
      <c r="I28" s="947"/>
      <c r="J28" s="108">
        <f>J29+J30</f>
        <v>7033806.0538885398</v>
      </c>
      <c r="K28" s="108">
        <f>K29+K30</f>
        <v>0</v>
      </c>
      <c r="L28" s="108">
        <f>IF(J28="",IF(K28="","",J28-K28),J28-K28)</f>
        <v>7033806.0538885398</v>
      </c>
      <c r="M28" s="107">
        <f>K28/J28</f>
        <v>0</v>
      </c>
      <c r="N28" s="106"/>
    </row>
    <row r="29" spans="1:14" s="61" customFormat="1" ht="54" customHeight="1" x14ac:dyDescent="0.2">
      <c r="B29" s="1614" t="s">
        <v>1131</v>
      </c>
      <c r="C29" s="1615"/>
      <c r="D29" s="1255">
        <f>_96216c52_3538_4325_8126_72dc62827a1b</f>
        <v>2974342.34</v>
      </c>
      <c r="E29" s="1235"/>
      <c r="F29" s="1147">
        <f>IF(D29="",IF(E29="",0,D29-E29),D29-E29)</f>
        <v>2974342.34</v>
      </c>
      <c r="G29" s="1250">
        <f>E29/D29</f>
        <v>0</v>
      </c>
      <c r="H29" s="1595"/>
      <c r="I29" s="1596"/>
      <c r="J29" s="1255">
        <f>_1c12bfc2_41c8_4c56_8c9f_396f5701dc1c</f>
        <v>3975842.53</v>
      </c>
      <c r="K29" s="1235"/>
      <c r="L29" s="1147">
        <f>IF(J29="",IF(K29="",0,J29-K29),J29-K29)</f>
        <v>3975842.53</v>
      </c>
      <c r="M29" s="1250">
        <f>K29/J29</f>
        <v>0</v>
      </c>
      <c r="N29" s="1256"/>
    </row>
    <row r="30" spans="1:14" s="61" customFormat="1" ht="51" customHeight="1" x14ac:dyDescent="0.2">
      <c r="B30" s="1593" t="s">
        <v>1132</v>
      </c>
      <c r="C30" s="1594"/>
      <c r="D30" s="1255">
        <f>_627ca42b_04e2_43b0_9dd3_6a366d7df9ec</f>
        <v>1991942.6838885399</v>
      </c>
      <c r="E30" s="1235"/>
      <c r="F30" s="1147">
        <f>IF(D30="",IF(E30="",0,D30-E30),D30-E30)</f>
        <v>1991942.6838885399</v>
      </c>
      <c r="G30" s="1250">
        <f>E30/D30</f>
        <v>0</v>
      </c>
      <c r="H30" s="1595"/>
      <c r="I30" s="1596"/>
      <c r="J30" s="1255">
        <f>_d7b38c7a_acf6_4726_87a0_eeda6bd08f2c</f>
        <v>3057963.52388854</v>
      </c>
      <c r="K30" s="1235"/>
      <c r="L30" s="1147">
        <f>IF(J30="",IF(K30="",0,J30-K30),J30-K30)</f>
        <v>3057963.52388854</v>
      </c>
      <c r="M30" s="1250">
        <f>K30/J30</f>
        <v>0</v>
      </c>
      <c r="N30" s="1256"/>
    </row>
    <row r="31" spans="1:14" s="61" customFormat="1" x14ac:dyDescent="0.2">
      <c r="D31" s="1263"/>
      <c r="E31" s="1263"/>
      <c r="F31" s="1263"/>
      <c r="J31" s="1263"/>
      <c r="K31" s="1263"/>
      <c r="L31" s="1263"/>
    </row>
  </sheetData>
  <sheetProtection algorithmName="SHA-512" hashValue="2QOOAei4ob9PVu5hy/YuOJOh1jDuR7F+9XnzwLiWskHvfyqRKz4SiBqA6adfXdTlUP2pcoOfTmklKxkJ1gsNMg==" saltValue="d//MKFaIcqNGJiKsfz+paQ==" spinCount="100000" sheet="1" formatCells="0" formatColumns="0" formatRows="0"/>
  <mergeCells count="39">
    <mergeCell ref="B28:C28"/>
    <mergeCell ref="B29:C29"/>
    <mergeCell ref="H29:I29"/>
    <mergeCell ref="B30:C30"/>
    <mergeCell ref="H30:I30"/>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12:C12"/>
    <mergeCell ref="H12:I12"/>
    <mergeCell ref="B13:C13"/>
    <mergeCell ref="H13:I13"/>
    <mergeCell ref="B14:C14"/>
    <mergeCell ref="H14:I14"/>
    <mergeCell ref="B8:C8"/>
    <mergeCell ref="H8:I8"/>
    <mergeCell ref="B9:C9"/>
    <mergeCell ref="H9:I9"/>
    <mergeCell ref="B10:C10"/>
    <mergeCell ref="H10:I10"/>
    <mergeCell ref="B7:C7"/>
    <mergeCell ref="H7:I7"/>
    <mergeCell ref="A2:D3"/>
    <mergeCell ref="E2:F2"/>
    <mergeCell ref="E3:F3"/>
    <mergeCell ref="A4:N4"/>
    <mergeCell ref="D6:N6"/>
    <mergeCell ref="J2:N3"/>
  </mergeCells>
  <conditionalFormatting sqref="F11 N11 N13:N15 H13">
    <cfRule type="cellIs" dxfId="142" priority="7" stopIfTrue="1" operator="lessThan">
      <formula>0</formula>
    </cfRule>
  </conditionalFormatting>
  <conditionalFormatting sqref="F11 H13 N13:N15 N11 N26">
    <cfRule type="cellIs" dxfId="141" priority="6" stopIfTrue="1" operator="lessThan">
      <formula>0</formula>
    </cfRule>
  </conditionalFormatting>
  <conditionalFormatting sqref="F26 N26 N28:N30 H28">
    <cfRule type="cellIs" dxfId="140" priority="5" stopIfTrue="1" operator="lessThan">
      <formula>0</formula>
    </cfRule>
  </conditionalFormatting>
  <conditionalFormatting sqref="F26 H28 N28:N30">
    <cfRule type="cellIs" dxfId="139" priority="4"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D6C09C1E-A0BB-4877-9B92-1ACC51592B42}">
            <xm:f>CoverSheet!$D$14="EUR"</xm:f>
            <x14:dxf>
              <numFmt numFmtId="190" formatCode="[$EUR]\ #,##0.00;[Red]\-[$EUR]\ #,##0.00"/>
            </x14:dxf>
          </x14:cfRule>
          <xm:sqref>D8:F10 J8:L10 J13:L13 D13:F15 D23:F25 J23:L25 D28:F30 J28:L30 J15:L15 J14 L14</xm:sqref>
        </x14:conditionalFormatting>
        <x14:conditionalFormatting xmlns:xm="http://schemas.microsoft.com/office/excel/2006/main">
          <x14:cfRule type="expression" priority="1" id="{EFBF40C1-B3F0-440B-94C3-EF3E5749DA26}">
            <xm:f>'C:\Users\Bello\Desktop\PUDR TBVIH Jan-Dec 18\[BDI-C-UNDP_Progress Report Disbursement_31Dec2018_v2_PSM26_02_2019.xlsx]CoverSheet'!#REF!="EUR"</xm:f>
            <x14:dxf>
              <numFmt numFmtId="190" formatCode="[$EUR]\ #,##0.00;[Red]\-[$EUR]\ #,##0.00"/>
            </x14:dxf>
          </x14:cfRule>
          <xm:sqref>K14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tabColor theme="0"/>
  </sheetPr>
  <dimension ref="A1:I15"/>
  <sheetViews>
    <sheetView topLeftCell="A2" zoomScale="85" zoomScaleNormal="85" workbookViewId="0">
      <selection activeCell="E12" sqref="E12"/>
    </sheetView>
  </sheetViews>
  <sheetFormatPr baseColWidth="10" defaultColWidth="9.140625" defaultRowHeight="15" x14ac:dyDescent="0.25"/>
  <cols>
    <col min="1" max="1" width="56.42578125" customWidth="1"/>
    <col min="2" max="2" width="42.85546875" customWidth="1"/>
    <col min="3" max="3" width="29.85546875" bestFit="1" customWidth="1"/>
    <col min="4" max="4" width="32.5703125" customWidth="1"/>
    <col min="5" max="5" width="40" bestFit="1" customWidth="1"/>
    <col min="6" max="6" width="32.140625" bestFit="1" customWidth="1"/>
    <col min="7" max="7" width="32.85546875" bestFit="1" customWidth="1"/>
    <col min="8" max="8" width="40.85546875" bestFit="1" customWidth="1"/>
    <col min="9" max="9" width="42" bestFit="1" customWidth="1"/>
  </cols>
  <sheetData>
    <row r="1" spans="1:9" x14ac:dyDescent="0.25">
      <c r="A1" t="s">
        <v>1133</v>
      </c>
    </row>
    <row r="2" spans="1:9" x14ac:dyDescent="0.25">
      <c r="A2" t="s">
        <v>1134</v>
      </c>
    </row>
    <row r="8" spans="1:9" ht="27.95" customHeight="1" x14ac:dyDescent="0.25">
      <c r="A8" s="638" t="s">
        <v>1127</v>
      </c>
      <c r="B8" s="433" t="s">
        <v>1117</v>
      </c>
      <c r="C8" s="433">
        <v>8187721.1854574401</v>
      </c>
      <c r="D8" s="433" t="s">
        <v>1135</v>
      </c>
      <c r="E8" s="433">
        <v>12803329.0222059</v>
      </c>
      <c r="F8" s="639"/>
    </row>
    <row r="9" spans="1:9" ht="15.75" x14ac:dyDescent="0.25">
      <c r="A9" s="638" t="s">
        <v>1128</v>
      </c>
      <c r="B9" s="433" t="s">
        <v>1117</v>
      </c>
      <c r="C9" s="433">
        <v>3567766.4810448801</v>
      </c>
      <c r="D9" s="433" t="s">
        <v>1135</v>
      </c>
      <c r="E9" s="433">
        <v>7211348.0939204097</v>
      </c>
      <c r="F9" s="639"/>
    </row>
    <row r="10" spans="1:9" x14ac:dyDescent="0.25">
      <c r="A10" s="413"/>
      <c r="B10" s="639"/>
      <c r="C10" s="639"/>
      <c r="D10" s="639"/>
      <c r="E10" s="639"/>
      <c r="F10" s="639"/>
    </row>
    <row r="11" spans="1:9" ht="15.75" x14ac:dyDescent="0.25">
      <c r="A11" s="639" t="s">
        <v>1131</v>
      </c>
      <c r="B11" s="433" t="s">
        <v>1117</v>
      </c>
      <c r="C11" s="433">
        <v>2974342.34</v>
      </c>
      <c r="D11" s="640" t="s">
        <v>1136</v>
      </c>
      <c r="E11" s="640">
        <f>IFERROR('Budget Variance_2F'!E14,"")</f>
        <v>3677496.34</v>
      </c>
      <c r="F11" s="433" t="s">
        <v>1135</v>
      </c>
      <c r="G11" s="431">
        <v>3975842.53</v>
      </c>
      <c r="H11" s="641" t="s">
        <v>1137</v>
      </c>
      <c r="I11" s="641">
        <f>IFERROR('Budget Variance_2F'!K14,"")</f>
        <v>5370995.7400000002</v>
      </c>
    </row>
    <row r="12" spans="1:9" ht="15.75" x14ac:dyDescent="0.25">
      <c r="A12" s="639" t="s">
        <v>1131</v>
      </c>
      <c r="B12" s="639"/>
      <c r="C12" s="639"/>
      <c r="D12" s="640" t="s">
        <v>1138</v>
      </c>
      <c r="E12" s="640">
        <f>IFERROR('Budget Variance_2F'!E29,"")</f>
        <v>0</v>
      </c>
      <c r="F12" s="433"/>
      <c r="G12" s="431"/>
      <c r="H12" s="641" t="s">
        <v>1139</v>
      </c>
      <c r="I12" s="641">
        <f>IFERROR('Budget Variance_2F'!K29,"")</f>
        <v>0</v>
      </c>
    </row>
    <row r="13" spans="1:9" ht="15.75" x14ac:dyDescent="0.25">
      <c r="A13" s="639"/>
      <c r="B13" s="639"/>
      <c r="C13" s="639"/>
      <c r="D13" s="642"/>
      <c r="E13" s="642"/>
      <c r="F13" s="434"/>
      <c r="G13" s="432"/>
      <c r="H13" s="643"/>
      <c r="I13" s="643"/>
    </row>
    <row r="14" spans="1:9" ht="15.75" x14ac:dyDescent="0.25">
      <c r="A14" s="639" t="s">
        <v>1132</v>
      </c>
      <c r="B14" s="433" t="s">
        <v>1117</v>
      </c>
      <c r="C14" s="433">
        <v>1991942.6838885399</v>
      </c>
      <c r="D14" s="640" t="s">
        <v>1136</v>
      </c>
      <c r="E14" s="640">
        <f>IFERROR('Budget Variance_2F'!E15,"")</f>
        <v>1557460.27</v>
      </c>
      <c r="F14" s="433" t="s">
        <v>1135</v>
      </c>
      <c r="G14" s="431">
        <v>3057963.52388854</v>
      </c>
      <c r="H14" s="641" t="s">
        <v>1137</v>
      </c>
      <c r="I14" s="641">
        <f>IFERROR('Budget Variance_2F'!K15,"")</f>
        <v>2315536</v>
      </c>
    </row>
    <row r="15" spans="1:9" ht="15.75" x14ac:dyDescent="0.25">
      <c r="A15" s="639" t="s">
        <v>1132</v>
      </c>
      <c r="B15" s="639"/>
      <c r="C15" s="639"/>
      <c r="D15" s="640" t="s">
        <v>1138</v>
      </c>
      <c r="E15" s="640">
        <f>IFERROR('Budget Variance_2F'!E30,"")</f>
        <v>0</v>
      </c>
      <c r="F15" s="639"/>
      <c r="H15" s="641" t="s">
        <v>1139</v>
      </c>
      <c r="I15" s="641">
        <f>IFERROR('Budget Variance_2F'!K30,"")</f>
        <v>0</v>
      </c>
    </row>
  </sheetData>
  <sheetProtection formatCells="0" formatColumns="0"/>
  <dataValidations count="6">
    <dataValidation type="decimal" allowBlank="1" showInputMessage="1" showErrorMessage="1" errorTitle="X-Author for Excel" error="Please enter a valid numeric value. Valid range for LFA Actual Grant Cash Out-Flow is -9999999999.99 to 9999999999.99." promptTitle="X-Author for Excel" sqref="E12 E15" xr:uid="{00000000-0002-0000-1400-000000000000}">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2 I15" xr:uid="{00000000-0002-0000-1400-000001000000}">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1 E14" xr:uid="{00000000-0002-0000-1400-000002000000}">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1 I14" xr:uid="{00000000-0002-0000-1400-000003000000}">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4 C11 C8:C9" xr:uid="{00000000-0002-0000-1400-000004000000}">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4 G11 E8:E9" xr:uid="{00000000-0002-0000-1400-000005000000}">
      <formula1>-9999999999.99</formula1>
      <formula2>9999999999.99</formula2>
    </dataValidation>
  </dataValidations>
  <pageMargins left="0.7" right="0.7" top="0.75" bottom="0.75" header="0.3" footer="0.3"/>
  <ignoredErrors>
    <ignoredError sqref="E13:I13 F11 F12:G12 F15:G15 F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7030A0"/>
  </sheetPr>
  <dimension ref="A1:AP85"/>
  <sheetViews>
    <sheetView topLeftCell="M15" zoomScale="70" zoomScaleNormal="70" zoomScaleSheetLayoutView="70" zoomScalePageLayoutView="55" workbookViewId="0">
      <selection activeCell="M20" sqref="M20:W20"/>
    </sheetView>
  </sheetViews>
  <sheetFormatPr baseColWidth="10" defaultColWidth="9.140625" defaultRowHeight="12.75" x14ac:dyDescent="0.2"/>
  <cols>
    <col min="1" max="12" width="9.140625" style="146" hidden="1" customWidth="1"/>
    <col min="13" max="13" width="23.140625" style="146" customWidth="1"/>
    <col min="14" max="14" width="47.42578125" style="146" customWidth="1"/>
    <col min="15" max="16" width="22" style="146" customWidth="1"/>
    <col min="17" max="20" width="18.85546875" style="146" customWidth="1"/>
    <col min="21" max="21" width="23.85546875" style="146" customWidth="1"/>
    <col min="22" max="22" width="30.85546875" style="146" customWidth="1"/>
    <col min="23" max="23" width="35.140625" style="146" customWidth="1"/>
    <col min="24" max="24" width="4.85546875" style="147" customWidth="1"/>
    <col min="25" max="16384" width="9.140625" style="146"/>
  </cols>
  <sheetData>
    <row r="1" spans="13:42" s="232" customFormat="1" ht="37.5" customHeight="1" x14ac:dyDescent="0.25">
      <c r="M1" s="1618" t="str">
        <f>CoverSheet!A1</f>
        <v>Rapport périodique sur les résultats actuels et demande de décaissement</v>
      </c>
      <c r="N1" s="1618"/>
      <c r="O1" s="1618"/>
      <c r="P1" s="1618"/>
      <c r="Q1" s="1618"/>
      <c r="R1" s="1618"/>
      <c r="S1" s="1618"/>
      <c r="T1" s="1618"/>
      <c r="U1" s="1618"/>
      <c r="V1" s="1618"/>
      <c r="W1" s="1618"/>
      <c r="X1" s="233"/>
      <c r="Y1" s="645"/>
      <c r="Z1" s="645"/>
      <c r="AA1" s="645"/>
      <c r="AB1" s="645"/>
      <c r="AC1" s="645"/>
      <c r="AD1" s="645"/>
      <c r="AE1" s="645"/>
      <c r="AF1" s="645"/>
      <c r="AG1" s="645"/>
      <c r="AH1" s="645"/>
      <c r="AI1" s="645"/>
      <c r="AJ1" s="645"/>
      <c r="AK1" s="645"/>
      <c r="AL1" s="645"/>
      <c r="AM1" s="645"/>
      <c r="AN1" s="645"/>
      <c r="AO1" s="645"/>
      <c r="AP1" s="645"/>
    </row>
    <row r="2" spans="13:42" s="61" customFormat="1" ht="15" x14ac:dyDescent="0.2">
      <c r="M2" s="164"/>
      <c r="N2" s="164"/>
      <c r="O2" s="164"/>
      <c r="P2" s="164"/>
      <c r="Q2" s="164"/>
      <c r="R2" s="164"/>
      <c r="S2" s="164"/>
      <c r="T2" s="164"/>
      <c r="U2" s="164"/>
      <c r="V2" s="165"/>
      <c r="W2" s="146"/>
      <c r="X2" s="146"/>
      <c r="Y2" s="103"/>
      <c r="Z2" s="103"/>
      <c r="AA2" s="103"/>
      <c r="AB2" s="103"/>
      <c r="AC2" s="103"/>
      <c r="AD2" s="103"/>
      <c r="AE2" s="103"/>
      <c r="AF2" s="103"/>
      <c r="AG2" s="103"/>
      <c r="AH2" s="103"/>
      <c r="AI2" s="103"/>
      <c r="AJ2" s="103"/>
      <c r="AK2" s="103"/>
      <c r="AL2" s="103"/>
      <c r="AM2" s="103"/>
      <c r="AN2" s="103"/>
      <c r="AO2" s="103"/>
      <c r="AP2" s="103"/>
    </row>
    <row r="3" spans="13:42" s="159" customFormat="1" ht="25.5" customHeight="1" x14ac:dyDescent="0.2">
      <c r="M3" s="1619" t="str">
        <f>VLOOKUP(Translations!B252,Translations!B3:H508,4,0)</f>
        <v>Section 3A :  RP - Gestion des achats et des stocks</v>
      </c>
      <c r="N3" s="1619"/>
      <c r="O3" s="1619"/>
      <c r="P3" s="1619"/>
      <c r="Q3" s="1619"/>
      <c r="R3" s="1619"/>
      <c r="S3" s="1619"/>
      <c r="T3" s="1619"/>
      <c r="U3" s="1619"/>
      <c r="V3" s="1619"/>
      <c r="W3" s="105"/>
      <c r="X3" s="231"/>
    </row>
    <row r="4" spans="13:42" s="159" customFormat="1" ht="21" thickBot="1" x14ac:dyDescent="0.25">
      <c r="M4" s="230"/>
      <c r="N4" s="230"/>
      <c r="O4" s="230"/>
      <c r="P4" s="230"/>
      <c r="Q4" s="230"/>
      <c r="R4" s="230"/>
      <c r="S4" s="230"/>
      <c r="T4" s="230"/>
      <c r="U4" s="230"/>
      <c r="V4" s="230"/>
      <c r="W4" s="146"/>
      <c r="X4" s="229"/>
    </row>
    <row r="5" spans="13:42" s="164" customFormat="1" ht="27.75" customHeight="1" thickBot="1" x14ac:dyDescent="0.25">
      <c r="M5" s="228"/>
      <c r="N5" s="228"/>
      <c r="O5" s="227"/>
      <c r="P5" s="227"/>
      <c r="Q5" s="226"/>
      <c r="R5" s="225"/>
      <c r="S5" s="1620" t="str">
        <f>VLOOKUP(Translations!B254,Translations!B3:H508,4,0)</f>
        <v>Commentaires</v>
      </c>
      <c r="T5" s="1621"/>
      <c r="U5" s="1621"/>
      <c r="V5" s="1621"/>
      <c r="W5" s="1622"/>
      <c r="X5" s="165"/>
    </row>
    <row r="6" spans="13:42" s="164" customFormat="1" ht="148.5" customHeight="1" thickBot="1" x14ac:dyDescent="0.25">
      <c r="M6" s="1623" t="str">
        <f>VLOOKUP(Translations!B253,Translations!B3:H508,4,0)</f>
        <v>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v>
      </c>
      <c r="N6" s="1624"/>
      <c r="O6" s="1624"/>
      <c r="P6" s="1624"/>
      <c r="Q6" s="1624"/>
      <c r="R6" s="224" t="s">
        <v>1140</v>
      </c>
      <c r="S6" s="1625" t="s">
        <v>1141</v>
      </c>
      <c r="T6" s="1626"/>
      <c r="U6" s="1626"/>
      <c r="V6" s="1626"/>
      <c r="W6" s="1627"/>
      <c r="X6" s="165"/>
    </row>
    <row r="7" spans="13:42" s="164" customFormat="1" ht="15.75" thickBot="1" x14ac:dyDescent="0.25">
      <c r="M7" s="222"/>
      <c r="N7" s="222"/>
      <c r="O7" s="222"/>
      <c r="P7" s="222"/>
      <c r="Q7" s="222"/>
      <c r="R7" s="223"/>
      <c r="S7" s="222"/>
      <c r="T7" s="222"/>
      <c r="U7" s="222"/>
      <c r="V7" s="222"/>
      <c r="W7" s="221"/>
      <c r="X7" s="165"/>
    </row>
    <row r="8" spans="13:42" s="164" customFormat="1" ht="37.5" customHeight="1" thickBot="1" x14ac:dyDescent="0.25">
      <c r="M8" s="1616" t="str">
        <f>VLOOKUP(Translations!B255,Translations!B3:H508,4,0)</f>
        <v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v>
      </c>
      <c r="N8" s="1617"/>
      <c r="O8" s="1617"/>
      <c r="P8" s="1617"/>
      <c r="Q8" s="1617"/>
      <c r="R8" s="1617"/>
      <c r="S8" s="1617"/>
      <c r="T8" s="1617"/>
      <c r="U8" s="1617"/>
      <c r="V8" s="1617"/>
      <c r="W8" s="1617"/>
      <c r="X8" s="218"/>
    </row>
    <row r="9" spans="13:42" s="164" customFormat="1" ht="46.5" customHeight="1" thickBot="1" x14ac:dyDescent="0.25">
      <c r="M9" s="1620" t="str">
        <f>VLOOKUP(Translations!B256,Translations!B3:H508,4,0)</f>
        <v>Produits pharmaceutiques et de santé clés</v>
      </c>
      <c r="N9" s="1622"/>
      <c r="O9" s="220" t="str">
        <f>VLOOKUP(Translations!B257,Translations!B3:H508,4,0)</f>
        <v>Risque de rupture de stock</v>
      </c>
      <c r="P9" s="219" t="str">
        <f>VLOOKUP(Translations!B258,Translations!B3:H508,4,0)</f>
        <v>Risque de péremption</v>
      </c>
      <c r="Q9" s="1620" t="str">
        <f>VLOOKUP(Translations!B259,Translations!B3:H508,4,0)</f>
        <v>Commentaire (si oui, veuillez fournir des informations sur les articles spécifiques présentant un risque de rupture de stock ou de péremption ainsi que les mesures d’atténuation en place ou à mettre en œuvre)</v>
      </c>
      <c r="R9" s="1621"/>
      <c r="S9" s="1621"/>
      <c r="T9" s="1621"/>
      <c r="U9" s="1621"/>
      <c r="V9" s="1621"/>
      <c r="W9" s="1622"/>
      <c r="X9" s="165"/>
    </row>
    <row r="10" spans="13:42" s="164" customFormat="1" ht="27" customHeight="1" x14ac:dyDescent="0.2">
      <c r="M10" s="1628" t="str">
        <f>VLOOKUP(Translations!B260,Translations!B3:H508,4,0)</f>
        <v>1. Antipaludéens</v>
      </c>
      <c r="N10" s="1629"/>
      <c r="O10" s="170" t="s">
        <v>1140</v>
      </c>
      <c r="P10" s="169" t="s">
        <v>1140</v>
      </c>
      <c r="Q10" s="1630"/>
      <c r="R10" s="1631"/>
      <c r="S10" s="1631"/>
      <c r="T10" s="1631"/>
      <c r="U10" s="1631"/>
      <c r="V10" s="1631"/>
      <c r="W10" s="1632"/>
      <c r="X10" s="165"/>
    </row>
    <row r="11" spans="13:42" s="164" customFormat="1" ht="27" customHeight="1" x14ac:dyDescent="0.2">
      <c r="M11" s="1633" t="str">
        <f>VLOOKUP(Translations!B261,Translations!B3:H508,4,0)</f>
        <v>2. Moustiquaires</v>
      </c>
      <c r="N11" s="1634"/>
      <c r="O11" s="1264" t="s">
        <v>1140</v>
      </c>
      <c r="P11" s="1264" t="s">
        <v>1140</v>
      </c>
      <c r="Q11" s="1635"/>
      <c r="R11" s="1636"/>
      <c r="S11" s="1636"/>
      <c r="T11" s="1636"/>
      <c r="U11" s="1636"/>
      <c r="V11" s="1636"/>
      <c r="W11" s="1637"/>
      <c r="X11" s="165"/>
    </row>
    <row r="12" spans="13:42" s="164" customFormat="1" ht="27" customHeight="1" x14ac:dyDescent="0.2">
      <c r="M12" s="1633" t="str">
        <f>VLOOKUP(Translations!B262,Translations!B3:H508,4,0)</f>
        <v xml:space="preserve">3. Produits de diagnostic in-vitro </v>
      </c>
      <c r="N12" s="1634"/>
      <c r="O12" s="168" t="s">
        <v>1140</v>
      </c>
      <c r="P12" s="167" t="s">
        <v>1140</v>
      </c>
      <c r="Q12" s="1635"/>
      <c r="R12" s="1636"/>
      <c r="S12" s="1636"/>
      <c r="T12" s="1636"/>
      <c r="U12" s="1636"/>
      <c r="V12" s="1636"/>
      <c r="W12" s="1637"/>
      <c r="X12" s="165"/>
    </row>
    <row r="13" spans="13:42" s="164" customFormat="1" ht="46.5" customHeight="1" x14ac:dyDescent="0.2">
      <c r="M13" s="1633" t="str">
        <f>VLOOKUP(Translations!B263,Translations!B3:H508,4,0)</f>
        <v>4. Préservatifs</v>
      </c>
      <c r="N13" s="1634"/>
      <c r="O13" s="1265" t="s">
        <v>1142</v>
      </c>
      <c r="P13" s="1265" t="s">
        <v>1142</v>
      </c>
      <c r="Q13" s="1638" t="s">
        <v>1143</v>
      </c>
      <c r="R13" s="1639"/>
      <c r="S13" s="1639"/>
      <c r="T13" s="1639"/>
      <c r="U13" s="1639"/>
      <c r="V13" s="1639"/>
      <c r="W13" s="1639"/>
      <c r="X13" s="218"/>
    </row>
    <row r="14" spans="13:42" s="164" customFormat="1" ht="149.25" customHeight="1" x14ac:dyDescent="0.2">
      <c r="M14" s="1633" t="str">
        <f>VLOOKUP(Translations!B264,Translations!B3:H508,4,0)</f>
        <v>5. Antirétroviraux</v>
      </c>
      <c r="N14" s="1634"/>
      <c r="O14" s="1265" t="s">
        <v>1142</v>
      </c>
      <c r="P14" s="1265" t="s">
        <v>1142</v>
      </c>
      <c r="Q14" s="1640" t="s">
        <v>1144</v>
      </c>
      <c r="R14" s="1641"/>
      <c r="S14" s="1641"/>
      <c r="T14" s="1641"/>
      <c r="U14" s="1641"/>
      <c r="V14" s="1641"/>
      <c r="W14" s="1642"/>
      <c r="X14" s="165"/>
    </row>
    <row r="15" spans="13:42" s="164" customFormat="1" ht="54" customHeight="1" x14ac:dyDescent="0.2">
      <c r="M15" s="1649" t="str">
        <f>VLOOKUP(Translations!B265,Translations!B3:H508,4,0)</f>
        <v>6. Antituberuculeux</v>
      </c>
      <c r="N15" s="1650"/>
      <c r="O15" s="1265" t="s">
        <v>1145</v>
      </c>
      <c r="P15" s="1265" t="s">
        <v>1145</v>
      </c>
      <c r="Q15" s="1635"/>
      <c r="R15" s="1636"/>
      <c r="S15" s="1636"/>
      <c r="T15" s="1636"/>
      <c r="U15" s="1636"/>
      <c r="V15" s="1636"/>
      <c r="W15" s="1637"/>
      <c r="X15" s="165"/>
    </row>
    <row r="16" spans="13:42" s="164" customFormat="1" ht="27" customHeight="1" x14ac:dyDescent="0.2">
      <c r="M16" s="1649" t="str">
        <f>VLOOKUP(Translations!B266,Translations!B3:H508,4,0)</f>
        <v>7. Fournitures de laboratoire (par ex. CD4, charge virales, cartouches…)</v>
      </c>
      <c r="N16" s="1650"/>
      <c r="O16" s="1265" t="s">
        <v>1145</v>
      </c>
      <c r="P16" s="1265" t="s">
        <v>1142</v>
      </c>
      <c r="Q16" s="1651" t="s">
        <v>1146</v>
      </c>
      <c r="R16" s="1636"/>
      <c r="S16" s="1636"/>
      <c r="T16" s="1636"/>
      <c r="U16" s="1636"/>
      <c r="V16" s="1636"/>
      <c r="W16" s="1637"/>
      <c r="X16" s="165"/>
    </row>
    <row r="17" spans="13:24" s="164" customFormat="1" ht="27" customHeight="1" thickBot="1" x14ac:dyDescent="0.25">
      <c r="M17" s="1652" t="str">
        <f>VLOOKUP(Translations!B267,Translations!B3:H508,4,0)</f>
        <v>8. Autres (veuillez préciser dans la colonne des commentaires)</v>
      </c>
      <c r="N17" s="1653"/>
      <c r="O17" s="166" t="s">
        <v>1145</v>
      </c>
      <c r="P17" s="166" t="s">
        <v>1145</v>
      </c>
      <c r="Q17" s="1654"/>
      <c r="R17" s="1655"/>
      <c r="S17" s="1655"/>
      <c r="T17" s="1655"/>
      <c r="U17" s="1655"/>
      <c r="V17" s="1655"/>
      <c r="W17" s="1656"/>
      <c r="X17" s="165"/>
    </row>
    <row r="18" spans="13:24" s="164" customFormat="1" ht="15.75" thickBot="1" x14ac:dyDescent="0.25">
      <c r="M18" s="1657"/>
      <c r="N18" s="1657"/>
      <c r="O18" s="217"/>
      <c r="P18" s="217"/>
      <c r="Q18" s="1658"/>
      <c r="R18" s="1658"/>
      <c r="X18" s="165"/>
    </row>
    <row r="19" spans="13:24" s="164" customFormat="1" ht="25.5" customHeight="1" thickBot="1" x14ac:dyDescent="0.25">
      <c r="M19" s="1659" t="str">
        <f>VLOOKUP(Translations!B268,Translations!B3:H508,4,0)</f>
        <v>3.  Veuillez commenter tout problème supplémentaire lié à la gestion des achats et des stocks de produits pharmaceutiques et de santé.</v>
      </c>
      <c r="N19" s="1660"/>
      <c r="O19" s="1660"/>
      <c r="P19" s="1660"/>
      <c r="Q19" s="1660"/>
      <c r="R19" s="1660"/>
      <c r="S19" s="1660"/>
      <c r="T19" s="1660"/>
      <c r="U19" s="1660"/>
      <c r="V19" s="1660"/>
      <c r="W19" s="1661"/>
      <c r="X19" s="165"/>
    </row>
    <row r="20" spans="13:24" s="164" customFormat="1" ht="131.25" customHeight="1" thickBot="1" x14ac:dyDescent="0.25">
      <c r="M20" s="1662" t="s">
        <v>1147</v>
      </c>
      <c r="N20" s="1663"/>
      <c r="O20" s="1663"/>
      <c r="P20" s="1663"/>
      <c r="Q20" s="1663"/>
      <c r="R20" s="1663"/>
      <c r="S20" s="1663"/>
      <c r="T20" s="1663"/>
      <c r="U20" s="1663"/>
      <c r="V20" s="1663"/>
      <c r="W20" s="1664"/>
      <c r="X20" s="165"/>
    </row>
    <row r="21" spans="13:24" s="164" customFormat="1" ht="31.5" customHeight="1" x14ac:dyDescent="0.2">
      <c r="M21" s="216"/>
      <c r="N21" s="216"/>
      <c r="O21" s="216"/>
      <c r="P21" s="216"/>
      <c r="Q21" s="216"/>
      <c r="R21" s="216"/>
      <c r="S21" s="216"/>
      <c r="T21" s="216"/>
      <c r="U21" s="216"/>
      <c r="V21" s="216"/>
      <c r="W21" s="216"/>
      <c r="X21" s="165"/>
    </row>
    <row r="22" spans="13:24" s="164" customFormat="1" ht="25.5" x14ac:dyDescent="0.35">
      <c r="M22" s="215" t="s">
        <v>1114</v>
      </c>
      <c r="V22" s="165"/>
      <c r="X22" s="165"/>
    </row>
    <row r="23" spans="13:24" s="164" customFormat="1" ht="2.25" customHeight="1" x14ac:dyDescent="0.2">
      <c r="V23" s="165"/>
      <c r="X23" s="165"/>
    </row>
    <row r="24" spans="13:24" s="164" customFormat="1" ht="9.75" customHeight="1" x14ac:dyDescent="0.2">
      <c r="X24" s="165"/>
    </row>
    <row r="25" spans="13:24" s="164" customFormat="1" ht="30.75" customHeight="1" x14ac:dyDescent="0.2">
      <c r="M25" s="1665" t="s">
        <v>1148</v>
      </c>
      <c r="N25" s="1619"/>
      <c r="O25" s="1619"/>
      <c r="P25" s="1619"/>
      <c r="Q25" s="1619"/>
      <c r="R25" s="1619"/>
      <c r="S25" s="1619"/>
      <c r="T25" s="1619"/>
      <c r="U25" s="1619"/>
      <c r="V25" s="1619"/>
      <c r="W25" s="1619"/>
      <c r="X25" s="165"/>
    </row>
    <row r="26" spans="13:24" s="164" customFormat="1" ht="7.5" customHeight="1" x14ac:dyDescent="0.2">
      <c r="M26" s="1266"/>
      <c r="N26" s="1267"/>
      <c r="O26" s="1267"/>
      <c r="P26" s="1267"/>
      <c r="Q26" s="214"/>
      <c r="R26" s="214"/>
      <c r="S26" s="214"/>
      <c r="T26" s="214"/>
      <c r="U26" s="214"/>
      <c r="V26" s="214"/>
      <c r="W26" s="213"/>
      <c r="X26" s="165"/>
    </row>
    <row r="27" spans="13:24" s="164" customFormat="1" ht="15.75" thickBot="1" x14ac:dyDescent="0.25">
      <c r="M27" s="948"/>
      <c r="N27" s="948"/>
      <c r="O27" s="212"/>
      <c r="P27" s="212"/>
      <c r="Q27" s="212"/>
      <c r="R27" s="212"/>
      <c r="S27" s="212"/>
      <c r="T27" s="212"/>
      <c r="U27" s="212"/>
      <c r="V27" s="212"/>
      <c r="W27" s="211"/>
      <c r="X27" s="165"/>
    </row>
    <row r="28" spans="13:24" s="164" customFormat="1" ht="25.5" customHeight="1" thickBot="1" x14ac:dyDescent="0.25">
      <c r="M28" s="1268"/>
      <c r="N28" s="1269"/>
      <c r="O28" s="210" t="s">
        <v>1149</v>
      </c>
      <c r="P28" s="209" t="s">
        <v>1150</v>
      </c>
      <c r="Q28" s="1645" t="s">
        <v>1151</v>
      </c>
      <c r="R28" s="1646"/>
      <c r="S28" s="1646"/>
      <c r="T28" s="1646"/>
      <c r="U28" s="1647"/>
      <c r="V28" s="1647"/>
      <c r="W28" s="1648"/>
      <c r="X28" s="165"/>
    </row>
    <row r="29" spans="13:24" s="164" customFormat="1" ht="111" customHeight="1" thickBot="1" x14ac:dyDescent="0.25">
      <c r="M29" s="1666" t="s">
        <v>1152</v>
      </c>
      <c r="N29" s="1667"/>
      <c r="O29" s="209" t="str">
        <f>IFERROR(R6,"")</f>
        <v>Select</v>
      </c>
      <c r="P29" s="208" t="s">
        <v>1140</v>
      </c>
      <c r="Q29" s="1668" t="s">
        <v>1153</v>
      </c>
      <c r="R29" s="1668"/>
      <c r="S29" s="1668"/>
      <c r="T29" s="1668"/>
      <c r="U29" s="1669"/>
      <c r="V29" s="1669"/>
      <c r="W29" s="1670"/>
      <c r="X29" s="165"/>
    </row>
    <row r="30" spans="13:24" s="164" customFormat="1" ht="15.75" thickBot="1" x14ac:dyDescent="0.25">
      <c r="M30" s="207"/>
      <c r="N30" s="206"/>
      <c r="O30" s="205"/>
      <c r="P30" s="204"/>
      <c r="Q30" s="203"/>
      <c r="R30" s="202"/>
      <c r="S30" s="201"/>
      <c r="T30" s="200"/>
      <c r="U30" s="199"/>
      <c r="V30" s="198"/>
      <c r="W30" s="197"/>
      <c r="X30" s="165"/>
    </row>
    <row r="31" spans="13:24" s="164" customFormat="1" ht="21.75" customHeight="1" x14ac:dyDescent="0.2">
      <c r="M31" s="196" t="s">
        <v>1154</v>
      </c>
      <c r="N31" s="196"/>
      <c r="O31" s="196"/>
      <c r="P31" s="196"/>
      <c r="Q31" s="195"/>
      <c r="R31" s="195"/>
      <c r="S31" s="194"/>
      <c r="T31" s="193"/>
      <c r="U31" s="193"/>
      <c r="V31" s="193"/>
      <c r="W31" s="192"/>
      <c r="X31" s="165"/>
    </row>
    <row r="32" spans="13:24" s="164" customFormat="1" ht="57" customHeight="1" thickBot="1" x14ac:dyDescent="0.25">
      <c r="M32" s="1671" t="s">
        <v>1155</v>
      </c>
      <c r="N32" s="1671"/>
      <c r="O32" s="1671"/>
      <c r="P32" s="1671"/>
      <c r="Q32" s="1671"/>
      <c r="R32" s="1671"/>
      <c r="S32" s="1671"/>
      <c r="T32" s="1671"/>
      <c r="U32" s="1671"/>
      <c r="V32" s="1671"/>
      <c r="W32" s="1672"/>
      <c r="X32" s="165"/>
    </row>
    <row r="33" spans="13:24" s="164" customFormat="1" ht="35.25" customHeight="1" thickBot="1" x14ac:dyDescent="0.25">
      <c r="M33" s="1643" t="s">
        <v>1156</v>
      </c>
      <c r="N33" s="1644"/>
      <c r="O33" s="191"/>
      <c r="P33" s="189"/>
      <c r="Q33" s="189"/>
      <c r="R33" s="189"/>
      <c r="S33" s="189"/>
      <c r="T33" s="189"/>
      <c r="U33" s="190"/>
      <c r="V33" s="189"/>
      <c r="W33" s="188"/>
      <c r="X33" s="165"/>
    </row>
    <row r="34" spans="13:24" s="164" customFormat="1" ht="138.75" customHeight="1" thickBot="1" x14ac:dyDescent="0.25">
      <c r="M34" s="1645" t="s">
        <v>1157</v>
      </c>
      <c r="N34" s="1675"/>
      <c r="O34" s="186" t="s">
        <v>1158</v>
      </c>
      <c r="P34" s="186" t="s">
        <v>1159</v>
      </c>
      <c r="Q34" s="187" t="s">
        <v>1160</v>
      </c>
      <c r="R34" s="1675" t="s">
        <v>1161</v>
      </c>
      <c r="S34" s="1646"/>
      <c r="T34" s="186" t="s">
        <v>1162</v>
      </c>
      <c r="U34" s="186" t="s">
        <v>1163</v>
      </c>
      <c r="V34" s="186" t="s">
        <v>1160</v>
      </c>
      <c r="W34" s="185" t="s">
        <v>1161</v>
      </c>
      <c r="X34" s="165"/>
    </row>
    <row r="35" spans="13:24" s="164" customFormat="1" ht="22.5" customHeight="1" x14ac:dyDescent="0.2">
      <c r="M35" s="1676" t="s">
        <v>1164</v>
      </c>
      <c r="N35" s="1677"/>
      <c r="O35" s="184"/>
      <c r="P35" s="184"/>
      <c r="Q35" s="182" t="str">
        <f t="shared" ref="Q35:Q41" si="0">IF(O35="",IF(P35="","",O35-P35),O35-P35)</f>
        <v/>
      </c>
      <c r="R35" s="1678"/>
      <c r="S35" s="1679"/>
      <c r="T35" s="184"/>
      <c r="U35" s="184"/>
      <c r="V35" s="182" t="str">
        <f t="shared" ref="V35:V41" si="1">IF(T35="",IF(U35="","",T35-U35),T35-U35)</f>
        <v/>
      </c>
      <c r="W35" s="183"/>
      <c r="X35" s="165"/>
    </row>
    <row r="36" spans="13:24" s="164" customFormat="1" ht="22.5" customHeight="1" x14ac:dyDescent="0.2">
      <c r="M36" s="1680" t="s">
        <v>1165</v>
      </c>
      <c r="N36" s="1681"/>
      <c r="O36" s="1270"/>
      <c r="P36" s="1270"/>
      <c r="Q36" s="182" t="str">
        <f t="shared" si="0"/>
        <v/>
      </c>
      <c r="R36" s="1682"/>
      <c r="S36" s="1683"/>
      <c r="T36" s="1270"/>
      <c r="U36" s="1270"/>
      <c r="V36" s="182" t="str">
        <f t="shared" si="1"/>
        <v/>
      </c>
      <c r="W36" s="1271"/>
      <c r="X36" s="165"/>
    </row>
    <row r="37" spans="13:24" s="164" customFormat="1" ht="22.5" customHeight="1" x14ac:dyDescent="0.2">
      <c r="M37" s="1680" t="s">
        <v>1166</v>
      </c>
      <c r="N37" s="1681"/>
      <c r="O37" s="1270"/>
      <c r="P37" s="1270"/>
      <c r="Q37" s="182" t="str">
        <f t="shared" si="0"/>
        <v/>
      </c>
      <c r="R37" s="1682"/>
      <c r="S37" s="1683"/>
      <c r="T37" s="1270"/>
      <c r="U37" s="1270"/>
      <c r="V37" s="182" t="str">
        <f t="shared" si="1"/>
        <v/>
      </c>
      <c r="W37" s="1271"/>
      <c r="X37" s="165"/>
    </row>
    <row r="38" spans="13:24" s="164" customFormat="1" ht="22.5" customHeight="1" x14ac:dyDescent="0.2">
      <c r="M38" s="1680" t="s">
        <v>1167</v>
      </c>
      <c r="N38" s="1681"/>
      <c r="O38" s="1270"/>
      <c r="P38" s="1270"/>
      <c r="Q38" s="182" t="str">
        <f t="shared" si="0"/>
        <v/>
      </c>
      <c r="R38" s="1682"/>
      <c r="S38" s="1683"/>
      <c r="T38" s="1270"/>
      <c r="U38" s="1270"/>
      <c r="V38" s="182" t="str">
        <f t="shared" si="1"/>
        <v/>
      </c>
      <c r="W38" s="1271"/>
      <c r="X38" s="165"/>
    </row>
    <row r="39" spans="13:24" s="164" customFormat="1" ht="22.5" customHeight="1" x14ac:dyDescent="0.2">
      <c r="M39" s="1680" t="s">
        <v>1168</v>
      </c>
      <c r="N39" s="1681"/>
      <c r="O39" s="1270"/>
      <c r="P39" s="1270"/>
      <c r="Q39" s="182" t="str">
        <f t="shared" si="0"/>
        <v/>
      </c>
      <c r="R39" s="1682"/>
      <c r="S39" s="1683"/>
      <c r="T39" s="1270"/>
      <c r="U39" s="1270"/>
      <c r="V39" s="182" t="str">
        <f t="shared" si="1"/>
        <v/>
      </c>
      <c r="W39" s="1271"/>
      <c r="X39" s="165"/>
    </row>
    <row r="40" spans="13:24" s="164" customFormat="1" ht="22.5" customHeight="1" x14ac:dyDescent="0.2">
      <c r="M40" s="1692" t="s">
        <v>1169</v>
      </c>
      <c r="N40" s="1693"/>
      <c r="O40" s="1272"/>
      <c r="P40" s="1272"/>
      <c r="Q40" s="182" t="str">
        <f t="shared" si="0"/>
        <v/>
      </c>
      <c r="R40" s="1694"/>
      <c r="S40" s="1695"/>
      <c r="T40" s="1272"/>
      <c r="U40" s="1272"/>
      <c r="V40" s="182" t="str">
        <f t="shared" si="1"/>
        <v/>
      </c>
      <c r="W40" s="1273"/>
      <c r="X40" s="165"/>
    </row>
    <row r="41" spans="13:24" s="164" customFormat="1" ht="22.5" customHeight="1" thickBot="1" x14ac:dyDescent="0.25">
      <c r="M41" s="1692" t="s">
        <v>1170</v>
      </c>
      <c r="N41" s="1693"/>
      <c r="O41" s="1272"/>
      <c r="P41" s="1272"/>
      <c r="Q41" s="182" t="str">
        <f t="shared" si="0"/>
        <v/>
      </c>
      <c r="R41" s="1696"/>
      <c r="S41" s="1697"/>
      <c r="T41" s="1272"/>
      <c r="U41" s="1272"/>
      <c r="V41" s="181" t="str">
        <f t="shared" si="1"/>
        <v/>
      </c>
      <c r="W41" s="1273"/>
      <c r="X41" s="165"/>
    </row>
    <row r="42" spans="13:24" s="164" customFormat="1" ht="22.5" customHeight="1" thickBot="1" x14ac:dyDescent="0.25">
      <c r="M42" s="1698" t="s">
        <v>947</v>
      </c>
      <c r="N42" s="1699"/>
      <c r="O42" s="180">
        <f>SUM(O35:O41)</f>
        <v>0</v>
      </c>
      <c r="P42" s="180">
        <f>SUM(P35:P41)</f>
        <v>0</v>
      </c>
      <c r="Q42" s="180">
        <f>SUM(Q35:Q41)</f>
        <v>0</v>
      </c>
      <c r="R42" s="1673"/>
      <c r="S42" s="1674"/>
      <c r="T42" s="180">
        <f>SUM(T35:T41)</f>
        <v>0</v>
      </c>
      <c r="U42" s="180">
        <f>SUM(U35:U41)</f>
        <v>0</v>
      </c>
      <c r="V42" s="179">
        <f>SUM(V35:V41)</f>
        <v>0</v>
      </c>
      <c r="W42" s="178"/>
      <c r="X42" s="165"/>
    </row>
    <row r="43" spans="13:24" s="164" customFormat="1" ht="15.75" thickBot="1" x14ac:dyDescent="0.25">
      <c r="M43" s="177"/>
      <c r="N43" s="176"/>
      <c r="O43" s="174"/>
      <c r="P43" s="174"/>
      <c r="Q43" s="174"/>
      <c r="R43" s="172"/>
      <c r="S43" s="175"/>
      <c r="T43" s="174"/>
      <c r="U43" s="174"/>
      <c r="V43" s="173"/>
      <c r="W43" s="172"/>
      <c r="X43" s="165"/>
    </row>
    <row r="44" spans="13:24" s="164" customFormat="1" ht="43.5" customHeight="1" thickBot="1" x14ac:dyDescent="0.25">
      <c r="M44" s="1700" t="s">
        <v>1171</v>
      </c>
      <c r="N44" s="1701"/>
      <c r="O44" s="1701"/>
      <c r="P44" s="1701"/>
      <c r="Q44" s="1701"/>
      <c r="R44" s="1701"/>
      <c r="S44" s="1701"/>
      <c r="T44" s="1701"/>
      <c r="U44" s="1701"/>
      <c r="V44" s="1701"/>
      <c r="W44" s="1702"/>
      <c r="X44" s="165"/>
    </row>
    <row r="45" spans="13:24" s="164" customFormat="1" ht="33.75" customHeight="1" thickBot="1" x14ac:dyDescent="0.25">
      <c r="M45" s="1689" t="s">
        <v>1172</v>
      </c>
      <c r="N45" s="1690"/>
      <c r="O45" s="171" t="s">
        <v>1173</v>
      </c>
      <c r="P45" s="171" t="s">
        <v>1174</v>
      </c>
      <c r="Q45" s="1689" t="s">
        <v>1175</v>
      </c>
      <c r="R45" s="1691"/>
      <c r="S45" s="1691"/>
      <c r="T45" s="1691"/>
      <c r="U45" s="1691"/>
      <c r="V45" s="1691"/>
      <c r="W45" s="1690"/>
      <c r="X45" s="165"/>
    </row>
    <row r="46" spans="13:24" s="164" customFormat="1" ht="26.25" customHeight="1" x14ac:dyDescent="0.2">
      <c r="M46" s="1676" t="s">
        <v>1164</v>
      </c>
      <c r="N46" s="1677"/>
      <c r="O46" s="170" t="s">
        <v>1140</v>
      </c>
      <c r="P46" s="169" t="s">
        <v>1140</v>
      </c>
      <c r="Q46" s="1686"/>
      <c r="R46" s="1687"/>
      <c r="S46" s="1687"/>
      <c r="T46" s="1687"/>
      <c r="U46" s="1687"/>
      <c r="V46" s="1687"/>
      <c r="W46" s="1688"/>
      <c r="X46" s="165"/>
    </row>
    <row r="47" spans="13:24" s="164" customFormat="1" ht="26.25" customHeight="1" x14ac:dyDescent="0.2">
      <c r="M47" s="1680" t="s">
        <v>1165</v>
      </c>
      <c r="N47" s="1681"/>
      <c r="O47" s="1264" t="s">
        <v>1140</v>
      </c>
      <c r="P47" s="1264" t="s">
        <v>1140</v>
      </c>
      <c r="Q47" s="1706"/>
      <c r="R47" s="1641"/>
      <c r="S47" s="1641"/>
      <c r="T47" s="1641"/>
      <c r="U47" s="1641"/>
      <c r="V47" s="1641"/>
      <c r="W47" s="1642"/>
      <c r="X47" s="165"/>
    </row>
    <row r="48" spans="13:24" s="164" customFormat="1" ht="26.25" customHeight="1" x14ac:dyDescent="0.2">
      <c r="M48" s="1680" t="s">
        <v>1166</v>
      </c>
      <c r="N48" s="1681"/>
      <c r="O48" s="168" t="s">
        <v>1140</v>
      </c>
      <c r="P48" s="167" t="s">
        <v>1140</v>
      </c>
      <c r="Q48" s="1706"/>
      <c r="R48" s="1641"/>
      <c r="S48" s="1641"/>
      <c r="T48" s="1641"/>
      <c r="U48" s="1641"/>
      <c r="V48" s="1641"/>
      <c r="W48" s="1642"/>
      <c r="X48" s="165"/>
    </row>
    <row r="49" spans="1:24" s="164" customFormat="1" ht="26.25" customHeight="1" x14ac:dyDescent="0.2">
      <c r="M49" s="1680" t="s">
        <v>1167</v>
      </c>
      <c r="N49" s="1681"/>
      <c r="O49" s="1265" t="s">
        <v>1140</v>
      </c>
      <c r="P49" s="1265" t="s">
        <v>1140</v>
      </c>
      <c r="Q49" s="1706"/>
      <c r="R49" s="1641"/>
      <c r="S49" s="1641"/>
      <c r="T49" s="1641"/>
      <c r="U49" s="1641"/>
      <c r="V49" s="1641"/>
      <c r="W49" s="1642"/>
      <c r="X49" s="165"/>
    </row>
    <row r="50" spans="1:24" s="164" customFormat="1" ht="26.25" customHeight="1" x14ac:dyDescent="0.2">
      <c r="M50" s="1680" t="s">
        <v>1168</v>
      </c>
      <c r="N50" s="1681"/>
      <c r="O50" s="1265" t="s">
        <v>1140</v>
      </c>
      <c r="P50" s="1265" t="s">
        <v>1140</v>
      </c>
      <c r="Q50" s="1706"/>
      <c r="R50" s="1641"/>
      <c r="S50" s="1641"/>
      <c r="T50" s="1641"/>
      <c r="U50" s="1641"/>
      <c r="V50" s="1641"/>
      <c r="W50" s="1642"/>
      <c r="X50" s="165"/>
    </row>
    <row r="51" spans="1:24" s="164" customFormat="1" ht="26.25" customHeight="1" x14ac:dyDescent="0.2">
      <c r="M51" s="1680" t="s">
        <v>1169</v>
      </c>
      <c r="N51" s="1707"/>
      <c r="O51" s="1265" t="s">
        <v>1140</v>
      </c>
      <c r="P51" s="1265" t="s">
        <v>1140</v>
      </c>
      <c r="Q51" s="1635"/>
      <c r="R51" s="1636"/>
      <c r="S51" s="1636"/>
      <c r="T51" s="1636"/>
      <c r="U51" s="1636"/>
      <c r="V51" s="1636"/>
      <c r="W51" s="1637"/>
      <c r="X51" s="165"/>
    </row>
    <row r="52" spans="1:24" s="164" customFormat="1" ht="26.25" customHeight="1" x14ac:dyDescent="0.2">
      <c r="M52" s="1708" t="s">
        <v>1176</v>
      </c>
      <c r="N52" s="1709"/>
      <c r="O52" s="1265" t="s">
        <v>1140</v>
      </c>
      <c r="P52" s="1265" t="s">
        <v>1140</v>
      </c>
      <c r="Q52" s="1635"/>
      <c r="R52" s="1636"/>
      <c r="S52" s="1636"/>
      <c r="T52" s="1636"/>
      <c r="U52" s="1636"/>
      <c r="V52" s="1636"/>
      <c r="W52" s="1637"/>
      <c r="X52" s="165"/>
    </row>
    <row r="53" spans="1:24" s="164" customFormat="1" ht="26.25" customHeight="1" thickBot="1" x14ac:dyDescent="0.25">
      <c r="M53" s="1684" t="s">
        <v>1177</v>
      </c>
      <c r="N53" s="1685"/>
      <c r="O53" s="166" t="s">
        <v>1140</v>
      </c>
      <c r="P53" s="166" t="s">
        <v>1140</v>
      </c>
      <c r="Q53" s="1654"/>
      <c r="R53" s="1655"/>
      <c r="S53" s="1655"/>
      <c r="T53" s="1655"/>
      <c r="U53" s="1655"/>
      <c r="V53" s="1655"/>
      <c r="W53" s="1656"/>
      <c r="X53" s="165"/>
    </row>
    <row r="54" spans="1:24" ht="14.25" x14ac:dyDescent="0.2">
      <c r="M54" s="163"/>
      <c r="N54" s="163"/>
      <c r="O54" s="160"/>
      <c r="P54" s="160"/>
      <c r="Q54" s="160"/>
      <c r="R54" s="162"/>
      <c r="S54" s="161"/>
      <c r="T54" s="160"/>
      <c r="U54" s="160"/>
      <c r="V54" s="160"/>
      <c r="W54" s="159"/>
    </row>
    <row r="55" spans="1:24" ht="15" thickBot="1" x14ac:dyDescent="0.25">
      <c r="M55" s="158"/>
      <c r="N55" s="157"/>
      <c r="O55" s="157"/>
      <c r="P55" s="157"/>
      <c r="Q55" s="157"/>
      <c r="R55" s="156"/>
      <c r="S55" s="155"/>
      <c r="T55" s="154"/>
      <c r="U55" s="153"/>
      <c r="V55" s="153"/>
      <c r="W55" s="152"/>
    </row>
    <row r="56" spans="1:24" ht="27.75" customHeight="1" thickBot="1" x14ac:dyDescent="0.25">
      <c r="M56" s="1700" t="s">
        <v>1178</v>
      </c>
      <c r="N56" s="1701"/>
      <c r="O56" s="1701"/>
      <c r="P56" s="1701"/>
      <c r="Q56" s="1701"/>
      <c r="R56" s="1701"/>
      <c r="S56" s="1701"/>
      <c r="T56" s="1701"/>
      <c r="U56" s="1701"/>
      <c r="V56" s="1701"/>
      <c r="W56" s="1702"/>
    </row>
    <row r="57" spans="1:24" ht="129.75" customHeight="1" thickBot="1" x14ac:dyDescent="0.25">
      <c r="M57" s="1703"/>
      <c r="N57" s="1704"/>
      <c r="O57" s="1704"/>
      <c r="P57" s="1704"/>
      <c r="Q57" s="1704"/>
      <c r="R57" s="1704"/>
      <c r="S57" s="1704"/>
      <c r="T57" s="1704"/>
      <c r="U57" s="1704"/>
      <c r="V57" s="1704"/>
      <c r="W57" s="1705"/>
    </row>
    <row r="58" spans="1:24" x14ac:dyDescent="0.2">
      <c r="M58" s="103"/>
      <c r="N58" s="103"/>
      <c r="O58" s="103"/>
      <c r="P58" s="103"/>
      <c r="Q58" s="103"/>
      <c r="R58" s="151"/>
      <c r="S58" s="103"/>
      <c r="T58" s="103"/>
      <c r="U58" s="103"/>
      <c r="V58" s="103"/>
    </row>
    <row r="61" spans="1:24" x14ac:dyDescent="0.2">
      <c r="A61" s="148"/>
      <c r="B61" s="148"/>
      <c r="C61" s="148"/>
      <c r="D61" s="148"/>
      <c r="E61" s="148"/>
      <c r="F61" s="148"/>
      <c r="G61" s="148"/>
      <c r="H61" s="148"/>
      <c r="I61" s="148"/>
      <c r="J61" s="148"/>
      <c r="K61" s="148"/>
      <c r="L61" s="148"/>
      <c r="M61" s="148"/>
      <c r="N61" s="148"/>
      <c r="O61" s="148"/>
    </row>
    <row r="62" spans="1:24" x14ac:dyDescent="0.2">
      <c r="A62" s="148"/>
      <c r="B62" s="148"/>
      <c r="C62" s="148"/>
      <c r="D62" s="148"/>
      <c r="E62" s="148"/>
      <c r="F62" s="148"/>
      <c r="G62" s="148"/>
      <c r="H62" s="148"/>
      <c r="I62" s="148"/>
      <c r="J62" s="148"/>
      <c r="K62" s="148"/>
      <c r="L62" s="148"/>
      <c r="M62" s="148"/>
      <c r="N62" s="148"/>
      <c r="O62" s="148"/>
    </row>
    <row r="63" spans="1:24" x14ac:dyDescent="0.2">
      <c r="A63" s="148"/>
      <c r="B63" s="148"/>
      <c r="C63" s="148"/>
      <c r="D63" s="148"/>
      <c r="E63" s="148"/>
      <c r="F63" s="148"/>
      <c r="G63" s="148"/>
      <c r="H63" s="148"/>
      <c r="I63" s="148"/>
      <c r="J63" s="148"/>
      <c r="K63" s="148"/>
      <c r="L63" s="148"/>
      <c r="M63" s="148"/>
      <c r="N63" s="148"/>
      <c r="O63" s="148"/>
    </row>
    <row r="64" spans="1:24" x14ac:dyDescent="0.2">
      <c r="A64" s="148"/>
      <c r="B64" s="148"/>
      <c r="C64" s="148"/>
      <c r="D64" s="148"/>
      <c r="E64" s="148"/>
      <c r="F64" s="148"/>
      <c r="G64" s="148"/>
      <c r="H64" s="148"/>
      <c r="I64" s="148"/>
      <c r="J64" s="148"/>
      <c r="K64" s="148"/>
      <c r="L64" s="148"/>
      <c r="M64" s="148"/>
      <c r="N64" s="148"/>
      <c r="O64" s="148"/>
    </row>
    <row r="65" spans="1:15" x14ac:dyDescent="0.2">
      <c r="A65" s="148"/>
      <c r="B65" s="148"/>
      <c r="C65" s="148"/>
      <c r="D65" s="148"/>
      <c r="E65" s="148"/>
      <c r="F65" s="148"/>
      <c r="G65" s="148"/>
      <c r="H65" s="148"/>
      <c r="I65" s="148"/>
      <c r="J65" s="148"/>
      <c r="K65" s="148"/>
      <c r="L65" s="148"/>
    </row>
    <row r="66" spans="1:15" x14ac:dyDescent="0.2">
      <c r="A66" s="148"/>
      <c r="B66" s="148"/>
      <c r="C66" s="148"/>
      <c r="D66" s="148"/>
      <c r="E66" s="148"/>
      <c r="F66" s="148"/>
      <c r="G66" s="148"/>
      <c r="H66" s="148"/>
      <c r="I66" s="148"/>
      <c r="J66" s="148"/>
      <c r="K66" s="148"/>
      <c r="L66" s="148"/>
    </row>
    <row r="67" spans="1:15" x14ac:dyDescent="0.2">
      <c r="A67" s="148"/>
      <c r="B67" s="148"/>
      <c r="C67" s="148"/>
      <c r="D67" s="148"/>
      <c r="E67" s="148"/>
      <c r="F67" s="148"/>
      <c r="G67" s="148"/>
      <c r="H67" s="148"/>
      <c r="I67" s="148"/>
      <c r="J67" s="148"/>
      <c r="K67" s="148"/>
      <c r="L67" s="148"/>
    </row>
    <row r="68" spans="1:15" x14ac:dyDescent="0.2">
      <c r="A68" s="148"/>
      <c r="B68" s="148"/>
      <c r="C68" s="148"/>
      <c r="D68" s="148"/>
      <c r="E68" s="148"/>
      <c r="F68" s="148"/>
      <c r="G68" s="148"/>
      <c r="H68" s="148"/>
      <c r="I68" s="148"/>
      <c r="J68" s="148"/>
      <c r="K68" s="148"/>
      <c r="L68" s="148"/>
    </row>
    <row r="69" spans="1:15" x14ac:dyDescent="0.2">
      <c r="A69" s="148"/>
      <c r="B69" s="148"/>
      <c r="C69" s="148"/>
      <c r="D69" s="148"/>
      <c r="E69" s="148"/>
      <c r="F69" s="148"/>
      <c r="G69" s="148"/>
      <c r="H69" s="148"/>
      <c r="I69" s="148"/>
      <c r="J69" s="148"/>
      <c r="K69" s="148"/>
      <c r="L69" s="148"/>
    </row>
    <row r="70" spans="1:15" x14ac:dyDescent="0.2">
      <c r="A70" s="149"/>
      <c r="B70" s="149"/>
      <c r="C70" s="149"/>
      <c r="D70" s="149"/>
      <c r="E70" s="149"/>
      <c r="F70" s="149"/>
      <c r="G70" s="149"/>
      <c r="H70" s="149"/>
      <c r="I70" s="149"/>
      <c r="J70" s="149"/>
      <c r="K70" s="149"/>
      <c r="L70" s="149"/>
    </row>
    <row r="71" spans="1:15" x14ac:dyDescent="0.2">
      <c r="A71" s="149"/>
      <c r="B71" s="149"/>
      <c r="C71" s="149"/>
      <c r="D71" s="149"/>
      <c r="E71" s="149"/>
      <c r="F71" s="149"/>
      <c r="G71" s="149"/>
      <c r="H71" s="149"/>
      <c r="I71" s="149"/>
      <c r="J71" s="149"/>
      <c r="K71" s="149"/>
      <c r="L71" s="149"/>
    </row>
    <row r="72" spans="1:15" x14ac:dyDescent="0.2">
      <c r="A72" s="149"/>
      <c r="B72" s="149"/>
      <c r="C72" s="149"/>
      <c r="D72" s="149"/>
      <c r="E72" s="149"/>
      <c r="F72" s="149"/>
      <c r="G72" s="149"/>
      <c r="H72" s="149"/>
      <c r="I72" s="149"/>
      <c r="J72" s="149"/>
      <c r="K72" s="149"/>
      <c r="L72" s="149"/>
    </row>
    <row r="73" spans="1:15" hidden="1" x14ac:dyDescent="0.2">
      <c r="A73" s="149"/>
      <c r="B73" s="149"/>
      <c r="C73" s="149"/>
      <c r="D73" s="149"/>
      <c r="E73" s="149"/>
      <c r="F73" s="149"/>
      <c r="G73" s="149"/>
      <c r="H73" s="149"/>
      <c r="I73" s="149"/>
      <c r="J73" s="149"/>
      <c r="K73" s="149"/>
      <c r="L73" s="149"/>
      <c r="M73" s="644" t="s">
        <v>122</v>
      </c>
      <c r="N73" s="644" t="s">
        <v>1179</v>
      </c>
      <c r="O73" s="426"/>
    </row>
    <row r="74" spans="1:15" hidden="1" x14ac:dyDescent="0.2">
      <c r="A74" s="150"/>
      <c r="B74" s="150"/>
      <c r="C74" s="150"/>
      <c r="D74" s="150"/>
      <c r="E74" s="150"/>
      <c r="F74" s="150"/>
      <c r="G74" s="150"/>
      <c r="H74" s="150"/>
      <c r="I74" s="150"/>
      <c r="J74" s="150"/>
      <c r="K74" s="150"/>
      <c r="L74" s="150"/>
      <c r="M74" s="644" t="s">
        <v>1180</v>
      </c>
      <c r="N74" s="764" t="str">
        <f>IF(O29="Select","",O29)</f>
        <v/>
      </c>
      <c r="O74" s="426"/>
    </row>
    <row r="75" spans="1:15" hidden="1" x14ac:dyDescent="0.2">
      <c r="A75" s="150"/>
      <c r="B75" s="150"/>
      <c r="C75" s="150"/>
      <c r="D75" s="150"/>
      <c r="E75" s="150"/>
      <c r="F75" s="150"/>
      <c r="G75" s="150"/>
      <c r="H75" s="150"/>
      <c r="I75" s="150"/>
      <c r="J75" s="150"/>
      <c r="K75" s="150"/>
      <c r="L75" s="150"/>
      <c r="M75" s="644" t="s">
        <v>1181</v>
      </c>
      <c r="N75" s="764" t="str">
        <f>IF(P29="Select","",P29)</f>
        <v/>
      </c>
      <c r="O75" s="426"/>
    </row>
    <row r="76" spans="1:15" hidden="1" x14ac:dyDescent="0.2">
      <c r="A76" s="150"/>
      <c r="B76" s="150"/>
      <c r="C76" s="150"/>
      <c r="D76" s="150"/>
      <c r="E76" s="150"/>
      <c r="F76" s="150"/>
      <c r="G76" s="150"/>
      <c r="H76" s="150"/>
      <c r="I76" s="150"/>
      <c r="J76" s="150"/>
      <c r="K76" s="150"/>
      <c r="L76" s="150"/>
      <c r="M76" s="644" t="s">
        <v>1182</v>
      </c>
      <c r="N76" s="764" t="str">
        <f>IF(OR(O46="Yes",O47="Yes",O48="Yes",O49="Yes",O50="Yes",O51="Yes",O52="Yes",O53="Yes",), "Yes", "No")</f>
        <v>No</v>
      </c>
      <c r="O76" s="426"/>
    </row>
    <row r="77" spans="1:15" hidden="1" x14ac:dyDescent="0.2">
      <c r="A77" s="150"/>
      <c r="B77" s="150"/>
      <c r="C77" s="150"/>
      <c r="D77" s="150"/>
      <c r="E77" s="150"/>
      <c r="F77" s="150"/>
      <c r="G77" s="150"/>
      <c r="H77" s="150"/>
      <c r="I77" s="150"/>
      <c r="J77" s="150"/>
      <c r="K77" s="150"/>
      <c r="L77" s="150"/>
      <c r="M77" s="644" t="s">
        <v>1183</v>
      </c>
      <c r="N77" s="764" t="str">
        <f>IF(OR(P46="Yes",P47="Yes",P48="Yes",P49="Yes",P50="Yes",P51="Yes",P52="Yes",P53="Yes",), "Yes", "No")</f>
        <v>No</v>
      </c>
      <c r="O77" s="426"/>
    </row>
    <row r="78" spans="1:15" x14ac:dyDescent="0.2">
      <c r="A78" s="149"/>
      <c r="B78" s="149"/>
      <c r="C78" s="149"/>
      <c r="D78" s="149"/>
      <c r="E78" s="149"/>
      <c r="F78" s="149"/>
      <c r="G78" s="149"/>
      <c r="H78" s="149"/>
      <c r="I78" s="149"/>
      <c r="J78" s="149"/>
      <c r="K78" s="149"/>
      <c r="L78" s="149"/>
    </row>
    <row r="79" spans="1:15" x14ac:dyDescent="0.2">
      <c r="A79" s="149"/>
      <c r="B79" s="149"/>
      <c r="C79" s="149"/>
      <c r="D79" s="149"/>
      <c r="E79" s="149"/>
      <c r="F79" s="149"/>
      <c r="G79" s="149"/>
      <c r="H79" s="149"/>
      <c r="I79" s="149"/>
      <c r="J79" s="149"/>
      <c r="K79" s="149"/>
      <c r="L79" s="149"/>
    </row>
    <row r="80" spans="1:15" ht="11.25" customHeight="1" x14ac:dyDescent="0.2">
      <c r="A80" s="148"/>
      <c r="B80" s="148"/>
      <c r="C80" s="148"/>
      <c r="D80" s="148"/>
      <c r="E80" s="148"/>
      <c r="F80" s="148"/>
      <c r="G80" s="148"/>
      <c r="H80" s="148"/>
      <c r="I80" s="148"/>
      <c r="J80" s="148"/>
      <c r="K80" s="148"/>
      <c r="L80" s="148"/>
    </row>
    <row r="81" spans="1:12" x14ac:dyDescent="0.2">
      <c r="A81" s="148"/>
      <c r="B81" s="148"/>
      <c r="C81" s="148"/>
      <c r="D81" s="148"/>
      <c r="E81" s="148"/>
      <c r="F81" s="148"/>
      <c r="G81" s="148"/>
      <c r="H81" s="148"/>
      <c r="I81" s="148"/>
      <c r="J81" s="148"/>
      <c r="K81" s="148"/>
      <c r="L81" s="148"/>
    </row>
    <row r="82" spans="1:12" x14ac:dyDescent="0.2">
      <c r="A82" s="148"/>
      <c r="B82" s="148"/>
      <c r="C82" s="148"/>
      <c r="D82" s="148"/>
      <c r="E82" s="148"/>
      <c r="F82" s="148"/>
      <c r="G82" s="148"/>
      <c r="H82" s="148"/>
      <c r="I82" s="148"/>
      <c r="J82" s="148"/>
      <c r="K82" s="148"/>
      <c r="L82" s="148"/>
    </row>
    <row r="83" spans="1:12" x14ac:dyDescent="0.2">
      <c r="A83" s="148"/>
      <c r="B83" s="148"/>
      <c r="C83" s="148"/>
      <c r="D83" s="148"/>
      <c r="E83" s="148"/>
      <c r="F83" s="148"/>
      <c r="G83" s="148"/>
      <c r="H83" s="148"/>
      <c r="I83" s="148"/>
      <c r="J83" s="148"/>
      <c r="K83" s="148"/>
      <c r="L83" s="148"/>
    </row>
    <row r="84" spans="1:12" x14ac:dyDescent="0.2">
      <c r="A84" s="148"/>
      <c r="B84" s="148"/>
      <c r="C84" s="148"/>
      <c r="D84" s="148"/>
      <c r="E84" s="148"/>
      <c r="F84" s="148"/>
      <c r="G84" s="148"/>
      <c r="H84" s="148"/>
      <c r="I84" s="148"/>
      <c r="J84" s="148"/>
      <c r="K84" s="148"/>
      <c r="L84" s="148"/>
    </row>
    <row r="85" spans="1:12" x14ac:dyDescent="0.2">
      <c r="A85" s="148"/>
      <c r="B85" s="148"/>
      <c r="C85" s="148"/>
      <c r="D85" s="148"/>
      <c r="E85" s="148"/>
      <c r="F85" s="148"/>
      <c r="G85" s="148"/>
      <c r="H85" s="148"/>
      <c r="I85" s="148"/>
      <c r="J85" s="148"/>
      <c r="K85" s="148"/>
      <c r="L85" s="148"/>
    </row>
  </sheetData>
  <sheetProtection password="BF22" sheet="1" objects="1" scenarios="1" formatColumns="0" formatRows="0" sort="0" autoFilter="0"/>
  <mergeCells count="73">
    <mergeCell ref="Q53:W53"/>
    <mergeCell ref="M44:W44"/>
    <mergeCell ref="M57:W57"/>
    <mergeCell ref="M49:N49"/>
    <mergeCell ref="Q49:W49"/>
    <mergeCell ref="M50:N50"/>
    <mergeCell ref="Q50:W50"/>
    <mergeCell ref="M51:N51"/>
    <mergeCell ref="M56:W56"/>
    <mergeCell ref="M47:N47"/>
    <mergeCell ref="Q47:W47"/>
    <mergeCell ref="M48:N48"/>
    <mergeCell ref="Q48:W48"/>
    <mergeCell ref="Q51:W51"/>
    <mergeCell ref="M52:N52"/>
    <mergeCell ref="Q52:W52"/>
    <mergeCell ref="M53:N53"/>
    <mergeCell ref="M46:N46"/>
    <mergeCell ref="Q46:W46"/>
    <mergeCell ref="M37:N37"/>
    <mergeCell ref="R37:S37"/>
    <mergeCell ref="M45:N45"/>
    <mergeCell ref="Q45:W45"/>
    <mergeCell ref="M38:N38"/>
    <mergeCell ref="R38:S38"/>
    <mergeCell ref="M39:N39"/>
    <mergeCell ref="R39:S39"/>
    <mergeCell ref="M40:N40"/>
    <mergeCell ref="R40:S40"/>
    <mergeCell ref="M41:N41"/>
    <mergeCell ref="R41:S41"/>
    <mergeCell ref="M42:N42"/>
    <mergeCell ref="R42:S42"/>
    <mergeCell ref="M34:N34"/>
    <mergeCell ref="R34:S34"/>
    <mergeCell ref="M35:N35"/>
    <mergeCell ref="R35:S35"/>
    <mergeCell ref="M36:N36"/>
    <mergeCell ref="R36:S36"/>
    <mergeCell ref="M33:N33"/>
    <mergeCell ref="Q28:W28"/>
    <mergeCell ref="M15:N15"/>
    <mergeCell ref="Q15:W15"/>
    <mergeCell ref="M16:N16"/>
    <mergeCell ref="Q16:W16"/>
    <mergeCell ref="M17:N17"/>
    <mergeCell ref="Q17:W17"/>
    <mergeCell ref="M18:N18"/>
    <mergeCell ref="Q18:R18"/>
    <mergeCell ref="M19:W19"/>
    <mergeCell ref="M20:W20"/>
    <mergeCell ref="M25:W25"/>
    <mergeCell ref="M29:N29"/>
    <mergeCell ref="Q29:W29"/>
    <mergeCell ref="M32:W32"/>
    <mergeCell ref="M12:N12"/>
    <mergeCell ref="Q12:W12"/>
    <mergeCell ref="M13:N13"/>
    <mergeCell ref="Q13:W13"/>
    <mergeCell ref="M14:N14"/>
    <mergeCell ref="Q14:W14"/>
    <mergeCell ref="M9:N9"/>
    <mergeCell ref="Q9:W9"/>
    <mergeCell ref="M10:N10"/>
    <mergeCell ref="Q10:W10"/>
    <mergeCell ref="M11:N11"/>
    <mergeCell ref="Q11:W11"/>
    <mergeCell ref="M8:W8"/>
    <mergeCell ref="M1:W1"/>
    <mergeCell ref="M3:V3"/>
    <mergeCell ref="S5:W5"/>
    <mergeCell ref="M6:Q6"/>
    <mergeCell ref="S6:W6"/>
  </mergeCells>
  <conditionalFormatting sqref="R37:S39 Q34:R34 R35:R36 W35:W41 O35:P41 O27:W27 T35:U41 R54 O54:P54 T54:U54 R40:R41">
    <cfRule type="cellIs" dxfId="136" priority="8" stopIfTrue="1" operator="lessThan">
      <formula>0</formula>
    </cfRule>
  </conditionalFormatting>
  <conditionalFormatting sqref="R37:S39 V34 Q34:R34 W35:W41 R35:R36 O27:Q27 T27:W27 T35:U41 R54 T54:U54 R40:R41">
    <cfRule type="cellIs" dxfId="135" priority="9" stopIfTrue="1" operator="lessThan">
      <formula>0</formula>
    </cfRule>
  </conditionalFormatting>
  <conditionalFormatting sqref="R42:R43 W42:W43 O42:P43 T42:U43">
    <cfRule type="cellIs" dxfId="134" priority="6" stopIfTrue="1" operator="lessThan">
      <formula>0</formula>
    </cfRule>
  </conditionalFormatting>
  <conditionalFormatting sqref="R42:R43 W42:W43 T42:U43">
    <cfRule type="cellIs" dxfId="133" priority="7" stopIfTrue="1" operator="lessThan">
      <formula>0</formula>
    </cfRule>
  </conditionalFormatting>
  <conditionalFormatting sqref="Q5">
    <cfRule type="cellIs" dxfId="132" priority="5" stopIfTrue="1" operator="lessThan">
      <formula>0</formula>
    </cfRule>
  </conditionalFormatting>
  <conditionalFormatting sqref="O18:P18">
    <cfRule type="cellIs" dxfId="131" priority="4" stopIfTrue="1" operator="lessThan">
      <formula>0</formula>
    </cfRule>
  </conditionalFormatting>
  <conditionalFormatting sqref="Q35:Q42">
    <cfRule type="cellIs" dxfId="130" priority="3" operator="greaterThan">
      <formula>0</formula>
    </cfRule>
  </conditionalFormatting>
  <conditionalFormatting sqref="V35">
    <cfRule type="cellIs" dxfId="129" priority="2" operator="greaterThan">
      <formula>0</formula>
    </cfRule>
  </conditionalFormatting>
  <conditionalFormatting sqref="V36:V42">
    <cfRule type="cellIs" dxfId="128" priority="1" operator="greaterThan">
      <formula>0</formula>
    </cfRule>
  </conditionalFormatting>
  <dataValidations count="8">
    <dataValidation type="list" allowBlank="1" showInputMessage="1" showErrorMessage="1" sqref="R55 R30:S30 O30 P29 R6 O46:P53 O10:P17" xr:uid="{00000000-0002-0000-1500-000000000000}">
      <formula1>"Select,Yes,No,N/A"</formula1>
    </dataValidation>
    <dataValidation type="list" allowBlank="1" showInputMessage="1" showErrorMessage="1" sqref="U33" xr:uid="{00000000-0002-0000-1500-000001000000}">
      <formula1>"Select,Yes,No,Partially,N/A"</formula1>
    </dataValidation>
    <dataValidation allowBlank="1" showInputMessage="1" sqref="R5" xr:uid="{00000000-0002-0000-1500-000002000000}"/>
    <dataValidation type="custom" allowBlank="1" showInputMessage="1" showErrorMessage="1" errorTitle="X-Author for Excel" error="Id and Lookup fields are not editable." promptTitle="X-Author for Excel" sqref="N73" xr:uid="{00000000-0002-0000-1500-000003000000}">
      <formula1>""</formula1>
    </dataValidation>
    <dataValidation type="list" allowBlank="1" showInputMessage="1" showErrorMessage="1" errorTitle="X-Author for Excel" error="Please select a value from the drop-down." promptTitle="X-Author for Excel" sqref="N77" xr:uid="{00000000-0002-0000-1500-000004000000}">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xr:uid="{00000000-0002-0000-1500-000005000000}">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xr:uid="{00000000-0002-0000-1500-000006000000}">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xr:uid="{00000000-0002-0000-1500-000007000000}">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21"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filterMode="1">
    <tabColor rgb="FFFFC000"/>
  </sheetPr>
  <dimension ref="A1:N147"/>
  <sheetViews>
    <sheetView topLeftCell="C62" zoomScale="70" zoomScaleNormal="70" zoomScaleSheetLayoutView="70" workbookViewId="0">
      <selection activeCell="C149" sqref="C149"/>
    </sheetView>
  </sheetViews>
  <sheetFormatPr baseColWidth="10" defaultColWidth="9.140625" defaultRowHeight="12.75" x14ac:dyDescent="0.2"/>
  <cols>
    <col min="1" max="1" width="7" style="646" hidden="1" customWidth="1"/>
    <col min="2" max="2" width="14.85546875" style="646" hidden="1" customWidth="1"/>
    <col min="3" max="3" width="102.5703125" style="3" customWidth="1"/>
    <col min="4" max="4" width="31.42578125" style="3" customWidth="1"/>
    <col min="5" max="5" width="40.5703125" style="3" customWidth="1"/>
    <col min="6" max="6" width="75.140625" style="3" customWidth="1"/>
    <col min="7" max="7" width="27.85546875" style="3" bestFit="1" customWidth="1"/>
    <col min="8" max="8" width="27.140625" style="3" bestFit="1" customWidth="1"/>
    <col min="9" max="9" width="84.5703125" style="3" customWidth="1"/>
    <col min="10" max="10" width="38.5703125" style="3" customWidth="1"/>
    <col min="11" max="11" width="19.5703125" style="3" bestFit="1" customWidth="1"/>
    <col min="12" max="12" width="65.140625" style="3" customWidth="1"/>
    <col min="13" max="16384" width="9.140625" style="3"/>
  </cols>
  <sheetData>
    <row r="1" spans="1:14" s="439" customFormat="1" ht="49.5" customHeight="1" x14ac:dyDescent="0.25">
      <c r="A1" s="661"/>
      <c r="B1" s="697"/>
      <c r="C1" s="694" t="str">
        <f>CoverSheet!A1</f>
        <v>Rapport périodique sur les résultats actuels et demande de décaissement</v>
      </c>
      <c r="D1" s="694"/>
      <c r="E1" s="694"/>
      <c r="F1" s="694"/>
      <c r="G1" s="694"/>
      <c r="H1" s="694"/>
      <c r="I1" s="694"/>
      <c r="J1" s="694"/>
      <c r="K1" s="694"/>
      <c r="L1" s="694"/>
    </row>
    <row r="2" spans="1:14" x14ac:dyDescent="0.2">
      <c r="A2" s="414"/>
      <c r="C2" s="414"/>
      <c r="D2" s="414"/>
      <c r="E2" s="414"/>
      <c r="F2" s="414"/>
      <c r="G2" s="414"/>
      <c r="H2" s="414"/>
      <c r="I2" s="414"/>
    </row>
    <row r="3" spans="1:14" s="439" customFormat="1" ht="27" customHeight="1" x14ac:dyDescent="0.2">
      <c r="A3" s="661"/>
      <c r="B3" s="646"/>
      <c r="C3" s="441" t="str">
        <f>VLOOKUP(Translations!B310,Translations!B3:H508,4,0)</f>
        <v>Section 4 : Gestion de subvention</v>
      </c>
      <c r="D3" s="441"/>
      <c r="E3" s="441"/>
      <c r="F3" s="441"/>
      <c r="G3" s="441"/>
      <c r="H3" s="441"/>
      <c r="I3" s="441"/>
      <c r="J3" s="441"/>
      <c r="K3" s="442"/>
      <c r="L3" s="442"/>
    </row>
    <row r="4" spans="1:14" s="439" customFormat="1" ht="15.75" customHeight="1" x14ac:dyDescent="0.25">
      <c r="A4" s="661"/>
      <c r="B4" s="695"/>
      <c r="C4" s="669"/>
      <c r="D4" s="669"/>
      <c r="E4" s="669"/>
      <c r="F4" s="669"/>
      <c r="G4" s="669"/>
      <c r="H4" s="669"/>
      <c r="I4" s="669"/>
      <c r="J4" s="669"/>
      <c r="K4" s="1"/>
      <c r="L4" s="1"/>
      <c r="M4" s="1"/>
      <c r="N4" s="1"/>
    </row>
    <row r="5" spans="1:14" ht="34.5" customHeight="1" x14ac:dyDescent="0.3">
      <c r="A5" s="414"/>
      <c r="C5" s="443" t="str">
        <f>VLOOKUP(Translations!B311,Translations!B3:H508,4,0)</f>
        <v>A. Commentaires du récipiendaire principal et de l'agent local du Fonds sur la réalisation des exigences de la subvention conformément à l'accord de subvention</v>
      </c>
      <c r="D5" s="443"/>
      <c r="E5" s="444"/>
      <c r="F5" s="444"/>
      <c r="G5" s="444"/>
      <c r="H5" s="444"/>
      <c r="I5" s="444"/>
      <c r="J5" s="444"/>
      <c r="K5" s="444"/>
      <c r="L5" s="444"/>
    </row>
    <row r="6" spans="1:14" ht="15.75" thickBot="1" x14ac:dyDescent="0.25">
      <c r="A6" s="414"/>
      <c r="C6" s="1714"/>
      <c r="D6" s="1714"/>
      <c r="E6" s="1714"/>
      <c r="F6" s="1714"/>
      <c r="G6" s="1714"/>
      <c r="H6" s="1714"/>
    </row>
    <row r="7" spans="1:14" ht="72" customHeight="1" thickBot="1" x14ac:dyDescent="0.4">
      <c r="B7" s="698"/>
      <c r="C7" s="1715" t="s">
        <v>1184</v>
      </c>
      <c r="D7" s="1715"/>
      <c r="E7" s="1715"/>
      <c r="F7" s="1715"/>
      <c r="G7" s="445"/>
      <c r="H7" s="1716" t="s">
        <v>1114</v>
      </c>
      <c r="I7" s="1717"/>
      <c r="J7" s="446"/>
      <c r="K7" s="1712" t="s">
        <v>792</v>
      </c>
      <c r="L7" s="1713"/>
    </row>
    <row r="8" spans="1:14" ht="21" hidden="1" customHeight="1" thickBot="1" x14ac:dyDescent="0.35">
      <c r="B8" s="699"/>
      <c r="C8" s="447"/>
      <c r="D8" s="447"/>
      <c r="E8" s="447"/>
      <c r="F8" s="447"/>
      <c r="G8" s="447"/>
      <c r="H8" s="611"/>
      <c r="I8" s="612"/>
      <c r="J8" s="623"/>
      <c r="K8" s="526"/>
      <c r="L8" s="527"/>
    </row>
    <row r="9" spans="1:14" s="439" customFormat="1" ht="40.5" customHeight="1" x14ac:dyDescent="0.2">
      <c r="A9" s="646"/>
      <c r="B9" s="700" t="str">
        <f>IF(C9&lt;&gt;"","Show","Don't Show")</f>
        <v>Show</v>
      </c>
      <c r="C9" s="1736" t="str">
        <f>VLOOKUP(Translations!B313,Translations!B3:H508,4,0)</f>
        <v>Exigences de la Subvention</v>
      </c>
      <c r="D9" s="1737"/>
      <c r="E9" s="619" t="str">
        <f>VLOOKUP(Translations!B314,Translations!B3:H508,4,0)</f>
        <v>État</v>
      </c>
      <c r="F9" s="1718" t="str">
        <f>VLOOKUP(Translations!B315,Translations!B3:H508,4,0)</f>
        <v>Commentaires du récipiendaire principal sur l'avancement de la mise en œuvre</v>
      </c>
      <c r="G9" s="1719"/>
      <c r="H9" s="620" t="s">
        <v>1185</v>
      </c>
      <c r="I9" s="1720" t="s">
        <v>1186</v>
      </c>
      <c r="J9" s="1721"/>
      <c r="K9" s="621" t="s">
        <v>1187</v>
      </c>
      <c r="L9" s="622" t="s">
        <v>1188</v>
      </c>
    </row>
    <row r="10" spans="1:14" s="462" customFormat="1" ht="120" customHeight="1" x14ac:dyDescent="0.2">
      <c r="A10" s="646" t="s">
        <v>1189</v>
      </c>
      <c r="B10" s="700" t="str">
        <f t="shared" ref="B10:B73" si="0">IF(C10&lt;&gt;"","Show","Don't Show")</f>
        <v>Show</v>
      </c>
      <c r="C10" s="1734" t="str">
        <f>IFERROR(INDEX('Grant Management_4 imp-exp'!$D$2:$D$10,MATCH('Grant Management_4'!A10,'Grant Management_4 imp-exp'!$B$2:$B$8,0)),"")</f>
        <v>Unless otherwise notified by the Global Fund in writing, prior to the use of Grant Funds to finance the procurement of second-line anti-tuberculosis drugs and for each disbursement request that includes funds for the procurement of multi-drug resistant tuberculosis medicines, the Principal Recipient shall deliver to the Global Fund written confirmation of the price estimate and quantities of the second-line anti-tuberculosis drugs that will be procured by the Principal Recipient from the Global Drug Facility’s procurement agent, in form and substance satisfactory to the Global Fund.</v>
      </c>
      <c r="D10" s="1735"/>
      <c r="E10" s="1274" t="s">
        <v>38</v>
      </c>
      <c r="F10" s="1710" t="s">
        <v>1190</v>
      </c>
      <c r="G10" s="1711"/>
      <c r="H10" s="1274"/>
      <c r="I10" s="1710"/>
      <c r="J10" s="1711"/>
      <c r="K10" s="1275"/>
      <c r="L10" s="1276"/>
    </row>
    <row r="11" spans="1:14" ht="120" customHeight="1" x14ac:dyDescent="0.2">
      <c r="A11" s="646" t="s">
        <v>1191</v>
      </c>
      <c r="B11" s="700" t="str">
        <f t="shared" si="0"/>
        <v>Show</v>
      </c>
      <c r="C11" s="1734" t="str">
        <f>IFERROR(INDEX('Grant Management_4 imp-exp'!$D$2:$D$10,MATCH('Grant Management_4'!A11,'Grant Management_4 imp-exp'!$B$2:$B$8,0)),"")</f>
        <v>The Principal Recipient shall cooperate with the regional Green Light Committee (“GLC”) in the GLC’s efforts to provide support to the Principal Recipient with respect to the monitoring and scaling-up of drug-resistant tuberculosis-related services provided in-country. Accordingly, the Principal Recipient shall budget, and hereby authorizes the Global Fund to disburse to GLC up to a maximum of US$ 25,000, or a lower amount as agreed between GLC and the Global Fund, each year to pay for GLC services.</v>
      </c>
      <c r="D11" s="1735"/>
      <c r="E11" s="1274" t="s">
        <v>38</v>
      </c>
      <c r="F11" s="1710" t="s">
        <v>1192</v>
      </c>
      <c r="G11" s="1711"/>
      <c r="H11" s="1274"/>
      <c r="I11" s="1710"/>
      <c r="J11" s="1711"/>
      <c r="K11" s="1275"/>
      <c r="L11" s="1276"/>
    </row>
    <row r="12" spans="1:14" ht="120" customHeight="1" x14ac:dyDescent="0.2">
      <c r="A12" s="646" t="s">
        <v>1193</v>
      </c>
      <c r="B12" s="700" t="str">
        <f t="shared" si="0"/>
        <v>Show</v>
      </c>
      <c r="C12" s="1734" t="str">
        <f>IFERROR(INDEX('Grant Management_4 imp-exp'!$D$2:$D$10,MATCH('Grant Management_4'!A12,'Grant Management_4 imp-exp'!$B$2:$B$8,0)),"")</f>
        <v>(i)	The parties acknowledge that as of 1 January 2018, the situation in Burundi has been characterized by high safety and security threats and political instability (collectively, the “Force Majeure Conditions”).  Under the circumstances, the parties acknowledge and agree that: 
(a)	In consultation with the Global Fund, the Principal Recipient may suspend or terminate the activities under this Agreement at any time if the Force Majeure Conditions so require;
(b)	The budget and performance framework (including the frequency and contents of reporting) will be reviewed by the parties as needed, with a view to evaluating and accounting for any change in the Force Majeure Conditions in the country and its impact on the performance of the Grant, and, should the changes in the Force Majeure Conditions warrant a reprogramming of the Program, the Principal Recipient shall, at the request of the Global Fund, deliver to the Global Fund a revised budget and performance framework in form and substance satisfactory to the Global Fund; and
(c)	Notwithstanding Articles 8 and 10 of this Agreement, and except in the case of gross negligence or wilful misconduct of the Principal Recipient, the Principal Recipient shall not be liable for the loss or damage to any assets financed under this Agreement (including Health Products), as well as for the loss of any Grant Funds (the “Relevant Assets and Funds”) caused by the Force Majeure Conditions, provided that the Principal Recipient (i) has fully complied with the other terms and conditions of this Agreement and has exercised due care and diligence and (ii) has exercised all reasonable efforts to mitigate the risk of loss of the Relevant Assets and Funds. Nevertheless, the Principal Recipient shall use its best efforts to seek and obtain recovery of any potential losses to the Relevant Assets and Funds.
(ii)	The parties agree that the aforementioned provision shall automatically terminate after the earlier of (a) 31 December 2018 and (b) the determination by the parties that the Force Majeure Conditions no longer exist, unless the period ending on the date referred to in (a) is extended by written agreement of the parties. 
(iii)The parties also acknowledge that the agreement by the Global Fund to the aforementioned provision does not commit the Global Fund to limit the liability of the Principal Recipient (a) if a loss of any Relevant Assets and Funds is not caused by the Force Majeure Conditions or (b) under any programs implemented by the Principal Recipient in any other jurisdiction.</v>
      </c>
      <c r="D12" s="1735"/>
      <c r="E12" s="1274" t="s">
        <v>38</v>
      </c>
      <c r="F12" s="1710" t="s">
        <v>1194</v>
      </c>
      <c r="G12" s="1711"/>
      <c r="H12" s="1274"/>
      <c r="I12" s="1710"/>
      <c r="J12" s="1711"/>
      <c r="K12" s="1275"/>
      <c r="L12" s="1276"/>
    </row>
    <row r="13" spans="1:14" ht="120" hidden="1" customHeight="1" x14ac:dyDescent="0.2">
      <c r="A13" s="646" t="s">
        <v>1195</v>
      </c>
      <c r="B13" s="700" t="str">
        <f t="shared" si="0"/>
        <v>Don't Show</v>
      </c>
      <c r="C13" s="1734" t="str">
        <f>IFERROR(INDEX('Grant Management_4 imp-exp'!$D$2:$D$10,MATCH('Grant Management_4'!A13,'Grant Management_4 imp-exp'!$B$2:$B$8,0)),"")</f>
        <v/>
      </c>
      <c r="D13" s="1735"/>
      <c r="E13" s="1274"/>
      <c r="F13" s="1710"/>
      <c r="G13" s="1711"/>
      <c r="H13" s="1274"/>
      <c r="I13" s="1710"/>
      <c r="J13" s="1711"/>
      <c r="K13" s="1275"/>
      <c r="L13" s="1276"/>
    </row>
    <row r="14" spans="1:14" ht="120" hidden="1" customHeight="1" x14ac:dyDescent="0.2">
      <c r="A14" s="646" t="s">
        <v>1196</v>
      </c>
      <c r="B14" s="700" t="str">
        <f t="shared" si="0"/>
        <v>Don't Show</v>
      </c>
      <c r="C14" s="1734" t="str">
        <f>IFERROR(INDEX('Grant Management_4 imp-exp'!$D$2:$D$10,MATCH('Grant Management_4'!A14,'Grant Management_4 imp-exp'!$B$2:$B$8,0)),"")</f>
        <v/>
      </c>
      <c r="D14" s="1735"/>
      <c r="E14" s="1274"/>
      <c r="F14" s="1710"/>
      <c r="G14" s="1711"/>
      <c r="H14" s="1274"/>
      <c r="I14" s="1710"/>
      <c r="J14" s="1711"/>
      <c r="K14" s="1275"/>
      <c r="L14" s="1276"/>
    </row>
    <row r="15" spans="1:14" ht="120" hidden="1" customHeight="1" x14ac:dyDescent="0.2">
      <c r="A15" s="646" t="s">
        <v>1197</v>
      </c>
      <c r="B15" s="700" t="str">
        <f t="shared" si="0"/>
        <v>Don't Show</v>
      </c>
      <c r="C15" s="1734" t="str">
        <f>IFERROR(INDEX('Grant Management_4 imp-exp'!$D$2:$D$10,MATCH('Grant Management_4'!A15,'Grant Management_4 imp-exp'!$B$2:$B$8,0)),"")</f>
        <v/>
      </c>
      <c r="D15" s="1735"/>
      <c r="E15" s="1274"/>
      <c r="F15" s="1710"/>
      <c r="G15" s="1711"/>
      <c r="H15" s="1274"/>
      <c r="I15" s="1710"/>
      <c r="J15" s="1711"/>
      <c r="K15" s="1275"/>
      <c r="L15" s="1276"/>
    </row>
    <row r="16" spans="1:14" s="2" customFormat="1" ht="120" hidden="1" customHeight="1" x14ac:dyDescent="0.2">
      <c r="A16" s="646" t="s">
        <v>1198</v>
      </c>
      <c r="B16" s="700" t="str">
        <f t="shared" si="0"/>
        <v>Don't Show</v>
      </c>
      <c r="C16" s="1734" t="str">
        <f>IFERROR(INDEX('Grant Management_4 imp-exp'!$D$2:$D$10,MATCH('Grant Management_4'!A16,'Grant Management_4 imp-exp'!$B$2:$B$8,0)),"")</f>
        <v/>
      </c>
      <c r="D16" s="1735"/>
      <c r="E16" s="1274"/>
      <c r="F16" s="1710"/>
      <c r="G16" s="1711"/>
      <c r="H16" s="1274"/>
      <c r="I16" s="1710"/>
      <c r="J16" s="1711"/>
      <c r="K16" s="1275"/>
      <c r="L16" s="1276"/>
    </row>
    <row r="17" spans="1:12" s="2" customFormat="1" ht="120" hidden="1" customHeight="1" x14ac:dyDescent="0.2">
      <c r="A17" s="646" t="s">
        <v>1199</v>
      </c>
      <c r="B17" s="700" t="str">
        <f t="shared" si="0"/>
        <v>Don't Show</v>
      </c>
      <c r="C17" s="1734" t="str">
        <f>IFERROR(INDEX('Grant Management_4 imp-exp'!$D$2:$D$10,MATCH('Grant Management_4'!A17,'Grant Management_4 imp-exp'!$B$2:$B$8,0)),"")</f>
        <v/>
      </c>
      <c r="D17" s="1735"/>
      <c r="E17" s="1274"/>
      <c r="F17" s="1710"/>
      <c r="G17" s="1711"/>
      <c r="H17" s="1274"/>
      <c r="I17" s="1710"/>
      <c r="J17" s="1711"/>
      <c r="K17" s="1275"/>
      <c r="L17" s="1276"/>
    </row>
    <row r="18" spans="1:12" s="2" customFormat="1" ht="120" hidden="1" customHeight="1" x14ac:dyDescent="0.2">
      <c r="A18" s="646" t="s">
        <v>1200</v>
      </c>
      <c r="B18" s="700" t="str">
        <f t="shared" si="0"/>
        <v>Don't Show</v>
      </c>
      <c r="C18" s="1734" t="str">
        <f>IFERROR(INDEX('Grant Management_4 imp-exp'!$D$2:$D$10,MATCH('Grant Management_4'!A18,'Grant Management_4 imp-exp'!$B$2:$B$8,0)),"")</f>
        <v/>
      </c>
      <c r="D18" s="1735"/>
      <c r="E18" s="1274"/>
      <c r="F18" s="1710"/>
      <c r="G18" s="1711"/>
      <c r="H18" s="1274"/>
      <c r="I18" s="1710"/>
      <c r="J18" s="1711"/>
      <c r="K18" s="1275"/>
      <c r="L18" s="1276"/>
    </row>
    <row r="19" spans="1:12" s="2" customFormat="1" ht="120" hidden="1" customHeight="1" x14ac:dyDescent="0.2">
      <c r="A19" s="646" t="s">
        <v>1201</v>
      </c>
      <c r="B19" s="700" t="str">
        <f t="shared" si="0"/>
        <v>Don't Show</v>
      </c>
      <c r="C19" s="1734" t="str">
        <f>IFERROR(INDEX('Grant Management_4 imp-exp'!$D$2:$D$10,MATCH('Grant Management_4'!A19,'Grant Management_4 imp-exp'!$B$2:$B$8,0)),"")</f>
        <v/>
      </c>
      <c r="D19" s="1735"/>
      <c r="E19" s="1274"/>
      <c r="F19" s="1710"/>
      <c r="G19" s="1711"/>
      <c r="H19" s="1274"/>
      <c r="I19" s="1710"/>
      <c r="J19" s="1711"/>
      <c r="K19" s="1275"/>
      <c r="L19" s="1276"/>
    </row>
    <row r="20" spans="1:12" s="2" customFormat="1" ht="120" hidden="1" customHeight="1" x14ac:dyDescent="0.2">
      <c r="A20" s="646" t="s">
        <v>1202</v>
      </c>
      <c r="B20" s="700" t="str">
        <f t="shared" si="0"/>
        <v>Don't Show</v>
      </c>
      <c r="C20" s="1734" t="str">
        <f>IFERROR(INDEX('Grant Management_4 imp-exp'!$D$2:$D$10,MATCH('Grant Management_4'!A20,'Grant Management_4 imp-exp'!$B$2:$B$8,0)),"")</f>
        <v/>
      </c>
      <c r="D20" s="1735"/>
      <c r="E20" s="1274"/>
      <c r="F20" s="1710"/>
      <c r="G20" s="1711"/>
      <c r="H20" s="1274"/>
      <c r="I20" s="1710"/>
      <c r="J20" s="1711"/>
      <c r="K20" s="1275"/>
      <c r="L20" s="1276"/>
    </row>
    <row r="21" spans="1:12" s="2" customFormat="1" ht="120" hidden="1" customHeight="1" x14ac:dyDescent="0.2">
      <c r="A21" s="646" t="s">
        <v>1203</v>
      </c>
      <c r="B21" s="700" t="str">
        <f t="shared" si="0"/>
        <v>Don't Show</v>
      </c>
      <c r="C21" s="1734" t="str">
        <f>IFERROR(INDEX('Grant Management_4 imp-exp'!$D$2:$D$10,MATCH('Grant Management_4'!A21,'Grant Management_4 imp-exp'!$B$2:$B$8,0)),"")</f>
        <v/>
      </c>
      <c r="D21" s="1735"/>
      <c r="E21" s="1274"/>
      <c r="F21" s="1710"/>
      <c r="G21" s="1711"/>
      <c r="H21" s="1274"/>
      <c r="I21" s="1710"/>
      <c r="J21" s="1711"/>
      <c r="K21" s="1275"/>
      <c r="L21" s="1276"/>
    </row>
    <row r="22" spans="1:12" s="2" customFormat="1" ht="120" hidden="1" customHeight="1" x14ac:dyDescent="0.2">
      <c r="A22" s="646" t="s">
        <v>1204</v>
      </c>
      <c r="B22" s="700" t="str">
        <f t="shared" si="0"/>
        <v>Don't Show</v>
      </c>
      <c r="C22" s="1734" t="str">
        <f>IFERROR(INDEX('Grant Management_4 imp-exp'!$D$2:$D$10,MATCH('Grant Management_4'!A22,'Grant Management_4 imp-exp'!$B$2:$B$8,0)),"")</f>
        <v/>
      </c>
      <c r="D22" s="1735"/>
      <c r="E22" s="1274"/>
      <c r="F22" s="1710"/>
      <c r="G22" s="1711"/>
      <c r="H22" s="1274"/>
      <c r="I22" s="1710"/>
      <c r="J22" s="1711"/>
      <c r="K22" s="1275"/>
      <c r="L22" s="1276"/>
    </row>
    <row r="23" spans="1:12" s="2" customFormat="1" ht="120" hidden="1" customHeight="1" x14ac:dyDescent="0.2">
      <c r="A23" s="646" t="s">
        <v>1205</v>
      </c>
      <c r="B23" s="700" t="str">
        <f t="shared" si="0"/>
        <v>Don't Show</v>
      </c>
      <c r="C23" s="1734" t="str">
        <f>IFERROR(INDEX('Grant Management_4 imp-exp'!$D$2:$D$10,MATCH('Grant Management_4'!A23,'Grant Management_4 imp-exp'!$B$2:$B$8,0)),"")</f>
        <v/>
      </c>
      <c r="D23" s="1735"/>
      <c r="E23" s="1274"/>
      <c r="F23" s="1710"/>
      <c r="G23" s="1711"/>
      <c r="H23" s="1274"/>
      <c r="I23" s="1710"/>
      <c r="J23" s="1711"/>
      <c r="K23" s="1275"/>
      <c r="L23" s="1276"/>
    </row>
    <row r="24" spans="1:12" s="2" customFormat="1" ht="120" hidden="1" customHeight="1" x14ac:dyDescent="0.2">
      <c r="A24" s="646" t="s">
        <v>1206</v>
      </c>
      <c r="B24" s="700" t="str">
        <f t="shared" si="0"/>
        <v>Don't Show</v>
      </c>
      <c r="C24" s="1734" t="str">
        <f>IFERROR(INDEX('Grant Management_4 imp-exp'!$D$2:$D$10,MATCH('Grant Management_4'!A24,'Grant Management_4 imp-exp'!$B$2:$B$8,0)),"")</f>
        <v/>
      </c>
      <c r="D24" s="1735"/>
      <c r="E24" s="1274"/>
      <c r="F24" s="1710"/>
      <c r="G24" s="1711"/>
      <c r="H24" s="1274"/>
      <c r="I24" s="1710"/>
      <c r="J24" s="1711"/>
      <c r="K24" s="1275"/>
      <c r="L24" s="1276"/>
    </row>
    <row r="25" spans="1:12" s="2" customFormat="1" ht="120" hidden="1" customHeight="1" x14ac:dyDescent="0.2">
      <c r="A25" s="646" t="s">
        <v>1207</v>
      </c>
      <c r="B25" s="700" t="str">
        <f t="shared" si="0"/>
        <v>Don't Show</v>
      </c>
      <c r="C25" s="1734" t="str">
        <f>IFERROR(INDEX('Grant Management_4 imp-exp'!$D$2:$D$10,MATCH('Grant Management_4'!A25,'Grant Management_4 imp-exp'!$B$2:$B$8,0)),"")</f>
        <v/>
      </c>
      <c r="D25" s="1735"/>
      <c r="E25" s="1274"/>
      <c r="F25" s="1710"/>
      <c r="G25" s="1711"/>
      <c r="H25" s="1274"/>
      <c r="I25" s="1710"/>
      <c r="J25" s="1711"/>
      <c r="K25" s="1275"/>
      <c r="L25" s="1276"/>
    </row>
    <row r="26" spans="1:12" s="2" customFormat="1" ht="120" hidden="1" customHeight="1" x14ac:dyDescent="0.2">
      <c r="A26" s="646" t="s">
        <v>1208</v>
      </c>
      <c r="B26" s="700" t="str">
        <f t="shared" si="0"/>
        <v>Don't Show</v>
      </c>
      <c r="C26" s="1734" t="str">
        <f>IFERROR(INDEX('Grant Management_4 imp-exp'!$D$2:$D$10,MATCH('Grant Management_4'!A26,'Grant Management_4 imp-exp'!$B$2:$B$8,0)),"")</f>
        <v/>
      </c>
      <c r="D26" s="1735"/>
      <c r="E26" s="1274"/>
      <c r="F26" s="1710"/>
      <c r="G26" s="1711"/>
      <c r="H26" s="1274"/>
      <c r="I26" s="1710"/>
      <c r="J26" s="1711"/>
      <c r="K26" s="1275"/>
      <c r="L26" s="1276"/>
    </row>
    <row r="27" spans="1:12" s="2" customFormat="1" ht="120" hidden="1" customHeight="1" x14ac:dyDescent="0.2">
      <c r="A27" s="646" t="s">
        <v>1209</v>
      </c>
      <c r="B27" s="700" t="str">
        <f t="shared" si="0"/>
        <v>Don't Show</v>
      </c>
      <c r="C27" s="1734" t="str">
        <f>IFERROR(INDEX('Grant Management_4 imp-exp'!$D$2:$D$10,MATCH('Grant Management_4'!A27,'Grant Management_4 imp-exp'!$B$2:$B$8,0)),"")</f>
        <v/>
      </c>
      <c r="D27" s="1735"/>
      <c r="E27" s="1274"/>
      <c r="F27" s="1710"/>
      <c r="G27" s="1711"/>
      <c r="H27" s="1274"/>
      <c r="I27" s="1710"/>
      <c r="J27" s="1711"/>
      <c r="K27" s="1275"/>
      <c r="L27" s="1276"/>
    </row>
    <row r="28" spans="1:12" s="2" customFormat="1" ht="120" hidden="1" customHeight="1" x14ac:dyDescent="0.2">
      <c r="A28" s="646" t="s">
        <v>1210</v>
      </c>
      <c r="B28" s="700" t="str">
        <f t="shared" si="0"/>
        <v>Don't Show</v>
      </c>
      <c r="C28" s="1734" t="str">
        <f>IFERROR(INDEX('Grant Management_4 imp-exp'!$D$2:$D$10,MATCH('Grant Management_4'!A28,'Grant Management_4 imp-exp'!$B$2:$B$8,0)),"")</f>
        <v/>
      </c>
      <c r="D28" s="1735"/>
      <c r="E28" s="1274"/>
      <c r="F28" s="1710"/>
      <c r="G28" s="1711"/>
      <c r="H28" s="1274"/>
      <c r="I28" s="1710"/>
      <c r="J28" s="1711"/>
      <c r="K28" s="1275"/>
      <c r="L28" s="1276"/>
    </row>
    <row r="29" spans="1:12" s="2" customFormat="1" ht="120" hidden="1" customHeight="1" x14ac:dyDescent="0.2">
      <c r="A29" s="646" t="s">
        <v>1211</v>
      </c>
      <c r="B29" s="700" t="str">
        <f t="shared" si="0"/>
        <v>Don't Show</v>
      </c>
      <c r="C29" s="1734" t="str">
        <f>IFERROR(INDEX('Grant Management_4 imp-exp'!$D$2:$D$10,MATCH('Grant Management_4'!A29,'Grant Management_4 imp-exp'!$B$2:$B$8,0)),"")</f>
        <v/>
      </c>
      <c r="D29" s="1735"/>
      <c r="E29" s="1274"/>
      <c r="F29" s="1710"/>
      <c r="G29" s="1711"/>
      <c r="H29" s="1274"/>
      <c r="I29" s="1710"/>
      <c r="J29" s="1711"/>
      <c r="K29" s="1275"/>
      <c r="L29" s="1276"/>
    </row>
    <row r="30" spans="1:12" s="2" customFormat="1" ht="120" hidden="1" customHeight="1" x14ac:dyDescent="0.2">
      <c r="A30" s="646" t="s">
        <v>1212</v>
      </c>
      <c r="B30" s="700" t="str">
        <f t="shared" si="0"/>
        <v>Don't Show</v>
      </c>
      <c r="C30" s="1734" t="str">
        <f>IFERROR(INDEX('Grant Management_4 imp-exp'!$D$2:$D$10,MATCH('Grant Management_4'!A30,'Grant Management_4 imp-exp'!$B$2:$B$8,0)),"")</f>
        <v/>
      </c>
      <c r="D30" s="1735"/>
      <c r="E30" s="1274"/>
      <c r="F30" s="1710"/>
      <c r="G30" s="1711"/>
      <c r="H30" s="1274"/>
      <c r="I30" s="1710"/>
      <c r="J30" s="1711"/>
      <c r="K30" s="1275"/>
      <c r="L30" s="1276"/>
    </row>
    <row r="31" spans="1:12" s="2" customFormat="1" ht="120" hidden="1" customHeight="1" x14ac:dyDescent="0.2">
      <c r="A31" s="646" t="s">
        <v>1213</v>
      </c>
      <c r="B31" s="700" t="str">
        <f t="shared" si="0"/>
        <v>Don't Show</v>
      </c>
      <c r="C31" s="1734" t="str">
        <f>IFERROR(INDEX('Grant Management_4 imp-exp'!$D$2:$D$10,MATCH('Grant Management_4'!A31,'Grant Management_4 imp-exp'!$B$2:$B$8,0)),"")</f>
        <v/>
      </c>
      <c r="D31" s="1735"/>
      <c r="E31" s="1274"/>
      <c r="F31" s="1710"/>
      <c r="G31" s="1711"/>
      <c r="H31" s="1274"/>
      <c r="I31" s="1710"/>
      <c r="J31" s="1711"/>
      <c r="K31" s="1275"/>
      <c r="L31" s="1276"/>
    </row>
    <row r="32" spans="1:12" s="2" customFormat="1" ht="120" hidden="1" customHeight="1" x14ac:dyDescent="0.2">
      <c r="A32" s="646" t="s">
        <v>1214</v>
      </c>
      <c r="B32" s="700" t="str">
        <f t="shared" si="0"/>
        <v>Don't Show</v>
      </c>
      <c r="C32" s="1734" t="str">
        <f>IFERROR(INDEX('Grant Management_4 imp-exp'!$D$2:$D$10,MATCH('Grant Management_4'!A32,'Grant Management_4 imp-exp'!$B$2:$B$8,0)),"")</f>
        <v/>
      </c>
      <c r="D32" s="1735"/>
      <c r="E32" s="1274"/>
      <c r="F32" s="1710"/>
      <c r="G32" s="1711"/>
      <c r="H32" s="1274"/>
      <c r="I32" s="1710"/>
      <c r="J32" s="1711"/>
      <c r="K32" s="1275"/>
      <c r="L32" s="1276"/>
    </row>
    <row r="33" spans="1:12" s="2" customFormat="1" ht="120" hidden="1" customHeight="1" x14ac:dyDescent="0.2">
      <c r="A33" s="646" t="s">
        <v>1215</v>
      </c>
      <c r="B33" s="700" t="str">
        <f t="shared" si="0"/>
        <v>Don't Show</v>
      </c>
      <c r="C33" s="1734" t="str">
        <f>IFERROR(INDEX('Grant Management_4 imp-exp'!$D$2:$D$10,MATCH('Grant Management_4'!A33,'Grant Management_4 imp-exp'!$B$2:$B$8,0)),"")</f>
        <v/>
      </c>
      <c r="D33" s="1735"/>
      <c r="E33" s="1274"/>
      <c r="F33" s="1710"/>
      <c r="G33" s="1711"/>
      <c r="H33" s="1274"/>
      <c r="I33" s="1710"/>
      <c r="J33" s="1711"/>
      <c r="K33" s="1275"/>
      <c r="L33" s="1276"/>
    </row>
    <row r="34" spans="1:12" s="2" customFormat="1" ht="120" hidden="1" customHeight="1" x14ac:dyDescent="0.2">
      <c r="A34" s="646" t="s">
        <v>1216</v>
      </c>
      <c r="B34" s="700" t="str">
        <f t="shared" si="0"/>
        <v>Don't Show</v>
      </c>
      <c r="C34" s="1734" t="str">
        <f>IFERROR(INDEX('Grant Management_4 imp-exp'!$D$2:$D$10,MATCH('Grant Management_4'!A34,'Grant Management_4 imp-exp'!$B$2:$B$8,0)),"")</f>
        <v/>
      </c>
      <c r="D34" s="1735"/>
      <c r="E34" s="1274"/>
      <c r="F34" s="1710"/>
      <c r="G34" s="1711"/>
      <c r="H34" s="1274"/>
      <c r="I34" s="1710"/>
      <c r="J34" s="1711"/>
      <c r="K34" s="1275"/>
      <c r="L34" s="1276"/>
    </row>
    <row r="35" spans="1:12" s="2" customFormat="1" ht="120" hidden="1" customHeight="1" x14ac:dyDescent="0.2">
      <c r="A35" s="646" t="s">
        <v>1217</v>
      </c>
      <c r="B35" s="700" t="str">
        <f t="shared" si="0"/>
        <v>Don't Show</v>
      </c>
      <c r="C35" s="1734" t="str">
        <f>IFERROR(INDEX('Grant Management_4 imp-exp'!$D$2:$D$10,MATCH('Grant Management_4'!A35,'Grant Management_4 imp-exp'!$B$2:$B$8,0)),"")</f>
        <v/>
      </c>
      <c r="D35" s="1735"/>
      <c r="E35" s="1274"/>
      <c r="F35" s="1710"/>
      <c r="G35" s="1711"/>
      <c r="H35" s="1274"/>
      <c r="I35" s="1710"/>
      <c r="J35" s="1711"/>
      <c r="K35" s="1275"/>
      <c r="L35" s="1276"/>
    </row>
    <row r="36" spans="1:12" s="2" customFormat="1" ht="120" hidden="1" customHeight="1" x14ac:dyDescent="0.2">
      <c r="A36" s="646" t="s">
        <v>1218</v>
      </c>
      <c r="B36" s="700" t="str">
        <f t="shared" si="0"/>
        <v>Don't Show</v>
      </c>
      <c r="C36" s="1734" t="str">
        <f>IFERROR(INDEX('Grant Management_4 imp-exp'!$D$2:$D$10,MATCH('Grant Management_4'!A36,'Grant Management_4 imp-exp'!$B$2:$B$8,0)),"")</f>
        <v/>
      </c>
      <c r="D36" s="1735"/>
      <c r="E36" s="1274"/>
      <c r="F36" s="1710"/>
      <c r="G36" s="1711"/>
      <c r="H36" s="1274"/>
      <c r="I36" s="1710"/>
      <c r="J36" s="1711"/>
      <c r="K36" s="1275"/>
      <c r="L36" s="1276"/>
    </row>
    <row r="37" spans="1:12" s="2" customFormat="1" ht="120" hidden="1" customHeight="1" x14ac:dyDescent="0.2">
      <c r="A37" s="646" t="s">
        <v>1219</v>
      </c>
      <c r="B37" s="700" t="str">
        <f t="shared" si="0"/>
        <v>Don't Show</v>
      </c>
      <c r="C37" s="1734" t="str">
        <f>IFERROR(INDEX('Grant Management_4 imp-exp'!$D$2:$D$10,MATCH('Grant Management_4'!A37,'Grant Management_4 imp-exp'!$B$2:$B$8,0)),"")</f>
        <v/>
      </c>
      <c r="D37" s="1735"/>
      <c r="E37" s="1274"/>
      <c r="F37" s="1710"/>
      <c r="G37" s="1711"/>
      <c r="H37" s="1274"/>
      <c r="I37" s="1710"/>
      <c r="J37" s="1711"/>
      <c r="K37" s="1275"/>
      <c r="L37" s="1276"/>
    </row>
    <row r="38" spans="1:12" s="2" customFormat="1" ht="120" hidden="1" customHeight="1" x14ac:dyDescent="0.2">
      <c r="A38" s="646" t="s">
        <v>1220</v>
      </c>
      <c r="B38" s="700" t="str">
        <f t="shared" si="0"/>
        <v>Don't Show</v>
      </c>
      <c r="C38" s="1734" t="str">
        <f>IFERROR(INDEX('Grant Management_4 imp-exp'!$D$2:$D$10,MATCH('Grant Management_4'!A38,'Grant Management_4 imp-exp'!$B$2:$B$8,0)),"")</f>
        <v/>
      </c>
      <c r="D38" s="1735"/>
      <c r="E38" s="1274"/>
      <c r="F38" s="1710"/>
      <c r="G38" s="1711"/>
      <c r="H38" s="1274"/>
      <c r="I38" s="1710"/>
      <c r="J38" s="1711"/>
      <c r="K38" s="1275"/>
      <c r="L38" s="1276"/>
    </row>
    <row r="39" spans="1:12" s="2" customFormat="1" ht="120" hidden="1" customHeight="1" x14ac:dyDescent="0.2">
      <c r="A39" s="646" t="s">
        <v>1221</v>
      </c>
      <c r="B39" s="700" t="str">
        <f t="shared" si="0"/>
        <v>Don't Show</v>
      </c>
      <c r="C39" s="1734" t="str">
        <f>IFERROR(INDEX('Grant Management_4 imp-exp'!$D$2:$D$10,MATCH('Grant Management_4'!A39,'Grant Management_4 imp-exp'!$B$2:$B$8,0)),"")</f>
        <v/>
      </c>
      <c r="D39" s="1735"/>
      <c r="E39" s="1274"/>
      <c r="F39" s="1710"/>
      <c r="G39" s="1711"/>
      <c r="H39" s="1274"/>
      <c r="I39" s="1710"/>
      <c r="J39" s="1711"/>
      <c r="K39" s="1275"/>
      <c r="L39" s="1276"/>
    </row>
    <row r="40" spans="1:12" s="2" customFormat="1" ht="120" hidden="1" customHeight="1" x14ac:dyDescent="0.2">
      <c r="A40" s="646" t="s">
        <v>1222</v>
      </c>
      <c r="B40" s="700" t="str">
        <f t="shared" si="0"/>
        <v>Don't Show</v>
      </c>
      <c r="C40" s="1734" t="str">
        <f>IFERROR(INDEX('Grant Management_4 imp-exp'!$D$2:$D$10,MATCH('Grant Management_4'!A40,'Grant Management_4 imp-exp'!$B$2:$B$8,0)),"")</f>
        <v/>
      </c>
      <c r="D40" s="1735"/>
      <c r="E40" s="1274"/>
      <c r="F40" s="1710"/>
      <c r="G40" s="1711"/>
      <c r="H40" s="1274"/>
      <c r="I40" s="1710"/>
      <c r="J40" s="1711"/>
      <c r="K40" s="1275"/>
      <c r="L40" s="1276"/>
    </row>
    <row r="41" spans="1:12" s="2" customFormat="1" ht="120" hidden="1" customHeight="1" x14ac:dyDescent="0.2">
      <c r="A41" s="646" t="s">
        <v>1223</v>
      </c>
      <c r="B41" s="700" t="str">
        <f t="shared" si="0"/>
        <v>Don't Show</v>
      </c>
      <c r="C41" s="1734" t="str">
        <f>IFERROR(INDEX('Grant Management_4 imp-exp'!$D$2:$D$10,MATCH('Grant Management_4'!A41,'Grant Management_4 imp-exp'!$B$2:$B$8,0)),"")</f>
        <v/>
      </c>
      <c r="D41" s="1735"/>
      <c r="E41" s="1274"/>
      <c r="F41" s="1710"/>
      <c r="G41" s="1711"/>
      <c r="H41" s="1274"/>
      <c r="I41" s="1710"/>
      <c r="J41" s="1711"/>
      <c r="K41" s="1275"/>
      <c r="L41" s="1276"/>
    </row>
    <row r="42" spans="1:12" ht="120" hidden="1" customHeight="1" x14ac:dyDescent="0.2">
      <c r="A42" s="646" t="s">
        <v>1224</v>
      </c>
      <c r="B42" s="700" t="str">
        <f t="shared" si="0"/>
        <v>Don't Show</v>
      </c>
      <c r="C42" s="1734" t="str">
        <f>IFERROR(INDEX('Grant Management_4 imp-exp'!$D$2:$D$10,MATCH('Grant Management_4'!A42,'Grant Management_4 imp-exp'!$B$2:$B$8,0)),"")</f>
        <v/>
      </c>
      <c r="D42" s="1735"/>
      <c r="E42" s="1274"/>
      <c r="F42" s="1710"/>
      <c r="G42" s="1711"/>
      <c r="H42" s="1274"/>
      <c r="I42" s="1710"/>
      <c r="J42" s="1711"/>
      <c r="K42" s="1275"/>
      <c r="L42" s="1276"/>
    </row>
    <row r="43" spans="1:12" ht="120" hidden="1" customHeight="1" x14ac:dyDescent="0.2">
      <c r="A43" s="646" t="s">
        <v>1225</v>
      </c>
      <c r="B43" s="700" t="str">
        <f t="shared" si="0"/>
        <v>Don't Show</v>
      </c>
      <c r="C43" s="1734" t="str">
        <f>IFERROR(INDEX('Grant Management_4 imp-exp'!$D$2:$D$10,MATCH('Grant Management_4'!A43,'Grant Management_4 imp-exp'!$B$2:$B$8,0)),"")</f>
        <v/>
      </c>
      <c r="D43" s="1735"/>
      <c r="E43" s="1274"/>
      <c r="F43" s="1710"/>
      <c r="G43" s="1711"/>
      <c r="H43" s="1274"/>
      <c r="I43" s="1710"/>
      <c r="J43" s="1711"/>
      <c r="K43" s="1275"/>
      <c r="L43" s="1276"/>
    </row>
    <row r="44" spans="1:12" ht="120" hidden="1" customHeight="1" x14ac:dyDescent="0.2">
      <c r="A44" s="646" t="s">
        <v>1226</v>
      </c>
      <c r="B44" s="700" t="str">
        <f t="shared" si="0"/>
        <v>Don't Show</v>
      </c>
      <c r="C44" s="1734" t="str">
        <f>IFERROR(INDEX('Grant Management_4 imp-exp'!$D$2:$D$10,MATCH('Grant Management_4'!A44,'Grant Management_4 imp-exp'!$B$2:$B$8,0)),"")</f>
        <v/>
      </c>
      <c r="D44" s="1735"/>
      <c r="E44" s="1274"/>
      <c r="F44" s="1710"/>
      <c r="G44" s="1711"/>
      <c r="H44" s="1274"/>
      <c r="I44" s="1710"/>
      <c r="J44" s="1711"/>
      <c r="K44" s="1275"/>
      <c r="L44" s="1277"/>
    </row>
    <row r="45" spans="1:12" ht="120" hidden="1" customHeight="1" x14ac:dyDescent="0.2">
      <c r="A45" s="646" t="s">
        <v>1227</v>
      </c>
      <c r="B45" s="700" t="str">
        <f t="shared" si="0"/>
        <v>Don't Show</v>
      </c>
      <c r="C45" s="1734" t="str">
        <f>IFERROR(INDEX('Grant Management_4 imp-exp'!$D$2:$D$10,MATCH('Grant Management_4'!A45,'Grant Management_4 imp-exp'!$B$2:$B$8,0)),"")</f>
        <v/>
      </c>
      <c r="D45" s="1735"/>
      <c r="E45" s="1274"/>
      <c r="F45" s="1710"/>
      <c r="G45" s="1711"/>
      <c r="H45" s="1274"/>
      <c r="I45" s="1710"/>
      <c r="J45" s="1711"/>
      <c r="K45" s="1275"/>
      <c r="L45" s="1277"/>
    </row>
    <row r="46" spans="1:12" ht="120" hidden="1" customHeight="1" x14ac:dyDescent="0.2">
      <c r="A46" s="646" t="s">
        <v>1228</v>
      </c>
      <c r="B46" s="700" t="str">
        <f t="shared" si="0"/>
        <v>Don't Show</v>
      </c>
      <c r="C46" s="1734" t="str">
        <f>IFERROR(INDEX('Grant Management_4 imp-exp'!$D$2:$D$10,MATCH('Grant Management_4'!A46,'Grant Management_4 imp-exp'!$B$2:$B$8,0)),"")</f>
        <v/>
      </c>
      <c r="D46" s="1735"/>
      <c r="E46" s="1274"/>
      <c r="F46" s="1710"/>
      <c r="G46" s="1711"/>
      <c r="H46" s="1274"/>
      <c r="I46" s="1710"/>
      <c r="J46" s="1711"/>
      <c r="K46" s="1275"/>
      <c r="L46" s="1277"/>
    </row>
    <row r="47" spans="1:12" ht="120" hidden="1" customHeight="1" x14ac:dyDescent="0.2">
      <c r="A47" s="646" t="s">
        <v>1229</v>
      </c>
      <c r="B47" s="700" t="str">
        <f t="shared" si="0"/>
        <v>Don't Show</v>
      </c>
      <c r="C47" s="1734" t="str">
        <f>IFERROR(INDEX('Grant Management_4 imp-exp'!$D$2:$D$10,MATCH('Grant Management_4'!A47,'Grant Management_4 imp-exp'!$B$2:$B$8,0)),"")</f>
        <v/>
      </c>
      <c r="D47" s="1735"/>
      <c r="E47" s="1274"/>
      <c r="F47" s="1710"/>
      <c r="G47" s="1711"/>
      <c r="H47" s="1274"/>
      <c r="I47" s="1710"/>
      <c r="J47" s="1711"/>
      <c r="K47" s="1275"/>
      <c r="L47" s="1277"/>
    </row>
    <row r="48" spans="1:12" ht="120" hidden="1" customHeight="1" x14ac:dyDescent="0.2">
      <c r="A48" s="646" t="s">
        <v>1230</v>
      </c>
      <c r="B48" s="700" t="str">
        <f t="shared" si="0"/>
        <v>Don't Show</v>
      </c>
      <c r="C48" s="1734" t="str">
        <f>IFERROR(INDEX('Grant Management_4 imp-exp'!$D$2:$D$10,MATCH('Grant Management_4'!A48,'Grant Management_4 imp-exp'!$B$2:$B$8,0)),"")</f>
        <v/>
      </c>
      <c r="D48" s="1735"/>
      <c r="E48" s="1274"/>
      <c r="F48" s="1710"/>
      <c r="G48" s="1711"/>
      <c r="H48" s="1274"/>
      <c r="I48" s="1710"/>
      <c r="J48" s="1711"/>
      <c r="K48" s="1275"/>
      <c r="L48" s="1277"/>
    </row>
    <row r="49" spans="1:12" ht="120" hidden="1" customHeight="1" x14ac:dyDescent="0.2">
      <c r="A49" s="646" t="s">
        <v>1231</v>
      </c>
      <c r="B49" s="700" t="str">
        <f t="shared" si="0"/>
        <v>Don't Show</v>
      </c>
      <c r="C49" s="1734" t="str">
        <f>IFERROR(INDEX('Grant Management_4 imp-exp'!$D$2:$D$10,MATCH('Grant Management_4'!A49,'Grant Management_4 imp-exp'!$B$2:$B$8,0)),"")</f>
        <v/>
      </c>
      <c r="D49" s="1735"/>
      <c r="E49" s="1274"/>
      <c r="F49" s="1710"/>
      <c r="G49" s="1711"/>
      <c r="H49" s="1274"/>
      <c r="I49" s="1710"/>
      <c r="J49" s="1711"/>
      <c r="K49" s="1275"/>
      <c r="L49" s="1277"/>
    </row>
    <row r="50" spans="1:12" ht="120" hidden="1" customHeight="1" x14ac:dyDescent="0.2">
      <c r="A50" s="646" t="s">
        <v>1232</v>
      </c>
      <c r="B50" s="700" t="str">
        <f t="shared" si="0"/>
        <v>Don't Show</v>
      </c>
      <c r="C50" s="1734" t="str">
        <f>IFERROR(INDEX('Grant Management_4 imp-exp'!$D$2:$D$10,MATCH('Grant Management_4'!A50,'Grant Management_4 imp-exp'!$B$2:$B$8,0)),"")</f>
        <v/>
      </c>
      <c r="D50" s="1735"/>
      <c r="E50" s="1274"/>
      <c r="F50" s="1710"/>
      <c r="G50" s="1711"/>
      <c r="H50" s="1274"/>
      <c r="I50" s="1710"/>
      <c r="J50" s="1711"/>
      <c r="K50" s="1275"/>
      <c r="L50" s="1277"/>
    </row>
    <row r="51" spans="1:12" ht="120" hidden="1" customHeight="1" x14ac:dyDescent="0.2">
      <c r="A51" s="646" t="s">
        <v>1233</v>
      </c>
      <c r="B51" s="700" t="str">
        <f t="shared" si="0"/>
        <v>Don't Show</v>
      </c>
      <c r="C51" s="1734" t="str">
        <f>IFERROR(INDEX('Grant Management_4 imp-exp'!$D$2:$D$10,MATCH('Grant Management_4'!A51,'Grant Management_4 imp-exp'!$B$2:$B$8,0)),"")</f>
        <v/>
      </c>
      <c r="D51" s="1735"/>
      <c r="E51" s="1274"/>
      <c r="F51" s="1710"/>
      <c r="G51" s="1711"/>
      <c r="H51" s="1274"/>
      <c r="I51" s="1710"/>
      <c r="J51" s="1711"/>
      <c r="K51" s="1275"/>
      <c r="L51" s="1277"/>
    </row>
    <row r="52" spans="1:12" ht="120" hidden="1" customHeight="1" x14ac:dyDescent="0.2">
      <c r="A52" s="646" t="s">
        <v>1234</v>
      </c>
      <c r="B52" s="700" t="str">
        <f t="shared" si="0"/>
        <v>Don't Show</v>
      </c>
      <c r="C52" s="1734" t="str">
        <f>IFERROR(INDEX('Grant Management_4 imp-exp'!$D$2:$D$10,MATCH('Grant Management_4'!A52,'Grant Management_4 imp-exp'!$B$2:$B$8,0)),"")</f>
        <v/>
      </c>
      <c r="D52" s="1735"/>
      <c r="E52" s="1274"/>
      <c r="F52" s="1710"/>
      <c r="G52" s="1711"/>
      <c r="H52" s="1274"/>
      <c r="I52" s="1710"/>
      <c r="J52" s="1711"/>
      <c r="K52" s="1275"/>
      <c r="L52" s="1277"/>
    </row>
    <row r="53" spans="1:12" ht="120" hidden="1" customHeight="1" x14ac:dyDescent="0.2">
      <c r="A53" s="646" t="s">
        <v>1235</v>
      </c>
      <c r="B53" s="700" t="str">
        <f t="shared" si="0"/>
        <v>Don't Show</v>
      </c>
      <c r="C53" s="1734" t="str">
        <f>IFERROR(INDEX('Grant Management_4 imp-exp'!$D$2:$D$10,MATCH('Grant Management_4'!A53,'Grant Management_4 imp-exp'!$B$2:$B$8,0)),"")</f>
        <v/>
      </c>
      <c r="D53" s="1735"/>
      <c r="E53" s="1274"/>
      <c r="F53" s="1710"/>
      <c r="G53" s="1711"/>
      <c r="H53" s="1274"/>
      <c r="I53" s="1710"/>
      <c r="J53" s="1711"/>
      <c r="K53" s="1275"/>
      <c r="L53" s="1277"/>
    </row>
    <row r="54" spans="1:12" ht="120" hidden="1" customHeight="1" x14ac:dyDescent="0.2">
      <c r="A54" s="646" t="s">
        <v>1236</v>
      </c>
      <c r="B54" s="700" t="str">
        <f t="shared" si="0"/>
        <v>Don't Show</v>
      </c>
      <c r="C54" s="1734" t="str">
        <f>IFERROR(INDEX('Grant Management_4 imp-exp'!$D$2:$D$10,MATCH('Grant Management_4'!A54,'Grant Management_4 imp-exp'!$B$2:$B$8,0)),"")</f>
        <v/>
      </c>
      <c r="D54" s="1735"/>
      <c r="E54" s="1274"/>
      <c r="F54" s="1710"/>
      <c r="G54" s="1711"/>
      <c r="H54" s="1274"/>
      <c r="I54" s="1710"/>
      <c r="J54" s="1711"/>
      <c r="K54" s="1275"/>
      <c r="L54" s="1277"/>
    </row>
    <row r="55" spans="1:12" ht="120" hidden="1" customHeight="1" x14ac:dyDescent="0.2">
      <c r="A55" s="646" t="s">
        <v>1237</v>
      </c>
      <c r="B55" s="700" t="str">
        <f t="shared" si="0"/>
        <v>Don't Show</v>
      </c>
      <c r="C55" s="1734" t="str">
        <f>IFERROR(INDEX('Grant Management_4 imp-exp'!$D$2:$D$10,MATCH('Grant Management_4'!A55,'Grant Management_4 imp-exp'!$B$2:$B$8,0)),"")</f>
        <v/>
      </c>
      <c r="D55" s="1735"/>
      <c r="E55" s="1274"/>
      <c r="F55" s="1710"/>
      <c r="G55" s="1711"/>
      <c r="H55" s="1274"/>
      <c r="I55" s="1710"/>
      <c r="J55" s="1711"/>
      <c r="K55" s="1275"/>
      <c r="L55" s="1277"/>
    </row>
    <row r="56" spans="1:12" ht="120" hidden="1" customHeight="1" x14ac:dyDescent="0.2">
      <c r="A56" s="646" t="s">
        <v>1238</v>
      </c>
      <c r="B56" s="700" t="str">
        <f t="shared" si="0"/>
        <v>Don't Show</v>
      </c>
      <c r="C56" s="1734" t="str">
        <f>IFERROR(INDEX('Grant Management_4 imp-exp'!$D$2:$D$10,MATCH('Grant Management_4'!A56,'Grant Management_4 imp-exp'!$B$2:$B$8,0)),"")</f>
        <v/>
      </c>
      <c r="D56" s="1735"/>
      <c r="E56" s="1274"/>
      <c r="F56" s="1710"/>
      <c r="G56" s="1711"/>
      <c r="H56" s="1274"/>
      <c r="I56" s="1710"/>
      <c r="J56" s="1711"/>
      <c r="K56" s="1275"/>
      <c r="L56" s="1277"/>
    </row>
    <row r="57" spans="1:12" ht="120" hidden="1" customHeight="1" x14ac:dyDescent="0.2">
      <c r="A57" s="646" t="s">
        <v>1239</v>
      </c>
      <c r="B57" s="700" t="str">
        <f t="shared" si="0"/>
        <v>Don't Show</v>
      </c>
      <c r="C57" s="1734" t="str">
        <f>IFERROR(INDEX('Grant Management_4 imp-exp'!$D$2:$D$10,MATCH('Grant Management_4'!A57,'Grant Management_4 imp-exp'!$B$2:$B$8,0)),"")</f>
        <v/>
      </c>
      <c r="D57" s="1735"/>
      <c r="E57" s="1274"/>
      <c r="F57" s="1710"/>
      <c r="G57" s="1711"/>
      <c r="H57" s="1274"/>
      <c r="I57" s="1710"/>
      <c r="J57" s="1711"/>
      <c r="K57" s="1275"/>
      <c r="L57" s="1277"/>
    </row>
    <row r="58" spans="1:12" ht="120" hidden="1" customHeight="1" x14ac:dyDescent="0.2">
      <c r="A58" s="646" t="s">
        <v>1240</v>
      </c>
      <c r="B58" s="700" t="str">
        <f t="shared" si="0"/>
        <v>Don't Show</v>
      </c>
      <c r="C58" s="1734" t="str">
        <f>IFERROR(INDEX('Grant Management_4 imp-exp'!$D$2:$D$10,MATCH('Grant Management_4'!A58,'Grant Management_4 imp-exp'!$B$2:$B$8,0)),"")</f>
        <v/>
      </c>
      <c r="D58" s="1735"/>
      <c r="E58" s="1274"/>
      <c r="F58" s="1710"/>
      <c r="G58" s="1711"/>
      <c r="H58" s="1274"/>
      <c r="I58" s="1710"/>
      <c r="J58" s="1711"/>
      <c r="K58" s="1275"/>
      <c r="L58" s="1277"/>
    </row>
    <row r="59" spans="1:12" ht="120" hidden="1" customHeight="1" thickBot="1" x14ac:dyDescent="0.25">
      <c r="A59" s="646" t="s">
        <v>1241</v>
      </c>
      <c r="B59" s="700" t="str">
        <f t="shared" si="0"/>
        <v>Don't Show</v>
      </c>
      <c r="C59" s="1744" t="str">
        <f>IFERROR(INDEX('Grant Management_4 imp-exp'!$D$2:$D$10,MATCH('Grant Management_4'!A59,'Grant Management_4 imp-exp'!$B$2:$B$8,0)),"")</f>
        <v/>
      </c>
      <c r="D59" s="1745"/>
      <c r="E59" s="1278"/>
      <c r="F59" s="1729"/>
      <c r="G59" s="1730"/>
      <c r="H59" s="1278"/>
      <c r="I59" s="1729"/>
      <c r="J59" s="1730"/>
      <c r="K59" s="1279"/>
      <c r="L59" s="1280"/>
    </row>
    <row r="60" spans="1:12" s="475" customFormat="1" ht="14.25" customHeight="1" thickBot="1" x14ac:dyDescent="0.3">
      <c r="A60" s="647"/>
      <c r="B60" s="700" t="str">
        <f t="shared" si="0"/>
        <v>Show</v>
      </c>
      <c r="C60" s="696" t="s">
        <v>1242</v>
      </c>
      <c r="D60" s="476"/>
      <c r="E60" s="476"/>
      <c r="F60" s="476"/>
      <c r="G60" s="476"/>
      <c r="H60" s="476"/>
    </row>
    <row r="61" spans="1:12" ht="34.5" customHeight="1" thickBot="1" x14ac:dyDescent="0.25">
      <c r="B61" s="700" t="str">
        <f t="shared" si="0"/>
        <v>Show</v>
      </c>
      <c r="C61" s="1727" t="s">
        <v>1243</v>
      </c>
      <c r="D61" s="1728"/>
      <c r="E61" s="1728"/>
      <c r="F61" s="1728"/>
      <c r="G61" s="1728"/>
      <c r="H61" s="1728"/>
      <c r="I61" s="1728"/>
      <c r="J61" s="679"/>
      <c r="K61" s="679"/>
      <c r="L61" s="680"/>
    </row>
    <row r="62" spans="1:12" ht="37.5" customHeight="1" thickBot="1" x14ac:dyDescent="0.25">
      <c r="B62" s="700" t="str">
        <f t="shared" si="0"/>
        <v>Show</v>
      </c>
      <c r="C62" s="681" t="s">
        <v>1242</v>
      </c>
      <c r="D62" s="682"/>
      <c r="E62" s="682"/>
      <c r="F62" s="682"/>
      <c r="G62" s="682"/>
      <c r="H62" s="682"/>
      <c r="I62" s="682"/>
      <c r="J62" s="682"/>
      <c r="K62" s="682"/>
      <c r="L62" s="682"/>
    </row>
    <row r="63" spans="1:12" ht="39" customHeight="1" x14ac:dyDescent="0.2">
      <c r="A63" s="646" t="s">
        <v>122</v>
      </c>
      <c r="B63" s="700" t="str">
        <f t="shared" si="0"/>
        <v>Show</v>
      </c>
      <c r="C63" s="1738" t="s">
        <v>1244</v>
      </c>
      <c r="D63" s="1739"/>
      <c r="E63" s="683" t="s">
        <v>1245</v>
      </c>
      <c r="F63" s="1742" t="s">
        <v>1246</v>
      </c>
      <c r="G63" s="1743"/>
      <c r="H63" s="684" t="s">
        <v>1247</v>
      </c>
      <c r="I63" s="1732" t="s">
        <v>584</v>
      </c>
      <c r="J63" s="1733"/>
      <c r="K63" s="685" t="s">
        <v>1248</v>
      </c>
      <c r="L63" s="686" t="s">
        <v>1249</v>
      </c>
    </row>
    <row r="64" spans="1:12" ht="120" hidden="1" customHeight="1" x14ac:dyDescent="0.2">
      <c r="A64" s="646" t="s">
        <v>1250</v>
      </c>
      <c r="B64" s="700" t="str">
        <f t="shared" si="0"/>
        <v>Don't Show</v>
      </c>
      <c r="C64" s="1740" t="str">
        <f>IFERROR(INDEX('Grant Management_4 imp-exp'!D$19:D$20,MATCH('Grant Management_4'!A64,'Grant Management_4 imp-exp'!$B$19:$B$20,0)),"")</f>
        <v/>
      </c>
      <c r="D64" s="1740"/>
      <c r="E64" s="1281" t="str">
        <f>IFERROR(INDEX('Grant Management_4 imp-exp'!F$19:F$20,MATCH('Grant Management_4'!A64,'Grant Management_4 imp-exp'!$B$19:$B$20,0)),"")</f>
        <v/>
      </c>
      <c r="F64" s="1741" t="str">
        <f>IFERROR(INDEX('Grant Management_4 imp-exp'!G$19:G$20,MATCH('Grant Management_4'!A64,'Grant Management_4 imp-exp'!$B$19:$B$20,0)),"")</f>
        <v/>
      </c>
      <c r="G64" s="1741"/>
      <c r="H64" s="1282"/>
      <c r="I64" s="1731"/>
      <c r="J64" s="1731"/>
      <c r="K64" s="1282"/>
      <c r="L64" s="1282"/>
    </row>
    <row r="65" spans="1:12" ht="120" hidden="1" customHeight="1" x14ac:dyDescent="0.2">
      <c r="A65" s="646" t="s">
        <v>1251</v>
      </c>
      <c r="B65" s="700" t="str">
        <f t="shared" si="0"/>
        <v>Don't Show</v>
      </c>
      <c r="C65" s="1740" t="str">
        <f>IFERROR(INDEX('Grant Management_4 imp-exp'!D$19:D$20,MATCH('Grant Management_4'!A65,'Grant Management_4 imp-exp'!$B$19:$B$20,0)),"")</f>
        <v/>
      </c>
      <c r="D65" s="1740"/>
      <c r="E65" s="1281" t="str">
        <f>IFERROR(INDEX('Grant Management_4 imp-exp'!F$19:F$20,MATCH('Grant Management_4'!A65,'Grant Management_4 imp-exp'!$B$19:$B$20,0)),"")</f>
        <v/>
      </c>
      <c r="F65" s="1741" t="str">
        <f>IFERROR(INDEX('Grant Management_4 imp-exp'!G$19:G$20,MATCH('Grant Management_4'!A65,'Grant Management_4 imp-exp'!$B$19:$B$20,0)),"")</f>
        <v/>
      </c>
      <c r="G65" s="1741"/>
      <c r="H65" s="1282"/>
      <c r="I65" s="1731"/>
      <c r="J65" s="1731"/>
      <c r="K65" s="1282"/>
      <c r="L65" s="1282"/>
    </row>
    <row r="66" spans="1:12" ht="120" hidden="1" customHeight="1" x14ac:dyDescent="0.2">
      <c r="A66" s="646" t="s">
        <v>1252</v>
      </c>
      <c r="B66" s="700" t="str">
        <f t="shared" si="0"/>
        <v>Don't Show</v>
      </c>
      <c r="C66" s="1740" t="str">
        <f>IFERROR(INDEX('Grant Management_4 imp-exp'!D$19:D$20,MATCH('Grant Management_4'!A66,'Grant Management_4 imp-exp'!$B$19:$B$20,0)),"")</f>
        <v/>
      </c>
      <c r="D66" s="1740"/>
      <c r="E66" s="1281" t="str">
        <f>IFERROR(INDEX('Grant Management_4 imp-exp'!F$19:F$20,MATCH('Grant Management_4'!A66,'Grant Management_4 imp-exp'!$B$19:$B$20,0)),"")</f>
        <v/>
      </c>
      <c r="F66" s="1741" t="str">
        <f>IFERROR(INDEX('Grant Management_4 imp-exp'!G$19:G$20,MATCH('Grant Management_4'!A66,'Grant Management_4 imp-exp'!$B$19:$B$20,0)),"")</f>
        <v/>
      </c>
      <c r="G66" s="1741"/>
      <c r="H66" s="1282"/>
      <c r="I66" s="1731"/>
      <c r="J66" s="1731"/>
      <c r="K66" s="1282"/>
      <c r="L66" s="1282"/>
    </row>
    <row r="67" spans="1:12" ht="120" hidden="1" customHeight="1" x14ac:dyDescent="0.2">
      <c r="A67" s="646" t="s">
        <v>1253</v>
      </c>
      <c r="B67" s="700" t="str">
        <f t="shared" si="0"/>
        <v>Don't Show</v>
      </c>
      <c r="C67" s="1740" t="str">
        <f>IFERROR(INDEX('Grant Management_4 imp-exp'!D$19:D$20,MATCH('Grant Management_4'!A67,'Grant Management_4 imp-exp'!$B$19:$B$20,0)),"")</f>
        <v/>
      </c>
      <c r="D67" s="1740"/>
      <c r="E67" s="1281" t="str">
        <f>IFERROR(INDEX('Grant Management_4 imp-exp'!F$19:F$20,MATCH('Grant Management_4'!A67,'Grant Management_4 imp-exp'!$B$19:$B$20,0)),"")</f>
        <v/>
      </c>
      <c r="F67" s="1741" t="str">
        <f>IFERROR(INDEX('Grant Management_4 imp-exp'!G$19:G$20,MATCH('Grant Management_4'!A67,'Grant Management_4 imp-exp'!$B$19:$B$20,0)),"")</f>
        <v/>
      </c>
      <c r="G67" s="1741"/>
      <c r="H67" s="1282"/>
      <c r="I67" s="1731"/>
      <c r="J67" s="1731"/>
      <c r="K67" s="1282"/>
      <c r="L67" s="1282"/>
    </row>
    <row r="68" spans="1:12" ht="120" hidden="1" customHeight="1" x14ac:dyDescent="0.2">
      <c r="A68" s="646" t="s">
        <v>1254</v>
      </c>
      <c r="B68" s="700" t="str">
        <f t="shared" si="0"/>
        <v>Don't Show</v>
      </c>
      <c r="C68" s="1740" t="str">
        <f>IFERROR(INDEX('Grant Management_4 imp-exp'!D$19:D$20,MATCH('Grant Management_4'!A68,'Grant Management_4 imp-exp'!$B$19:$B$20,0)),"")</f>
        <v/>
      </c>
      <c r="D68" s="1740"/>
      <c r="E68" s="1281" t="str">
        <f>IFERROR(INDEX('Grant Management_4 imp-exp'!F$19:F$20,MATCH('Grant Management_4'!A68,'Grant Management_4 imp-exp'!$B$19:$B$20,0)),"")</f>
        <v/>
      </c>
      <c r="F68" s="1741" t="str">
        <f>IFERROR(INDEX('Grant Management_4 imp-exp'!G$19:G$20,MATCH('Grant Management_4'!A68,'Grant Management_4 imp-exp'!$B$19:$B$20,0)),"")</f>
        <v/>
      </c>
      <c r="G68" s="1741"/>
      <c r="H68" s="1282"/>
      <c r="I68" s="1731"/>
      <c r="J68" s="1731"/>
      <c r="K68" s="1282"/>
      <c r="L68" s="1282"/>
    </row>
    <row r="69" spans="1:12" ht="120" hidden="1" customHeight="1" x14ac:dyDescent="0.2">
      <c r="A69" s="646" t="s">
        <v>1255</v>
      </c>
      <c r="B69" s="700" t="str">
        <f t="shared" si="0"/>
        <v>Don't Show</v>
      </c>
      <c r="C69" s="1740" t="str">
        <f>IFERROR(INDEX('Grant Management_4 imp-exp'!D$19:D$20,MATCH('Grant Management_4'!A69,'Grant Management_4 imp-exp'!$B$19:$B$20,0)),"")</f>
        <v/>
      </c>
      <c r="D69" s="1740"/>
      <c r="E69" s="1281" t="str">
        <f>IFERROR(INDEX('Grant Management_4 imp-exp'!F$19:F$20,MATCH('Grant Management_4'!A69,'Grant Management_4 imp-exp'!$B$19:$B$20,0)),"")</f>
        <v/>
      </c>
      <c r="F69" s="1741" t="str">
        <f>IFERROR(INDEX('Grant Management_4 imp-exp'!G$19:G$20,MATCH('Grant Management_4'!A69,'Grant Management_4 imp-exp'!$B$19:$B$20,0)),"")</f>
        <v/>
      </c>
      <c r="G69" s="1741"/>
      <c r="H69" s="1282"/>
      <c r="I69" s="1731"/>
      <c r="J69" s="1731"/>
      <c r="K69" s="1282"/>
      <c r="L69" s="1282"/>
    </row>
    <row r="70" spans="1:12" ht="120" hidden="1" customHeight="1" x14ac:dyDescent="0.2">
      <c r="A70" s="646" t="s">
        <v>1256</v>
      </c>
      <c r="B70" s="700" t="str">
        <f t="shared" si="0"/>
        <v>Don't Show</v>
      </c>
      <c r="C70" s="1740" t="str">
        <f>IFERROR(INDEX('Grant Management_4 imp-exp'!D$19:D$20,MATCH('Grant Management_4'!A70,'Grant Management_4 imp-exp'!$B$19:$B$20,0)),"")</f>
        <v/>
      </c>
      <c r="D70" s="1740"/>
      <c r="E70" s="1281" t="str">
        <f>IFERROR(INDEX('Grant Management_4 imp-exp'!F$19:F$20,MATCH('Grant Management_4'!A70,'Grant Management_4 imp-exp'!$B$19:$B$20,0)),"")</f>
        <v/>
      </c>
      <c r="F70" s="1741" t="str">
        <f>IFERROR(INDEX('Grant Management_4 imp-exp'!G$19:G$20,MATCH('Grant Management_4'!A70,'Grant Management_4 imp-exp'!$B$19:$B$20,0)),"")</f>
        <v/>
      </c>
      <c r="G70" s="1741"/>
      <c r="H70" s="1282"/>
      <c r="I70" s="1731"/>
      <c r="J70" s="1731"/>
      <c r="K70" s="1282"/>
      <c r="L70" s="1282"/>
    </row>
    <row r="71" spans="1:12" ht="120" hidden="1" customHeight="1" x14ac:dyDescent="0.2">
      <c r="A71" s="646" t="s">
        <v>1257</v>
      </c>
      <c r="B71" s="700" t="str">
        <f t="shared" si="0"/>
        <v>Don't Show</v>
      </c>
      <c r="C71" s="1740" t="str">
        <f>IFERROR(INDEX('Grant Management_4 imp-exp'!D$19:D$20,MATCH('Grant Management_4'!A71,'Grant Management_4 imp-exp'!$B$19:$B$20,0)),"")</f>
        <v/>
      </c>
      <c r="D71" s="1740"/>
      <c r="E71" s="1281" t="str">
        <f>IFERROR(INDEX('Grant Management_4 imp-exp'!F$19:F$20,MATCH('Grant Management_4'!A71,'Grant Management_4 imp-exp'!$B$19:$B$20,0)),"")</f>
        <v/>
      </c>
      <c r="F71" s="1741" t="str">
        <f>IFERROR(INDEX('Grant Management_4 imp-exp'!G$19:G$20,MATCH('Grant Management_4'!A71,'Grant Management_4 imp-exp'!$B$19:$B$20,0)),"")</f>
        <v/>
      </c>
      <c r="G71" s="1741"/>
      <c r="H71" s="1282"/>
      <c r="I71" s="1731"/>
      <c r="J71" s="1731"/>
      <c r="K71" s="1282"/>
      <c r="L71" s="1282"/>
    </row>
    <row r="72" spans="1:12" ht="120" hidden="1" customHeight="1" x14ac:dyDescent="0.2">
      <c r="A72" s="646" t="s">
        <v>1258</v>
      </c>
      <c r="B72" s="700" t="str">
        <f t="shared" si="0"/>
        <v>Don't Show</v>
      </c>
      <c r="C72" s="1740" t="str">
        <f>IFERROR(INDEX('Grant Management_4 imp-exp'!D$19:D$20,MATCH('Grant Management_4'!A72,'Grant Management_4 imp-exp'!$B$19:$B$20,0)),"")</f>
        <v/>
      </c>
      <c r="D72" s="1740"/>
      <c r="E72" s="1281" t="str">
        <f>IFERROR(INDEX('Grant Management_4 imp-exp'!F$19:F$20,MATCH('Grant Management_4'!A72,'Grant Management_4 imp-exp'!$B$19:$B$20,0)),"")</f>
        <v/>
      </c>
      <c r="F72" s="1741" t="str">
        <f>IFERROR(INDEX('Grant Management_4 imp-exp'!G$19:G$20,MATCH('Grant Management_4'!A72,'Grant Management_4 imp-exp'!$B$19:$B$20,0)),"")</f>
        <v/>
      </c>
      <c r="G72" s="1741"/>
      <c r="H72" s="1282"/>
      <c r="I72" s="1731"/>
      <c r="J72" s="1731"/>
      <c r="K72" s="1282"/>
      <c r="L72" s="1282"/>
    </row>
    <row r="73" spans="1:12" ht="120" hidden="1" customHeight="1" x14ac:dyDescent="0.2">
      <c r="A73" s="646" t="s">
        <v>1259</v>
      </c>
      <c r="B73" s="700" t="str">
        <f t="shared" si="0"/>
        <v>Don't Show</v>
      </c>
      <c r="C73" s="1740" t="str">
        <f>IFERROR(INDEX('Grant Management_4 imp-exp'!D$19:D$20,MATCH('Grant Management_4'!A73,'Grant Management_4 imp-exp'!$B$19:$B$20,0)),"")</f>
        <v/>
      </c>
      <c r="D73" s="1740"/>
      <c r="E73" s="1281" t="str">
        <f>IFERROR(INDEX('Grant Management_4 imp-exp'!F$19:F$20,MATCH('Grant Management_4'!A73,'Grant Management_4 imp-exp'!$B$19:$B$20,0)),"")</f>
        <v/>
      </c>
      <c r="F73" s="1741" t="str">
        <f>IFERROR(INDEX('Grant Management_4 imp-exp'!G$19:G$20,MATCH('Grant Management_4'!A73,'Grant Management_4 imp-exp'!$B$19:$B$20,0)),"")</f>
        <v/>
      </c>
      <c r="G73" s="1741"/>
      <c r="H73" s="1282"/>
      <c r="I73" s="1731"/>
      <c r="J73" s="1731"/>
      <c r="K73" s="1282"/>
      <c r="L73" s="1282"/>
    </row>
    <row r="74" spans="1:12" ht="120" hidden="1" customHeight="1" x14ac:dyDescent="0.2">
      <c r="A74" s="646" t="s">
        <v>1260</v>
      </c>
      <c r="B74" s="700" t="str">
        <f t="shared" ref="B74:B137" si="1">IF(C74&lt;&gt;"","Show","Don't Show")</f>
        <v>Don't Show</v>
      </c>
      <c r="C74" s="1740" t="str">
        <f>IFERROR(INDEX('Grant Management_4 imp-exp'!D$19:D$20,MATCH('Grant Management_4'!A74,'Grant Management_4 imp-exp'!$B$19:$B$20,0)),"")</f>
        <v/>
      </c>
      <c r="D74" s="1740"/>
      <c r="E74" s="1281" t="str">
        <f>IFERROR(INDEX('Grant Management_4 imp-exp'!F$19:F$20,MATCH('Grant Management_4'!A74,'Grant Management_4 imp-exp'!$B$19:$B$20,0)),"")</f>
        <v/>
      </c>
      <c r="F74" s="1741" t="str">
        <f>IFERROR(INDEX('Grant Management_4 imp-exp'!G$19:G$20,MATCH('Grant Management_4'!A74,'Grant Management_4 imp-exp'!$B$19:$B$20,0)),"")</f>
        <v/>
      </c>
      <c r="G74" s="1741"/>
      <c r="H74" s="1282"/>
      <c r="I74" s="1731"/>
      <c r="J74" s="1731"/>
      <c r="K74" s="1282"/>
      <c r="L74" s="1282"/>
    </row>
    <row r="75" spans="1:12" ht="120" hidden="1" customHeight="1" x14ac:dyDescent="0.2">
      <c r="A75" s="646" t="s">
        <v>1261</v>
      </c>
      <c r="B75" s="700" t="str">
        <f t="shared" si="1"/>
        <v>Don't Show</v>
      </c>
      <c r="C75" s="1740" t="str">
        <f>IFERROR(INDEX('Grant Management_4 imp-exp'!D$19:D$20,MATCH('Grant Management_4'!A75,'Grant Management_4 imp-exp'!$B$19:$B$20,0)),"")</f>
        <v/>
      </c>
      <c r="D75" s="1740"/>
      <c r="E75" s="1281" t="str">
        <f>IFERROR(INDEX('Grant Management_4 imp-exp'!F$19:F$20,MATCH('Grant Management_4'!A75,'Grant Management_4 imp-exp'!$B$19:$B$20,0)),"")</f>
        <v/>
      </c>
      <c r="F75" s="1741" t="str">
        <f>IFERROR(INDEX('Grant Management_4 imp-exp'!G$19:G$20,MATCH('Grant Management_4'!A75,'Grant Management_4 imp-exp'!$B$19:$B$20,0)),"")</f>
        <v/>
      </c>
      <c r="G75" s="1741"/>
      <c r="H75" s="1282"/>
      <c r="I75" s="1731"/>
      <c r="J75" s="1731"/>
      <c r="K75" s="1282"/>
      <c r="L75" s="1282"/>
    </row>
    <row r="76" spans="1:12" ht="120" hidden="1" customHeight="1" x14ac:dyDescent="0.2">
      <c r="A76" s="646" t="s">
        <v>1262</v>
      </c>
      <c r="B76" s="700" t="str">
        <f t="shared" si="1"/>
        <v>Don't Show</v>
      </c>
      <c r="C76" s="1740" t="str">
        <f>IFERROR(INDEX('Grant Management_4 imp-exp'!D$19:D$20,MATCH('Grant Management_4'!A76,'Grant Management_4 imp-exp'!$B$19:$B$20,0)),"")</f>
        <v/>
      </c>
      <c r="D76" s="1740"/>
      <c r="E76" s="1281" t="str">
        <f>IFERROR(INDEX('Grant Management_4 imp-exp'!F$19:F$20,MATCH('Grant Management_4'!A76,'Grant Management_4 imp-exp'!$B$19:$B$20,0)),"")</f>
        <v/>
      </c>
      <c r="F76" s="1741" t="str">
        <f>IFERROR(INDEX('Grant Management_4 imp-exp'!G$19:G$20,MATCH('Grant Management_4'!A76,'Grant Management_4 imp-exp'!$B$19:$B$20,0)),"")</f>
        <v/>
      </c>
      <c r="G76" s="1741"/>
      <c r="H76" s="1282"/>
      <c r="I76" s="1731"/>
      <c r="J76" s="1731"/>
      <c r="K76" s="1282"/>
      <c r="L76" s="1282"/>
    </row>
    <row r="77" spans="1:12" ht="120" hidden="1" customHeight="1" x14ac:dyDescent="0.2">
      <c r="A77" s="646" t="s">
        <v>1263</v>
      </c>
      <c r="B77" s="700" t="str">
        <f t="shared" si="1"/>
        <v>Don't Show</v>
      </c>
      <c r="C77" s="1740" t="str">
        <f>IFERROR(INDEX('Grant Management_4 imp-exp'!D$19:D$20,MATCH('Grant Management_4'!A77,'Grant Management_4 imp-exp'!$B$19:$B$20,0)),"")</f>
        <v/>
      </c>
      <c r="D77" s="1740"/>
      <c r="E77" s="1281" t="str">
        <f>IFERROR(INDEX('Grant Management_4 imp-exp'!F$19:F$20,MATCH('Grant Management_4'!A77,'Grant Management_4 imp-exp'!$B$19:$B$20,0)),"")</f>
        <v/>
      </c>
      <c r="F77" s="1741" t="str">
        <f>IFERROR(INDEX('Grant Management_4 imp-exp'!G$19:G$20,MATCH('Grant Management_4'!A77,'Grant Management_4 imp-exp'!$B$19:$B$20,0)),"")</f>
        <v/>
      </c>
      <c r="G77" s="1741"/>
      <c r="H77" s="1282"/>
      <c r="I77" s="1731"/>
      <c r="J77" s="1731"/>
      <c r="K77" s="1282"/>
      <c r="L77" s="1282"/>
    </row>
    <row r="78" spans="1:12" ht="120" hidden="1" customHeight="1" x14ac:dyDescent="0.2">
      <c r="A78" s="646" t="s">
        <v>1264</v>
      </c>
      <c r="B78" s="700" t="str">
        <f t="shared" si="1"/>
        <v>Don't Show</v>
      </c>
      <c r="C78" s="1740" t="str">
        <f>IFERROR(INDEX('Grant Management_4 imp-exp'!D$19:D$20,MATCH('Grant Management_4'!A78,'Grant Management_4 imp-exp'!$B$19:$B$20,0)),"")</f>
        <v/>
      </c>
      <c r="D78" s="1740"/>
      <c r="E78" s="1281" t="str">
        <f>IFERROR(INDEX('Grant Management_4 imp-exp'!F$19:F$20,MATCH('Grant Management_4'!A78,'Grant Management_4 imp-exp'!$B$19:$B$20,0)),"")</f>
        <v/>
      </c>
      <c r="F78" s="1741" t="str">
        <f>IFERROR(INDEX('Grant Management_4 imp-exp'!G$19:G$20,MATCH('Grant Management_4'!A78,'Grant Management_4 imp-exp'!$B$19:$B$20,0)),"")</f>
        <v/>
      </c>
      <c r="G78" s="1741"/>
      <c r="H78" s="1282"/>
      <c r="I78" s="1731"/>
      <c r="J78" s="1731"/>
      <c r="K78" s="1282"/>
      <c r="L78" s="1282"/>
    </row>
    <row r="79" spans="1:12" ht="120" hidden="1" customHeight="1" x14ac:dyDescent="0.2">
      <c r="A79" s="646" t="s">
        <v>1265</v>
      </c>
      <c r="B79" s="700" t="str">
        <f t="shared" si="1"/>
        <v>Don't Show</v>
      </c>
      <c r="C79" s="1740" t="str">
        <f>IFERROR(INDEX('Grant Management_4 imp-exp'!D$19:D$20,MATCH('Grant Management_4'!A79,'Grant Management_4 imp-exp'!$B$19:$B$20,0)),"")</f>
        <v/>
      </c>
      <c r="D79" s="1740"/>
      <c r="E79" s="1281" t="str">
        <f>IFERROR(INDEX('Grant Management_4 imp-exp'!F$19:F$20,MATCH('Grant Management_4'!A79,'Grant Management_4 imp-exp'!$B$19:$B$20,0)),"")</f>
        <v/>
      </c>
      <c r="F79" s="1741" t="str">
        <f>IFERROR(INDEX('Grant Management_4 imp-exp'!G$19:G$20,MATCH('Grant Management_4'!A79,'Grant Management_4 imp-exp'!$B$19:$B$20,0)),"")</f>
        <v/>
      </c>
      <c r="G79" s="1741"/>
      <c r="H79" s="1282"/>
      <c r="I79" s="1731"/>
      <c r="J79" s="1731"/>
      <c r="K79" s="1282"/>
      <c r="L79" s="1282"/>
    </row>
    <row r="80" spans="1:12" ht="120" hidden="1" customHeight="1" x14ac:dyDescent="0.2">
      <c r="A80" s="646" t="s">
        <v>1266</v>
      </c>
      <c r="B80" s="700" t="str">
        <f t="shared" si="1"/>
        <v>Don't Show</v>
      </c>
      <c r="C80" s="1740" t="str">
        <f>IFERROR(INDEX('Grant Management_4 imp-exp'!D$19:D$20,MATCH('Grant Management_4'!A80,'Grant Management_4 imp-exp'!$B$19:$B$20,0)),"")</f>
        <v/>
      </c>
      <c r="D80" s="1740"/>
      <c r="E80" s="1281" t="str">
        <f>IFERROR(INDEX('Grant Management_4 imp-exp'!F$19:F$20,MATCH('Grant Management_4'!A80,'Grant Management_4 imp-exp'!$B$19:$B$20,0)),"")</f>
        <v/>
      </c>
      <c r="F80" s="1741" t="str">
        <f>IFERROR(INDEX('Grant Management_4 imp-exp'!G$19:G$20,MATCH('Grant Management_4'!A80,'Grant Management_4 imp-exp'!$B$19:$B$20,0)),"")</f>
        <v/>
      </c>
      <c r="G80" s="1741"/>
      <c r="H80" s="1282"/>
      <c r="I80" s="1731"/>
      <c r="J80" s="1731"/>
      <c r="K80" s="1282"/>
      <c r="L80" s="1282"/>
    </row>
    <row r="81" spans="1:12" ht="120" hidden="1" customHeight="1" x14ac:dyDescent="0.2">
      <c r="A81" s="646" t="s">
        <v>1267</v>
      </c>
      <c r="B81" s="700" t="str">
        <f t="shared" si="1"/>
        <v>Don't Show</v>
      </c>
      <c r="C81" s="1740" t="str">
        <f>IFERROR(INDEX('Grant Management_4 imp-exp'!D$19:D$20,MATCH('Grant Management_4'!A81,'Grant Management_4 imp-exp'!$B$19:$B$20,0)),"")</f>
        <v/>
      </c>
      <c r="D81" s="1740"/>
      <c r="E81" s="1281" t="str">
        <f>IFERROR(INDEX('Grant Management_4 imp-exp'!F$19:F$20,MATCH('Grant Management_4'!A81,'Grant Management_4 imp-exp'!$B$19:$B$20,0)),"")</f>
        <v/>
      </c>
      <c r="F81" s="1741" t="str">
        <f>IFERROR(INDEX('Grant Management_4 imp-exp'!G$19:G$20,MATCH('Grant Management_4'!A81,'Grant Management_4 imp-exp'!$B$19:$B$20,0)),"")</f>
        <v/>
      </c>
      <c r="G81" s="1741"/>
      <c r="H81" s="1282"/>
      <c r="I81" s="1731"/>
      <c r="J81" s="1731"/>
      <c r="K81" s="1282"/>
      <c r="L81" s="1282"/>
    </row>
    <row r="82" spans="1:12" ht="120" hidden="1" customHeight="1" x14ac:dyDescent="0.2">
      <c r="A82" s="646" t="s">
        <v>1268</v>
      </c>
      <c r="B82" s="700" t="str">
        <f t="shared" si="1"/>
        <v>Don't Show</v>
      </c>
      <c r="C82" s="1740" t="str">
        <f>IFERROR(INDEX('Grant Management_4 imp-exp'!D$19:D$20,MATCH('Grant Management_4'!A82,'Grant Management_4 imp-exp'!$B$19:$B$20,0)),"")</f>
        <v/>
      </c>
      <c r="D82" s="1740"/>
      <c r="E82" s="1281" t="str">
        <f>IFERROR(INDEX('Grant Management_4 imp-exp'!F$19:F$20,MATCH('Grant Management_4'!A82,'Grant Management_4 imp-exp'!$B$19:$B$20,0)),"")</f>
        <v/>
      </c>
      <c r="F82" s="1741" t="str">
        <f>IFERROR(INDEX('Grant Management_4 imp-exp'!G$19:G$20,MATCH('Grant Management_4'!A82,'Grant Management_4 imp-exp'!$B$19:$B$20,0)),"")</f>
        <v/>
      </c>
      <c r="G82" s="1741"/>
      <c r="H82" s="1282"/>
      <c r="I82" s="1731"/>
      <c r="J82" s="1731"/>
      <c r="K82" s="1282"/>
      <c r="L82" s="1282"/>
    </row>
    <row r="83" spans="1:12" ht="120" hidden="1" customHeight="1" x14ac:dyDescent="0.2">
      <c r="A83" s="646" t="s">
        <v>1269</v>
      </c>
      <c r="B83" s="700" t="str">
        <f t="shared" si="1"/>
        <v>Don't Show</v>
      </c>
      <c r="C83" s="1740" t="str">
        <f>IFERROR(INDEX('Grant Management_4 imp-exp'!D$19:D$20,MATCH('Grant Management_4'!A83,'Grant Management_4 imp-exp'!$B$19:$B$20,0)),"")</f>
        <v/>
      </c>
      <c r="D83" s="1740"/>
      <c r="E83" s="1281" t="str">
        <f>IFERROR(INDEX('Grant Management_4 imp-exp'!F$19:F$20,MATCH('Grant Management_4'!A83,'Grant Management_4 imp-exp'!$B$19:$B$20,0)),"")</f>
        <v/>
      </c>
      <c r="F83" s="1741" t="str">
        <f>IFERROR(INDEX('Grant Management_4 imp-exp'!G$19:G$20,MATCH('Grant Management_4'!A83,'Grant Management_4 imp-exp'!$B$19:$B$20,0)),"")</f>
        <v/>
      </c>
      <c r="G83" s="1741"/>
      <c r="H83" s="1282"/>
      <c r="I83" s="1731"/>
      <c r="J83" s="1731"/>
      <c r="K83" s="1282"/>
      <c r="L83" s="1282"/>
    </row>
    <row r="84" spans="1:12" ht="120" hidden="1" customHeight="1" x14ac:dyDescent="0.2">
      <c r="A84" s="646" t="s">
        <v>1270</v>
      </c>
      <c r="B84" s="700" t="str">
        <f t="shared" si="1"/>
        <v>Don't Show</v>
      </c>
      <c r="C84" s="1740" t="str">
        <f>IFERROR(INDEX('Grant Management_4 imp-exp'!D$19:D$20,MATCH('Grant Management_4'!A84,'Grant Management_4 imp-exp'!$B$19:$B$20,0)),"")</f>
        <v/>
      </c>
      <c r="D84" s="1740"/>
      <c r="E84" s="1281" t="str">
        <f>IFERROR(INDEX('Grant Management_4 imp-exp'!F$19:F$20,MATCH('Grant Management_4'!A84,'Grant Management_4 imp-exp'!$B$19:$B$20,0)),"")</f>
        <v/>
      </c>
      <c r="F84" s="1741" t="str">
        <f>IFERROR(INDEX('Grant Management_4 imp-exp'!G$19:G$20,MATCH('Grant Management_4'!A84,'Grant Management_4 imp-exp'!$B$19:$B$20,0)),"")</f>
        <v/>
      </c>
      <c r="G84" s="1741"/>
      <c r="H84" s="1282"/>
      <c r="I84" s="1731"/>
      <c r="J84" s="1731"/>
      <c r="K84" s="1282"/>
      <c r="L84" s="1282"/>
    </row>
    <row r="85" spans="1:12" ht="120" hidden="1" customHeight="1" x14ac:dyDescent="0.2">
      <c r="A85" s="646" t="s">
        <v>1271</v>
      </c>
      <c r="B85" s="700" t="str">
        <f t="shared" si="1"/>
        <v>Don't Show</v>
      </c>
      <c r="C85" s="1740" t="str">
        <f>IFERROR(INDEX('Grant Management_4 imp-exp'!D$19:D$20,MATCH('Grant Management_4'!A85,'Grant Management_4 imp-exp'!$B$19:$B$20,0)),"")</f>
        <v/>
      </c>
      <c r="D85" s="1740"/>
      <c r="E85" s="1281" t="str">
        <f>IFERROR(INDEX('Grant Management_4 imp-exp'!F$19:F$20,MATCH('Grant Management_4'!A85,'Grant Management_4 imp-exp'!$B$19:$B$20,0)),"")</f>
        <v/>
      </c>
      <c r="F85" s="1741" t="str">
        <f>IFERROR(INDEX('Grant Management_4 imp-exp'!G$19:G$20,MATCH('Grant Management_4'!A85,'Grant Management_4 imp-exp'!$B$19:$B$20,0)),"")</f>
        <v/>
      </c>
      <c r="G85" s="1741"/>
      <c r="H85" s="1282"/>
      <c r="I85" s="1731"/>
      <c r="J85" s="1731"/>
      <c r="K85" s="1282"/>
      <c r="L85" s="1282"/>
    </row>
    <row r="86" spans="1:12" ht="120" hidden="1" customHeight="1" x14ac:dyDescent="0.2">
      <c r="A86" s="646" t="s">
        <v>1272</v>
      </c>
      <c r="B86" s="700" t="str">
        <f t="shared" si="1"/>
        <v>Don't Show</v>
      </c>
      <c r="C86" s="1740" t="str">
        <f>IFERROR(INDEX('Grant Management_4 imp-exp'!D$19:D$20,MATCH('Grant Management_4'!A86,'Grant Management_4 imp-exp'!$B$19:$B$20,0)),"")</f>
        <v/>
      </c>
      <c r="D86" s="1740"/>
      <c r="E86" s="1281" t="str">
        <f>IFERROR(INDEX('Grant Management_4 imp-exp'!F$19:F$20,MATCH('Grant Management_4'!A86,'Grant Management_4 imp-exp'!$B$19:$B$20,0)),"")</f>
        <v/>
      </c>
      <c r="F86" s="1741" t="str">
        <f>IFERROR(INDEX('Grant Management_4 imp-exp'!G$19:G$20,MATCH('Grant Management_4'!A86,'Grant Management_4 imp-exp'!$B$19:$B$20,0)),"")</f>
        <v/>
      </c>
      <c r="G86" s="1741"/>
      <c r="H86" s="1282"/>
      <c r="I86" s="1731"/>
      <c r="J86" s="1731"/>
      <c r="K86" s="1282"/>
      <c r="L86" s="1282"/>
    </row>
    <row r="87" spans="1:12" ht="120" hidden="1" customHeight="1" x14ac:dyDescent="0.2">
      <c r="A87" s="646" t="s">
        <v>1273</v>
      </c>
      <c r="B87" s="700" t="str">
        <f t="shared" si="1"/>
        <v>Don't Show</v>
      </c>
      <c r="C87" s="1740" t="str">
        <f>IFERROR(INDEX('Grant Management_4 imp-exp'!D$19:D$20,MATCH('Grant Management_4'!A87,'Grant Management_4 imp-exp'!$B$19:$B$20,0)),"")</f>
        <v/>
      </c>
      <c r="D87" s="1740"/>
      <c r="E87" s="1281" t="str">
        <f>IFERROR(INDEX('Grant Management_4 imp-exp'!F$19:F$20,MATCH('Grant Management_4'!A87,'Grant Management_4 imp-exp'!$B$19:$B$20,0)),"")</f>
        <v/>
      </c>
      <c r="F87" s="1741" t="str">
        <f>IFERROR(INDEX('Grant Management_4 imp-exp'!G$19:G$20,MATCH('Grant Management_4'!A87,'Grant Management_4 imp-exp'!$B$19:$B$20,0)),"")</f>
        <v/>
      </c>
      <c r="G87" s="1741"/>
      <c r="H87" s="1282"/>
      <c r="I87" s="1731"/>
      <c r="J87" s="1731"/>
      <c r="K87" s="1282"/>
      <c r="L87" s="1282"/>
    </row>
    <row r="88" spans="1:12" ht="120" hidden="1" customHeight="1" x14ac:dyDescent="0.2">
      <c r="A88" s="646" t="s">
        <v>1274</v>
      </c>
      <c r="B88" s="700" t="str">
        <f t="shared" si="1"/>
        <v>Don't Show</v>
      </c>
      <c r="C88" s="1740" t="str">
        <f>IFERROR(INDEX('Grant Management_4 imp-exp'!D$19:D$20,MATCH('Grant Management_4'!A88,'Grant Management_4 imp-exp'!$B$19:$B$20,0)),"")</f>
        <v/>
      </c>
      <c r="D88" s="1740"/>
      <c r="E88" s="1281" t="str">
        <f>IFERROR(INDEX('Grant Management_4 imp-exp'!F$19:F$20,MATCH('Grant Management_4'!A88,'Grant Management_4 imp-exp'!$B$19:$B$20,0)),"")</f>
        <v/>
      </c>
      <c r="F88" s="1741" t="str">
        <f>IFERROR(INDEX('Grant Management_4 imp-exp'!G$19:G$20,MATCH('Grant Management_4'!A88,'Grant Management_4 imp-exp'!$B$19:$B$20,0)),"")</f>
        <v/>
      </c>
      <c r="G88" s="1741"/>
      <c r="H88" s="1282"/>
      <c r="I88" s="1731"/>
      <c r="J88" s="1731"/>
      <c r="K88" s="1282"/>
      <c r="L88" s="1282"/>
    </row>
    <row r="89" spans="1:12" ht="120" hidden="1" customHeight="1" x14ac:dyDescent="0.2">
      <c r="A89" s="646" t="s">
        <v>1275</v>
      </c>
      <c r="B89" s="700" t="str">
        <f t="shared" si="1"/>
        <v>Don't Show</v>
      </c>
      <c r="C89" s="1740" t="str">
        <f>IFERROR(INDEX('Grant Management_4 imp-exp'!D$19:D$20,MATCH('Grant Management_4'!A89,'Grant Management_4 imp-exp'!$B$19:$B$20,0)),"")</f>
        <v/>
      </c>
      <c r="D89" s="1740"/>
      <c r="E89" s="1281" t="str">
        <f>IFERROR(INDEX('Grant Management_4 imp-exp'!F$19:F$20,MATCH('Grant Management_4'!A89,'Grant Management_4 imp-exp'!$B$19:$B$20,0)),"")</f>
        <v/>
      </c>
      <c r="F89" s="1741" t="str">
        <f>IFERROR(INDEX('Grant Management_4 imp-exp'!G$19:G$20,MATCH('Grant Management_4'!A89,'Grant Management_4 imp-exp'!$B$19:$B$20,0)),"")</f>
        <v/>
      </c>
      <c r="G89" s="1741"/>
      <c r="H89" s="1282"/>
      <c r="I89" s="1731"/>
      <c r="J89" s="1731"/>
      <c r="K89" s="1282"/>
      <c r="L89" s="1282"/>
    </row>
    <row r="90" spans="1:12" ht="120" hidden="1" customHeight="1" x14ac:dyDescent="0.2">
      <c r="A90" s="646" t="s">
        <v>1276</v>
      </c>
      <c r="B90" s="700" t="str">
        <f t="shared" si="1"/>
        <v>Don't Show</v>
      </c>
      <c r="C90" s="1740" t="str">
        <f>IFERROR(INDEX('Grant Management_4 imp-exp'!D$19:D$20,MATCH('Grant Management_4'!A90,'Grant Management_4 imp-exp'!$B$19:$B$20,0)),"")</f>
        <v/>
      </c>
      <c r="D90" s="1740"/>
      <c r="E90" s="1281" t="str">
        <f>IFERROR(INDEX('Grant Management_4 imp-exp'!F$19:F$20,MATCH('Grant Management_4'!A90,'Grant Management_4 imp-exp'!$B$19:$B$20,0)),"")</f>
        <v/>
      </c>
      <c r="F90" s="1741" t="str">
        <f>IFERROR(INDEX('Grant Management_4 imp-exp'!G$19:G$20,MATCH('Grant Management_4'!A90,'Grant Management_4 imp-exp'!$B$19:$B$20,0)),"")</f>
        <v/>
      </c>
      <c r="G90" s="1741"/>
      <c r="H90" s="1282"/>
      <c r="I90" s="1731"/>
      <c r="J90" s="1731"/>
      <c r="K90" s="1282"/>
      <c r="L90" s="1282"/>
    </row>
    <row r="91" spans="1:12" ht="120" hidden="1" customHeight="1" x14ac:dyDescent="0.2">
      <c r="A91" s="646" t="s">
        <v>1277</v>
      </c>
      <c r="B91" s="700" t="str">
        <f t="shared" si="1"/>
        <v>Don't Show</v>
      </c>
      <c r="C91" s="1740" t="str">
        <f>IFERROR(INDEX('Grant Management_4 imp-exp'!D$19:D$20,MATCH('Grant Management_4'!A91,'Grant Management_4 imp-exp'!$B$19:$B$20,0)),"")</f>
        <v/>
      </c>
      <c r="D91" s="1740"/>
      <c r="E91" s="1281" t="str">
        <f>IFERROR(INDEX('Grant Management_4 imp-exp'!F$19:F$20,MATCH('Grant Management_4'!A91,'Grant Management_4 imp-exp'!$B$19:$B$20,0)),"")</f>
        <v/>
      </c>
      <c r="F91" s="1741" t="str">
        <f>IFERROR(INDEX('Grant Management_4 imp-exp'!G$19:G$20,MATCH('Grant Management_4'!A91,'Grant Management_4 imp-exp'!$B$19:$B$20,0)),"")</f>
        <v/>
      </c>
      <c r="G91" s="1741"/>
      <c r="H91" s="1282"/>
      <c r="I91" s="1731"/>
      <c r="J91" s="1731"/>
      <c r="K91" s="1282"/>
      <c r="L91" s="1282"/>
    </row>
    <row r="92" spans="1:12" ht="120" hidden="1" customHeight="1" x14ac:dyDescent="0.2">
      <c r="A92" s="646" t="s">
        <v>1278</v>
      </c>
      <c r="B92" s="700" t="str">
        <f t="shared" si="1"/>
        <v>Don't Show</v>
      </c>
      <c r="C92" s="1740" t="str">
        <f>IFERROR(INDEX('Grant Management_4 imp-exp'!D$19:D$20,MATCH('Grant Management_4'!A92,'Grant Management_4 imp-exp'!$B$19:$B$20,0)),"")</f>
        <v/>
      </c>
      <c r="D92" s="1740"/>
      <c r="E92" s="1281" t="str">
        <f>IFERROR(INDEX('Grant Management_4 imp-exp'!F$19:F$20,MATCH('Grant Management_4'!A92,'Grant Management_4 imp-exp'!$B$19:$B$20,0)),"")</f>
        <v/>
      </c>
      <c r="F92" s="1741" t="str">
        <f>IFERROR(INDEX('Grant Management_4 imp-exp'!G$19:G$20,MATCH('Grant Management_4'!A92,'Grant Management_4 imp-exp'!$B$19:$B$20,0)),"")</f>
        <v/>
      </c>
      <c r="G92" s="1741"/>
      <c r="H92" s="1282"/>
      <c r="I92" s="1731"/>
      <c r="J92" s="1731"/>
      <c r="K92" s="1282"/>
      <c r="L92" s="1282"/>
    </row>
    <row r="93" spans="1:12" ht="120" hidden="1" customHeight="1" x14ac:dyDescent="0.2">
      <c r="A93" s="646" t="s">
        <v>1279</v>
      </c>
      <c r="B93" s="700" t="str">
        <f t="shared" si="1"/>
        <v>Don't Show</v>
      </c>
      <c r="C93" s="1740" t="str">
        <f>IFERROR(INDEX('Grant Management_4 imp-exp'!D$19:D$20,MATCH('Grant Management_4'!A93,'Grant Management_4 imp-exp'!$B$19:$B$20,0)),"")</f>
        <v/>
      </c>
      <c r="D93" s="1740"/>
      <c r="E93" s="1281" t="str">
        <f>IFERROR(INDEX('Grant Management_4 imp-exp'!F$19:F$20,MATCH('Grant Management_4'!A93,'Grant Management_4 imp-exp'!$B$19:$B$20,0)),"")</f>
        <v/>
      </c>
      <c r="F93" s="1741" t="str">
        <f>IFERROR(INDEX('Grant Management_4 imp-exp'!G$19:G$20,MATCH('Grant Management_4'!A93,'Grant Management_4 imp-exp'!$B$19:$B$20,0)),"")</f>
        <v/>
      </c>
      <c r="G93" s="1741"/>
      <c r="H93" s="1282"/>
      <c r="I93" s="1731"/>
      <c r="J93" s="1731"/>
      <c r="K93" s="1282"/>
      <c r="L93" s="1282"/>
    </row>
    <row r="94" spans="1:12" ht="120" hidden="1" customHeight="1" x14ac:dyDescent="0.2">
      <c r="A94" s="646" t="s">
        <v>1280</v>
      </c>
      <c r="B94" s="700" t="str">
        <f t="shared" si="1"/>
        <v>Don't Show</v>
      </c>
      <c r="C94" s="1740" t="str">
        <f>IFERROR(INDEX('Grant Management_4 imp-exp'!D$19:D$20,MATCH('Grant Management_4'!A94,'Grant Management_4 imp-exp'!$B$19:$B$20,0)),"")</f>
        <v/>
      </c>
      <c r="D94" s="1740"/>
      <c r="E94" s="1281" t="str">
        <f>IFERROR(INDEX('Grant Management_4 imp-exp'!F$19:F$20,MATCH('Grant Management_4'!A94,'Grant Management_4 imp-exp'!$B$19:$B$20,0)),"")</f>
        <v/>
      </c>
      <c r="F94" s="1741" t="str">
        <f>IFERROR(INDEX('Grant Management_4 imp-exp'!G$19:G$20,MATCH('Grant Management_4'!A94,'Grant Management_4 imp-exp'!$B$19:$B$20,0)),"")</f>
        <v/>
      </c>
      <c r="G94" s="1741"/>
      <c r="H94" s="1282"/>
      <c r="I94" s="1731"/>
      <c r="J94" s="1731"/>
      <c r="K94" s="1282"/>
      <c r="L94" s="1282"/>
    </row>
    <row r="95" spans="1:12" ht="120" hidden="1" customHeight="1" x14ac:dyDescent="0.2">
      <c r="A95" s="646" t="s">
        <v>1281</v>
      </c>
      <c r="B95" s="700" t="str">
        <f t="shared" si="1"/>
        <v>Don't Show</v>
      </c>
      <c r="C95" s="1740" t="str">
        <f>IFERROR(INDEX('Grant Management_4 imp-exp'!D$19:D$20,MATCH('Grant Management_4'!A95,'Grant Management_4 imp-exp'!$B$19:$B$20,0)),"")</f>
        <v/>
      </c>
      <c r="D95" s="1740"/>
      <c r="E95" s="1281" t="str">
        <f>IFERROR(INDEX('Grant Management_4 imp-exp'!F$19:F$20,MATCH('Grant Management_4'!A95,'Grant Management_4 imp-exp'!$B$19:$B$20,0)),"")</f>
        <v/>
      </c>
      <c r="F95" s="1741" t="str">
        <f>IFERROR(INDEX('Grant Management_4 imp-exp'!G$19:G$20,MATCH('Grant Management_4'!A95,'Grant Management_4 imp-exp'!$B$19:$B$20,0)),"")</f>
        <v/>
      </c>
      <c r="G95" s="1741"/>
      <c r="H95" s="1282"/>
      <c r="I95" s="1731"/>
      <c r="J95" s="1731"/>
      <c r="K95" s="1282"/>
      <c r="L95" s="1282"/>
    </row>
    <row r="96" spans="1:12" ht="120" hidden="1" customHeight="1" x14ac:dyDescent="0.2">
      <c r="A96" s="646" t="s">
        <v>1282</v>
      </c>
      <c r="B96" s="700" t="str">
        <f t="shared" si="1"/>
        <v>Don't Show</v>
      </c>
      <c r="C96" s="1740" t="str">
        <f>IFERROR(INDEX('Grant Management_4 imp-exp'!D$19:D$20,MATCH('Grant Management_4'!A96,'Grant Management_4 imp-exp'!$B$19:$B$20,0)),"")</f>
        <v/>
      </c>
      <c r="D96" s="1740"/>
      <c r="E96" s="1281" t="str">
        <f>IFERROR(INDEX('Grant Management_4 imp-exp'!F$19:F$20,MATCH('Grant Management_4'!A96,'Grant Management_4 imp-exp'!$B$19:$B$20,0)),"")</f>
        <v/>
      </c>
      <c r="F96" s="1741" t="str">
        <f>IFERROR(INDEX('Grant Management_4 imp-exp'!G$19:G$20,MATCH('Grant Management_4'!A96,'Grant Management_4 imp-exp'!$B$19:$B$20,0)),"")</f>
        <v/>
      </c>
      <c r="G96" s="1741"/>
      <c r="H96" s="1282"/>
      <c r="I96" s="1731"/>
      <c r="J96" s="1731"/>
      <c r="K96" s="1282"/>
      <c r="L96" s="1282"/>
    </row>
    <row r="97" spans="1:12" ht="120" hidden="1" customHeight="1" x14ac:dyDescent="0.2">
      <c r="A97" s="646" t="s">
        <v>1283</v>
      </c>
      <c r="B97" s="700" t="str">
        <f t="shared" si="1"/>
        <v>Don't Show</v>
      </c>
      <c r="C97" s="1740" t="str">
        <f>IFERROR(INDEX('Grant Management_4 imp-exp'!D$19:D$20,MATCH('Grant Management_4'!A97,'Grant Management_4 imp-exp'!$B$19:$B$20,0)),"")</f>
        <v/>
      </c>
      <c r="D97" s="1740"/>
      <c r="E97" s="1281" t="str">
        <f>IFERROR(INDEX('Grant Management_4 imp-exp'!F$19:F$20,MATCH('Grant Management_4'!A97,'Grant Management_4 imp-exp'!$B$19:$B$20,0)),"")</f>
        <v/>
      </c>
      <c r="F97" s="1741" t="str">
        <f>IFERROR(INDEX('Grant Management_4 imp-exp'!G$19:G$20,MATCH('Grant Management_4'!A97,'Grant Management_4 imp-exp'!$B$19:$B$20,0)),"")</f>
        <v/>
      </c>
      <c r="G97" s="1741"/>
      <c r="H97" s="1282"/>
      <c r="I97" s="1731"/>
      <c r="J97" s="1731"/>
      <c r="K97" s="1282"/>
      <c r="L97" s="1282"/>
    </row>
    <row r="98" spans="1:12" ht="120" hidden="1" customHeight="1" x14ac:dyDescent="0.2">
      <c r="A98" s="646" t="s">
        <v>1284</v>
      </c>
      <c r="B98" s="700" t="str">
        <f t="shared" si="1"/>
        <v>Don't Show</v>
      </c>
      <c r="C98" s="1740" t="str">
        <f>IFERROR(INDEX('Grant Management_4 imp-exp'!D$19:D$20,MATCH('Grant Management_4'!A98,'Grant Management_4 imp-exp'!$B$19:$B$20,0)),"")</f>
        <v/>
      </c>
      <c r="D98" s="1740"/>
      <c r="E98" s="1281" t="str">
        <f>IFERROR(INDEX('Grant Management_4 imp-exp'!F$19:F$20,MATCH('Grant Management_4'!A98,'Grant Management_4 imp-exp'!$B$19:$B$20,0)),"")</f>
        <v/>
      </c>
      <c r="F98" s="1741" t="str">
        <f>IFERROR(INDEX('Grant Management_4 imp-exp'!G$19:G$20,MATCH('Grant Management_4'!A98,'Grant Management_4 imp-exp'!$B$19:$B$20,0)),"")</f>
        <v/>
      </c>
      <c r="G98" s="1741"/>
      <c r="H98" s="1282"/>
      <c r="I98" s="1731"/>
      <c r="J98" s="1731"/>
      <c r="K98" s="1282"/>
      <c r="L98" s="1282"/>
    </row>
    <row r="99" spans="1:12" ht="120" hidden="1" customHeight="1" x14ac:dyDescent="0.2">
      <c r="A99" s="646" t="s">
        <v>1285</v>
      </c>
      <c r="B99" s="700" t="str">
        <f t="shared" si="1"/>
        <v>Don't Show</v>
      </c>
      <c r="C99" s="1740" t="str">
        <f>IFERROR(INDEX('Grant Management_4 imp-exp'!D$19:D$20,MATCH('Grant Management_4'!A99,'Grant Management_4 imp-exp'!$B$19:$B$20,0)),"")</f>
        <v/>
      </c>
      <c r="D99" s="1740"/>
      <c r="E99" s="1281" t="str">
        <f>IFERROR(INDEX('Grant Management_4 imp-exp'!F$19:F$20,MATCH('Grant Management_4'!A99,'Grant Management_4 imp-exp'!$B$19:$B$20,0)),"")</f>
        <v/>
      </c>
      <c r="F99" s="1741" t="str">
        <f>IFERROR(INDEX('Grant Management_4 imp-exp'!G$19:G$20,MATCH('Grant Management_4'!A99,'Grant Management_4 imp-exp'!$B$19:$B$20,0)),"")</f>
        <v/>
      </c>
      <c r="G99" s="1741"/>
      <c r="H99" s="1282"/>
      <c r="I99" s="1731"/>
      <c r="J99" s="1731"/>
      <c r="K99" s="1282"/>
      <c r="L99" s="1282"/>
    </row>
    <row r="100" spans="1:12" ht="120" hidden="1" customHeight="1" x14ac:dyDescent="0.2">
      <c r="A100" s="646" t="s">
        <v>1286</v>
      </c>
      <c r="B100" s="700" t="str">
        <f t="shared" si="1"/>
        <v>Don't Show</v>
      </c>
      <c r="C100" s="1740" t="str">
        <f>IFERROR(INDEX('Grant Management_4 imp-exp'!D$19:D$20,MATCH('Grant Management_4'!A100,'Grant Management_4 imp-exp'!$B$19:$B$20,0)),"")</f>
        <v/>
      </c>
      <c r="D100" s="1740"/>
      <c r="E100" s="1281" t="str">
        <f>IFERROR(INDEX('Grant Management_4 imp-exp'!F$19:F$20,MATCH('Grant Management_4'!A100,'Grant Management_4 imp-exp'!$B$19:$B$20,0)),"")</f>
        <v/>
      </c>
      <c r="F100" s="1741" t="str">
        <f>IFERROR(INDEX('Grant Management_4 imp-exp'!G$19:G$20,MATCH('Grant Management_4'!A100,'Grant Management_4 imp-exp'!$B$19:$B$20,0)),"")</f>
        <v/>
      </c>
      <c r="G100" s="1741"/>
      <c r="H100" s="1282"/>
      <c r="I100" s="1731"/>
      <c r="J100" s="1731"/>
      <c r="K100" s="1282"/>
      <c r="L100" s="1282"/>
    </row>
    <row r="101" spans="1:12" ht="120" hidden="1" customHeight="1" x14ac:dyDescent="0.2">
      <c r="A101" s="646" t="s">
        <v>1287</v>
      </c>
      <c r="B101" s="700" t="str">
        <f t="shared" si="1"/>
        <v>Don't Show</v>
      </c>
      <c r="C101" s="1740" t="str">
        <f>IFERROR(INDEX('Grant Management_4 imp-exp'!D$19:D$20,MATCH('Grant Management_4'!A101,'Grant Management_4 imp-exp'!$B$19:$B$20,0)),"")</f>
        <v/>
      </c>
      <c r="D101" s="1740"/>
      <c r="E101" s="1281" t="str">
        <f>IFERROR(INDEX('Grant Management_4 imp-exp'!F$19:F$20,MATCH('Grant Management_4'!A101,'Grant Management_4 imp-exp'!$B$19:$B$20,0)),"")</f>
        <v/>
      </c>
      <c r="F101" s="1741" t="str">
        <f>IFERROR(INDEX('Grant Management_4 imp-exp'!G$19:G$20,MATCH('Grant Management_4'!A101,'Grant Management_4 imp-exp'!$B$19:$B$20,0)),"")</f>
        <v/>
      </c>
      <c r="G101" s="1741"/>
      <c r="H101" s="1282"/>
      <c r="I101" s="1731"/>
      <c r="J101" s="1731"/>
      <c r="K101" s="1282"/>
      <c r="L101" s="1282"/>
    </row>
    <row r="102" spans="1:12" ht="120" hidden="1" customHeight="1" x14ac:dyDescent="0.2">
      <c r="A102" s="646" t="s">
        <v>1288</v>
      </c>
      <c r="B102" s="700" t="str">
        <f t="shared" si="1"/>
        <v>Don't Show</v>
      </c>
      <c r="C102" s="1740" t="str">
        <f>IFERROR(INDEX('Grant Management_4 imp-exp'!D$19:D$20,MATCH('Grant Management_4'!A102,'Grant Management_4 imp-exp'!$B$19:$B$20,0)),"")</f>
        <v/>
      </c>
      <c r="D102" s="1740"/>
      <c r="E102" s="1281" t="str">
        <f>IFERROR(INDEX('Grant Management_4 imp-exp'!F$19:F$20,MATCH('Grant Management_4'!A102,'Grant Management_4 imp-exp'!$B$19:$B$20,0)),"")</f>
        <v/>
      </c>
      <c r="F102" s="1741" t="str">
        <f>IFERROR(INDEX('Grant Management_4 imp-exp'!G$19:G$20,MATCH('Grant Management_4'!A102,'Grant Management_4 imp-exp'!$B$19:$B$20,0)),"")</f>
        <v/>
      </c>
      <c r="G102" s="1741"/>
      <c r="H102" s="1282"/>
      <c r="I102" s="1731"/>
      <c r="J102" s="1731"/>
      <c r="K102" s="1282"/>
      <c r="L102" s="1282"/>
    </row>
    <row r="103" spans="1:12" ht="120" hidden="1" customHeight="1" x14ac:dyDescent="0.2">
      <c r="A103" s="646" t="s">
        <v>1289</v>
      </c>
      <c r="B103" s="700" t="str">
        <f t="shared" si="1"/>
        <v>Don't Show</v>
      </c>
      <c r="C103" s="1740" t="str">
        <f>IFERROR(INDEX('Grant Management_4 imp-exp'!D$19:D$20,MATCH('Grant Management_4'!A103,'Grant Management_4 imp-exp'!$B$19:$B$20,0)),"")</f>
        <v/>
      </c>
      <c r="D103" s="1740"/>
      <c r="E103" s="1281" t="str">
        <f>IFERROR(INDEX('Grant Management_4 imp-exp'!F$19:F$20,MATCH('Grant Management_4'!A103,'Grant Management_4 imp-exp'!$B$19:$B$20,0)),"")</f>
        <v/>
      </c>
      <c r="F103" s="1741" t="str">
        <f>IFERROR(INDEX('Grant Management_4 imp-exp'!G$19:G$20,MATCH('Grant Management_4'!A103,'Grant Management_4 imp-exp'!$B$19:$B$20,0)),"")</f>
        <v/>
      </c>
      <c r="G103" s="1741"/>
      <c r="H103" s="1282"/>
      <c r="I103" s="1731"/>
      <c r="J103" s="1731"/>
      <c r="K103" s="1282"/>
      <c r="L103" s="1282"/>
    </row>
    <row r="104" spans="1:12" ht="120" hidden="1" customHeight="1" x14ac:dyDescent="0.2">
      <c r="A104" s="646" t="s">
        <v>1290</v>
      </c>
      <c r="B104" s="700" t="str">
        <f t="shared" si="1"/>
        <v>Don't Show</v>
      </c>
      <c r="C104" s="1740" t="str">
        <f>IFERROR(INDEX('Grant Management_4 imp-exp'!D$19:D$20,MATCH('Grant Management_4'!A104,'Grant Management_4 imp-exp'!$B$19:$B$20,0)),"")</f>
        <v/>
      </c>
      <c r="D104" s="1740"/>
      <c r="E104" s="1281" t="str">
        <f>IFERROR(INDEX('Grant Management_4 imp-exp'!F$19:F$20,MATCH('Grant Management_4'!A104,'Grant Management_4 imp-exp'!$B$19:$B$20,0)),"")</f>
        <v/>
      </c>
      <c r="F104" s="1741" t="str">
        <f>IFERROR(INDEX('Grant Management_4 imp-exp'!G$19:G$20,MATCH('Grant Management_4'!A104,'Grant Management_4 imp-exp'!$B$19:$B$20,0)),"")</f>
        <v/>
      </c>
      <c r="G104" s="1741"/>
      <c r="H104" s="1282"/>
      <c r="I104" s="1731"/>
      <c r="J104" s="1731"/>
      <c r="K104" s="1282"/>
      <c r="L104" s="1282"/>
    </row>
    <row r="105" spans="1:12" ht="120" hidden="1" customHeight="1" x14ac:dyDescent="0.2">
      <c r="A105" s="646" t="s">
        <v>1291</v>
      </c>
      <c r="B105" s="700" t="str">
        <f t="shared" si="1"/>
        <v>Don't Show</v>
      </c>
      <c r="C105" s="1740" t="str">
        <f>IFERROR(INDEX('Grant Management_4 imp-exp'!D$19:D$20,MATCH('Grant Management_4'!A105,'Grant Management_4 imp-exp'!$B$19:$B$20,0)),"")</f>
        <v/>
      </c>
      <c r="D105" s="1740"/>
      <c r="E105" s="1281" t="str">
        <f>IFERROR(INDEX('Grant Management_4 imp-exp'!F$19:F$20,MATCH('Grant Management_4'!A105,'Grant Management_4 imp-exp'!$B$19:$B$20,0)),"")</f>
        <v/>
      </c>
      <c r="F105" s="1741" t="str">
        <f>IFERROR(INDEX('Grant Management_4 imp-exp'!G$19:G$20,MATCH('Grant Management_4'!A105,'Grant Management_4 imp-exp'!$B$19:$B$20,0)),"")</f>
        <v/>
      </c>
      <c r="G105" s="1741"/>
      <c r="H105" s="1282"/>
      <c r="I105" s="1731"/>
      <c r="J105" s="1731"/>
      <c r="K105" s="1282"/>
      <c r="L105" s="1282"/>
    </row>
    <row r="106" spans="1:12" ht="120" hidden="1" customHeight="1" x14ac:dyDescent="0.2">
      <c r="A106" s="646" t="s">
        <v>1292</v>
      </c>
      <c r="B106" s="700" t="str">
        <f t="shared" si="1"/>
        <v>Don't Show</v>
      </c>
      <c r="C106" s="1740" t="str">
        <f>IFERROR(INDEX('Grant Management_4 imp-exp'!D$19:D$20,MATCH('Grant Management_4'!A106,'Grant Management_4 imp-exp'!$B$19:$B$20,0)),"")</f>
        <v/>
      </c>
      <c r="D106" s="1740"/>
      <c r="E106" s="1281" t="str">
        <f>IFERROR(INDEX('Grant Management_4 imp-exp'!F$19:F$20,MATCH('Grant Management_4'!A106,'Grant Management_4 imp-exp'!$B$19:$B$20,0)),"")</f>
        <v/>
      </c>
      <c r="F106" s="1741" t="str">
        <f>IFERROR(INDEX('Grant Management_4 imp-exp'!G$19:G$20,MATCH('Grant Management_4'!A106,'Grant Management_4 imp-exp'!$B$19:$B$20,0)),"")</f>
        <v/>
      </c>
      <c r="G106" s="1741"/>
      <c r="H106" s="1282"/>
      <c r="I106" s="1731"/>
      <c r="J106" s="1731"/>
      <c r="K106" s="1282"/>
      <c r="L106" s="1282"/>
    </row>
    <row r="107" spans="1:12" ht="120" hidden="1" customHeight="1" x14ac:dyDescent="0.2">
      <c r="A107" s="646" t="s">
        <v>1293</v>
      </c>
      <c r="B107" s="700" t="str">
        <f t="shared" si="1"/>
        <v>Don't Show</v>
      </c>
      <c r="C107" s="1740" t="str">
        <f>IFERROR(INDEX('Grant Management_4 imp-exp'!D$19:D$20,MATCH('Grant Management_4'!A107,'Grant Management_4 imp-exp'!$B$19:$B$20,0)),"")</f>
        <v/>
      </c>
      <c r="D107" s="1740"/>
      <c r="E107" s="1281" t="str">
        <f>IFERROR(INDEX('Grant Management_4 imp-exp'!F$19:F$20,MATCH('Grant Management_4'!A107,'Grant Management_4 imp-exp'!$B$19:$B$20,0)),"")</f>
        <v/>
      </c>
      <c r="F107" s="1741" t="str">
        <f>IFERROR(INDEX('Grant Management_4 imp-exp'!G$19:G$20,MATCH('Grant Management_4'!A107,'Grant Management_4 imp-exp'!$B$19:$B$20,0)),"")</f>
        <v/>
      </c>
      <c r="G107" s="1741"/>
      <c r="H107" s="1282"/>
      <c r="I107" s="1731"/>
      <c r="J107" s="1731"/>
      <c r="K107" s="1282"/>
      <c r="L107" s="1282"/>
    </row>
    <row r="108" spans="1:12" ht="120" hidden="1" customHeight="1" x14ac:dyDescent="0.2">
      <c r="A108" s="646" t="s">
        <v>1294</v>
      </c>
      <c r="B108" s="700" t="str">
        <f t="shared" si="1"/>
        <v>Don't Show</v>
      </c>
      <c r="C108" s="1740" t="str">
        <f>IFERROR(INDEX('Grant Management_4 imp-exp'!D$19:D$20,MATCH('Grant Management_4'!A108,'Grant Management_4 imp-exp'!$B$19:$B$20,0)),"")</f>
        <v/>
      </c>
      <c r="D108" s="1740"/>
      <c r="E108" s="1281" t="str">
        <f>IFERROR(INDEX('Grant Management_4 imp-exp'!F$19:F$20,MATCH('Grant Management_4'!A108,'Grant Management_4 imp-exp'!$B$19:$B$20,0)),"")</f>
        <v/>
      </c>
      <c r="F108" s="1741" t="str">
        <f>IFERROR(INDEX('Grant Management_4 imp-exp'!G$19:G$20,MATCH('Grant Management_4'!A108,'Grant Management_4 imp-exp'!$B$19:$B$20,0)),"")</f>
        <v/>
      </c>
      <c r="G108" s="1741"/>
      <c r="H108" s="1282"/>
      <c r="I108" s="1731"/>
      <c r="J108" s="1731"/>
      <c r="K108" s="1282"/>
      <c r="L108" s="1282"/>
    </row>
    <row r="109" spans="1:12" ht="120" hidden="1" customHeight="1" x14ac:dyDescent="0.2">
      <c r="A109" s="646" t="s">
        <v>1295</v>
      </c>
      <c r="B109" s="700" t="str">
        <f t="shared" si="1"/>
        <v>Don't Show</v>
      </c>
      <c r="C109" s="1740" t="str">
        <f>IFERROR(INDEX('Grant Management_4 imp-exp'!D$19:D$20,MATCH('Grant Management_4'!A109,'Grant Management_4 imp-exp'!$B$19:$B$20,0)),"")</f>
        <v/>
      </c>
      <c r="D109" s="1740"/>
      <c r="E109" s="1281" t="str">
        <f>IFERROR(INDEX('Grant Management_4 imp-exp'!F$19:F$20,MATCH('Grant Management_4'!A109,'Grant Management_4 imp-exp'!$B$19:$B$20,0)),"")</f>
        <v/>
      </c>
      <c r="F109" s="1741" t="str">
        <f>IFERROR(INDEX('Grant Management_4 imp-exp'!G$19:G$20,MATCH('Grant Management_4'!A109,'Grant Management_4 imp-exp'!$B$19:$B$20,0)),"")</f>
        <v/>
      </c>
      <c r="G109" s="1741"/>
      <c r="H109" s="1282"/>
      <c r="I109" s="1731"/>
      <c r="J109" s="1731"/>
      <c r="K109" s="1282"/>
      <c r="L109" s="1282"/>
    </row>
    <row r="110" spans="1:12" ht="120" hidden="1" customHeight="1" x14ac:dyDescent="0.2">
      <c r="A110" s="646" t="s">
        <v>1296</v>
      </c>
      <c r="B110" s="700" t="str">
        <f t="shared" si="1"/>
        <v>Don't Show</v>
      </c>
      <c r="C110" s="1740" t="str">
        <f>IFERROR(INDEX('Grant Management_4 imp-exp'!D$19:D$20,MATCH('Grant Management_4'!A110,'Grant Management_4 imp-exp'!$B$19:$B$20,0)),"")</f>
        <v/>
      </c>
      <c r="D110" s="1740"/>
      <c r="E110" s="1281" t="str">
        <f>IFERROR(INDEX('Grant Management_4 imp-exp'!F$19:F$20,MATCH('Grant Management_4'!A110,'Grant Management_4 imp-exp'!$B$19:$B$20,0)),"")</f>
        <v/>
      </c>
      <c r="F110" s="1741" t="str">
        <f>IFERROR(INDEX('Grant Management_4 imp-exp'!G$19:G$20,MATCH('Grant Management_4'!A110,'Grant Management_4 imp-exp'!$B$19:$B$20,0)),"")</f>
        <v/>
      </c>
      <c r="G110" s="1741"/>
      <c r="H110" s="1282"/>
      <c r="I110" s="1731"/>
      <c r="J110" s="1731"/>
      <c r="K110" s="1282"/>
      <c r="L110" s="1282"/>
    </row>
    <row r="111" spans="1:12" ht="120" hidden="1" customHeight="1" x14ac:dyDescent="0.2">
      <c r="A111" s="646" t="s">
        <v>1297</v>
      </c>
      <c r="B111" s="700" t="str">
        <f t="shared" si="1"/>
        <v>Don't Show</v>
      </c>
      <c r="C111" s="1740" t="str">
        <f>IFERROR(INDEX('Grant Management_4 imp-exp'!D$19:D$20,MATCH('Grant Management_4'!A111,'Grant Management_4 imp-exp'!$B$19:$B$20,0)),"")</f>
        <v/>
      </c>
      <c r="D111" s="1740"/>
      <c r="E111" s="1281" t="str">
        <f>IFERROR(INDEX('Grant Management_4 imp-exp'!F$19:F$20,MATCH('Grant Management_4'!A111,'Grant Management_4 imp-exp'!$B$19:$B$20,0)),"")</f>
        <v/>
      </c>
      <c r="F111" s="1741" t="str">
        <f>IFERROR(INDEX('Grant Management_4 imp-exp'!G$19:G$20,MATCH('Grant Management_4'!A111,'Grant Management_4 imp-exp'!$B$19:$B$20,0)),"")</f>
        <v/>
      </c>
      <c r="G111" s="1741"/>
      <c r="H111" s="1282"/>
      <c r="I111" s="1731"/>
      <c r="J111" s="1731"/>
      <c r="K111" s="1282"/>
      <c r="L111" s="1282"/>
    </row>
    <row r="112" spans="1:12" ht="120" hidden="1" customHeight="1" x14ac:dyDescent="0.2">
      <c r="A112" s="646" t="s">
        <v>1298</v>
      </c>
      <c r="B112" s="700" t="str">
        <f t="shared" si="1"/>
        <v>Don't Show</v>
      </c>
      <c r="C112" s="1740" t="str">
        <f>IFERROR(INDEX('Grant Management_4 imp-exp'!D$19:D$20,MATCH('Grant Management_4'!A112,'Grant Management_4 imp-exp'!$B$19:$B$20,0)),"")</f>
        <v/>
      </c>
      <c r="D112" s="1740"/>
      <c r="E112" s="1281" t="str">
        <f>IFERROR(INDEX('Grant Management_4 imp-exp'!F$19:F$20,MATCH('Grant Management_4'!A112,'Grant Management_4 imp-exp'!$B$19:$B$20,0)),"")</f>
        <v/>
      </c>
      <c r="F112" s="1741" t="str">
        <f>IFERROR(INDEX('Grant Management_4 imp-exp'!G$19:G$20,MATCH('Grant Management_4'!A112,'Grant Management_4 imp-exp'!$B$19:$B$20,0)),"")</f>
        <v/>
      </c>
      <c r="G112" s="1741"/>
      <c r="H112" s="1282"/>
      <c r="I112" s="1731"/>
      <c r="J112" s="1731"/>
      <c r="K112" s="1282"/>
      <c r="L112" s="1282"/>
    </row>
    <row r="113" spans="1:12" ht="120" hidden="1" customHeight="1" x14ac:dyDescent="0.2">
      <c r="A113" s="646" t="s">
        <v>1299</v>
      </c>
      <c r="B113" s="700" t="str">
        <f t="shared" si="1"/>
        <v>Don't Show</v>
      </c>
      <c r="C113" s="1740" t="str">
        <f>IFERROR(INDEX('Grant Management_4 imp-exp'!D$19:D$20,MATCH('Grant Management_4'!A113,'Grant Management_4 imp-exp'!$B$19:$B$20,0)),"")</f>
        <v/>
      </c>
      <c r="D113" s="1740"/>
      <c r="E113" s="1281" t="str">
        <f>IFERROR(INDEX('Grant Management_4 imp-exp'!F$19:F$20,MATCH('Grant Management_4'!A113,'Grant Management_4 imp-exp'!$B$19:$B$20,0)),"")</f>
        <v/>
      </c>
      <c r="F113" s="1741" t="str">
        <f>IFERROR(INDEX('Grant Management_4 imp-exp'!G$19:G$20,MATCH('Grant Management_4'!A113,'Grant Management_4 imp-exp'!$B$19:$B$20,0)),"")</f>
        <v/>
      </c>
      <c r="G113" s="1741"/>
      <c r="H113" s="1282"/>
      <c r="I113" s="1731"/>
      <c r="J113" s="1731"/>
      <c r="K113" s="1282"/>
      <c r="L113" s="1282"/>
    </row>
    <row r="114" spans="1:12" ht="120" hidden="1" customHeight="1" x14ac:dyDescent="0.2">
      <c r="A114" s="646" t="s">
        <v>1300</v>
      </c>
      <c r="B114" s="700" t="str">
        <f t="shared" si="1"/>
        <v>Don't Show</v>
      </c>
      <c r="C114" s="1740" t="str">
        <f>IFERROR(INDEX('Grant Management_4 imp-exp'!D$19:D$20,MATCH('Grant Management_4'!A114,'Grant Management_4 imp-exp'!$B$19:$B$20,0)),"")</f>
        <v/>
      </c>
      <c r="D114" s="1740"/>
      <c r="E114" s="1281" t="str">
        <f>IFERROR(INDEX('Grant Management_4 imp-exp'!F$19:F$20,MATCH('Grant Management_4'!A114,'Grant Management_4 imp-exp'!$B$19:$B$20,0)),"")</f>
        <v/>
      </c>
      <c r="F114" s="1741" t="str">
        <f>IFERROR(INDEX('Grant Management_4 imp-exp'!G$19:G$20,MATCH('Grant Management_4'!A114,'Grant Management_4 imp-exp'!$B$19:$B$20,0)),"")</f>
        <v/>
      </c>
      <c r="G114" s="1741"/>
      <c r="H114" s="1282"/>
      <c r="I114" s="1731"/>
      <c r="J114" s="1731"/>
      <c r="K114" s="1282"/>
      <c r="L114" s="1282"/>
    </row>
    <row r="115" spans="1:12" ht="120" hidden="1" customHeight="1" x14ac:dyDescent="0.2">
      <c r="A115" s="646" t="s">
        <v>1301</v>
      </c>
      <c r="B115" s="700" t="str">
        <f t="shared" si="1"/>
        <v>Don't Show</v>
      </c>
      <c r="C115" s="1740" t="str">
        <f>IFERROR(INDEX('Grant Management_4 imp-exp'!D$19:D$20,MATCH('Grant Management_4'!A115,'Grant Management_4 imp-exp'!$B$19:$B$20,0)),"")</f>
        <v/>
      </c>
      <c r="D115" s="1740"/>
      <c r="E115" s="1281" t="str">
        <f>IFERROR(INDEX('Grant Management_4 imp-exp'!F$19:F$20,MATCH('Grant Management_4'!A115,'Grant Management_4 imp-exp'!$B$19:$B$20,0)),"")</f>
        <v/>
      </c>
      <c r="F115" s="1741" t="str">
        <f>IFERROR(INDEX('Grant Management_4 imp-exp'!G$19:G$20,MATCH('Grant Management_4'!A115,'Grant Management_4 imp-exp'!$B$19:$B$20,0)),"")</f>
        <v/>
      </c>
      <c r="G115" s="1741"/>
      <c r="H115" s="1282"/>
      <c r="I115" s="1731"/>
      <c r="J115" s="1731"/>
      <c r="K115" s="1282"/>
      <c r="L115" s="1282"/>
    </row>
    <row r="116" spans="1:12" ht="120" hidden="1" customHeight="1" x14ac:dyDescent="0.2">
      <c r="A116" s="646" t="s">
        <v>1302</v>
      </c>
      <c r="B116" s="700" t="str">
        <f t="shared" si="1"/>
        <v>Don't Show</v>
      </c>
      <c r="C116" s="1740" t="str">
        <f>IFERROR(INDEX('Grant Management_4 imp-exp'!D$19:D$20,MATCH('Grant Management_4'!A116,'Grant Management_4 imp-exp'!$B$19:$B$20,0)),"")</f>
        <v/>
      </c>
      <c r="D116" s="1740"/>
      <c r="E116" s="1281" t="str">
        <f>IFERROR(INDEX('Grant Management_4 imp-exp'!F$19:F$20,MATCH('Grant Management_4'!A116,'Grant Management_4 imp-exp'!$B$19:$B$20,0)),"")</f>
        <v/>
      </c>
      <c r="F116" s="1741" t="str">
        <f>IFERROR(INDEX('Grant Management_4 imp-exp'!G$19:G$20,MATCH('Grant Management_4'!A116,'Grant Management_4 imp-exp'!$B$19:$B$20,0)),"")</f>
        <v/>
      </c>
      <c r="G116" s="1741"/>
      <c r="H116" s="1282"/>
      <c r="I116" s="1731"/>
      <c r="J116" s="1731"/>
      <c r="K116" s="1282"/>
      <c r="L116" s="1282"/>
    </row>
    <row r="117" spans="1:12" ht="120" hidden="1" customHeight="1" x14ac:dyDescent="0.2">
      <c r="A117" s="646" t="s">
        <v>1303</v>
      </c>
      <c r="B117" s="700" t="str">
        <f t="shared" si="1"/>
        <v>Don't Show</v>
      </c>
      <c r="C117" s="1740" t="str">
        <f>IFERROR(INDEX('Grant Management_4 imp-exp'!D$19:D$20,MATCH('Grant Management_4'!A117,'Grant Management_4 imp-exp'!$B$19:$B$20,0)),"")</f>
        <v/>
      </c>
      <c r="D117" s="1740"/>
      <c r="E117" s="1281" t="str">
        <f>IFERROR(INDEX('Grant Management_4 imp-exp'!F$19:F$20,MATCH('Grant Management_4'!A117,'Grant Management_4 imp-exp'!$B$19:$B$20,0)),"")</f>
        <v/>
      </c>
      <c r="F117" s="1741" t="str">
        <f>IFERROR(INDEX('Grant Management_4 imp-exp'!G$19:G$20,MATCH('Grant Management_4'!A117,'Grant Management_4 imp-exp'!$B$19:$B$20,0)),"")</f>
        <v/>
      </c>
      <c r="G117" s="1741"/>
      <c r="H117" s="1282"/>
      <c r="I117" s="1731"/>
      <c r="J117" s="1731"/>
      <c r="K117" s="1282"/>
      <c r="L117" s="1282"/>
    </row>
    <row r="118" spans="1:12" ht="120" hidden="1" customHeight="1" x14ac:dyDescent="0.2">
      <c r="A118" s="646" t="s">
        <v>1304</v>
      </c>
      <c r="B118" s="700" t="str">
        <f t="shared" si="1"/>
        <v>Don't Show</v>
      </c>
      <c r="C118" s="1740" t="str">
        <f>IFERROR(INDEX('Grant Management_4 imp-exp'!D$19:D$20,MATCH('Grant Management_4'!A118,'Grant Management_4 imp-exp'!$B$19:$B$20,0)),"")</f>
        <v/>
      </c>
      <c r="D118" s="1740"/>
      <c r="E118" s="1281" t="str">
        <f>IFERROR(INDEX('Grant Management_4 imp-exp'!F$19:F$20,MATCH('Grant Management_4'!A118,'Grant Management_4 imp-exp'!$B$19:$B$20,0)),"")</f>
        <v/>
      </c>
      <c r="F118" s="1741" t="str">
        <f>IFERROR(INDEX('Grant Management_4 imp-exp'!G$19:G$20,MATCH('Grant Management_4'!A118,'Grant Management_4 imp-exp'!$B$19:$B$20,0)),"")</f>
        <v/>
      </c>
      <c r="G118" s="1741"/>
      <c r="H118" s="1282"/>
      <c r="I118" s="1731"/>
      <c r="J118" s="1731"/>
      <c r="K118" s="1282"/>
      <c r="L118" s="1282"/>
    </row>
    <row r="119" spans="1:12" ht="120" hidden="1" customHeight="1" x14ac:dyDescent="0.2">
      <c r="A119" s="646" t="s">
        <v>1305</v>
      </c>
      <c r="B119" s="700" t="str">
        <f t="shared" si="1"/>
        <v>Don't Show</v>
      </c>
      <c r="C119" s="1740" t="str">
        <f>IFERROR(INDEX('Grant Management_4 imp-exp'!D$19:D$20,MATCH('Grant Management_4'!A119,'Grant Management_4 imp-exp'!$B$19:$B$20,0)),"")</f>
        <v/>
      </c>
      <c r="D119" s="1740"/>
      <c r="E119" s="1281" t="str">
        <f>IFERROR(INDEX('Grant Management_4 imp-exp'!F$19:F$20,MATCH('Grant Management_4'!A119,'Grant Management_4 imp-exp'!$B$19:$B$20,0)),"")</f>
        <v/>
      </c>
      <c r="F119" s="1741" t="str">
        <f>IFERROR(INDEX('Grant Management_4 imp-exp'!G$19:G$20,MATCH('Grant Management_4'!A119,'Grant Management_4 imp-exp'!$B$19:$B$20,0)),"")</f>
        <v/>
      </c>
      <c r="G119" s="1741"/>
      <c r="H119" s="1282"/>
      <c r="I119" s="1731"/>
      <c r="J119" s="1731"/>
      <c r="K119" s="1282"/>
      <c r="L119" s="1282"/>
    </row>
    <row r="120" spans="1:12" ht="120" hidden="1" customHeight="1" x14ac:dyDescent="0.2">
      <c r="A120" s="646" t="s">
        <v>1306</v>
      </c>
      <c r="B120" s="700" t="str">
        <f t="shared" si="1"/>
        <v>Don't Show</v>
      </c>
      <c r="C120" s="1740" t="str">
        <f>IFERROR(INDEX('Grant Management_4 imp-exp'!D$19:D$20,MATCH('Grant Management_4'!A120,'Grant Management_4 imp-exp'!$B$19:$B$20,0)),"")</f>
        <v/>
      </c>
      <c r="D120" s="1740"/>
      <c r="E120" s="1281" t="str">
        <f>IFERROR(INDEX('Grant Management_4 imp-exp'!F$19:F$20,MATCH('Grant Management_4'!A120,'Grant Management_4 imp-exp'!$B$19:$B$20,0)),"")</f>
        <v/>
      </c>
      <c r="F120" s="1741" t="str">
        <f>IFERROR(INDEX('Grant Management_4 imp-exp'!G$19:G$20,MATCH('Grant Management_4'!A120,'Grant Management_4 imp-exp'!$B$19:$B$20,0)),"")</f>
        <v/>
      </c>
      <c r="G120" s="1741"/>
      <c r="H120" s="1282"/>
      <c r="I120" s="1731"/>
      <c r="J120" s="1731"/>
      <c r="K120" s="1282"/>
      <c r="L120" s="1282"/>
    </row>
    <row r="121" spans="1:12" ht="120" hidden="1" customHeight="1" x14ac:dyDescent="0.2">
      <c r="A121" s="646" t="s">
        <v>1307</v>
      </c>
      <c r="B121" s="700" t="str">
        <f t="shared" si="1"/>
        <v>Don't Show</v>
      </c>
      <c r="C121" s="1740" t="str">
        <f>IFERROR(INDEX('Grant Management_4 imp-exp'!D$19:D$20,MATCH('Grant Management_4'!A121,'Grant Management_4 imp-exp'!$B$19:$B$20,0)),"")</f>
        <v/>
      </c>
      <c r="D121" s="1740"/>
      <c r="E121" s="1281" t="str">
        <f>IFERROR(INDEX('Grant Management_4 imp-exp'!F$19:F$20,MATCH('Grant Management_4'!A121,'Grant Management_4 imp-exp'!$B$19:$B$20,0)),"")</f>
        <v/>
      </c>
      <c r="F121" s="1741" t="str">
        <f>IFERROR(INDEX('Grant Management_4 imp-exp'!G$19:G$20,MATCH('Grant Management_4'!A121,'Grant Management_4 imp-exp'!$B$19:$B$20,0)),"")</f>
        <v/>
      </c>
      <c r="G121" s="1741"/>
      <c r="H121" s="1282"/>
      <c r="I121" s="1731"/>
      <c r="J121" s="1731"/>
      <c r="K121" s="1282"/>
      <c r="L121" s="1282"/>
    </row>
    <row r="122" spans="1:12" ht="120" hidden="1" customHeight="1" x14ac:dyDescent="0.2">
      <c r="A122" s="646" t="s">
        <v>1308</v>
      </c>
      <c r="B122" s="700" t="str">
        <f t="shared" si="1"/>
        <v>Don't Show</v>
      </c>
      <c r="C122" s="1740" t="str">
        <f>IFERROR(INDEX('Grant Management_4 imp-exp'!D$19:D$20,MATCH('Grant Management_4'!A122,'Grant Management_4 imp-exp'!$B$19:$B$20,0)),"")</f>
        <v/>
      </c>
      <c r="D122" s="1740"/>
      <c r="E122" s="1281" t="str">
        <f>IFERROR(INDEX('Grant Management_4 imp-exp'!F$19:F$20,MATCH('Grant Management_4'!A122,'Grant Management_4 imp-exp'!$B$19:$B$20,0)),"")</f>
        <v/>
      </c>
      <c r="F122" s="1741" t="str">
        <f>IFERROR(INDEX('Grant Management_4 imp-exp'!G$19:G$20,MATCH('Grant Management_4'!A122,'Grant Management_4 imp-exp'!$B$19:$B$20,0)),"")</f>
        <v/>
      </c>
      <c r="G122" s="1741"/>
      <c r="H122" s="1282"/>
      <c r="I122" s="1731"/>
      <c r="J122" s="1731"/>
      <c r="K122" s="1282"/>
      <c r="L122" s="1282"/>
    </row>
    <row r="123" spans="1:12" ht="120" hidden="1" customHeight="1" x14ac:dyDescent="0.2">
      <c r="A123" s="646" t="s">
        <v>1309</v>
      </c>
      <c r="B123" s="700" t="str">
        <f t="shared" si="1"/>
        <v>Don't Show</v>
      </c>
      <c r="C123" s="1740" t="str">
        <f>IFERROR(INDEX('Grant Management_4 imp-exp'!D$19:D$20,MATCH('Grant Management_4'!A123,'Grant Management_4 imp-exp'!$B$19:$B$20,0)),"")</f>
        <v/>
      </c>
      <c r="D123" s="1740"/>
      <c r="E123" s="1281" t="str">
        <f>IFERROR(INDEX('Grant Management_4 imp-exp'!F$19:F$20,MATCH('Grant Management_4'!A123,'Grant Management_4 imp-exp'!$B$19:$B$20,0)),"")</f>
        <v/>
      </c>
      <c r="F123" s="1741" t="str">
        <f>IFERROR(INDEX('Grant Management_4 imp-exp'!G$19:G$20,MATCH('Grant Management_4'!A123,'Grant Management_4 imp-exp'!$B$19:$B$20,0)),"")</f>
        <v/>
      </c>
      <c r="G123" s="1741"/>
      <c r="H123" s="1282"/>
      <c r="I123" s="1731"/>
      <c r="J123" s="1731"/>
      <c r="K123" s="1282"/>
      <c r="L123" s="1282"/>
    </row>
    <row r="124" spans="1:12" ht="120" hidden="1" customHeight="1" x14ac:dyDescent="0.2">
      <c r="A124" s="646" t="s">
        <v>1310</v>
      </c>
      <c r="B124" s="700" t="str">
        <f t="shared" si="1"/>
        <v>Don't Show</v>
      </c>
      <c r="C124" s="1740" t="str">
        <f>IFERROR(INDEX('Grant Management_4 imp-exp'!D$19:D$20,MATCH('Grant Management_4'!A124,'Grant Management_4 imp-exp'!$B$19:$B$20,0)),"")</f>
        <v/>
      </c>
      <c r="D124" s="1740"/>
      <c r="E124" s="1281" t="str">
        <f>IFERROR(INDEX('Grant Management_4 imp-exp'!F$19:F$20,MATCH('Grant Management_4'!A124,'Grant Management_4 imp-exp'!$B$19:$B$20,0)),"")</f>
        <v/>
      </c>
      <c r="F124" s="1741" t="str">
        <f>IFERROR(INDEX('Grant Management_4 imp-exp'!G$19:G$20,MATCH('Grant Management_4'!A124,'Grant Management_4 imp-exp'!$B$19:$B$20,0)),"")</f>
        <v/>
      </c>
      <c r="G124" s="1741"/>
      <c r="H124" s="1282"/>
      <c r="I124" s="1731"/>
      <c r="J124" s="1731"/>
      <c r="K124" s="1282"/>
      <c r="L124" s="1282"/>
    </row>
    <row r="125" spans="1:12" ht="120" hidden="1" customHeight="1" x14ac:dyDescent="0.2">
      <c r="A125" s="646" t="s">
        <v>1311</v>
      </c>
      <c r="B125" s="700" t="str">
        <f t="shared" si="1"/>
        <v>Don't Show</v>
      </c>
      <c r="C125" s="1740" t="str">
        <f>IFERROR(INDEX('Grant Management_4 imp-exp'!D$19:D$20,MATCH('Grant Management_4'!A125,'Grant Management_4 imp-exp'!$B$19:$B$20,0)),"")</f>
        <v/>
      </c>
      <c r="D125" s="1740"/>
      <c r="E125" s="1281" t="str">
        <f>IFERROR(INDEX('Grant Management_4 imp-exp'!F$19:F$20,MATCH('Grant Management_4'!A125,'Grant Management_4 imp-exp'!$B$19:$B$20,0)),"")</f>
        <v/>
      </c>
      <c r="F125" s="1741" t="str">
        <f>IFERROR(INDEX('Grant Management_4 imp-exp'!G$19:G$20,MATCH('Grant Management_4'!A125,'Grant Management_4 imp-exp'!$B$19:$B$20,0)),"")</f>
        <v/>
      </c>
      <c r="G125" s="1741"/>
      <c r="H125" s="1282"/>
      <c r="I125" s="1731"/>
      <c r="J125" s="1731"/>
      <c r="K125" s="1282"/>
      <c r="L125" s="1282"/>
    </row>
    <row r="126" spans="1:12" ht="120" hidden="1" customHeight="1" x14ac:dyDescent="0.2">
      <c r="A126" s="646" t="s">
        <v>1312</v>
      </c>
      <c r="B126" s="700" t="str">
        <f t="shared" si="1"/>
        <v>Don't Show</v>
      </c>
      <c r="C126" s="1740" t="str">
        <f>IFERROR(INDEX('Grant Management_4 imp-exp'!D$19:D$20,MATCH('Grant Management_4'!A126,'Grant Management_4 imp-exp'!$B$19:$B$20,0)),"")</f>
        <v/>
      </c>
      <c r="D126" s="1740"/>
      <c r="E126" s="1281" t="str">
        <f>IFERROR(INDEX('Grant Management_4 imp-exp'!F$19:F$20,MATCH('Grant Management_4'!A126,'Grant Management_4 imp-exp'!$B$19:$B$20,0)),"")</f>
        <v/>
      </c>
      <c r="F126" s="1741" t="str">
        <f>IFERROR(INDEX('Grant Management_4 imp-exp'!G$19:G$20,MATCH('Grant Management_4'!A126,'Grant Management_4 imp-exp'!$B$19:$B$20,0)),"")</f>
        <v/>
      </c>
      <c r="G126" s="1741"/>
      <c r="H126" s="1282"/>
      <c r="I126" s="1731"/>
      <c r="J126" s="1731"/>
      <c r="K126" s="1282"/>
      <c r="L126" s="1282"/>
    </row>
    <row r="127" spans="1:12" ht="120" hidden="1" customHeight="1" x14ac:dyDescent="0.2">
      <c r="A127" s="646" t="s">
        <v>1313</v>
      </c>
      <c r="B127" s="700" t="str">
        <f t="shared" si="1"/>
        <v>Don't Show</v>
      </c>
      <c r="C127" s="1740" t="str">
        <f>IFERROR(INDEX('Grant Management_4 imp-exp'!D$19:D$20,MATCH('Grant Management_4'!A127,'Grant Management_4 imp-exp'!$B$19:$B$20,0)),"")</f>
        <v/>
      </c>
      <c r="D127" s="1740"/>
      <c r="E127" s="1281" t="str">
        <f>IFERROR(INDEX('Grant Management_4 imp-exp'!F$19:F$20,MATCH('Grant Management_4'!A127,'Grant Management_4 imp-exp'!$B$19:$B$20,0)),"")</f>
        <v/>
      </c>
      <c r="F127" s="1741" t="str">
        <f>IFERROR(INDEX('Grant Management_4 imp-exp'!G$19:G$20,MATCH('Grant Management_4'!A127,'Grant Management_4 imp-exp'!$B$19:$B$20,0)),"")</f>
        <v/>
      </c>
      <c r="G127" s="1741"/>
      <c r="H127" s="1282"/>
      <c r="I127" s="1731"/>
      <c r="J127" s="1731"/>
      <c r="K127" s="1282"/>
      <c r="L127" s="1282"/>
    </row>
    <row r="128" spans="1:12" ht="120" hidden="1" customHeight="1" x14ac:dyDescent="0.2">
      <c r="A128" s="646" t="s">
        <v>1314</v>
      </c>
      <c r="B128" s="700" t="str">
        <f t="shared" si="1"/>
        <v>Don't Show</v>
      </c>
      <c r="C128" s="1740" t="str">
        <f>IFERROR(INDEX('Grant Management_4 imp-exp'!D$19:D$20,MATCH('Grant Management_4'!A128,'Grant Management_4 imp-exp'!$B$19:$B$20,0)),"")</f>
        <v/>
      </c>
      <c r="D128" s="1740"/>
      <c r="E128" s="1281" t="str">
        <f>IFERROR(INDEX('Grant Management_4 imp-exp'!F$19:F$20,MATCH('Grant Management_4'!A128,'Grant Management_4 imp-exp'!$B$19:$B$20,0)),"")</f>
        <v/>
      </c>
      <c r="F128" s="1741" t="str">
        <f>IFERROR(INDEX('Grant Management_4 imp-exp'!G$19:G$20,MATCH('Grant Management_4'!A128,'Grant Management_4 imp-exp'!$B$19:$B$20,0)),"")</f>
        <v/>
      </c>
      <c r="G128" s="1741"/>
      <c r="H128" s="1282"/>
      <c r="I128" s="1731"/>
      <c r="J128" s="1731"/>
      <c r="K128" s="1282"/>
      <c r="L128" s="1282"/>
    </row>
    <row r="129" spans="1:12" ht="120" hidden="1" customHeight="1" x14ac:dyDescent="0.2">
      <c r="A129" s="646" t="s">
        <v>1315</v>
      </c>
      <c r="B129" s="700" t="str">
        <f t="shared" si="1"/>
        <v>Don't Show</v>
      </c>
      <c r="C129" s="1740" t="str">
        <f>IFERROR(INDEX('Grant Management_4 imp-exp'!D$19:D$20,MATCH('Grant Management_4'!A129,'Grant Management_4 imp-exp'!$B$19:$B$20,0)),"")</f>
        <v/>
      </c>
      <c r="D129" s="1740"/>
      <c r="E129" s="1281" t="str">
        <f>IFERROR(INDEX('Grant Management_4 imp-exp'!F$19:F$20,MATCH('Grant Management_4'!A129,'Grant Management_4 imp-exp'!$B$19:$B$20,0)),"")</f>
        <v/>
      </c>
      <c r="F129" s="1741" t="str">
        <f>IFERROR(INDEX('Grant Management_4 imp-exp'!G$19:G$20,MATCH('Grant Management_4'!A129,'Grant Management_4 imp-exp'!$B$19:$B$20,0)),"")</f>
        <v/>
      </c>
      <c r="G129" s="1741"/>
      <c r="H129" s="1282"/>
      <c r="I129" s="1731"/>
      <c r="J129" s="1731"/>
      <c r="K129" s="1282"/>
      <c r="L129" s="1282"/>
    </row>
    <row r="130" spans="1:12" ht="120" hidden="1" customHeight="1" x14ac:dyDescent="0.2">
      <c r="A130" s="646" t="s">
        <v>1316</v>
      </c>
      <c r="B130" s="700" t="str">
        <f t="shared" si="1"/>
        <v>Don't Show</v>
      </c>
      <c r="C130" s="1740" t="str">
        <f>IFERROR(INDEX('Grant Management_4 imp-exp'!D$19:D$20,MATCH('Grant Management_4'!A130,'Grant Management_4 imp-exp'!$B$19:$B$20,0)),"")</f>
        <v/>
      </c>
      <c r="D130" s="1740"/>
      <c r="E130" s="1281" t="str">
        <f>IFERROR(INDEX('Grant Management_4 imp-exp'!F$19:F$20,MATCH('Grant Management_4'!A130,'Grant Management_4 imp-exp'!$B$19:$B$20,0)),"")</f>
        <v/>
      </c>
      <c r="F130" s="1741" t="str">
        <f>IFERROR(INDEX('Grant Management_4 imp-exp'!G$19:G$20,MATCH('Grant Management_4'!A130,'Grant Management_4 imp-exp'!$B$19:$B$20,0)),"")</f>
        <v/>
      </c>
      <c r="G130" s="1741"/>
      <c r="H130" s="1282"/>
      <c r="I130" s="1731"/>
      <c r="J130" s="1731"/>
      <c r="K130" s="1282"/>
      <c r="L130" s="1282"/>
    </row>
    <row r="131" spans="1:12" ht="120" hidden="1" customHeight="1" x14ac:dyDescent="0.2">
      <c r="A131" s="646" t="s">
        <v>1317</v>
      </c>
      <c r="B131" s="700" t="str">
        <f t="shared" si="1"/>
        <v>Don't Show</v>
      </c>
      <c r="C131" s="1740" t="str">
        <f>IFERROR(INDEX('Grant Management_4 imp-exp'!D$19:D$20,MATCH('Grant Management_4'!A131,'Grant Management_4 imp-exp'!$B$19:$B$20,0)),"")</f>
        <v/>
      </c>
      <c r="D131" s="1740"/>
      <c r="E131" s="1281" t="str">
        <f>IFERROR(INDEX('Grant Management_4 imp-exp'!F$19:F$20,MATCH('Grant Management_4'!A131,'Grant Management_4 imp-exp'!$B$19:$B$20,0)),"")</f>
        <v/>
      </c>
      <c r="F131" s="1741" t="str">
        <f>IFERROR(INDEX('Grant Management_4 imp-exp'!G$19:G$20,MATCH('Grant Management_4'!A131,'Grant Management_4 imp-exp'!$B$19:$B$20,0)),"")</f>
        <v/>
      </c>
      <c r="G131" s="1741"/>
      <c r="H131" s="1282"/>
      <c r="I131" s="1731"/>
      <c r="J131" s="1731"/>
      <c r="K131" s="1282"/>
      <c r="L131" s="1282"/>
    </row>
    <row r="132" spans="1:12" ht="120" hidden="1" customHeight="1" x14ac:dyDescent="0.2">
      <c r="A132" s="646" t="s">
        <v>1318</v>
      </c>
      <c r="B132" s="700" t="str">
        <f t="shared" si="1"/>
        <v>Don't Show</v>
      </c>
      <c r="C132" s="1740" t="str">
        <f>IFERROR(INDEX('Grant Management_4 imp-exp'!D$19:D$20,MATCH('Grant Management_4'!A132,'Grant Management_4 imp-exp'!$B$19:$B$20,0)),"")</f>
        <v/>
      </c>
      <c r="D132" s="1740"/>
      <c r="E132" s="1281" t="str">
        <f>IFERROR(INDEX('Grant Management_4 imp-exp'!F$19:F$20,MATCH('Grant Management_4'!A132,'Grant Management_4 imp-exp'!$B$19:$B$20,0)),"")</f>
        <v/>
      </c>
      <c r="F132" s="1741" t="str">
        <f>IFERROR(INDEX('Grant Management_4 imp-exp'!G$19:G$20,MATCH('Grant Management_4'!A132,'Grant Management_4 imp-exp'!$B$19:$B$20,0)),"")</f>
        <v/>
      </c>
      <c r="G132" s="1741"/>
      <c r="H132" s="1282"/>
      <c r="I132" s="1731"/>
      <c r="J132" s="1731"/>
      <c r="K132" s="1282"/>
      <c r="L132" s="1282"/>
    </row>
    <row r="133" spans="1:12" ht="120" hidden="1" customHeight="1" x14ac:dyDescent="0.2">
      <c r="A133" s="646" t="s">
        <v>1319</v>
      </c>
      <c r="B133" s="700" t="str">
        <f t="shared" si="1"/>
        <v>Don't Show</v>
      </c>
      <c r="C133" s="1740" t="str">
        <f>IFERROR(INDEX('Grant Management_4 imp-exp'!D$19:D$20,MATCH('Grant Management_4'!A133,'Grant Management_4 imp-exp'!$B$19:$B$20,0)),"")</f>
        <v/>
      </c>
      <c r="D133" s="1740"/>
      <c r="E133" s="1281" t="str">
        <f>IFERROR(INDEX('Grant Management_4 imp-exp'!F$19:F$20,MATCH('Grant Management_4'!A133,'Grant Management_4 imp-exp'!$B$19:$B$20,0)),"")</f>
        <v/>
      </c>
      <c r="F133" s="1741" t="str">
        <f>IFERROR(INDEX('Grant Management_4 imp-exp'!G$19:G$20,MATCH('Grant Management_4'!A133,'Grant Management_4 imp-exp'!$B$19:$B$20,0)),"")</f>
        <v/>
      </c>
      <c r="G133" s="1741"/>
      <c r="H133" s="1282"/>
      <c r="I133" s="1731"/>
      <c r="J133" s="1731"/>
      <c r="K133" s="1282"/>
      <c r="L133" s="1282"/>
    </row>
    <row r="134" spans="1:12" ht="120" hidden="1" customHeight="1" x14ac:dyDescent="0.2">
      <c r="A134" s="646" t="s">
        <v>1320</v>
      </c>
      <c r="B134" s="700" t="str">
        <f t="shared" si="1"/>
        <v>Don't Show</v>
      </c>
      <c r="C134" s="1740" t="str">
        <f>IFERROR(INDEX('Grant Management_4 imp-exp'!D$19:D$20,MATCH('Grant Management_4'!A134,'Grant Management_4 imp-exp'!$B$19:$B$20,0)),"")</f>
        <v/>
      </c>
      <c r="D134" s="1740"/>
      <c r="E134" s="1281" t="str">
        <f>IFERROR(INDEX('Grant Management_4 imp-exp'!F$19:F$20,MATCH('Grant Management_4'!A134,'Grant Management_4 imp-exp'!$B$19:$B$20,0)),"")</f>
        <v/>
      </c>
      <c r="F134" s="1741" t="str">
        <f>IFERROR(INDEX('Grant Management_4 imp-exp'!G$19:G$20,MATCH('Grant Management_4'!A134,'Grant Management_4 imp-exp'!$B$19:$B$20,0)),"")</f>
        <v/>
      </c>
      <c r="G134" s="1741"/>
      <c r="H134" s="1282"/>
      <c r="I134" s="1731"/>
      <c r="J134" s="1731"/>
      <c r="K134" s="1282"/>
      <c r="L134" s="1282"/>
    </row>
    <row r="135" spans="1:12" ht="120" hidden="1" customHeight="1" x14ac:dyDescent="0.2">
      <c r="A135" s="646" t="s">
        <v>1321</v>
      </c>
      <c r="B135" s="700" t="str">
        <f t="shared" si="1"/>
        <v>Don't Show</v>
      </c>
      <c r="C135" s="1740" t="str">
        <f>IFERROR(INDEX('Grant Management_4 imp-exp'!D$19:D$20,MATCH('Grant Management_4'!A135,'Grant Management_4 imp-exp'!$B$19:$B$20,0)),"")</f>
        <v/>
      </c>
      <c r="D135" s="1740"/>
      <c r="E135" s="1281" t="str">
        <f>IFERROR(INDEX('Grant Management_4 imp-exp'!F$19:F$20,MATCH('Grant Management_4'!A135,'Grant Management_4 imp-exp'!$B$19:$B$20,0)),"")</f>
        <v/>
      </c>
      <c r="F135" s="1741" t="str">
        <f>IFERROR(INDEX('Grant Management_4 imp-exp'!G$19:G$20,MATCH('Grant Management_4'!A135,'Grant Management_4 imp-exp'!$B$19:$B$20,0)),"")</f>
        <v/>
      </c>
      <c r="G135" s="1741"/>
      <c r="H135" s="1282"/>
      <c r="I135" s="1731"/>
      <c r="J135" s="1731"/>
      <c r="K135" s="1282"/>
      <c r="L135" s="1282"/>
    </row>
    <row r="136" spans="1:12" ht="120" hidden="1" customHeight="1" x14ac:dyDescent="0.2">
      <c r="A136" s="646" t="s">
        <v>1322</v>
      </c>
      <c r="B136" s="700" t="str">
        <f t="shared" si="1"/>
        <v>Don't Show</v>
      </c>
      <c r="C136" s="1740" t="str">
        <f>IFERROR(INDEX('Grant Management_4 imp-exp'!D$19:D$20,MATCH('Grant Management_4'!A136,'Grant Management_4 imp-exp'!$B$19:$B$20,0)),"")</f>
        <v/>
      </c>
      <c r="D136" s="1740"/>
      <c r="E136" s="1281" t="str">
        <f>IFERROR(INDEX('Grant Management_4 imp-exp'!F$19:F$20,MATCH('Grant Management_4'!A136,'Grant Management_4 imp-exp'!$B$19:$B$20,0)),"")</f>
        <v/>
      </c>
      <c r="F136" s="1741" t="str">
        <f>IFERROR(INDEX('Grant Management_4 imp-exp'!G$19:G$20,MATCH('Grant Management_4'!A136,'Grant Management_4 imp-exp'!$B$19:$B$20,0)),"")</f>
        <v/>
      </c>
      <c r="G136" s="1741"/>
      <c r="H136" s="1282"/>
      <c r="I136" s="1731"/>
      <c r="J136" s="1731"/>
      <c r="K136" s="1282"/>
      <c r="L136" s="1282"/>
    </row>
    <row r="137" spans="1:12" ht="18" x14ac:dyDescent="0.2">
      <c r="B137" s="700" t="str">
        <f t="shared" si="1"/>
        <v>Show</v>
      </c>
      <c r="C137" s="651" t="s">
        <v>1242</v>
      </c>
      <c r="D137" s="6"/>
      <c r="E137" s="649"/>
      <c r="F137" s="649"/>
      <c r="G137" s="649"/>
      <c r="H137" s="6"/>
      <c r="I137" s="2"/>
      <c r="J137" s="2"/>
      <c r="K137" s="2"/>
      <c r="L137" s="2"/>
    </row>
    <row r="138" spans="1:12" ht="18" x14ac:dyDescent="0.2">
      <c r="B138" s="700" t="str">
        <f t="shared" ref="B138:B145" si="2">IF(C138&lt;&gt;"","Show","Don't Show")</f>
        <v>Show</v>
      </c>
      <c r="C138" s="414" t="s">
        <v>1242</v>
      </c>
      <c r="D138" s="2"/>
      <c r="E138" s="2"/>
      <c r="F138" s="2"/>
      <c r="G138" s="2"/>
      <c r="H138" s="2"/>
      <c r="I138" s="2"/>
      <c r="J138" s="2"/>
      <c r="K138" s="2"/>
      <c r="L138" s="2"/>
    </row>
    <row r="139" spans="1:12" ht="34.5" customHeight="1" x14ac:dyDescent="0.2">
      <c r="B139" s="700" t="str">
        <f t="shared" si="2"/>
        <v>Show</v>
      </c>
      <c r="C139" s="1722" t="str">
        <f>VLOOKUP(Translations!B327,Translations!B3:H508,4,0)</f>
        <v>C.  Commentaires sur les exigences de rapport annuel concernant la subvention</v>
      </c>
      <c r="D139" s="1722"/>
      <c r="E139" s="1722"/>
      <c r="F139" s="1722"/>
      <c r="G139" s="1722"/>
      <c r="H139" s="1722"/>
      <c r="I139" s="444"/>
      <c r="J139" s="444"/>
      <c r="K139" s="444"/>
      <c r="L139" s="444"/>
    </row>
    <row r="140" spans="1:12" ht="18" customHeight="1" thickBot="1" x14ac:dyDescent="0.25">
      <c r="B140" s="700" t="str">
        <f t="shared" si="2"/>
        <v>Show</v>
      </c>
      <c r="C140" s="652" t="s">
        <v>1242</v>
      </c>
      <c r="D140" s="496"/>
      <c r="E140" s="496"/>
      <c r="F140" s="496"/>
      <c r="G140" s="496"/>
      <c r="H140" s="496"/>
      <c r="I140" s="2"/>
      <c r="J140" s="2"/>
    </row>
    <row r="141" spans="1:12" ht="42" customHeight="1" thickBot="1" x14ac:dyDescent="0.25">
      <c r="B141" s="700" t="str">
        <f t="shared" si="2"/>
        <v>Show</v>
      </c>
      <c r="C141" s="497" t="str">
        <f>VLOOKUP(Translations!B328,Translations!B3:H508,4,0)</f>
        <v>! Veuillez indiquer l'échéance du rapport à présenter. Si un rapport est en retard, indiquez l'échéance originale et le motif du retard.</v>
      </c>
      <c r="D141" s="497"/>
      <c r="E141" s="498"/>
      <c r="F141" s="498"/>
      <c r="G141" s="1723" t="s">
        <v>1114</v>
      </c>
      <c r="H141" s="1724"/>
      <c r="I141" s="1724"/>
      <c r="J141" s="1725" t="s">
        <v>792</v>
      </c>
      <c r="K141" s="1725"/>
      <c r="L141" s="1726"/>
    </row>
    <row r="142" spans="1:12" ht="1.35" hidden="1" customHeight="1" thickBot="1" x14ac:dyDescent="0.25">
      <c r="B142" s="700" t="str">
        <f t="shared" si="2"/>
        <v>Don't Show</v>
      </c>
      <c r="C142" s="499"/>
      <c r="D142" s="499"/>
      <c r="E142" s="500"/>
      <c r="F142" s="500"/>
      <c r="G142" s="448"/>
      <c r="H142" s="448"/>
      <c r="I142" s="448"/>
      <c r="J142" s="449"/>
      <c r="K142" s="449"/>
      <c r="L142" s="449"/>
    </row>
    <row r="143" spans="1:12" ht="45" customHeight="1" x14ac:dyDescent="0.2">
      <c r="A143" s="648"/>
      <c r="B143" s="700" t="str">
        <f t="shared" si="2"/>
        <v>Show</v>
      </c>
      <c r="C143" s="653" t="str">
        <f>VLOOKUP(Translations!B329,Translations!B3:H508,4,0)</f>
        <v>Documentation requise</v>
      </c>
      <c r="D143" s="654" t="str">
        <f>VLOOKUP(Translations!B330,Translations!B3:H508,4,0)</f>
        <v>Échéance 
(jj-mmm-aa)</v>
      </c>
      <c r="E143" s="654" t="str">
        <f>VLOOKUP(Translations!B331,Translations!B3:H508,4,0)</f>
        <v>État</v>
      </c>
      <c r="F143" s="655" t="str">
        <f>VLOOKUP(Translations!B332,Translations!B3:H508,4,0)</f>
        <v>Commentaires</v>
      </c>
      <c r="G143" s="620" t="s">
        <v>1323</v>
      </c>
      <c r="H143" s="620" t="s">
        <v>1185</v>
      </c>
      <c r="I143" s="656" t="s">
        <v>160</v>
      </c>
      <c r="J143" s="657" t="s">
        <v>1323</v>
      </c>
      <c r="K143" s="658" t="s">
        <v>1187</v>
      </c>
      <c r="L143" s="659" t="s">
        <v>1188</v>
      </c>
    </row>
    <row r="144" spans="1:12" ht="20.45" customHeight="1" x14ac:dyDescent="0.2">
      <c r="A144" s="648"/>
      <c r="B144" s="700" t="str">
        <f t="shared" si="2"/>
        <v>Show</v>
      </c>
      <c r="C144" s="961" t="str">
        <f>VLOOKUP(Translations!B337,Translations!B3:H508,4,0)</f>
        <v>Rapport d'audit du RP</v>
      </c>
      <c r="D144" s="1283"/>
      <c r="E144" s="1284" t="s">
        <v>1324</v>
      </c>
      <c r="F144" s="1284"/>
      <c r="G144" s="1283"/>
      <c r="H144" s="1284"/>
      <c r="I144" s="1284"/>
      <c r="J144" s="1285"/>
      <c r="K144" s="1286"/>
      <c r="L144" s="1287"/>
    </row>
    <row r="145" spans="1:12" ht="18" customHeight="1" thickBot="1" x14ac:dyDescent="0.25">
      <c r="A145" s="648"/>
      <c r="B145" s="700" t="str">
        <f t="shared" si="2"/>
        <v>Show</v>
      </c>
      <c r="C145" s="1288" t="str">
        <f>VLOOKUP(Translations!B338,Translations!B3:H508,4,0)</f>
        <v>Rapport financier annuel / Rapport financier renforcé</v>
      </c>
      <c r="D145" s="1289"/>
      <c r="E145" s="1290" t="s">
        <v>1325</v>
      </c>
      <c r="F145" s="1290"/>
      <c r="G145" s="1289"/>
      <c r="H145" s="1290"/>
      <c r="I145" s="1290"/>
      <c r="J145" s="1291"/>
      <c r="K145" s="1292"/>
      <c r="L145" s="1293"/>
    </row>
    <row r="146" spans="1:12" x14ac:dyDescent="0.2">
      <c r="D146" s="440"/>
      <c r="E146" s="440"/>
      <c r="F146" s="440"/>
      <c r="G146" s="440"/>
      <c r="H146" s="440"/>
    </row>
    <row r="147" spans="1:12" x14ac:dyDescent="0.2">
      <c r="D147" s="440"/>
      <c r="E147" s="440"/>
      <c r="F147" s="440"/>
      <c r="G147" s="440"/>
      <c r="H147" s="440"/>
    </row>
  </sheetData>
  <sheetProtection password="BF22" sheet="1" scenarios="1" formatColumns="0" formatRows="0" sort="0" autoFilter="0"/>
  <autoFilter ref="B8:L145" xr:uid="{00000000-0009-0000-0000-000016000000}">
    <filterColumn colId="0">
      <filters>
        <filter val="Show"/>
      </filters>
    </filterColumn>
  </autoFilter>
  <dataConsolidate/>
  <mergeCells count="383">
    <mergeCell ref="I110:J110"/>
    <mergeCell ref="I111:J111"/>
    <mergeCell ref="I112:J112"/>
    <mergeCell ref="I113:J113"/>
    <mergeCell ref="I114:J114"/>
    <mergeCell ref="I115:J115"/>
    <mergeCell ref="I116:J116"/>
    <mergeCell ref="I117:J117"/>
    <mergeCell ref="I118:J118"/>
    <mergeCell ref="I136:J136"/>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07:J107"/>
    <mergeCell ref="I108:J108"/>
    <mergeCell ref="I109:J109"/>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83:J83"/>
    <mergeCell ref="I84:J84"/>
    <mergeCell ref="I85:J85"/>
    <mergeCell ref="I86:J86"/>
    <mergeCell ref="I87:J87"/>
    <mergeCell ref="I88:J88"/>
    <mergeCell ref="I89:J89"/>
    <mergeCell ref="I90:J90"/>
    <mergeCell ref="I91:J91"/>
    <mergeCell ref="I74:J74"/>
    <mergeCell ref="I75:J75"/>
    <mergeCell ref="I76:J76"/>
    <mergeCell ref="I77:J77"/>
    <mergeCell ref="I78:J78"/>
    <mergeCell ref="I79:J79"/>
    <mergeCell ref="I80:J80"/>
    <mergeCell ref="I81:J81"/>
    <mergeCell ref="I82:J82"/>
    <mergeCell ref="I65:J65"/>
    <mergeCell ref="I66:J66"/>
    <mergeCell ref="I67:J67"/>
    <mergeCell ref="I68:J68"/>
    <mergeCell ref="I69:J69"/>
    <mergeCell ref="I70:J70"/>
    <mergeCell ref="I71:J71"/>
    <mergeCell ref="I72:J72"/>
    <mergeCell ref="I73:J73"/>
    <mergeCell ref="F128:G128"/>
    <mergeCell ref="F129:G129"/>
    <mergeCell ref="F130:G130"/>
    <mergeCell ref="F131:G131"/>
    <mergeCell ref="F132:G132"/>
    <mergeCell ref="F133:G133"/>
    <mergeCell ref="F134:G134"/>
    <mergeCell ref="F135:G135"/>
    <mergeCell ref="F136:G136"/>
    <mergeCell ref="F119:G119"/>
    <mergeCell ref="F120:G120"/>
    <mergeCell ref="F121:G121"/>
    <mergeCell ref="F122:G122"/>
    <mergeCell ref="F123:G123"/>
    <mergeCell ref="F124:G124"/>
    <mergeCell ref="F125:G125"/>
    <mergeCell ref="F126:G126"/>
    <mergeCell ref="F127:G127"/>
    <mergeCell ref="F110:G110"/>
    <mergeCell ref="F111:G111"/>
    <mergeCell ref="F112:G112"/>
    <mergeCell ref="F113:G113"/>
    <mergeCell ref="F114:G114"/>
    <mergeCell ref="F115:G115"/>
    <mergeCell ref="F116:G116"/>
    <mergeCell ref="F117:G117"/>
    <mergeCell ref="F118:G118"/>
    <mergeCell ref="F101:G101"/>
    <mergeCell ref="F102:G102"/>
    <mergeCell ref="F103:G103"/>
    <mergeCell ref="F104:G104"/>
    <mergeCell ref="F105:G105"/>
    <mergeCell ref="F106:G106"/>
    <mergeCell ref="F107:G107"/>
    <mergeCell ref="F108:G108"/>
    <mergeCell ref="F109:G109"/>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C128:D128"/>
    <mergeCell ref="C129:D129"/>
    <mergeCell ref="C130:D130"/>
    <mergeCell ref="C131:D131"/>
    <mergeCell ref="C132:D132"/>
    <mergeCell ref="C133:D133"/>
    <mergeCell ref="C134:D134"/>
    <mergeCell ref="C135:D135"/>
    <mergeCell ref="C136:D136"/>
    <mergeCell ref="C119:D119"/>
    <mergeCell ref="C120:D120"/>
    <mergeCell ref="C121:D121"/>
    <mergeCell ref="C122:D122"/>
    <mergeCell ref="C123:D123"/>
    <mergeCell ref="C124:D124"/>
    <mergeCell ref="C125:D125"/>
    <mergeCell ref="C126:D126"/>
    <mergeCell ref="C127:D127"/>
    <mergeCell ref="C110:D110"/>
    <mergeCell ref="C111:D111"/>
    <mergeCell ref="C112:D112"/>
    <mergeCell ref="C113:D113"/>
    <mergeCell ref="C114:D114"/>
    <mergeCell ref="C115:D115"/>
    <mergeCell ref="C116:D116"/>
    <mergeCell ref="C117:D117"/>
    <mergeCell ref="C118:D118"/>
    <mergeCell ref="C101:D101"/>
    <mergeCell ref="C102:D102"/>
    <mergeCell ref="C103:D103"/>
    <mergeCell ref="C104:D104"/>
    <mergeCell ref="C105:D105"/>
    <mergeCell ref="C106:D106"/>
    <mergeCell ref="C107:D107"/>
    <mergeCell ref="C108:D108"/>
    <mergeCell ref="C109:D109"/>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74:D74"/>
    <mergeCell ref="C75:D75"/>
    <mergeCell ref="C76:D76"/>
    <mergeCell ref="C77:D77"/>
    <mergeCell ref="C78:D78"/>
    <mergeCell ref="C79:D79"/>
    <mergeCell ref="C80:D80"/>
    <mergeCell ref="C81:D81"/>
    <mergeCell ref="C82:D82"/>
    <mergeCell ref="C65:D65"/>
    <mergeCell ref="C66:D66"/>
    <mergeCell ref="C67:D67"/>
    <mergeCell ref="C68:D68"/>
    <mergeCell ref="C69:D69"/>
    <mergeCell ref="C70:D70"/>
    <mergeCell ref="C71:D71"/>
    <mergeCell ref="C72:D72"/>
    <mergeCell ref="C73:D73"/>
    <mergeCell ref="C9:D9"/>
    <mergeCell ref="C63:D63"/>
    <mergeCell ref="C64:D64"/>
    <mergeCell ref="F64:G64"/>
    <mergeCell ref="F63:G63"/>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29:D29"/>
    <mergeCell ref="C44:D44"/>
    <mergeCell ref="C35:D35"/>
    <mergeCell ref="C36:D36"/>
    <mergeCell ref="C37:D37"/>
    <mergeCell ref="C38:D38"/>
    <mergeCell ref="C39:D39"/>
    <mergeCell ref="C30:D30"/>
    <mergeCell ref="C31:D31"/>
    <mergeCell ref="C32:D32"/>
    <mergeCell ref="C33:D33"/>
    <mergeCell ref="C34:D34"/>
    <mergeCell ref="I41:J41"/>
    <mergeCell ref="I42:J42"/>
    <mergeCell ref="I43:J43"/>
    <mergeCell ref="F42:G42"/>
    <mergeCell ref="F43:G43"/>
    <mergeCell ref="F41:G41"/>
    <mergeCell ref="F54:G54"/>
    <mergeCell ref="F55:G55"/>
    <mergeCell ref="F56:G56"/>
    <mergeCell ref="F49:G49"/>
    <mergeCell ref="F50:G50"/>
    <mergeCell ref="I58:J58"/>
    <mergeCell ref="F51:G51"/>
    <mergeCell ref="F52:G52"/>
    <mergeCell ref="F53:G53"/>
    <mergeCell ref="F44:G44"/>
    <mergeCell ref="F45:G45"/>
    <mergeCell ref="F46:G46"/>
    <mergeCell ref="F47:G47"/>
    <mergeCell ref="F48:G48"/>
    <mergeCell ref="F57:G57"/>
    <mergeCell ref="F58:G58"/>
    <mergeCell ref="I39:J39"/>
    <mergeCell ref="I40:J40"/>
    <mergeCell ref="I31:J31"/>
    <mergeCell ref="I32:J32"/>
    <mergeCell ref="I33:J33"/>
    <mergeCell ref="I34:J34"/>
    <mergeCell ref="I35:J35"/>
    <mergeCell ref="I59:J59"/>
    <mergeCell ref="I64:J64"/>
    <mergeCell ref="I63:J6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30:J30"/>
    <mergeCell ref="I21:J21"/>
    <mergeCell ref="I22:J22"/>
    <mergeCell ref="I23:J23"/>
    <mergeCell ref="I24:J24"/>
    <mergeCell ref="I25:J25"/>
    <mergeCell ref="I36:J36"/>
    <mergeCell ref="I37:J37"/>
    <mergeCell ref="I38:J38"/>
    <mergeCell ref="F17:G17"/>
    <mergeCell ref="F18:G18"/>
    <mergeCell ref="F19:G19"/>
    <mergeCell ref="F10:G10"/>
    <mergeCell ref="F11:G11"/>
    <mergeCell ref="F12:G12"/>
    <mergeCell ref="F13:G13"/>
    <mergeCell ref="F14:G14"/>
    <mergeCell ref="I29:J29"/>
    <mergeCell ref="C139:H139"/>
    <mergeCell ref="G141:I141"/>
    <mergeCell ref="J141:L141"/>
    <mergeCell ref="C61:I6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33:G33"/>
    <mergeCell ref="F34:G34"/>
    <mergeCell ref="F35:G35"/>
    <mergeCell ref="F36:G36"/>
    <mergeCell ref="F37:G37"/>
    <mergeCell ref="F38:G38"/>
    <mergeCell ref="K7:L7"/>
    <mergeCell ref="C6:H6"/>
    <mergeCell ref="C7:F7"/>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s>
  <dataValidations count="5">
    <dataValidation type="list" allowBlank="1" showInputMessage="1" showErrorMessage="1" sqref="E144:E145 H144:H145" xr:uid="{00000000-0002-0000-1600-000000000000}">
      <formula1>"Select,Submitted to GF, Preparation on track, Overdue"</formula1>
    </dataValidation>
    <dataValidation type="list" allowBlank="1" showInputMessage="1" showErrorMessage="1" sqref="K144:K145" xr:uid="{00000000-0002-0000-1600-000001000000}">
      <formula1>"Submitted to GF, Preparation on track, Overdue"</formula1>
    </dataValidation>
    <dataValidation type="date" allowBlank="1" showInputMessage="1" showErrorMessage="1" sqref="D144:D145" xr:uid="{00000000-0002-0000-1600-000002000000}">
      <formula1>39814</formula1>
      <formula2>43831</formula2>
    </dataValidation>
    <dataValidation type="list" allowBlank="1" showInputMessage="1" showErrorMessage="1" sqref="H64:H136 K64:K136" xr:uid="{00000000-0002-0000-1600-000003000000}">
      <formula1>IRT_Mitigating_actions_status</formula1>
    </dataValidation>
    <dataValidation type="list" allowBlank="1" showInputMessage="1" showErrorMessage="1" sqref="E10:E59 H10:H59 K10:K59" xr:uid="{00000000-0002-0000-1600-000004000000}">
      <formula1>"Met, In Progress,Not Started"</formula1>
    </dataValidation>
  </dataValidations>
  <pageMargins left="0.7" right="0.7" top="0.75" bottom="0.75" header="0.3" footer="0.3"/>
  <pageSetup paperSize="8" scale="3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theme="0"/>
  </sheetPr>
  <dimension ref="A1:V37"/>
  <sheetViews>
    <sheetView topLeftCell="E1" zoomScale="70" zoomScaleNormal="70" workbookViewId="0">
      <selection activeCell="F23" sqref="F23"/>
    </sheetView>
  </sheetViews>
  <sheetFormatPr baseColWidth="10" defaultColWidth="9.140625" defaultRowHeight="12.75" outlineLevelRow="1" x14ac:dyDescent="0.2"/>
  <cols>
    <col min="1" max="3" width="19.5703125" style="3" customWidth="1"/>
    <col min="4" max="4" width="145.42578125" style="3" customWidth="1"/>
    <col min="5" max="5" width="31.42578125" style="3" customWidth="1"/>
    <col min="6" max="6" width="40.5703125" style="3" customWidth="1"/>
    <col min="7" max="7" width="75.140625" style="3" customWidth="1"/>
    <col min="8" max="8" width="27.85546875" style="3" bestFit="1" customWidth="1"/>
    <col min="9" max="9" width="27.140625" style="3" bestFit="1" customWidth="1"/>
    <col min="10" max="10" width="92.85546875" style="3" customWidth="1"/>
    <col min="11" max="11" width="63.42578125" style="3" bestFit="1" customWidth="1"/>
    <col min="12" max="12" width="19.5703125" style="3" bestFit="1" customWidth="1"/>
    <col min="13" max="13" width="65.140625" style="3" customWidth="1"/>
    <col min="14" max="14" width="17.85546875" style="3" customWidth="1"/>
    <col min="15" max="15" width="17.140625" style="3" customWidth="1"/>
    <col min="16" max="16" width="14.85546875" style="20" customWidth="1"/>
    <col min="17" max="17" width="12" style="3" customWidth="1"/>
    <col min="18" max="18" width="13.140625" style="3" customWidth="1"/>
    <col min="19" max="19" width="9.140625" style="3" customWidth="1"/>
    <col min="20" max="31" width="9.140625" style="3"/>
    <col min="32" max="32" width="9.140625" style="3" customWidth="1"/>
    <col min="33" max="16384" width="9.140625" style="3"/>
  </cols>
  <sheetData>
    <row r="1" spans="1:22" s="439" customFormat="1" ht="40.5" customHeight="1" x14ac:dyDescent="0.2">
      <c r="A1" s="910" t="s">
        <v>122</v>
      </c>
      <c r="B1" s="910"/>
      <c r="C1" s="910">
        <v>-1</v>
      </c>
      <c r="D1" s="450" t="s">
        <v>1326</v>
      </c>
      <c r="E1" s="451"/>
      <c r="F1" s="450" t="s">
        <v>1327</v>
      </c>
      <c r="G1" s="452" t="s">
        <v>1328</v>
      </c>
      <c r="H1" s="453"/>
      <c r="I1" s="911" t="s">
        <v>1329</v>
      </c>
      <c r="J1" s="911" t="s">
        <v>1330</v>
      </c>
      <c r="K1" s="453"/>
      <c r="L1" s="454" t="s">
        <v>1187</v>
      </c>
      <c r="M1" s="454" t="s">
        <v>1188</v>
      </c>
      <c r="N1" s="455"/>
      <c r="O1" s="455"/>
      <c r="P1" s="456" t="s">
        <v>122</v>
      </c>
      <c r="Q1" s="20"/>
      <c r="R1" s="20"/>
      <c r="S1" s="20"/>
      <c r="U1" s="457"/>
      <c r="V1" s="457"/>
    </row>
    <row r="2" spans="1:22" s="462" customFormat="1" ht="15" hidden="1" customHeight="1" x14ac:dyDescent="0.2">
      <c r="A2" s="797" t="s">
        <v>371</v>
      </c>
      <c r="B2" s="797" t="str">
        <f>"Grantreq"&amp;C2</f>
        <v>Grantreq0</v>
      </c>
      <c r="C2" s="797">
        <f>C1+1</f>
        <v>0</v>
      </c>
      <c r="D2" s="903" t="s">
        <v>1331</v>
      </c>
      <c r="E2" s="451"/>
      <c r="F2" s="912" t="str">
        <f>IFERROR(IF(INDEX('Grant Management_4'!E$10:E$59,MATCH('Grant Management_4 imp-exp'!$B2,'Grant Management_4'!$A$10:$A$59,0))="","",INDEX('Grant Management_4'!E$10:E$59,MATCH('Grant Management_4 imp-exp'!$B2,'Grant Management_4'!$A$10:$A$59,0))),"")</f>
        <v/>
      </c>
      <c r="G2" s="904" t="str">
        <f>IFERROR(IF(INDEX('Grant Management_4'!F$10:F$59,MATCH('Grant Management_4 imp-exp'!$B2,'Grant Management_4'!$A$10:$A$59,0))="","",INDEX('Grant Management_4'!F$10:F$59,MATCH('Grant Management_4 imp-exp'!$B2,'Grant Management_4'!$A$10:$A$59,0))),"")</f>
        <v/>
      </c>
      <c r="H2" s="453"/>
      <c r="I2" s="905" t="str">
        <f>IFERROR(IF(INDEX('Grant Management_4'!H$10:H$59,MATCH('Grant Management_4 imp-exp'!$B2,'Grant Management_4'!$A$10:$A$59,0))="","",INDEX('Grant Management_4'!H$10:H$59,MATCH('Grant Management_4 imp-exp'!$B2,'Grant Management_4'!$A$10:$A$59,0))),"")</f>
        <v/>
      </c>
      <c r="J2" s="904" t="str">
        <f>IFERROR(IF(INDEX('Grant Management_4'!I$10:I$59,MATCH('Grant Management_4 imp-exp'!$B2,'Grant Management_4'!$A$10:$A$59,0))="","",INDEX('Grant Management_4'!I$10:I$59,MATCH('Grant Management_4 imp-exp'!$B2,'Grant Management_4'!$A$10:$A$59,0))),"")</f>
        <v/>
      </c>
      <c r="K2" s="453"/>
      <c r="L2" s="458"/>
      <c r="M2" s="459"/>
      <c r="N2" s="460"/>
      <c r="O2" s="460"/>
      <c r="P2" s="461" t="s">
        <v>371</v>
      </c>
      <c r="Q2" s="20"/>
      <c r="R2" s="20"/>
      <c r="S2" s="20"/>
    </row>
    <row r="3" spans="1:22" s="462" customFormat="1" ht="15" customHeight="1" x14ac:dyDescent="0.2">
      <c r="A3" s="797" t="s">
        <v>1332</v>
      </c>
      <c r="B3" s="797" t="str">
        <f t="shared" ref="B3:B5" si="0">"Grantreq"&amp;C3</f>
        <v>Grantreq1</v>
      </c>
      <c r="C3" s="797">
        <f t="shared" ref="C3:C5" si="1">C2+1</f>
        <v>1</v>
      </c>
      <c r="D3" s="903" t="s">
        <v>1333</v>
      </c>
      <c r="E3" s="451"/>
      <c r="F3" s="912" t="str">
        <f>IFERROR(IF(INDEX('Grant Management_4'!E$10:E$59,MATCH('Grant Management_4 imp-exp'!$B3,'Grant Management_4'!$A$10:$A$59,0))="","",INDEX('Grant Management_4'!E$10:E$59,MATCH('Grant Management_4 imp-exp'!$B3,'Grant Management_4'!$A$10:$A$59,0))),"")</f>
        <v>Met</v>
      </c>
      <c r="G3" s="904" t="str">
        <f>IFERROR(IF(INDEX('Grant Management_4'!F$10:F$59,MATCH('Grant Management_4 imp-exp'!$B3,'Grant Management_4'!$A$10:$A$59,0))="","",INDEX('Grant Management_4'!F$10:F$59,MATCH('Grant Management_4 imp-exp'!$B3,'Grant Management_4'!$A$10:$A$59,0))),"")</f>
        <v>Second line treatment was submitted to green light committee for endorsment.</v>
      </c>
      <c r="H3" s="453"/>
      <c r="I3" s="905" t="str">
        <f>IFERROR(IF(INDEX('Grant Management_4'!H$10:H$59,MATCH('Grant Management_4 imp-exp'!$B3,'Grant Management_4'!$A$10:$A$59,0))="","",INDEX('Grant Management_4'!H$10:H$59,MATCH('Grant Management_4 imp-exp'!$B3,'Grant Management_4'!$A$10:$A$59,0))),"")</f>
        <v/>
      </c>
      <c r="J3" s="904" t="str">
        <f>IFERROR(IF(INDEX('Grant Management_4'!I$10:I$59,MATCH('Grant Management_4 imp-exp'!$B3,'Grant Management_4'!$A$10:$A$59,0))="","",INDEX('Grant Management_4'!I$10:I$59,MATCH('Grant Management_4 imp-exp'!$B3,'Grant Management_4'!$A$10:$A$59,0))),"")</f>
        <v/>
      </c>
      <c r="K3" s="906"/>
      <c r="L3" s="907"/>
      <c r="M3" s="908"/>
      <c r="P3" s="909"/>
      <c r="Q3" s="20"/>
      <c r="R3" s="20"/>
      <c r="S3" s="20"/>
    </row>
    <row r="4" spans="1:22" s="462" customFormat="1" ht="15" customHeight="1" x14ac:dyDescent="0.2">
      <c r="A4" s="797" t="s">
        <v>1334</v>
      </c>
      <c r="B4" s="797" t="str">
        <f t="shared" si="0"/>
        <v>Grantreq2</v>
      </c>
      <c r="C4" s="797">
        <f t="shared" si="1"/>
        <v>2</v>
      </c>
      <c r="D4" s="903" t="s">
        <v>1335</v>
      </c>
      <c r="E4" s="451"/>
      <c r="F4" s="912" t="str">
        <f>IFERROR(IF(INDEX('Grant Management_4'!E$10:E$59,MATCH('Grant Management_4 imp-exp'!$B4,'Grant Management_4'!$A$10:$A$59,0))="","",INDEX('Grant Management_4'!E$10:E$59,MATCH('Grant Management_4 imp-exp'!$B4,'Grant Management_4'!$A$10:$A$59,0))),"")</f>
        <v>Met</v>
      </c>
      <c r="G4" s="904" t="str">
        <f>IFERROR(IF(INDEX('Grant Management_4'!F$10:F$59,MATCH('Grant Management_4 imp-exp'!$B4,'Grant Management_4'!$A$10:$A$59,0))="","",INDEX('Grant Management_4'!F$10:F$59,MATCH('Grant Management_4 imp-exp'!$B4,'Grant Management_4'!$A$10:$A$59,0))),"")</f>
        <v>Provision for Second line treatment was factored in the budget as per ceiling of 25000.</v>
      </c>
      <c r="H4" s="453"/>
      <c r="I4" s="905" t="str">
        <f>IFERROR(IF(INDEX('Grant Management_4'!H$10:H$59,MATCH('Grant Management_4 imp-exp'!$B4,'Grant Management_4'!$A$10:$A$59,0))="","",INDEX('Grant Management_4'!H$10:H$59,MATCH('Grant Management_4 imp-exp'!$B4,'Grant Management_4'!$A$10:$A$59,0))),"")</f>
        <v/>
      </c>
      <c r="J4" s="904" t="str">
        <f>IFERROR(IF(INDEX('Grant Management_4'!I$10:I$59,MATCH('Grant Management_4 imp-exp'!$B4,'Grant Management_4'!$A$10:$A$59,0))="","",INDEX('Grant Management_4'!I$10:I$59,MATCH('Grant Management_4 imp-exp'!$B4,'Grant Management_4'!$A$10:$A$59,0))),"")</f>
        <v/>
      </c>
      <c r="K4" s="906"/>
      <c r="L4" s="907"/>
      <c r="M4" s="908"/>
      <c r="P4" s="909"/>
      <c r="Q4" s="20"/>
      <c r="R4" s="20"/>
      <c r="S4" s="20"/>
    </row>
    <row r="5" spans="1:22" s="462" customFormat="1" ht="15" customHeight="1" x14ac:dyDescent="0.2">
      <c r="A5" s="797" t="s">
        <v>1336</v>
      </c>
      <c r="B5" s="797" t="str">
        <f t="shared" si="0"/>
        <v>Grantreq3</v>
      </c>
      <c r="C5" s="797">
        <f t="shared" si="1"/>
        <v>3</v>
      </c>
      <c r="D5" s="903" t="s">
        <v>1337</v>
      </c>
      <c r="E5" s="451"/>
      <c r="F5" s="912" t="str">
        <f>IFERROR(IF(INDEX('Grant Management_4'!E$10:E$59,MATCH('Grant Management_4 imp-exp'!$B5,'Grant Management_4'!$A$10:$A$59,0))="","",INDEX('Grant Management_4'!E$10:E$59,MATCH('Grant Management_4 imp-exp'!$B5,'Grant Management_4'!$A$10:$A$59,0))),"")</f>
        <v>Met</v>
      </c>
      <c r="G5" s="904" t="str">
        <f>IFERROR(IF(INDEX('Grant Management_4'!F$10:F$59,MATCH('Grant Management_4 imp-exp'!$B5,'Grant Management_4'!$A$10:$A$59,0))="","",INDEX('Grant Management_4'!F$10:F$59,MATCH('Grant Management_4 imp-exp'!$B5,'Grant Management_4'!$A$10:$A$59,0))),"")</f>
        <v>UNDSS assessment of security status as not change. Elections  are foreseenin May 2020. The Clause is still valid but no major changes are foreseen</v>
      </c>
      <c r="H5" s="453"/>
      <c r="I5" s="905" t="str">
        <f>IFERROR(IF(INDEX('Grant Management_4'!H$10:H$59,MATCH('Grant Management_4 imp-exp'!$B5,'Grant Management_4'!$A$10:$A$59,0))="","",INDEX('Grant Management_4'!H$10:H$59,MATCH('Grant Management_4 imp-exp'!$B5,'Grant Management_4'!$A$10:$A$59,0))),"")</f>
        <v/>
      </c>
      <c r="J5" s="904" t="str">
        <f>IFERROR(IF(INDEX('Grant Management_4'!I$10:I$59,MATCH('Grant Management_4 imp-exp'!$B5,'Grant Management_4'!$A$10:$A$59,0))="","",INDEX('Grant Management_4'!I$10:I$59,MATCH('Grant Management_4 imp-exp'!$B5,'Grant Management_4'!$A$10:$A$59,0))),"")</f>
        <v/>
      </c>
      <c r="K5" s="906"/>
      <c r="L5" s="907"/>
      <c r="M5" s="908"/>
      <c r="P5" s="909"/>
      <c r="Q5" s="20"/>
      <c r="R5" s="20"/>
      <c r="S5" s="20"/>
    </row>
    <row r="6" spans="1:22" ht="15" outlineLevel="1" x14ac:dyDescent="0.2">
      <c r="D6" s="463"/>
      <c r="E6" s="949"/>
      <c r="G6" s="459" t="str">
        <f>IFERROR(IF(INDEX('Grant Management_4'!F$10:F$59,MATCH('Grant Management_4 imp-exp'!$B6,'Grant Management_4'!$A$10:$A$59,0))="","",INDEX('Grant Management_4'!F$10:F$59,MATCH('Grant Management_4 imp-exp'!$B6,'Grant Management_4'!$A$10:$A$59,0))),"")</f>
        <v/>
      </c>
      <c r="H6" s="950"/>
      <c r="I6" s="458" t="str">
        <f>IFERROR(IF(INDEX('Grant Management_4'!H$10:H$59,MATCH('Grant Management_4 imp-exp'!$B6,'Grant Management_4'!$A$10:$A$59,0))="","",INDEX('Grant Management_4'!H$10:H$59,MATCH('Grant Management_4 imp-exp'!$B6,'Grant Management_4'!$A$10:$A$59,0))),"")</f>
        <v/>
      </c>
      <c r="J6" s="459" t="str">
        <f>IFERROR(IF(INDEX('Grant Management_4'!I$10:I$59,MATCH('Grant Management_4 imp-exp'!$B6,'Grant Management_4'!$A$10:$A$59,0))="","",INDEX('Grant Management_4'!I$10:I$59,MATCH('Grant Management_4 imp-exp'!$B6,'Grant Management_4'!$A$10:$A$59,0))),"")</f>
        <v/>
      </c>
      <c r="K6" s="464"/>
      <c r="N6" s="465"/>
      <c r="Q6" s="20"/>
      <c r="R6" s="20"/>
      <c r="S6" s="20"/>
    </row>
    <row r="7" spans="1:22" ht="15" outlineLevel="1" x14ac:dyDescent="0.2">
      <c r="D7" s="962"/>
      <c r="E7" s="1294"/>
      <c r="F7" s="462" t="str">
        <f>IFERROR(IF(INDEX('Grant Management_4'!E$10:E$59,MATCH('Grant Management_4 imp-exp'!$B7,'Grant Management_4'!$A$10:$A$59,0))="","",INDEX('Grant Management_4'!E$10:E$59,MATCH('Grant Management_4 imp-exp'!$B7,'Grant Management_4'!$A$10:$A$59,0))),"")</f>
        <v/>
      </c>
      <c r="G7" s="459" t="str">
        <f>IFERROR(IF(INDEX('Grant Management_4'!F$10:F$59,MATCH('Grant Management_4 imp-exp'!$B7,'Grant Management_4'!$A$10:$A$59,0))="","",INDEX('Grant Management_4'!F$10:F$59,MATCH('Grant Management_4 imp-exp'!$B7,'Grant Management_4'!$A$10:$A$59,0))),"")</f>
        <v/>
      </c>
      <c r="H7" s="1295"/>
      <c r="I7" s="458" t="str">
        <f>IFERROR(IF(INDEX('Grant Management_4'!H$10:H$59,MATCH('Grant Management_4 imp-exp'!$B7,'Grant Management_4'!$A$10:$A$59,0))="","",INDEX('Grant Management_4'!H$10:H$59,MATCH('Grant Management_4 imp-exp'!$B7,'Grant Management_4'!$A$10:$A$59,0))),"")</f>
        <v/>
      </c>
      <c r="J7" s="459" t="str">
        <f>IFERROR(IF(INDEX('Grant Management_4'!I$10:I$59,MATCH('Grant Management_4 imp-exp'!$B7,'Grant Management_4'!$A$10:$A$59,0))="","",INDEX('Grant Management_4'!I$10:I$59,MATCH('Grant Management_4 imp-exp'!$B7,'Grant Management_4'!$A$10:$A$59,0))),"")</f>
        <v/>
      </c>
      <c r="K7" s="464"/>
      <c r="N7" s="465"/>
      <c r="Q7" s="20"/>
      <c r="R7" s="20"/>
      <c r="S7" s="20"/>
    </row>
    <row r="8" spans="1:22" ht="15" outlineLevel="1" x14ac:dyDescent="0.2">
      <c r="D8" s="962"/>
      <c r="E8" s="1294"/>
      <c r="F8" s="462" t="str">
        <f>IFERROR(IF(INDEX('Grant Management_4'!E$10:E$59,MATCH('Grant Management_4 imp-exp'!$B8,'Grant Management_4'!$A$10:$A$59,0))="","",INDEX('Grant Management_4'!E$10:E$59,MATCH('Grant Management_4 imp-exp'!$B8,'Grant Management_4'!$A$10:$A$59,0))),"")</f>
        <v/>
      </c>
      <c r="G8" s="459" t="str">
        <f>IFERROR(IF(INDEX('Grant Management_4'!F$10:F$59,MATCH('Grant Management_4 imp-exp'!$B8,'Grant Management_4'!$A$10:$A$59,0))="","",INDEX('Grant Management_4'!F$10:F$59,MATCH('Grant Management_4 imp-exp'!$B8,'Grant Management_4'!$A$10:$A$59,0))),"")</f>
        <v/>
      </c>
      <c r="H8" s="1295"/>
      <c r="I8" s="458" t="str">
        <f>IFERROR(IF(INDEX('Grant Management_4'!H$10:H$59,MATCH('Grant Management_4 imp-exp'!$B8,'Grant Management_4'!$A$10:$A$59,0))="","",INDEX('Grant Management_4'!H$10:H$59,MATCH('Grant Management_4 imp-exp'!$B8,'Grant Management_4'!$A$10:$A$59,0))),"")</f>
        <v/>
      </c>
      <c r="J8" s="459" t="str">
        <f>IFERROR(IF(INDEX('Grant Management_4'!I$10:I$59,MATCH('Grant Management_4 imp-exp'!$B8,'Grant Management_4'!$A$10:$A$59,0))="","",INDEX('Grant Management_4'!I$10:I$59,MATCH('Grant Management_4 imp-exp'!$B8,'Grant Management_4'!$A$10:$A$59,0))),"")</f>
        <v/>
      </c>
      <c r="K8" s="464"/>
      <c r="N8" s="465"/>
      <c r="Q8" s="20"/>
      <c r="R8" s="20"/>
      <c r="S8" s="20"/>
    </row>
    <row r="9" spans="1:22" ht="13.5" customHeight="1" outlineLevel="1" x14ac:dyDescent="0.2">
      <c r="D9" s="962"/>
      <c r="E9" s="1294"/>
      <c r="F9" s="458"/>
      <c r="G9" s="459" t="str">
        <f>IFERROR(INDEX('Grant Management_4'!F$10:F$59,MATCH('Grant Management_4 imp-exp'!$B9,'Grant Management_4'!$A$10:$A$59,0)),"")</f>
        <v/>
      </c>
      <c r="H9" s="1295"/>
      <c r="I9" s="458" t="str">
        <f>IFERROR(INDEX('Grant Management_4'!H$10:H$59,MATCH('Grant Management_4 imp-exp'!$B9,'Grant Management_4'!$A$10:$A$59,0)),"")</f>
        <v/>
      </c>
      <c r="J9" s="459" t="str">
        <f>IFERROR(INDEX('Grant Management_4'!I$10:I$59,MATCH('Grant Management_4 imp-exp'!$B9,'Grant Management_4'!$A$10:$A$59,0)),"")</f>
        <v/>
      </c>
      <c r="K9" s="464"/>
      <c r="N9" s="465"/>
      <c r="Q9" s="20"/>
      <c r="R9" s="20"/>
      <c r="S9" s="20"/>
    </row>
    <row r="10" spans="1:22" ht="15" outlineLevel="1" x14ac:dyDescent="0.2">
      <c r="D10" s="962"/>
      <c r="E10" s="1294"/>
      <c r="F10" s="458"/>
      <c r="G10" s="459" t="str">
        <f>IFERROR(INDEX('Grant Management_4'!F$10:F$59,MATCH('Grant Management_4 imp-exp'!$B10,'Grant Management_4'!$A$10:$A$59,0)),"")</f>
        <v/>
      </c>
      <c r="H10" s="1295"/>
      <c r="I10" s="1296"/>
      <c r="J10" s="962"/>
      <c r="K10" s="464"/>
      <c r="N10" s="465"/>
      <c r="Q10" s="20"/>
      <c r="R10" s="20"/>
      <c r="S10" s="20"/>
    </row>
    <row r="11" spans="1:22" s="2" customFormat="1" ht="15" thickBot="1" x14ac:dyDescent="0.25">
      <c r="D11" s="1750"/>
      <c r="E11" s="1751"/>
      <c r="F11" s="1751"/>
      <c r="G11" s="1751"/>
      <c r="H11" s="1751"/>
      <c r="I11" s="1751"/>
      <c r="J11" s="1751"/>
      <c r="K11" s="466"/>
      <c r="L11" s="467"/>
      <c r="M11" s="467"/>
      <c r="N11" s="468"/>
      <c r="P11" s="414"/>
      <c r="Q11" s="20"/>
      <c r="R11" s="20"/>
      <c r="S11" s="20"/>
    </row>
    <row r="12" spans="1:22" ht="14.25" outlineLevel="1" x14ac:dyDescent="0.2">
      <c r="D12" s="463"/>
      <c r="E12" s="949"/>
      <c r="F12" s="469" t="s">
        <v>1140</v>
      </c>
      <c r="G12" s="1752"/>
      <c r="H12" s="1753"/>
      <c r="I12" s="1754"/>
      <c r="J12" s="470"/>
      <c r="K12" s="464"/>
      <c r="N12" s="465"/>
      <c r="Q12" s="20"/>
      <c r="R12" s="20"/>
      <c r="S12" s="20"/>
    </row>
    <row r="13" spans="1:22" ht="14.25" outlineLevel="1" x14ac:dyDescent="0.2">
      <c r="D13" s="962"/>
      <c r="E13" s="1294"/>
      <c r="F13" s="1297" t="s">
        <v>1140</v>
      </c>
      <c r="G13" s="1710"/>
      <c r="H13" s="1746"/>
      <c r="I13" s="1747"/>
      <c r="J13" s="962"/>
      <c r="K13" s="464"/>
      <c r="N13" s="465"/>
      <c r="Q13" s="20"/>
      <c r="R13" s="20"/>
      <c r="S13" s="20"/>
    </row>
    <row r="14" spans="1:22" ht="15" outlineLevel="1" thickBot="1" x14ac:dyDescent="0.25">
      <c r="D14" s="1298"/>
      <c r="E14" s="963"/>
      <c r="F14" s="1299" t="s">
        <v>1140</v>
      </c>
      <c r="G14" s="1729"/>
      <c r="H14" s="1748"/>
      <c r="I14" s="1749"/>
      <c r="J14" s="1298"/>
      <c r="K14" s="471"/>
      <c r="L14" s="472"/>
      <c r="M14" s="472"/>
      <c r="N14" s="473"/>
      <c r="O14" s="472"/>
      <c r="P14" s="474"/>
      <c r="Q14" s="20"/>
      <c r="R14" s="20"/>
      <c r="S14" s="20"/>
    </row>
    <row r="15" spans="1:22" s="475" customFormat="1" ht="14.25" customHeight="1" thickBot="1" x14ac:dyDescent="0.25">
      <c r="D15" s="476"/>
      <c r="E15" s="476"/>
      <c r="F15" s="476"/>
      <c r="G15" s="476"/>
      <c r="H15" s="476"/>
      <c r="I15" s="476"/>
      <c r="P15" s="477"/>
      <c r="Q15" s="20"/>
      <c r="R15" s="20"/>
      <c r="S15" s="20"/>
    </row>
    <row r="16" spans="1:22" ht="34.5" customHeight="1" thickBot="1" x14ac:dyDescent="0.25">
      <c r="D16" s="1727" t="s">
        <v>1243</v>
      </c>
      <c r="E16" s="1728"/>
      <c r="F16" s="1728"/>
      <c r="G16" s="1728"/>
      <c r="H16" s="1728"/>
      <c r="I16" s="1728"/>
      <c r="J16" s="1728"/>
      <c r="K16" s="478"/>
      <c r="L16" s="478"/>
      <c r="M16" s="479"/>
      <c r="Q16" s="20"/>
      <c r="R16" s="20"/>
      <c r="S16" s="20"/>
    </row>
    <row r="17" spans="1:17" ht="37.5" customHeight="1" thickBot="1" x14ac:dyDescent="0.25">
      <c r="D17" s="480"/>
      <c r="E17" s="439"/>
      <c r="F17" s="439"/>
      <c r="G17" s="439"/>
      <c r="H17" s="439"/>
      <c r="I17" s="439"/>
      <c r="J17" s="439"/>
      <c r="K17" s="439"/>
      <c r="L17" s="439"/>
      <c r="M17" s="439"/>
      <c r="P17" s="3"/>
    </row>
    <row r="18" spans="1:17" ht="39" customHeight="1" x14ac:dyDescent="0.2">
      <c r="A18" s="3" t="s">
        <v>122</v>
      </c>
      <c r="C18" s="3">
        <v>-1</v>
      </c>
      <c r="D18" s="481" t="s">
        <v>1244</v>
      </c>
      <c r="E18" s="482"/>
      <c r="F18" s="483" t="s">
        <v>1338</v>
      </c>
      <c r="G18" s="483" t="s">
        <v>1246</v>
      </c>
      <c r="H18" s="484"/>
      <c r="I18" s="485" t="s">
        <v>1247</v>
      </c>
      <c r="J18" s="485" t="s">
        <v>584</v>
      </c>
      <c r="K18" s="484"/>
      <c r="L18" s="486" t="s">
        <v>1248</v>
      </c>
      <c r="M18" s="487" t="s">
        <v>1249</v>
      </c>
      <c r="O18" s="20" t="s">
        <v>1339</v>
      </c>
      <c r="P18" s="20" t="s">
        <v>1340</v>
      </c>
      <c r="Q18" s="20" t="s">
        <v>1341</v>
      </c>
    </row>
    <row r="19" spans="1:17" ht="349.5" hidden="1" customHeight="1" thickBot="1" x14ac:dyDescent="0.25">
      <c r="A19" s="3" t="s">
        <v>371</v>
      </c>
      <c r="B19" s="3" t="str">
        <f>"Mitaction"&amp;C19</f>
        <v>Mitaction0</v>
      </c>
      <c r="C19" s="3">
        <f>C18+1</f>
        <v>0</v>
      </c>
      <c r="D19" s="488" t="str">
        <f t="array" ref="D19">IFERROR(INDEX(Table4[Risk Detail], SMALL(IF($A19=Table4[Record ID], ROW(Table4[Record ID])-MIN(ROW(Table4[Record ID]))+IF(COUNTIF(Table4[Record ID],A19)&gt;=1,1,"NA"),""),1)),"")
&amp; IFERROR(CHAR(10) &amp; INDEX(Table4[Risk Detail], SMALL(IF($A19=Table4[Record ID], ROW(Table4[Record ID])-MIN(ROW(Table4[Record ID]))+IF(COUNTIF(Table4[Record ID],A19)&gt;=2,2,"NA"),""),1)),"")
&amp; IFERROR(CHAR(10) &amp; INDEX(Table4[Risk Detail], SMALL(IF($A19=Table4[Record ID], ROW(Table4[Record ID])-MIN(ROW(Table4[Record ID]))+IF(COUNTIF(Table4[Record ID],A19)&gt;=3,3,"NA"),""),1)),"")
&amp; IFERROR(CHAR(10) &amp; INDEX(Table4[Risk Detail], SMALL(IF($A19=Table4[Record ID], ROW(Table4[Record ID])-MIN(ROW(Table4[Record ID]))+IF(COUNTIF(Table4[Record ID],A19)&gt;=4,4,"NA"),""),1)),"")
&amp; IFERROR(CHAR(10) &amp; INDEX(Table4[Risk Detail], SMALL(IF($A19=Table4[Record ID], ROW(Table4[Record ID])-MIN(ROW(Table4[Record ID]))+IF(COUNTIF(Table4[Record ID],A19)&gt;=5,5,"NA"),""),1)),"")
&amp; IFERROR(CHAR(10) &amp; INDEX(Table4[Risk Detail], SMALL(IF($A19=Table4[Record ID], ROW(Table4[Record ID])-MIN(ROW(Table4[Record ID]))+IF(COUNTIF(Table4[Record ID],A19)&gt;=6,6,"NA"),""),1)),"")
&amp; IFERROR(CHAR(10) &amp; INDEX(Table4[Risk Detail], SMALL(IF($A19=Table4[Record ID], ROW(Table4[Record ID])-MIN(ROW(Table4[Record ID]))+IF(COUNTIF(Table4[Record ID],A19)&gt;=7,7,"NA"),""),1)),"")</f>
        <v xml:space="preserve">****[Risk Category Name]****
[Risk Name]
[Root Cause]
[comment]
</v>
      </c>
      <c r="E19" s="489"/>
      <c r="F19" s="490" t="s">
        <v>1342</v>
      </c>
      <c r="G19" s="491" t="s">
        <v>1343</v>
      </c>
      <c r="H19" s="492"/>
      <c r="I19" s="493" t="str">
        <f>IFERROR(IF(INDEX('Grant Management_4'!H$64:H$136,MATCH('Grant Management_4 imp-exp'!$B19,'Grant Management_4'!A$64:$A$136,0))="","",INDEX('Grant Management_4'!H$64:H$136,MATCH('Grant Management_4 imp-exp'!$B19,'Grant Management_4'!A$64:$A$136,0))),"")</f>
        <v/>
      </c>
      <c r="J19" s="493" t="str">
        <f>IFERROR(IF(INDEX('Grant Management_4'!I$64:I$136,MATCH('Grant Management_4 imp-exp'!$B19,'Grant Management_4'!A$64:$A$136,0))="","",INDEX('Grant Management_4'!I$64:I$136,MATCH('Grant Management_4 imp-exp'!$B19,'Grant Management_4'!A$64:$A$136,0))),"")</f>
        <v/>
      </c>
      <c r="K19" s="492"/>
      <c r="L19" s="493" t="str">
        <f>IFERROR(IF(INDEX('Grant Management_4'!K$64:K$136,MATCH('Grant Management_4 imp-exp'!$B19,'Grant Management_4'!A$64:$A$136,0))="","",INDEX('Grant Management_4'!K$64:K$136,MATCH('Grant Management_4 imp-exp'!$B19,'Grant Management_4'!A$64:$A$136,0))),"")</f>
        <v/>
      </c>
      <c r="M19" s="494" t="str">
        <f>IFERROR(IF(INDEX('Grant Management_4'!L$64:L$136,MATCH('Grant Management_4 imp-exp'!$B19,'Grant Management_4'!A$64:$A$136,0))="","",INDEX('Grant Management_4'!L$64:L$136,MATCH('Grant Management_4 imp-exp'!$B19,'Grant Management_4'!A$64:$A$136,0))),"")</f>
        <v/>
      </c>
      <c r="O19" s="20" t="s">
        <v>1344</v>
      </c>
      <c r="P19" s="20" t="s">
        <v>1345</v>
      </c>
      <c r="Q19" s="20" t="s">
        <v>1346</v>
      </c>
    </row>
    <row r="20" spans="1:17" x14ac:dyDescent="0.2">
      <c r="P20" s="3"/>
    </row>
    <row r="21" spans="1:17" x14ac:dyDescent="0.2">
      <c r="P21" s="3"/>
    </row>
    <row r="22" spans="1:17" x14ac:dyDescent="0.2">
      <c r="P22" s="3"/>
    </row>
    <row r="23" spans="1:17" x14ac:dyDescent="0.2">
      <c r="P23" s="3"/>
    </row>
    <row r="24" spans="1:17" x14ac:dyDescent="0.2">
      <c r="P24" s="3"/>
    </row>
    <row r="25" spans="1:17" x14ac:dyDescent="0.2">
      <c r="P25" s="3"/>
    </row>
    <row r="26" spans="1:17" x14ac:dyDescent="0.2">
      <c r="P26" s="3"/>
    </row>
    <row r="27" spans="1:17" x14ac:dyDescent="0.2">
      <c r="P27" s="3"/>
    </row>
    <row r="28" spans="1:17" x14ac:dyDescent="0.2">
      <c r="P28" s="3"/>
    </row>
    <row r="29" spans="1:17" x14ac:dyDescent="0.2">
      <c r="P29" s="3"/>
    </row>
    <row r="30" spans="1:17" x14ac:dyDescent="0.2">
      <c r="P30" s="3"/>
    </row>
    <row r="31" spans="1:17" x14ac:dyDescent="0.2">
      <c r="P31" s="3"/>
    </row>
    <row r="32" spans="1:17" x14ac:dyDescent="0.2">
      <c r="P32" s="3"/>
    </row>
    <row r="33" spans="16:16" x14ac:dyDescent="0.2">
      <c r="P33" s="3"/>
    </row>
    <row r="34" spans="16:16" x14ac:dyDescent="0.2">
      <c r="P34" s="3"/>
    </row>
    <row r="35" spans="16:16" x14ac:dyDescent="0.2">
      <c r="P35" s="3"/>
    </row>
    <row r="36" spans="16:16" x14ac:dyDescent="0.2">
      <c r="P36" s="3"/>
    </row>
    <row r="37" spans="16:16" x14ac:dyDescent="0.2">
      <c r="P37" s="3"/>
    </row>
  </sheetData>
  <mergeCells count="5">
    <mergeCell ref="G13:I13"/>
    <mergeCell ref="G14:I14"/>
    <mergeCell ref="D16:J16"/>
    <mergeCell ref="D11:J11"/>
    <mergeCell ref="G12:I12"/>
  </mergeCells>
  <dataValidations count="4">
    <dataValidation type="list" allowBlank="1" showInputMessage="1" showErrorMessage="1" sqref="L2:L5 F12:F14" xr:uid="{00000000-0002-0000-1700-000000000000}">
      <formula1>"Select,Met,Unmet - In Progress,Unmet - Not started"</formula1>
    </dataValidation>
    <dataValidation type="custom" allowBlank="1" showInputMessage="1" showErrorMessage="1" errorTitle="X-Author for Excel" error="Id and Lookup fields are not editable." promptTitle="X-Author for Excel" sqref="A2:A5" xr:uid="{00000000-0002-0000-1700-000001000000}">
      <formula1>""</formula1>
    </dataValidation>
    <dataValidation type="list" allowBlank="1" showInputMessage="1" showErrorMessage="1" errorTitle="X-Author for Excel" error="Please select a value from the drop-down." promptTitle="X-Author for Excel" sqref="F2:F5" xr:uid="{00000000-0002-0000-1700-000002000000}">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5" xr:uid="{00000000-0002-0000-1700-000003000000}">
      <formula1>IF(IFERROR(ROWS(INDIRECT(SUBSTITUTE("AIM_Grant_Requirement__c.AIM_Status_LFA__c"," ","_"))),-1) &lt; 0, XAuthorInvalidPicklistData,INDIRECT(SUBSTITUTE("AIM_Grant_Requirement__c.AIM_Status_LFA__c"," ","_")))</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0"/>
  </sheetPr>
  <dimension ref="A1:G4"/>
  <sheetViews>
    <sheetView workbookViewId="0">
      <selection activeCell="G4" sqref="G4"/>
    </sheetView>
  </sheetViews>
  <sheetFormatPr baseColWidth="10" defaultColWidth="9.140625" defaultRowHeight="15" x14ac:dyDescent="0.25"/>
  <cols>
    <col min="1" max="1" width="11.5703125" customWidth="1"/>
    <col min="2" max="2" width="12.5703125" customWidth="1"/>
    <col min="3" max="3" width="20.85546875" customWidth="1"/>
    <col min="4" max="4" width="12.42578125" customWidth="1"/>
    <col min="5" max="5" width="13" customWidth="1"/>
    <col min="6" max="6" width="11.5703125" customWidth="1"/>
    <col min="7" max="7" width="69.85546875" bestFit="1" customWidth="1"/>
  </cols>
  <sheetData>
    <row r="1" spans="1:7" x14ac:dyDescent="0.25">
      <c r="A1" s="412"/>
    </row>
    <row r="2" spans="1:7" x14ac:dyDescent="0.25">
      <c r="A2" s="618" t="s">
        <v>122</v>
      </c>
      <c r="B2" s="618" t="s">
        <v>1347</v>
      </c>
      <c r="C2" s="618" t="s">
        <v>1348</v>
      </c>
      <c r="D2" s="618" t="s">
        <v>1340</v>
      </c>
      <c r="E2" s="618" t="s">
        <v>1349</v>
      </c>
      <c r="F2" s="618" t="s">
        <v>1350</v>
      </c>
      <c r="G2" s="618" t="s">
        <v>1351</v>
      </c>
    </row>
    <row r="3" spans="1:7" hidden="1" x14ac:dyDescent="0.25">
      <c r="A3" s="501" t="s">
        <v>371</v>
      </c>
      <c r="B3" s="501" t="s">
        <v>371</v>
      </c>
      <c r="C3" s="501" t="s">
        <v>1352</v>
      </c>
      <c r="D3" s="501" t="s">
        <v>1345</v>
      </c>
      <c r="E3" s="501" t="s">
        <v>1353</v>
      </c>
      <c r="F3" s="501" t="s">
        <v>1354</v>
      </c>
      <c r="G3" s="501" t="str">
        <f>IF(A3="","","****"&amp;C3&amp;"****"&amp;CHAR(10)&amp;CHAR(10)&amp;IF(D3="","",D3&amp;CHAR(10)&amp;CHAR(10)&amp;IF(E3="","",E3&amp;CHAR(10)&amp;CHAR(10)&amp;F3&amp;CHAR(10))))</f>
        <v xml:space="preserve">****[Risk Category Name]****
[Risk Name]
[Root Cause]
[comment]
</v>
      </c>
    </row>
    <row r="4" spans="1:7" x14ac:dyDescent="0.25">
      <c r="A4" s="501"/>
      <c r="B4" s="501"/>
      <c r="C4" s="501"/>
      <c r="D4" s="501"/>
      <c r="E4" s="501"/>
      <c r="F4" s="501"/>
      <c r="G4" s="501"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0"/>
  </sheetPr>
  <dimension ref="A1:O289"/>
  <sheetViews>
    <sheetView workbookViewId="0">
      <selection activeCell="J22" sqref="J22"/>
    </sheetView>
  </sheetViews>
  <sheetFormatPr baseColWidth="10" defaultColWidth="9.140625" defaultRowHeight="15" x14ac:dyDescent="0.25"/>
  <cols>
    <col min="1" max="1" width="17.42578125" bestFit="1" customWidth="1"/>
    <col min="2" max="2" width="20.140625" bestFit="1" customWidth="1"/>
    <col min="3" max="3" width="23.42578125" customWidth="1"/>
    <col min="4" max="4" width="20.140625" bestFit="1" customWidth="1"/>
    <col min="5" max="5" width="14.42578125" bestFit="1" customWidth="1"/>
    <col min="6" max="6" width="18.5703125" bestFit="1" customWidth="1"/>
    <col min="7" max="7" width="18.140625" bestFit="1" customWidth="1"/>
    <col min="8" max="8" width="18.85546875" bestFit="1" customWidth="1"/>
    <col min="9" max="9" width="10.85546875" bestFit="1" customWidth="1"/>
    <col min="10" max="10" width="11.140625" bestFit="1" customWidth="1"/>
    <col min="11" max="11" width="10.85546875" bestFit="1" customWidth="1"/>
  </cols>
  <sheetData>
    <row r="1" spans="1:15" x14ac:dyDescent="0.25">
      <c r="E1" t="s">
        <v>1355</v>
      </c>
      <c r="F1" t="s">
        <v>1356</v>
      </c>
      <c r="G1" t="s">
        <v>1357</v>
      </c>
      <c r="I1" t="s">
        <v>1185</v>
      </c>
      <c r="J1" t="s">
        <v>28</v>
      </c>
      <c r="K1" t="s">
        <v>25</v>
      </c>
      <c r="N1" t="s">
        <v>1358</v>
      </c>
      <c r="O1" t="s">
        <v>1359</v>
      </c>
    </row>
    <row r="2" spans="1:15" x14ac:dyDescent="0.25">
      <c r="A2" t="s">
        <v>1360</v>
      </c>
      <c r="B2" s="763" t="s">
        <v>1361</v>
      </c>
    </row>
    <row r="5" spans="1:15" x14ac:dyDescent="0.25">
      <c r="B5" s="637" t="s">
        <v>1348</v>
      </c>
      <c r="C5" s="637" t="s">
        <v>1348</v>
      </c>
      <c r="D5" s="637" t="s">
        <v>122</v>
      </c>
    </row>
    <row r="6" spans="1:15" hidden="1" x14ac:dyDescent="0.25">
      <c r="B6" s="769" t="s">
        <v>1352</v>
      </c>
      <c r="C6" s="769" t="s">
        <v>1352</v>
      </c>
      <c r="D6" s="637" t="s">
        <v>371</v>
      </c>
    </row>
    <row r="7" spans="1:15" x14ac:dyDescent="0.25">
      <c r="B7" s="769" t="s">
        <v>1362</v>
      </c>
      <c r="C7" s="769"/>
      <c r="D7" s="637" t="s">
        <v>1363</v>
      </c>
    </row>
    <row r="8" spans="1:15" x14ac:dyDescent="0.25">
      <c r="B8" s="769" t="s">
        <v>1364</v>
      </c>
      <c r="C8" s="769"/>
      <c r="D8" s="637" t="s">
        <v>1365</v>
      </c>
    </row>
    <row r="9" spans="1:15" x14ac:dyDescent="0.25">
      <c r="B9" s="769" t="s">
        <v>1366</v>
      </c>
      <c r="C9" s="769"/>
      <c r="D9" s="637" t="s">
        <v>1367</v>
      </c>
    </row>
    <row r="10" spans="1:15" x14ac:dyDescent="0.25">
      <c r="B10" s="769" t="s">
        <v>1368</v>
      </c>
      <c r="C10" s="769"/>
      <c r="D10" s="637" t="s">
        <v>1369</v>
      </c>
    </row>
    <row r="12" spans="1:15" x14ac:dyDescent="0.25">
      <c r="C12" s="438"/>
    </row>
    <row r="13" spans="1:15" x14ac:dyDescent="0.25">
      <c r="B13" s="637" t="s">
        <v>1339</v>
      </c>
      <c r="C13" s="901" t="s">
        <v>122</v>
      </c>
      <c r="D13" s="637" t="s">
        <v>1348</v>
      </c>
      <c r="E13" s="637"/>
      <c r="F13" s="637" t="s">
        <v>1370</v>
      </c>
      <c r="G13" s="637" t="s">
        <v>1340</v>
      </c>
      <c r="H13" s="637" t="s">
        <v>1371</v>
      </c>
      <c r="I13" s="637" t="s">
        <v>122</v>
      </c>
    </row>
    <row r="14" spans="1:15" hidden="1" x14ac:dyDescent="0.25">
      <c r="B14" s="637" t="s">
        <v>1344</v>
      </c>
      <c r="C14" s="901" t="s">
        <v>371</v>
      </c>
      <c r="D14" s="769" t="s">
        <v>1352</v>
      </c>
      <c r="E14" s="637"/>
      <c r="F14" s="769" t="s">
        <v>1372</v>
      </c>
      <c r="G14" s="769" t="s">
        <v>1345</v>
      </c>
      <c r="H14" s="637" t="s">
        <v>1373</v>
      </c>
      <c r="I14" s="637" t="s">
        <v>371</v>
      </c>
    </row>
    <row r="15" spans="1:15" x14ac:dyDescent="0.25">
      <c r="B15" s="637" t="s">
        <v>1362</v>
      </c>
      <c r="C15" s="901" t="s">
        <v>1363</v>
      </c>
      <c r="D15" s="769" t="s">
        <v>1362</v>
      </c>
      <c r="E15" s="637"/>
      <c r="F15" s="769" t="s">
        <v>1374</v>
      </c>
      <c r="G15" s="769"/>
      <c r="H15" s="637" t="s">
        <v>1361</v>
      </c>
      <c r="I15" s="637" t="s">
        <v>1375</v>
      </c>
    </row>
    <row r="16" spans="1:15" x14ac:dyDescent="0.25">
      <c r="B16" s="637" t="s">
        <v>1362</v>
      </c>
      <c r="C16" s="901" t="s">
        <v>1363</v>
      </c>
      <c r="D16" s="769" t="s">
        <v>1362</v>
      </c>
      <c r="E16" s="637"/>
      <c r="F16" s="769" t="s">
        <v>1376</v>
      </c>
      <c r="G16" s="769"/>
      <c r="H16" s="637" t="s">
        <v>1361</v>
      </c>
      <c r="I16" s="637" t="s">
        <v>1377</v>
      </c>
    </row>
    <row r="17" spans="2:9" x14ac:dyDescent="0.25">
      <c r="B17" s="637" t="s">
        <v>1362</v>
      </c>
      <c r="C17" s="901" t="s">
        <v>1363</v>
      </c>
      <c r="D17" s="769" t="s">
        <v>1362</v>
      </c>
      <c r="E17" s="637"/>
      <c r="F17" s="769" t="s">
        <v>1378</v>
      </c>
      <c r="G17" s="769"/>
      <c r="H17" s="637" t="s">
        <v>1361</v>
      </c>
      <c r="I17" s="637" t="s">
        <v>1379</v>
      </c>
    </row>
    <row r="18" spans="2:9" x14ac:dyDescent="0.25">
      <c r="B18" s="637" t="s">
        <v>1362</v>
      </c>
      <c r="C18" s="901" t="s">
        <v>1363</v>
      </c>
      <c r="D18" s="769" t="s">
        <v>1362</v>
      </c>
      <c r="E18" s="637"/>
      <c r="F18" s="769" t="s">
        <v>1380</v>
      </c>
      <c r="G18" s="769"/>
      <c r="H18" s="637" t="s">
        <v>1361</v>
      </c>
      <c r="I18" s="637" t="s">
        <v>1381</v>
      </c>
    </row>
    <row r="19" spans="2:9" x14ac:dyDescent="0.25">
      <c r="B19" s="637" t="s">
        <v>1362</v>
      </c>
      <c r="C19" s="901" t="s">
        <v>1363</v>
      </c>
      <c r="D19" s="769" t="s">
        <v>1362</v>
      </c>
      <c r="E19" s="637"/>
      <c r="F19" s="769" t="s">
        <v>1382</v>
      </c>
      <c r="G19" s="769"/>
      <c r="H19" s="637" t="s">
        <v>1361</v>
      </c>
      <c r="I19" s="637" t="s">
        <v>1383</v>
      </c>
    </row>
    <row r="20" spans="2:9" x14ac:dyDescent="0.25">
      <c r="B20" s="637" t="s">
        <v>1362</v>
      </c>
      <c r="C20" s="901" t="s">
        <v>1363</v>
      </c>
      <c r="D20" s="769" t="s">
        <v>1362</v>
      </c>
      <c r="E20" s="637"/>
      <c r="F20" s="769" t="s">
        <v>1384</v>
      </c>
      <c r="G20" s="769"/>
      <c r="H20" s="637" t="s">
        <v>1361</v>
      </c>
      <c r="I20" s="637" t="s">
        <v>1385</v>
      </c>
    </row>
    <row r="21" spans="2:9" x14ac:dyDescent="0.25">
      <c r="B21" s="637" t="s">
        <v>1364</v>
      </c>
      <c r="C21" s="901" t="s">
        <v>1365</v>
      </c>
      <c r="D21" s="769" t="s">
        <v>1364</v>
      </c>
      <c r="E21" s="637"/>
      <c r="F21" s="769" t="s">
        <v>1386</v>
      </c>
      <c r="G21" s="769"/>
      <c r="H21" s="637" t="s">
        <v>1361</v>
      </c>
      <c r="I21" s="637" t="s">
        <v>1387</v>
      </c>
    </row>
    <row r="22" spans="2:9" x14ac:dyDescent="0.25">
      <c r="B22" s="637" t="s">
        <v>1364</v>
      </c>
      <c r="C22" s="901" t="s">
        <v>1365</v>
      </c>
      <c r="D22" s="769" t="s">
        <v>1364</v>
      </c>
      <c r="E22" s="637"/>
      <c r="F22" s="769" t="s">
        <v>1388</v>
      </c>
      <c r="G22" s="769"/>
      <c r="H22" s="637" t="s">
        <v>1361</v>
      </c>
      <c r="I22" s="637" t="s">
        <v>1389</v>
      </c>
    </row>
    <row r="23" spans="2:9" x14ac:dyDescent="0.25">
      <c r="B23" s="637" t="s">
        <v>1364</v>
      </c>
      <c r="C23" s="901" t="s">
        <v>1365</v>
      </c>
      <c r="D23" s="769" t="s">
        <v>1364</v>
      </c>
      <c r="E23" s="637"/>
      <c r="F23" s="769" t="s">
        <v>1390</v>
      </c>
      <c r="G23" s="769"/>
      <c r="H23" s="637" t="s">
        <v>1361</v>
      </c>
      <c r="I23" s="637" t="s">
        <v>1391</v>
      </c>
    </row>
    <row r="24" spans="2:9" x14ac:dyDescent="0.25">
      <c r="B24" s="637" t="s">
        <v>1364</v>
      </c>
      <c r="C24" s="901" t="s">
        <v>1365</v>
      </c>
      <c r="D24" s="769" t="s">
        <v>1364</v>
      </c>
      <c r="E24" s="637"/>
      <c r="F24" s="769" t="s">
        <v>1392</v>
      </c>
      <c r="G24" s="769"/>
      <c r="H24" s="637" t="s">
        <v>1361</v>
      </c>
      <c r="I24" s="637" t="s">
        <v>1393</v>
      </c>
    </row>
    <row r="25" spans="2:9" x14ac:dyDescent="0.25">
      <c r="B25" s="637" t="s">
        <v>1364</v>
      </c>
      <c r="C25" s="901" t="s">
        <v>1365</v>
      </c>
      <c r="D25" s="769" t="s">
        <v>1364</v>
      </c>
      <c r="E25" s="637"/>
      <c r="F25" s="769" t="s">
        <v>1394</v>
      </c>
      <c r="G25" s="769"/>
      <c r="H25" s="637" t="s">
        <v>1361</v>
      </c>
      <c r="I25" s="637" t="s">
        <v>1395</v>
      </c>
    </row>
    <row r="26" spans="2:9" x14ac:dyDescent="0.25">
      <c r="B26" s="637" t="s">
        <v>1364</v>
      </c>
      <c r="C26" s="901" t="s">
        <v>1365</v>
      </c>
      <c r="D26" s="769" t="s">
        <v>1364</v>
      </c>
      <c r="E26" s="637"/>
      <c r="F26" s="769" t="s">
        <v>1396</v>
      </c>
      <c r="G26" s="769"/>
      <c r="H26" s="637" t="s">
        <v>1361</v>
      </c>
      <c r="I26" s="637" t="s">
        <v>1397</v>
      </c>
    </row>
    <row r="27" spans="2:9" x14ac:dyDescent="0.25">
      <c r="B27" s="637" t="s">
        <v>1366</v>
      </c>
      <c r="C27" s="901" t="s">
        <v>1367</v>
      </c>
      <c r="D27" s="769" t="s">
        <v>1366</v>
      </c>
      <c r="E27" s="637"/>
      <c r="F27" s="769" t="s">
        <v>1398</v>
      </c>
      <c r="G27" s="769"/>
      <c r="H27" s="637" t="s">
        <v>1361</v>
      </c>
      <c r="I27" s="637" t="s">
        <v>1399</v>
      </c>
    </row>
    <row r="28" spans="2:9" x14ac:dyDescent="0.25">
      <c r="B28" s="637" t="s">
        <v>1366</v>
      </c>
      <c r="C28" s="901" t="s">
        <v>1367</v>
      </c>
      <c r="D28" s="769" t="s">
        <v>1366</v>
      </c>
      <c r="E28" s="637"/>
      <c r="F28" s="769" t="s">
        <v>1400</v>
      </c>
      <c r="G28" s="769"/>
      <c r="H28" s="637" t="s">
        <v>1361</v>
      </c>
      <c r="I28" s="637" t="s">
        <v>1401</v>
      </c>
    </row>
    <row r="29" spans="2:9" x14ac:dyDescent="0.25">
      <c r="B29" s="637" t="s">
        <v>1366</v>
      </c>
      <c r="C29" s="901" t="s">
        <v>1367</v>
      </c>
      <c r="D29" s="769" t="s">
        <v>1366</v>
      </c>
      <c r="E29" s="637"/>
      <c r="F29" s="769" t="s">
        <v>1402</v>
      </c>
      <c r="G29" s="769"/>
      <c r="H29" s="637" t="s">
        <v>1361</v>
      </c>
      <c r="I29" s="637" t="s">
        <v>1403</v>
      </c>
    </row>
    <row r="30" spans="2:9" x14ac:dyDescent="0.25">
      <c r="B30" s="637" t="s">
        <v>1366</v>
      </c>
      <c r="C30" s="901" t="s">
        <v>1367</v>
      </c>
      <c r="D30" s="769" t="s">
        <v>1366</v>
      </c>
      <c r="E30" s="637"/>
      <c r="F30" s="769" t="s">
        <v>1404</v>
      </c>
      <c r="G30" s="769"/>
      <c r="H30" s="637" t="s">
        <v>1361</v>
      </c>
      <c r="I30" s="637" t="s">
        <v>1405</v>
      </c>
    </row>
    <row r="31" spans="2:9" x14ac:dyDescent="0.25">
      <c r="B31" s="637" t="s">
        <v>1366</v>
      </c>
      <c r="C31" s="901" t="s">
        <v>1367</v>
      </c>
      <c r="D31" s="769" t="s">
        <v>1366</v>
      </c>
      <c r="E31" s="637"/>
      <c r="F31" s="769" t="s">
        <v>1406</v>
      </c>
      <c r="G31" s="769"/>
      <c r="H31" s="637" t="s">
        <v>1361</v>
      </c>
      <c r="I31" s="637" t="s">
        <v>1407</v>
      </c>
    </row>
    <row r="32" spans="2:9" x14ac:dyDescent="0.25">
      <c r="B32" s="637" t="s">
        <v>1366</v>
      </c>
      <c r="C32" s="901" t="s">
        <v>1367</v>
      </c>
      <c r="D32" s="769" t="s">
        <v>1366</v>
      </c>
      <c r="E32" s="637"/>
      <c r="F32" s="769" t="s">
        <v>1408</v>
      </c>
      <c r="G32" s="769"/>
      <c r="H32" s="637" t="s">
        <v>1361</v>
      </c>
      <c r="I32" s="637" t="s">
        <v>1409</v>
      </c>
    </row>
    <row r="33" spans="2:9" x14ac:dyDescent="0.25">
      <c r="B33" s="637" t="s">
        <v>1368</v>
      </c>
      <c r="C33" s="901" t="s">
        <v>1369</v>
      </c>
      <c r="D33" s="769" t="s">
        <v>1368</v>
      </c>
      <c r="E33" s="637"/>
      <c r="F33" s="769" t="s">
        <v>1410</v>
      </c>
      <c r="G33" s="769"/>
      <c r="H33" s="637" t="s">
        <v>1361</v>
      </c>
      <c r="I33" s="637" t="s">
        <v>1411</v>
      </c>
    </row>
    <row r="34" spans="2:9" x14ac:dyDescent="0.25">
      <c r="B34" s="637" t="s">
        <v>1368</v>
      </c>
      <c r="C34" s="901" t="s">
        <v>1369</v>
      </c>
      <c r="D34" s="769" t="s">
        <v>1368</v>
      </c>
      <c r="E34" s="637"/>
      <c r="F34" s="769" t="s">
        <v>1412</v>
      </c>
      <c r="G34" s="769"/>
      <c r="H34" s="637" t="s">
        <v>1361</v>
      </c>
      <c r="I34" s="637" t="s">
        <v>1413</v>
      </c>
    </row>
    <row r="35" spans="2:9" x14ac:dyDescent="0.25">
      <c r="B35" s="637" t="s">
        <v>1368</v>
      </c>
      <c r="C35" s="901" t="s">
        <v>1369</v>
      </c>
      <c r="D35" s="769" t="s">
        <v>1368</v>
      </c>
      <c r="E35" s="637"/>
      <c r="F35" s="769" t="s">
        <v>1414</v>
      </c>
      <c r="G35" s="769"/>
      <c r="H35" s="637" t="s">
        <v>1361</v>
      </c>
      <c r="I35" s="637" t="s">
        <v>1415</v>
      </c>
    </row>
    <row r="39" spans="2:9" x14ac:dyDescent="0.25">
      <c r="B39" s="637" t="s">
        <v>1416</v>
      </c>
      <c r="C39" s="637" t="s">
        <v>1417</v>
      </c>
      <c r="D39" s="637" t="s">
        <v>1418</v>
      </c>
      <c r="E39" s="637" t="s">
        <v>1419</v>
      </c>
      <c r="F39" s="637" t="s">
        <v>1349</v>
      </c>
      <c r="G39" s="637" t="s">
        <v>1341</v>
      </c>
      <c r="H39" s="637" t="s">
        <v>122</v>
      </c>
    </row>
    <row r="40" spans="2:9" hidden="1" x14ac:dyDescent="0.25">
      <c r="B40" s="637" t="s">
        <v>1420</v>
      </c>
      <c r="C40" s="637" t="s">
        <v>1421</v>
      </c>
      <c r="D40" s="637" t="s">
        <v>1422</v>
      </c>
      <c r="E40" s="769" t="s">
        <v>1423</v>
      </c>
      <c r="F40" s="769" t="s">
        <v>1353</v>
      </c>
      <c r="G40" s="769" t="s">
        <v>1346</v>
      </c>
      <c r="H40" s="637" t="s">
        <v>371</v>
      </c>
    </row>
    <row r="41" spans="2:9" x14ac:dyDescent="0.25">
      <c r="B41" s="637" t="b">
        <v>1</v>
      </c>
      <c r="C41" s="637"/>
      <c r="D41" s="637"/>
      <c r="E41" s="769"/>
      <c r="F41" s="769" t="s">
        <v>1424</v>
      </c>
      <c r="G41" s="769" t="s">
        <v>1425</v>
      </c>
      <c r="H41" s="637" t="s">
        <v>1426</v>
      </c>
    </row>
    <row r="42" spans="2:9" x14ac:dyDescent="0.25">
      <c r="B42" s="637" t="b">
        <v>1</v>
      </c>
      <c r="C42" s="637"/>
      <c r="D42" s="637"/>
      <c r="E42" s="769"/>
      <c r="F42" s="769" t="s">
        <v>1427</v>
      </c>
      <c r="G42" s="769" t="s">
        <v>1428</v>
      </c>
      <c r="H42" s="637" t="s">
        <v>1429</v>
      </c>
    </row>
    <row r="43" spans="2:9" x14ac:dyDescent="0.25">
      <c r="B43" s="637" t="b">
        <v>1</v>
      </c>
      <c r="C43" s="637"/>
      <c r="D43" s="637"/>
      <c r="E43" s="769"/>
      <c r="F43" s="769" t="s">
        <v>1430</v>
      </c>
      <c r="G43" s="769" t="s">
        <v>1431</v>
      </c>
      <c r="H43" s="637" t="s">
        <v>1432</v>
      </c>
    </row>
    <row r="44" spans="2:9" x14ac:dyDescent="0.25">
      <c r="B44" s="637" t="b">
        <v>1</v>
      </c>
      <c r="C44" s="637"/>
      <c r="D44" s="637"/>
      <c r="E44" s="769"/>
      <c r="F44" s="769" t="s">
        <v>1433</v>
      </c>
      <c r="G44" s="769" t="s">
        <v>1434</v>
      </c>
      <c r="H44" s="637" t="s">
        <v>1435</v>
      </c>
    </row>
    <row r="45" spans="2:9" x14ac:dyDescent="0.25">
      <c r="B45" s="637" t="b">
        <v>1</v>
      </c>
      <c r="C45" s="637"/>
      <c r="D45" s="637"/>
      <c r="E45" s="769"/>
      <c r="F45" s="769" t="s">
        <v>1436</v>
      </c>
      <c r="G45" s="769" t="s">
        <v>1437</v>
      </c>
      <c r="H45" s="637" t="s">
        <v>1438</v>
      </c>
    </row>
    <row r="46" spans="2:9" x14ac:dyDescent="0.25">
      <c r="B46" s="637" t="b">
        <v>1</v>
      </c>
      <c r="C46" s="637" t="s">
        <v>1439</v>
      </c>
      <c r="D46" s="637" t="s">
        <v>1390</v>
      </c>
      <c r="E46" s="769" t="s">
        <v>1390</v>
      </c>
      <c r="F46" s="769" t="s">
        <v>1440</v>
      </c>
      <c r="G46" s="769" t="s">
        <v>1441</v>
      </c>
      <c r="H46" s="637" t="s">
        <v>1442</v>
      </c>
    </row>
    <row r="47" spans="2:9" x14ac:dyDescent="0.25">
      <c r="B47" s="637" t="b">
        <v>1</v>
      </c>
      <c r="C47" s="637" t="s">
        <v>1439</v>
      </c>
      <c r="D47" s="637" t="s">
        <v>1390</v>
      </c>
      <c r="E47" s="769" t="s">
        <v>1390</v>
      </c>
      <c r="F47" s="769" t="s">
        <v>1443</v>
      </c>
      <c r="G47" s="769" t="s">
        <v>1444</v>
      </c>
      <c r="H47" s="637" t="s">
        <v>1445</v>
      </c>
    </row>
    <row r="48" spans="2:9" x14ac:dyDescent="0.25">
      <c r="B48" s="637" t="b">
        <v>1</v>
      </c>
      <c r="C48" s="637" t="s">
        <v>1439</v>
      </c>
      <c r="D48" s="637" t="s">
        <v>1390</v>
      </c>
      <c r="E48" s="769" t="s">
        <v>1390</v>
      </c>
      <c r="F48" s="769" t="s">
        <v>1446</v>
      </c>
      <c r="G48" s="769" t="s">
        <v>1447</v>
      </c>
      <c r="H48" s="637" t="s">
        <v>1448</v>
      </c>
    </row>
    <row r="49" spans="2:8" x14ac:dyDescent="0.25">
      <c r="B49" s="637" t="b">
        <v>1</v>
      </c>
      <c r="C49" s="637" t="s">
        <v>1439</v>
      </c>
      <c r="D49" s="637" t="s">
        <v>1390</v>
      </c>
      <c r="E49" s="769" t="s">
        <v>1390</v>
      </c>
      <c r="F49" s="769" t="s">
        <v>1449</v>
      </c>
      <c r="G49" s="769" t="s">
        <v>1450</v>
      </c>
      <c r="H49" s="637" t="s">
        <v>1451</v>
      </c>
    </row>
    <row r="50" spans="2:8" x14ac:dyDescent="0.25">
      <c r="B50" s="637" t="b">
        <v>1</v>
      </c>
      <c r="C50" s="637" t="s">
        <v>1439</v>
      </c>
      <c r="D50" s="637" t="s">
        <v>1390</v>
      </c>
      <c r="E50" s="769" t="s">
        <v>1390</v>
      </c>
      <c r="F50" s="769" t="s">
        <v>1452</v>
      </c>
      <c r="G50" s="769" t="s">
        <v>1453</v>
      </c>
      <c r="H50" s="637" t="s">
        <v>1454</v>
      </c>
    </row>
    <row r="51" spans="2:8" x14ac:dyDescent="0.25">
      <c r="B51" s="637" t="b">
        <v>1</v>
      </c>
      <c r="C51" s="637" t="s">
        <v>1439</v>
      </c>
      <c r="D51" s="637" t="s">
        <v>1390</v>
      </c>
      <c r="E51" s="769" t="s">
        <v>1390</v>
      </c>
      <c r="F51" s="769" t="s">
        <v>1455</v>
      </c>
      <c r="G51" s="769" t="s">
        <v>1456</v>
      </c>
      <c r="H51" s="637" t="s">
        <v>1457</v>
      </c>
    </row>
    <row r="52" spans="2:8" x14ac:dyDescent="0.25">
      <c r="B52" s="637" t="b">
        <v>1</v>
      </c>
      <c r="C52" s="637" t="s">
        <v>1439</v>
      </c>
      <c r="D52" s="637" t="s">
        <v>1390</v>
      </c>
      <c r="E52" s="769" t="s">
        <v>1390</v>
      </c>
      <c r="F52" s="769" t="s">
        <v>1458</v>
      </c>
      <c r="G52" s="769" t="s">
        <v>1459</v>
      </c>
      <c r="H52" s="637" t="s">
        <v>1460</v>
      </c>
    </row>
    <row r="53" spans="2:8" x14ac:dyDescent="0.25">
      <c r="B53" s="637" t="b">
        <v>1</v>
      </c>
      <c r="C53" s="637" t="s">
        <v>1439</v>
      </c>
      <c r="D53" s="637" t="s">
        <v>1390</v>
      </c>
      <c r="E53" s="769" t="s">
        <v>1390</v>
      </c>
      <c r="F53" s="769" t="s">
        <v>1461</v>
      </c>
      <c r="G53" s="769" t="s">
        <v>1462</v>
      </c>
      <c r="H53" s="637" t="s">
        <v>1463</v>
      </c>
    </row>
    <row r="54" spans="2:8" x14ac:dyDescent="0.25">
      <c r="B54" s="637" t="b">
        <v>1</v>
      </c>
      <c r="C54" s="637" t="s">
        <v>1439</v>
      </c>
      <c r="D54" s="637" t="s">
        <v>1390</v>
      </c>
      <c r="E54" s="769" t="s">
        <v>1390</v>
      </c>
      <c r="F54" s="769" t="s">
        <v>1464</v>
      </c>
      <c r="G54" s="769" t="s">
        <v>1465</v>
      </c>
      <c r="H54" s="637" t="s">
        <v>1466</v>
      </c>
    </row>
    <row r="55" spans="2:8" x14ac:dyDescent="0.25">
      <c r="B55" s="637" t="b">
        <v>1</v>
      </c>
      <c r="C55" s="637" t="s">
        <v>1439</v>
      </c>
      <c r="D55" s="637" t="s">
        <v>1390</v>
      </c>
      <c r="E55" s="769" t="s">
        <v>1390</v>
      </c>
      <c r="F55" s="769" t="s">
        <v>1467</v>
      </c>
      <c r="G55" s="769" t="s">
        <v>1468</v>
      </c>
      <c r="H55" s="637" t="s">
        <v>1469</v>
      </c>
    </row>
    <row r="56" spans="2:8" x14ac:dyDescent="0.25">
      <c r="B56" s="637" t="b">
        <v>1</v>
      </c>
      <c r="C56" s="637" t="s">
        <v>1439</v>
      </c>
      <c r="D56" s="637" t="s">
        <v>1390</v>
      </c>
      <c r="E56" s="769" t="s">
        <v>1390</v>
      </c>
      <c r="F56" s="769" t="s">
        <v>1470</v>
      </c>
      <c r="G56" s="769" t="s">
        <v>1471</v>
      </c>
      <c r="H56" s="637" t="s">
        <v>1472</v>
      </c>
    </row>
    <row r="57" spans="2:8" x14ac:dyDescent="0.25">
      <c r="B57" s="637" t="b">
        <v>1</v>
      </c>
      <c r="C57" s="637" t="s">
        <v>1439</v>
      </c>
      <c r="D57" s="637" t="s">
        <v>1390</v>
      </c>
      <c r="E57" s="769" t="s">
        <v>1390</v>
      </c>
      <c r="F57" s="769" t="s">
        <v>1473</v>
      </c>
      <c r="G57" s="769" t="s">
        <v>1474</v>
      </c>
      <c r="H57" s="637" t="s">
        <v>1475</v>
      </c>
    </row>
    <row r="58" spans="2:8" x14ac:dyDescent="0.25">
      <c r="B58" s="637" t="b">
        <v>1</v>
      </c>
      <c r="C58" s="637" t="s">
        <v>1439</v>
      </c>
      <c r="D58" s="637" t="s">
        <v>1390</v>
      </c>
      <c r="E58" s="769" t="s">
        <v>1390</v>
      </c>
      <c r="F58" s="769" t="s">
        <v>1476</v>
      </c>
      <c r="G58" s="769" t="s">
        <v>1477</v>
      </c>
      <c r="H58" s="637" t="s">
        <v>1478</v>
      </c>
    </row>
    <row r="59" spans="2:8" x14ac:dyDescent="0.25">
      <c r="B59" s="637" t="b">
        <v>1</v>
      </c>
      <c r="C59" s="637" t="s">
        <v>1479</v>
      </c>
      <c r="D59" s="637" t="s">
        <v>1480</v>
      </c>
      <c r="E59" s="769" t="s">
        <v>1392</v>
      </c>
      <c r="F59" s="769" t="s">
        <v>1481</v>
      </c>
      <c r="G59" s="769" t="s">
        <v>1482</v>
      </c>
      <c r="H59" s="637" t="s">
        <v>1483</v>
      </c>
    </row>
    <row r="60" spans="2:8" x14ac:dyDescent="0.25">
      <c r="B60" s="637" t="b">
        <v>1</v>
      </c>
      <c r="C60" s="637" t="s">
        <v>1479</v>
      </c>
      <c r="D60" s="637" t="s">
        <v>1480</v>
      </c>
      <c r="E60" s="769" t="s">
        <v>1392</v>
      </c>
      <c r="F60" s="769" t="s">
        <v>1484</v>
      </c>
      <c r="G60" s="769" t="s">
        <v>1485</v>
      </c>
      <c r="H60" s="637" t="s">
        <v>1486</v>
      </c>
    </row>
    <row r="61" spans="2:8" x14ac:dyDescent="0.25">
      <c r="B61" s="637" t="b">
        <v>1</v>
      </c>
      <c r="C61" s="637" t="s">
        <v>1479</v>
      </c>
      <c r="D61" s="637" t="s">
        <v>1480</v>
      </c>
      <c r="E61" s="769" t="s">
        <v>1392</v>
      </c>
      <c r="F61" s="769" t="s">
        <v>1487</v>
      </c>
      <c r="G61" s="769" t="s">
        <v>1488</v>
      </c>
      <c r="H61" s="637" t="s">
        <v>1489</v>
      </c>
    </row>
    <row r="62" spans="2:8" x14ac:dyDescent="0.25">
      <c r="B62" s="637" t="b">
        <v>1</v>
      </c>
      <c r="C62" s="637" t="s">
        <v>1479</v>
      </c>
      <c r="D62" s="637" t="s">
        <v>1480</v>
      </c>
      <c r="E62" s="769" t="s">
        <v>1392</v>
      </c>
      <c r="F62" s="769" t="s">
        <v>1490</v>
      </c>
      <c r="G62" s="769" t="s">
        <v>1491</v>
      </c>
      <c r="H62" s="637" t="s">
        <v>1492</v>
      </c>
    </row>
    <row r="63" spans="2:8" x14ac:dyDescent="0.25">
      <c r="B63" s="637" t="b">
        <v>1</v>
      </c>
      <c r="C63" s="637" t="s">
        <v>1479</v>
      </c>
      <c r="D63" s="637" t="s">
        <v>1480</v>
      </c>
      <c r="E63" s="769" t="s">
        <v>1392</v>
      </c>
      <c r="F63" s="769" t="s">
        <v>1493</v>
      </c>
      <c r="G63" s="769" t="s">
        <v>1494</v>
      </c>
      <c r="H63" s="637" t="s">
        <v>1495</v>
      </c>
    </row>
    <row r="64" spans="2:8" x14ac:dyDescent="0.25">
      <c r="B64" s="637" t="b">
        <v>1</v>
      </c>
      <c r="C64" s="637" t="s">
        <v>1479</v>
      </c>
      <c r="D64" s="637" t="s">
        <v>1480</v>
      </c>
      <c r="E64" s="769" t="s">
        <v>1392</v>
      </c>
      <c r="F64" s="769" t="s">
        <v>1496</v>
      </c>
      <c r="G64" s="769" t="s">
        <v>1497</v>
      </c>
      <c r="H64" s="637" t="s">
        <v>1498</v>
      </c>
    </row>
    <row r="65" spans="2:8" x14ac:dyDescent="0.25">
      <c r="B65" s="637" t="b">
        <v>1</v>
      </c>
      <c r="C65" s="637" t="s">
        <v>1479</v>
      </c>
      <c r="D65" s="637" t="s">
        <v>1480</v>
      </c>
      <c r="E65" s="769" t="s">
        <v>1392</v>
      </c>
      <c r="F65" s="769" t="s">
        <v>1499</v>
      </c>
      <c r="G65" s="769" t="s">
        <v>1500</v>
      </c>
      <c r="H65" s="637" t="s">
        <v>1501</v>
      </c>
    </row>
    <row r="66" spans="2:8" ht="210" x14ac:dyDescent="0.25">
      <c r="B66" s="637" t="b">
        <v>1</v>
      </c>
      <c r="C66" s="637" t="s">
        <v>1479</v>
      </c>
      <c r="D66" s="637" t="s">
        <v>1480</v>
      </c>
      <c r="E66" s="769" t="s">
        <v>1392</v>
      </c>
      <c r="F66" s="902" t="s">
        <v>1502</v>
      </c>
      <c r="G66" s="769" t="s">
        <v>1503</v>
      </c>
      <c r="H66" s="637" t="s">
        <v>1504</v>
      </c>
    </row>
    <row r="67" spans="2:8" x14ac:dyDescent="0.25">
      <c r="B67" s="637" t="b">
        <v>1</v>
      </c>
      <c r="C67" s="637" t="s">
        <v>1479</v>
      </c>
      <c r="D67" s="637" t="s">
        <v>1480</v>
      </c>
      <c r="E67" s="769" t="s">
        <v>1392</v>
      </c>
      <c r="F67" s="769" t="s">
        <v>1505</v>
      </c>
      <c r="G67" s="769" t="s">
        <v>1506</v>
      </c>
      <c r="H67" s="637" t="s">
        <v>1507</v>
      </c>
    </row>
    <row r="68" spans="2:8" x14ac:dyDescent="0.25">
      <c r="B68" s="637" t="b">
        <v>1</v>
      </c>
      <c r="C68" s="637" t="s">
        <v>1479</v>
      </c>
      <c r="D68" s="637" t="s">
        <v>1480</v>
      </c>
      <c r="E68" s="769" t="s">
        <v>1392</v>
      </c>
      <c r="F68" s="769" t="s">
        <v>1508</v>
      </c>
      <c r="G68" s="769" t="s">
        <v>1509</v>
      </c>
      <c r="H68" s="637" t="s">
        <v>1510</v>
      </c>
    </row>
    <row r="69" spans="2:8" x14ac:dyDescent="0.25">
      <c r="B69" s="637" t="b">
        <v>1</v>
      </c>
      <c r="C69" s="637" t="s">
        <v>1479</v>
      </c>
      <c r="D69" s="637" t="s">
        <v>1480</v>
      </c>
      <c r="E69" s="769" t="s">
        <v>1392</v>
      </c>
      <c r="F69" s="769" t="s">
        <v>1511</v>
      </c>
      <c r="G69" s="769" t="s">
        <v>1512</v>
      </c>
      <c r="H69" s="637" t="s">
        <v>1513</v>
      </c>
    </row>
    <row r="70" spans="2:8" x14ac:dyDescent="0.25">
      <c r="B70" s="637" t="b">
        <v>1</v>
      </c>
      <c r="C70" s="637" t="s">
        <v>1479</v>
      </c>
      <c r="D70" s="637" t="s">
        <v>1480</v>
      </c>
      <c r="E70" s="769" t="s">
        <v>1392</v>
      </c>
      <c r="F70" s="769" t="s">
        <v>1514</v>
      </c>
      <c r="G70" s="769" t="s">
        <v>1515</v>
      </c>
      <c r="H70" s="637" t="s">
        <v>1516</v>
      </c>
    </row>
    <row r="71" spans="2:8" x14ac:dyDescent="0.25">
      <c r="B71" s="637" t="b">
        <v>1</v>
      </c>
      <c r="C71" s="637" t="s">
        <v>1479</v>
      </c>
      <c r="D71" s="637" t="s">
        <v>1480</v>
      </c>
      <c r="E71" s="769" t="s">
        <v>1392</v>
      </c>
      <c r="F71" s="769" t="s">
        <v>1517</v>
      </c>
      <c r="G71" s="769" t="s">
        <v>1518</v>
      </c>
      <c r="H71" s="637" t="s">
        <v>1519</v>
      </c>
    </row>
    <row r="72" spans="2:8" x14ac:dyDescent="0.25">
      <c r="B72" s="637" t="b">
        <v>1</v>
      </c>
      <c r="C72" s="637" t="s">
        <v>1479</v>
      </c>
      <c r="D72" s="637" t="s">
        <v>1480</v>
      </c>
      <c r="E72" s="769" t="s">
        <v>1392</v>
      </c>
      <c r="F72" s="769" t="s">
        <v>1520</v>
      </c>
      <c r="G72" s="769" t="s">
        <v>1521</v>
      </c>
      <c r="H72" s="637" t="s">
        <v>1522</v>
      </c>
    </row>
    <row r="73" spans="2:8" x14ac:dyDescent="0.25">
      <c r="B73" s="637" t="b">
        <v>1</v>
      </c>
      <c r="C73" s="637" t="s">
        <v>1479</v>
      </c>
      <c r="D73" s="637" t="s">
        <v>1480</v>
      </c>
      <c r="E73" s="769" t="s">
        <v>1392</v>
      </c>
      <c r="F73" s="769" t="s">
        <v>1523</v>
      </c>
      <c r="G73" s="769" t="s">
        <v>1524</v>
      </c>
      <c r="H73" s="637" t="s">
        <v>1525</v>
      </c>
    </row>
    <row r="74" spans="2:8" x14ac:dyDescent="0.25">
      <c r="B74" s="637" t="b">
        <v>1</v>
      </c>
      <c r="C74" s="637" t="s">
        <v>1479</v>
      </c>
      <c r="D74" s="637" t="s">
        <v>1480</v>
      </c>
      <c r="E74" s="769" t="s">
        <v>1392</v>
      </c>
      <c r="F74" s="769" t="s">
        <v>1526</v>
      </c>
      <c r="G74" s="769" t="s">
        <v>1527</v>
      </c>
      <c r="H74" s="637" t="s">
        <v>1528</v>
      </c>
    </row>
    <row r="75" spans="2:8" x14ac:dyDescent="0.25">
      <c r="B75" s="637" t="b">
        <v>1</v>
      </c>
      <c r="C75" s="637" t="s">
        <v>1479</v>
      </c>
      <c r="D75" s="637" t="s">
        <v>1480</v>
      </c>
      <c r="E75" s="769" t="s">
        <v>1392</v>
      </c>
      <c r="F75" s="769" t="s">
        <v>1529</v>
      </c>
      <c r="G75" s="769" t="s">
        <v>1530</v>
      </c>
      <c r="H75" s="637" t="s">
        <v>1531</v>
      </c>
    </row>
    <row r="76" spans="2:8" x14ac:dyDescent="0.25">
      <c r="B76" s="637" t="b">
        <v>1</v>
      </c>
      <c r="C76" s="637" t="s">
        <v>1479</v>
      </c>
      <c r="D76" s="637" t="s">
        <v>1480</v>
      </c>
      <c r="E76" s="769" t="s">
        <v>1392</v>
      </c>
      <c r="F76" s="769" t="s">
        <v>1532</v>
      </c>
      <c r="G76" s="769" t="s">
        <v>1533</v>
      </c>
      <c r="H76" s="637" t="s">
        <v>1534</v>
      </c>
    </row>
    <row r="77" spans="2:8" x14ac:dyDescent="0.25">
      <c r="B77" s="637" t="b">
        <v>1</v>
      </c>
      <c r="C77" s="637" t="s">
        <v>1479</v>
      </c>
      <c r="D77" s="637" t="s">
        <v>1480</v>
      </c>
      <c r="E77" s="769" t="s">
        <v>1392</v>
      </c>
      <c r="F77" s="769" t="s">
        <v>1535</v>
      </c>
      <c r="G77" s="769" t="s">
        <v>1536</v>
      </c>
      <c r="H77" s="637" t="s">
        <v>1537</v>
      </c>
    </row>
    <row r="78" spans="2:8" x14ac:dyDescent="0.25">
      <c r="B78" s="637" t="b">
        <v>1</v>
      </c>
      <c r="C78" s="637" t="s">
        <v>1479</v>
      </c>
      <c r="D78" s="637" t="s">
        <v>1480</v>
      </c>
      <c r="E78" s="769" t="s">
        <v>1392</v>
      </c>
      <c r="F78" s="769" t="s">
        <v>1538</v>
      </c>
      <c r="G78" s="769" t="s">
        <v>1539</v>
      </c>
      <c r="H78" s="637" t="s">
        <v>1540</v>
      </c>
    </row>
    <row r="79" spans="2:8" x14ac:dyDescent="0.25">
      <c r="B79" s="637" t="b">
        <v>1</v>
      </c>
      <c r="C79" s="637" t="s">
        <v>1479</v>
      </c>
      <c r="D79" s="637" t="s">
        <v>1480</v>
      </c>
      <c r="E79" s="769" t="s">
        <v>1392</v>
      </c>
      <c r="F79" s="769" t="s">
        <v>1541</v>
      </c>
      <c r="G79" s="769" t="s">
        <v>1542</v>
      </c>
      <c r="H79" s="637" t="s">
        <v>1543</v>
      </c>
    </row>
    <row r="80" spans="2:8" x14ac:dyDescent="0.25">
      <c r="B80" s="637" t="b">
        <v>1</v>
      </c>
      <c r="C80" s="637" t="s">
        <v>1479</v>
      </c>
      <c r="D80" s="637" t="s">
        <v>1480</v>
      </c>
      <c r="E80" s="769" t="s">
        <v>1392</v>
      </c>
      <c r="F80" s="769" t="s">
        <v>1544</v>
      </c>
      <c r="G80" s="769" t="s">
        <v>1545</v>
      </c>
      <c r="H80" s="637" t="s">
        <v>1546</v>
      </c>
    </row>
    <row r="81" spans="2:8" x14ac:dyDescent="0.25">
      <c r="B81" s="637" t="b">
        <v>1</v>
      </c>
      <c r="C81" s="637" t="s">
        <v>1479</v>
      </c>
      <c r="D81" s="637" t="s">
        <v>1480</v>
      </c>
      <c r="E81" s="769" t="s">
        <v>1392</v>
      </c>
      <c r="F81" s="769" t="s">
        <v>1547</v>
      </c>
      <c r="G81" s="769" t="s">
        <v>1548</v>
      </c>
      <c r="H81" s="637" t="s">
        <v>1549</v>
      </c>
    </row>
    <row r="82" spans="2:8" x14ac:dyDescent="0.25">
      <c r="B82" s="637" t="b">
        <v>1</v>
      </c>
      <c r="C82" s="637" t="s">
        <v>1479</v>
      </c>
      <c r="D82" s="637" t="s">
        <v>1480</v>
      </c>
      <c r="E82" s="769" t="s">
        <v>1392</v>
      </c>
      <c r="F82" s="769" t="s">
        <v>1550</v>
      </c>
      <c r="G82" s="769" t="s">
        <v>1551</v>
      </c>
      <c r="H82" s="637" t="s">
        <v>1552</v>
      </c>
    </row>
    <row r="83" spans="2:8" x14ac:dyDescent="0.25">
      <c r="B83" s="637" t="b">
        <v>1</v>
      </c>
      <c r="C83" s="637" t="s">
        <v>1479</v>
      </c>
      <c r="D83" s="637" t="s">
        <v>1480</v>
      </c>
      <c r="E83" s="769" t="s">
        <v>1392</v>
      </c>
      <c r="F83" s="769" t="s">
        <v>1553</v>
      </c>
      <c r="G83" s="769" t="s">
        <v>1554</v>
      </c>
      <c r="H83" s="637" t="s">
        <v>1555</v>
      </c>
    </row>
    <row r="84" spans="2:8" x14ac:dyDescent="0.25">
      <c r="B84" s="637" t="b">
        <v>1</v>
      </c>
      <c r="C84" s="637" t="s">
        <v>1479</v>
      </c>
      <c r="D84" s="637" t="s">
        <v>1480</v>
      </c>
      <c r="E84" s="769" t="s">
        <v>1392</v>
      </c>
      <c r="F84" s="769" t="s">
        <v>1556</v>
      </c>
      <c r="G84" s="769" t="s">
        <v>1557</v>
      </c>
      <c r="H84" s="637" t="s">
        <v>1558</v>
      </c>
    </row>
    <row r="85" spans="2:8" x14ac:dyDescent="0.25">
      <c r="B85" s="637" t="b">
        <v>1</v>
      </c>
      <c r="C85" s="637" t="s">
        <v>1479</v>
      </c>
      <c r="D85" s="637" t="s">
        <v>1480</v>
      </c>
      <c r="E85" s="769" t="s">
        <v>1392</v>
      </c>
      <c r="F85" s="769" t="s">
        <v>1559</v>
      </c>
      <c r="G85" s="769" t="s">
        <v>1560</v>
      </c>
      <c r="H85" s="637" t="s">
        <v>1561</v>
      </c>
    </row>
    <row r="86" spans="2:8" x14ac:dyDescent="0.25">
      <c r="B86" s="637" t="b">
        <v>1</v>
      </c>
      <c r="C86" s="637" t="s">
        <v>1562</v>
      </c>
      <c r="D86" s="637" t="s">
        <v>1563</v>
      </c>
      <c r="E86" s="769" t="s">
        <v>1396</v>
      </c>
      <c r="F86" s="769" t="s">
        <v>1564</v>
      </c>
      <c r="G86" s="769" t="s">
        <v>1565</v>
      </c>
      <c r="H86" s="637" t="s">
        <v>1566</v>
      </c>
    </row>
    <row r="87" spans="2:8" x14ac:dyDescent="0.25">
      <c r="B87" s="637" t="b">
        <v>1</v>
      </c>
      <c r="C87" s="637" t="s">
        <v>1562</v>
      </c>
      <c r="D87" s="637" t="s">
        <v>1563</v>
      </c>
      <c r="E87" s="769" t="s">
        <v>1396</v>
      </c>
      <c r="F87" s="769" t="s">
        <v>1567</v>
      </c>
      <c r="G87" s="769" t="s">
        <v>1568</v>
      </c>
      <c r="H87" s="637" t="s">
        <v>1569</v>
      </c>
    </row>
    <row r="88" spans="2:8" x14ac:dyDescent="0.25">
      <c r="B88" s="637" t="b">
        <v>1</v>
      </c>
      <c r="C88" s="637" t="s">
        <v>1562</v>
      </c>
      <c r="D88" s="637" t="s">
        <v>1563</v>
      </c>
      <c r="E88" s="769" t="s">
        <v>1396</v>
      </c>
      <c r="F88" s="769" t="s">
        <v>1570</v>
      </c>
      <c r="G88" s="769" t="s">
        <v>1571</v>
      </c>
      <c r="H88" s="637" t="s">
        <v>1572</v>
      </c>
    </row>
    <row r="89" spans="2:8" x14ac:dyDescent="0.25">
      <c r="B89" s="637" t="b">
        <v>1</v>
      </c>
      <c r="C89" s="637" t="s">
        <v>1562</v>
      </c>
      <c r="D89" s="637" t="s">
        <v>1563</v>
      </c>
      <c r="E89" s="769" t="s">
        <v>1396</v>
      </c>
      <c r="F89" s="769" t="s">
        <v>1573</v>
      </c>
      <c r="G89" s="769" t="s">
        <v>1574</v>
      </c>
      <c r="H89" s="637" t="s">
        <v>1575</v>
      </c>
    </row>
    <row r="90" spans="2:8" x14ac:dyDescent="0.25">
      <c r="B90" s="637" t="b">
        <v>1</v>
      </c>
      <c r="C90" s="637" t="s">
        <v>1562</v>
      </c>
      <c r="D90" s="637" t="s">
        <v>1563</v>
      </c>
      <c r="E90" s="769" t="s">
        <v>1396</v>
      </c>
      <c r="F90" s="769" t="s">
        <v>1576</v>
      </c>
      <c r="G90" s="769" t="s">
        <v>1577</v>
      </c>
      <c r="H90" s="637" t="s">
        <v>1578</v>
      </c>
    </row>
    <row r="91" spans="2:8" x14ac:dyDescent="0.25">
      <c r="B91" s="637" t="b">
        <v>1</v>
      </c>
      <c r="C91" s="637" t="s">
        <v>1562</v>
      </c>
      <c r="D91" s="637" t="s">
        <v>1563</v>
      </c>
      <c r="E91" s="769" t="s">
        <v>1396</v>
      </c>
      <c r="F91" s="769" t="s">
        <v>1579</v>
      </c>
      <c r="G91" s="769" t="s">
        <v>1580</v>
      </c>
      <c r="H91" s="637" t="s">
        <v>1581</v>
      </c>
    </row>
    <row r="92" spans="2:8" ht="165" x14ac:dyDescent="0.25">
      <c r="B92" s="637" t="b">
        <v>1</v>
      </c>
      <c r="C92" s="637" t="s">
        <v>1562</v>
      </c>
      <c r="D92" s="637" t="s">
        <v>1563</v>
      </c>
      <c r="E92" s="769" t="s">
        <v>1396</v>
      </c>
      <c r="F92" s="902" t="s">
        <v>1582</v>
      </c>
      <c r="G92" s="769" t="s">
        <v>1583</v>
      </c>
      <c r="H92" s="637" t="s">
        <v>1584</v>
      </c>
    </row>
    <row r="93" spans="2:8" ht="195" x14ac:dyDescent="0.25">
      <c r="B93" s="637" t="b">
        <v>1</v>
      </c>
      <c r="C93" s="637" t="s">
        <v>1562</v>
      </c>
      <c r="D93" s="637" t="s">
        <v>1563</v>
      </c>
      <c r="E93" s="769" t="s">
        <v>1396</v>
      </c>
      <c r="F93" s="902" t="s">
        <v>1585</v>
      </c>
      <c r="G93" s="769" t="s">
        <v>1586</v>
      </c>
      <c r="H93" s="637" t="s">
        <v>1587</v>
      </c>
    </row>
    <row r="94" spans="2:8" ht="210" x14ac:dyDescent="0.25">
      <c r="B94" s="637" t="b">
        <v>1</v>
      </c>
      <c r="C94" s="637" t="s">
        <v>1562</v>
      </c>
      <c r="D94" s="637" t="s">
        <v>1563</v>
      </c>
      <c r="E94" s="769" t="s">
        <v>1396</v>
      </c>
      <c r="F94" s="902" t="s">
        <v>1588</v>
      </c>
      <c r="G94" s="769" t="s">
        <v>1589</v>
      </c>
      <c r="H94" s="637" t="s">
        <v>1590</v>
      </c>
    </row>
    <row r="95" spans="2:8" x14ac:dyDescent="0.25">
      <c r="B95" s="637" t="b">
        <v>1</v>
      </c>
      <c r="C95" s="637" t="s">
        <v>1562</v>
      </c>
      <c r="D95" s="637" t="s">
        <v>1563</v>
      </c>
      <c r="E95" s="769" t="s">
        <v>1396</v>
      </c>
      <c r="F95" s="769" t="s">
        <v>1591</v>
      </c>
      <c r="G95" s="769" t="s">
        <v>1592</v>
      </c>
      <c r="H95" s="637" t="s">
        <v>1593</v>
      </c>
    </row>
    <row r="96" spans="2:8" ht="270" x14ac:dyDescent="0.25">
      <c r="B96" s="637" t="b">
        <v>1</v>
      </c>
      <c r="C96" s="637" t="s">
        <v>1562</v>
      </c>
      <c r="D96" s="637" t="s">
        <v>1563</v>
      </c>
      <c r="E96" s="769" t="s">
        <v>1396</v>
      </c>
      <c r="F96" s="902" t="s">
        <v>1594</v>
      </c>
      <c r="G96" s="769" t="s">
        <v>1595</v>
      </c>
      <c r="H96" s="637" t="s">
        <v>1596</v>
      </c>
    </row>
    <row r="97" spans="2:8" x14ac:dyDescent="0.25">
      <c r="B97" s="637" t="b">
        <v>1</v>
      </c>
      <c r="C97" s="637" t="s">
        <v>1562</v>
      </c>
      <c r="D97" s="637" t="s">
        <v>1563</v>
      </c>
      <c r="E97" s="769" t="s">
        <v>1396</v>
      </c>
      <c r="F97" s="769" t="s">
        <v>1597</v>
      </c>
      <c r="G97" s="769" t="s">
        <v>1598</v>
      </c>
      <c r="H97" s="637" t="s">
        <v>1599</v>
      </c>
    </row>
    <row r="98" spans="2:8" x14ac:dyDescent="0.25">
      <c r="B98" s="637" t="b">
        <v>1</v>
      </c>
      <c r="C98" s="637" t="s">
        <v>1562</v>
      </c>
      <c r="D98" s="637" t="s">
        <v>1563</v>
      </c>
      <c r="E98" s="769" t="s">
        <v>1396</v>
      </c>
      <c r="F98" s="769" t="s">
        <v>1600</v>
      </c>
      <c r="G98" s="769" t="s">
        <v>1601</v>
      </c>
      <c r="H98" s="637" t="s">
        <v>1602</v>
      </c>
    </row>
    <row r="99" spans="2:8" ht="210" x14ac:dyDescent="0.25">
      <c r="B99" s="637" t="b">
        <v>1</v>
      </c>
      <c r="C99" s="637" t="s">
        <v>1562</v>
      </c>
      <c r="D99" s="637" t="s">
        <v>1563</v>
      </c>
      <c r="E99" s="769" t="s">
        <v>1396</v>
      </c>
      <c r="F99" s="902" t="s">
        <v>1603</v>
      </c>
      <c r="G99" s="769" t="s">
        <v>1604</v>
      </c>
      <c r="H99" s="637" t="s">
        <v>1605</v>
      </c>
    </row>
    <row r="100" spans="2:8" ht="390" x14ac:dyDescent="0.25">
      <c r="B100" s="637" t="b">
        <v>1</v>
      </c>
      <c r="C100" s="637" t="s">
        <v>1562</v>
      </c>
      <c r="D100" s="637" t="s">
        <v>1563</v>
      </c>
      <c r="E100" s="769" t="s">
        <v>1396</v>
      </c>
      <c r="F100" s="902" t="s">
        <v>1606</v>
      </c>
      <c r="G100" s="769" t="s">
        <v>1607</v>
      </c>
      <c r="H100" s="637" t="s">
        <v>1608</v>
      </c>
    </row>
    <row r="101" spans="2:8" x14ac:dyDescent="0.25">
      <c r="B101" s="637" t="b">
        <v>1</v>
      </c>
      <c r="C101" s="637" t="s">
        <v>1562</v>
      </c>
      <c r="D101" s="637" t="s">
        <v>1563</v>
      </c>
      <c r="E101" s="769" t="s">
        <v>1396</v>
      </c>
      <c r="F101" s="769" t="s">
        <v>1609</v>
      </c>
      <c r="G101" s="769" t="s">
        <v>1610</v>
      </c>
      <c r="H101" s="637" t="s">
        <v>1611</v>
      </c>
    </row>
    <row r="102" spans="2:8" x14ac:dyDescent="0.25">
      <c r="B102" s="637" t="b">
        <v>1</v>
      </c>
      <c r="C102" s="637" t="s">
        <v>1612</v>
      </c>
      <c r="D102" s="637" t="s">
        <v>1613</v>
      </c>
      <c r="E102" s="769" t="s">
        <v>1376</v>
      </c>
      <c r="F102" s="769" t="s">
        <v>1614</v>
      </c>
      <c r="G102" s="769" t="s">
        <v>1615</v>
      </c>
      <c r="H102" s="637" t="s">
        <v>1616</v>
      </c>
    </row>
    <row r="103" spans="2:8" x14ac:dyDescent="0.25">
      <c r="B103" s="637" t="b">
        <v>1</v>
      </c>
      <c r="C103" s="637" t="s">
        <v>1612</v>
      </c>
      <c r="D103" s="637" t="s">
        <v>1613</v>
      </c>
      <c r="E103" s="769" t="s">
        <v>1376</v>
      </c>
      <c r="F103" s="769" t="s">
        <v>1617</v>
      </c>
      <c r="G103" s="769" t="s">
        <v>1618</v>
      </c>
      <c r="H103" s="637" t="s">
        <v>1619</v>
      </c>
    </row>
    <row r="104" spans="2:8" x14ac:dyDescent="0.25">
      <c r="B104" s="637" t="b">
        <v>1</v>
      </c>
      <c r="C104" s="637" t="s">
        <v>1612</v>
      </c>
      <c r="D104" s="637" t="s">
        <v>1613</v>
      </c>
      <c r="E104" s="769" t="s">
        <v>1376</v>
      </c>
      <c r="F104" s="769" t="s">
        <v>1620</v>
      </c>
      <c r="G104" s="769" t="s">
        <v>1621</v>
      </c>
      <c r="H104" s="637" t="s">
        <v>1622</v>
      </c>
    </row>
    <row r="105" spans="2:8" x14ac:dyDescent="0.25">
      <c r="B105" s="637" t="b">
        <v>1</v>
      </c>
      <c r="C105" s="637" t="s">
        <v>1612</v>
      </c>
      <c r="D105" s="637" t="s">
        <v>1613</v>
      </c>
      <c r="E105" s="769" t="s">
        <v>1376</v>
      </c>
      <c r="F105" s="769" t="s">
        <v>1623</v>
      </c>
      <c r="G105" s="769" t="s">
        <v>1624</v>
      </c>
      <c r="H105" s="637" t="s">
        <v>1625</v>
      </c>
    </row>
    <row r="106" spans="2:8" x14ac:dyDescent="0.25">
      <c r="B106" s="637" t="b">
        <v>1</v>
      </c>
      <c r="C106" s="637" t="s">
        <v>1612</v>
      </c>
      <c r="D106" s="637" t="s">
        <v>1613</v>
      </c>
      <c r="E106" s="769" t="s">
        <v>1376</v>
      </c>
      <c r="F106" s="769" t="s">
        <v>1626</v>
      </c>
      <c r="G106" s="769" t="s">
        <v>1627</v>
      </c>
      <c r="H106" s="637" t="s">
        <v>1628</v>
      </c>
    </row>
    <row r="107" spans="2:8" x14ac:dyDescent="0.25">
      <c r="B107" s="637" t="b">
        <v>1</v>
      </c>
      <c r="C107" s="637" t="s">
        <v>1612</v>
      </c>
      <c r="D107" s="637" t="s">
        <v>1613</v>
      </c>
      <c r="E107" s="769" t="s">
        <v>1376</v>
      </c>
      <c r="F107" s="769" t="s">
        <v>1629</v>
      </c>
      <c r="G107" s="769" t="s">
        <v>1630</v>
      </c>
      <c r="H107" s="637" t="s">
        <v>1631</v>
      </c>
    </row>
    <row r="108" spans="2:8" x14ac:dyDescent="0.25">
      <c r="B108" s="637" t="b">
        <v>1</v>
      </c>
      <c r="C108" s="637" t="s">
        <v>1612</v>
      </c>
      <c r="D108" s="637" t="s">
        <v>1613</v>
      </c>
      <c r="E108" s="769" t="s">
        <v>1376</v>
      </c>
      <c r="F108" s="769" t="s">
        <v>1632</v>
      </c>
      <c r="G108" s="769" t="s">
        <v>1633</v>
      </c>
      <c r="H108" s="637" t="s">
        <v>1634</v>
      </c>
    </row>
    <row r="109" spans="2:8" x14ac:dyDescent="0.25">
      <c r="B109" s="637" t="b">
        <v>1</v>
      </c>
      <c r="C109" s="637" t="s">
        <v>1612</v>
      </c>
      <c r="D109" s="637" t="s">
        <v>1613</v>
      </c>
      <c r="E109" s="769" t="s">
        <v>1376</v>
      </c>
      <c r="F109" s="769" t="s">
        <v>1635</v>
      </c>
      <c r="G109" s="769" t="s">
        <v>1636</v>
      </c>
      <c r="H109" s="637" t="s">
        <v>1637</v>
      </c>
    </row>
    <row r="110" spans="2:8" x14ac:dyDescent="0.25">
      <c r="B110" s="637" t="b">
        <v>1</v>
      </c>
      <c r="C110" s="637" t="s">
        <v>1612</v>
      </c>
      <c r="D110" s="637" t="s">
        <v>1613</v>
      </c>
      <c r="E110" s="769" t="s">
        <v>1376</v>
      </c>
      <c r="F110" s="769" t="s">
        <v>1638</v>
      </c>
      <c r="G110" s="769" t="s">
        <v>1639</v>
      </c>
      <c r="H110" s="637" t="s">
        <v>1640</v>
      </c>
    </row>
    <row r="111" spans="2:8" x14ac:dyDescent="0.25">
      <c r="B111" s="637" t="b">
        <v>1</v>
      </c>
      <c r="C111" s="637" t="s">
        <v>1612</v>
      </c>
      <c r="D111" s="637" t="s">
        <v>1613</v>
      </c>
      <c r="E111" s="769" t="s">
        <v>1376</v>
      </c>
      <c r="F111" s="769" t="s">
        <v>1641</v>
      </c>
      <c r="G111" s="769" t="s">
        <v>1642</v>
      </c>
      <c r="H111" s="637" t="s">
        <v>1643</v>
      </c>
    </row>
    <row r="112" spans="2:8" x14ac:dyDescent="0.25">
      <c r="B112" s="637" t="b">
        <v>1</v>
      </c>
      <c r="C112" s="637" t="s">
        <v>1612</v>
      </c>
      <c r="D112" s="637" t="s">
        <v>1613</v>
      </c>
      <c r="E112" s="769" t="s">
        <v>1376</v>
      </c>
      <c r="F112" s="769" t="s">
        <v>1644</v>
      </c>
      <c r="G112" s="769" t="s">
        <v>1645</v>
      </c>
      <c r="H112" s="637" t="s">
        <v>1646</v>
      </c>
    </row>
    <row r="113" spans="2:8" x14ac:dyDescent="0.25">
      <c r="B113" s="637" t="b">
        <v>1</v>
      </c>
      <c r="C113" s="637" t="s">
        <v>1612</v>
      </c>
      <c r="D113" s="637" t="s">
        <v>1613</v>
      </c>
      <c r="E113" s="769" t="s">
        <v>1376</v>
      </c>
      <c r="F113" s="769" t="s">
        <v>1647</v>
      </c>
      <c r="G113" s="769" t="s">
        <v>1648</v>
      </c>
      <c r="H113" s="637" t="s">
        <v>1649</v>
      </c>
    </row>
    <row r="114" spans="2:8" x14ac:dyDescent="0.25">
      <c r="B114" s="637" t="b">
        <v>1</v>
      </c>
      <c r="C114" s="637" t="s">
        <v>1612</v>
      </c>
      <c r="D114" s="637" t="s">
        <v>1613</v>
      </c>
      <c r="E114" s="769" t="s">
        <v>1376</v>
      </c>
      <c r="F114" s="769" t="s">
        <v>1650</v>
      </c>
      <c r="G114" s="769" t="s">
        <v>1651</v>
      </c>
      <c r="H114" s="637" t="s">
        <v>1652</v>
      </c>
    </row>
    <row r="115" spans="2:8" x14ac:dyDescent="0.25">
      <c r="B115" s="637" t="b">
        <v>1</v>
      </c>
      <c r="C115" s="637" t="s">
        <v>1612</v>
      </c>
      <c r="D115" s="637" t="s">
        <v>1613</v>
      </c>
      <c r="E115" s="769" t="s">
        <v>1376</v>
      </c>
      <c r="F115" s="769" t="s">
        <v>1653</v>
      </c>
      <c r="G115" s="769" t="s">
        <v>1654</v>
      </c>
      <c r="H115" s="637" t="s">
        <v>1655</v>
      </c>
    </row>
    <row r="116" spans="2:8" x14ac:dyDescent="0.25">
      <c r="B116" s="637" t="b">
        <v>1</v>
      </c>
      <c r="C116" s="637" t="s">
        <v>1612</v>
      </c>
      <c r="D116" s="637" t="s">
        <v>1613</v>
      </c>
      <c r="E116" s="769" t="s">
        <v>1376</v>
      </c>
      <c r="F116" s="769" t="s">
        <v>1656</v>
      </c>
      <c r="G116" s="769" t="s">
        <v>1657</v>
      </c>
      <c r="H116" s="637" t="s">
        <v>1658</v>
      </c>
    </row>
    <row r="117" spans="2:8" x14ac:dyDescent="0.25">
      <c r="B117" s="637" t="b">
        <v>1</v>
      </c>
      <c r="C117" s="637" t="s">
        <v>1612</v>
      </c>
      <c r="D117" s="637" t="s">
        <v>1613</v>
      </c>
      <c r="E117" s="769" t="s">
        <v>1376</v>
      </c>
      <c r="F117" s="769" t="s">
        <v>1659</v>
      </c>
      <c r="G117" s="769" t="s">
        <v>1660</v>
      </c>
      <c r="H117" s="637" t="s">
        <v>1661</v>
      </c>
    </row>
    <row r="118" spans="2:8" x14ac:dyDescent="0.25">
      <c r="B118" s="637" t="b">
        <v>1</v>
      </c>
      <c r="C118" s="637" t="s">
        <v>1662</v>
      </c>
      <c r="D118" s="637" t="s">
        <v>1663</v>
      </c>
      <c r="E118" s="769" t="s">
        <v>1386</v>
      </c>
      <c r="F118" s="769" t="s">
        <v>1664</v>
      </c>
      <c r="G118" s="769" t="s">
        <v>1665</v>
      </c>
      <c r="H118" s="637" t="s">
        <v>1666</v>
      </c>
    </row>
    <row r="119" spans="2:8" x14ac:dyDescent="0.25">
      <c r="B119" s="637" t="b">
        <v>1</v>
      </c>
      <c r="C119" s="637" t="s">
        <v>1662</v>
      </c>
      <c r="D119" s="637" t="s">
        <v>1663</v>
      </c>
      <c r="E119" s="769" t="s">
        <v>1386</v>
      </c>
      <c r="F119" s="769" t="s">
        <v>1667</v>
      </c>
      <c r="G119" s="769" t="s">
        <v>1668</v>
      </c>
      <c r="H119" s="637" t="s">
        <v>1669</v>
      </c>
    </row>
    <row r="120" spans="2:8" x14ac:dyDescent="0.25">
      <c r="B120" s="637" t="b">
        <v>1</v>
      </c>
      <c r="C120" s="637" t="s">
        <v>1662</v>
      </c>
      <c r="D120" s="637" t="s">
        <v>1663</v>
      </c>
      <c r="E120" s="769" t="s">
        <v>1386</v>
      </c>
      <c r="F120" s="769" t="s">
        <v>1670</v>
      </c>
      <c r="G120" s="769" t="s">
        <v>1671</v>
      </c>
      <c r="H120" s="637" t="s">
        <v>1672</v>
      </c>
    </row>
    <row r="121" spans="2:8" x14ac:dyDescent="0.25">
      <c r="B121" s="637" t="b">
        <v>1</v>
      </c>
      <c r="C121" s="637" t="s">
        <v>1662</v>
      </c>
      <c r="D121" s="637" t="s">
        <v>1663</v>
      </c>
      <c r="E121" s="769" t="s">
        <v>1386</v>
      </c>
      <c r="F121" s="769" t="s">
        <v>1673</v>
      </c>
      <c r="G121" s="769" t="s">
        <v>1674</v>
      </c>
      <c r="H121" s="637" t="s">
        <v>1675</v>
      </c>
    </row>
    <row r="122" spans="2:8" x14ac:dyDescent="0.25">
      <c r="B122" s="637" t="b">
        <v>1</v>
      </c>
      <c r="C122" s="637" t="s">
        <v>1662</v>
      </c>
      <c r="D122" s="637" t="s">
        <v>1663</v>
      </c>
      <c r="E122" s="769" t="s">
        <v>1386</v>
      </c>
      <c r="F122" s="769" t="s">
        <v>1676</v>
      </c>
      <c r="G122" s="769" t="s">
        <v>1677</v>
      </c>
      <c r="H122" s="637" t="s">
        <v>1678</v>
      </c>
    </row>
    <row r="123" spans="2:8" x14ac:dyDescent="0.25">
      <c r="B123" s="637" t="b">
        <v>1</v>
      </c>
      <c r="C123" s="637" t="s">
        <v>1662</v>
      </c>
      <c r="D123" s="637" t="s">
        <v>1663</v>
      </c>
      <c r="E123" s="769" t="s">
        <v>1386</v>
      </c>
      <c r="F123" s="769" t="s">
        <v>1679</v>
      </c>
      <c r="G123" s="769" t="s">
        <v>1680</v>
      </c>
      <c r="H123" s="637" t="s">
        <v>1681</v>
      </c>
    </row>
    <row r="124" spans="2:8" x14ac:dyDescent="0.25">
      <c r="B124" s="637" t="b">
        <v>1</v>
      </c>
      <c r="C124" s="637" t="s">
        <v>1662</v>
      </c>
      <c r="D124" s="637" t="s">
        <v>1663</v>
      </c>
      <c r="E124" s="769" t="s">
        <v>1386</v>
      </c>
      <c r="F124" s="769" t="s">
        <v>1682</v>
      </c>
      <c r="G124" s="769" t="s">
        <v>1683</v>
      </c>
      <c r="H124" s="637" t="s">
        <v>1684</v>
      </c>
    </row>
    <row r="125" spans="2:8" x14ac:dyDescent="0.25">
      <c r="B125" s="637" t="b">
        <v>1</v>
      </c>
      <c r="C125" s="637" t="s">
        <v>1662</v>
      </c>
      <c r="D125" s="637" t="s">
        <v>1663</v>
      </c>
      <c r="E125" s="769" t="s">
        <v>1386</v>
      </c>
      <c r="F125" s="769" t="s">
        <v>1685</v>
      </c>
      <c r="G125" s="769" t="s">
        <v>1686</v>
      </c>
      <c r="H125" s="637" t="s">
        <v>1687</v>
      </c>
    </row>
    <row r="126" spans="2:8" x14ac:dyDescent="0.25">
      <c r="B126" s="637" t="b">
        <v>1</v>
      </c>
      <c r="C126" s="637" t="s">
        <v>1662</v>
      </c>
      <c r="D126" s="637" t="s">
        <v>1663</v>
      </c>
      <c r="E126" s="769" t="s">
        <v>1386</v>
      </c>
      <c r="F126" s="769" t="s">
        <v>1688</v>
      </c>
      <c r="G126" s="769" t="s">
        <v>1689</v>
      </c>
      <c r="H126" s="637" t="s">
        <v>1690</v>
      </c>
    </row>
    <row r="127" spans="2:8" x14ac:dyDescent="0.25">
      <c r="B127" s="637" t="b">
        <v>1</v>
      </c>
      <c r="C127" s="637" t="s">
        <v>1662</v>
      </c>
      <c r="D127" s="637" t="s">
        <v>1663</v>
      </c>
      <c r="E127" s="769" t="s">
        <v>1386</v>
      </c>
      <c r="F127" s="769" t="s">
        <v>1691</v>
      </c>
      <c r="G127" s="769" t="s">
        <v>1692</v>
      </c>
      <c r="H127" s="637" t="s">
        <v>1693</v>
      </c>
    </row>
    <row r="128" spans="2:8" x14ac:dyDescent="0.25">
      <c r="B128" s="637" t="b">
        <v>1</v>
      </c>
      <c r="C128" s="637" t="s">
        <v>1662</v>
      </c>
      <c r="D128" s="637" t="s">
        <v>1663</v>
      </c>
      <c r="E128" s="769" t="s">
        <v>1386</v>
      </c>
      <c r="F128" s="769" t="s">
        <v>1694</v>
      </c>
      <c r="G128" s="769" t="s">
        <v>1695</v>
      </c>
      <c r="H128" s="637" t="s">
        <v>1696</v>
      </c>
    </row>
    <row r="129" spans="2:8" x14ac:dyDescent="0.25">
      <c r="B129" s="637" t="b">
        <v>1</v>
      </c>
      <c r="C129" s="637" t="s">
        <v>1662</v>
      </c>
      <c r="D129" s="637" t="s">
        <v>1663</v>
      </c>
      <c r="E129" s="769" t="s">
        <v>1386</v>
      </c>
      <c r="F129" s="769" t="s">
        <v>1697</v>
      </c>
      <c r="G129" s="769" t="s">
        <v>1698</v>
      </c>
      <c r="H129" s="637" t="s">
        <v>1699</v>
      </c>
    </row>
    <row r="130" spans="2:8" ht="135" x14ac:dyDescent="0.25">
      <c r="B130" s="637" t="b">
        <v>1</v>
      </c>
      <c r="C130" s="637" t="s">
        <v>1662</v>
      </c>
      <c r="D130" s="637" t="s">
        <v>1663</v>
      </c>
      <c r="E130" s="769" t="s">
        <v>1386</v>
      </c>
      <c r="F130" s="902" t="s">
        <v>1700</v>
      </c>
      <c r="G130" s="769" t="s">
        <v>1701</v>
      </c>
      <c r="H130" s="637" t="s">
        <v>1702</v>
      </c>
    </row>
    <row r="131" spans="2:8" x14ac:dyDescent="0.25">
      <c r="B131" s="637" t="b">
        <v>1</v>
      </c>
      <c r="C131" s="637" t="s">
        <v>1662</v>
      </c>
      <c r="D131" s="637" t="s">
        <v>1663</v>
      </c>
      <c r="E131" s="769" t="s">
        <v>1386</v>
      </c>
      <c r="F131" s="769" t="s">
        <v>1703</v>
      </c>
      <c r="G131" s="769" t="s">
        <v>1704</v>
      </c>
      <c r="H131" s="637" t="s">
        <v>1705</v>
      </c>
    </row>
    <row r="132" spans="2:8" x14ac:dyDescent="0.25">
      <c r="B132" s="637" t="b">
        <v>1</v>
      </c>
      <c r="C132" s="637" t="s">
        <v>1662</v>
      </c>
      <c r="D132" s="637" t="s">
        <v>1663</v>
      </c>
      <c r="E132" s="769" t="s">
        <v>1386</v>
      </c>
      <c r="F132" s="769" t="s">
        <v>1706</v>
      </c>
      <c r="G132" s="769" t="s">
        <v>1707</v>
      </c>
      <c r="H132" s="637" t="s">
        <v>1708</v>
      </c>
    </row>
    <row r="133" spans="2:8" x14ac:dyDescent="0.25">
      <c r="B133" s="637" t="b">
        <v>1</v>
      </c>
      <c r="C133" s="637" t="s">
        <v>1662</v>
      </c>
      <c r="D133" s="637" t="s">
        <v>1663</v>
      </c>
      <c r="E133" s="769" t="s">
        <v>1386</v>
      </c>
      <c r="F133" s="769" t="s">
        <v>1709</v>
      </c>
      <c r="G133" s="769" t="s">
        <v>1710</v>
      </c>
      <c r="H133" s="637" t="s">
        <v>1711</v>
      </c>
    </row>
    <row r="134" spans="2:8" x14ac:dyDescent="0.25">
      <c r="B134" s="637" t="b">
        <v>1</v>
      </c>
      <c r="C134" s="637" t="s">
        <v>1662</v>
      </c>
      <c r="D134" s="637" t="s">
        <v>1663</v>
      </c>
      <c r="E134" s="769" t="s">
        <v>1386</v>
      </c>
      <c r="F134" s="769" t="s">
        <v>1712</v>
      </c>
      <c r="G134" s="769" t="s">
        <v>1713</v>
      </c>
      <c r="H134" s="637" t="s">
        <v>1714</v>
      </c>
    </row>
    <row r="135" spans="2:8" x14ac:dyDescent="0.25">
      <c r="B135" s="637" t="b">
        <v>1</v>
      </c>
      <c r="C135" s="637" t="s">
        <v>1662</v>
      </c>
      <c r="D135" s="637" t="s">
        <v>1663</v>
      </c>
      <c r="E135" s="769" t="s">
        <v>1386</v>
      </c>
      <c r="F135" s="769" t="s">
        <v>1715</v>
      </c>
      <c r="G135" s="769" t="s">
        <v>1716</v>
      </c>
      <c r="H135" s="637" t="s">
        <v>1717</v>
      </c>
    </row>
    <row r="136" spans="2:8" x14ac:dyDescent="0.25">
      <c r="B136" s="637" t="b">
        <v>1</v>
      </c>
      <c r="C136" s="637" t="s">
        <v>1662</v>
      </c>
      <c r="D136" s="637" t="s">
        <v>1663</v>
      </c>
      <c r="E136" s="769" t="s">
        <v>1386</v>
      </c>
      <c r="F136" s="769" t="s">
        <v>1718</v>
      </c>
      <c r="G136" s="769" t="s">
        <v>1719</v>
      </c>
      <c r="H136" s="637" t="s">
        <v>1720</v>
      </c>
    </row>
    <row r="137" spans="2:8" x14ac:dyDescent="0.25">
      <c r="B137" s="637" t="b">
        <v>1</v>
      </c>
      <c r="C137" s="637" t="s">
        <v>1721</v>
      </c>
      <c r="D137" s="637" t="s">
        <v>1722</v>
      </c>
      <c r="E137" s="769" t="s">
        <v>1408</v>
      </c>
      <c r="F137" s="769" t="s">
        <v>1723</v>
      </c>
      <c r="G137" s="769" t="s">
        <v>1724</v>
      </c>
      <c r="H137" s="637" t="s">
        <v>1725</v>
      </c>
    </row>
    <row r="138" spans="2:8" x14ac:dyDescent="0.25">
      <c r="B138" s="637" t="b">
        <v>1</v>
      </c>
      <c r="C138" s="637" t="s">
        <v>1721</v>
      </c>
      <c r="D138" s="637" t="s">
        <v>1722</v>
      </c>
      <c r="E138" s="769" t="s">
        <v>1408</v>
      </c>
      <c r="F138" s="769" t="s">
        <v>1726</v>
      </c>
      <c r="G138" s="769" t="s">
        <v>1727</v>
      </c>
      <c r="H138" s="637" t="s">
        <v>1728</v>
      </c>
    </row>
    <row r="139" spans="2:8" x14ac:dyDescent="0.25">
      <c r="B139" s="637" t="b">
        <v>1</v>
      </c>
      <c r="C139" s="637" t="s">
        <v>1721</v>
      </c>
      <c r="D139" s="637" t="s">
        <v>1722</v>
      </c>
      <c r="E139" s="769" t="s">
        <v>1408</v>
      </c>
      <c r="F139" s="769" t="s">
        <v>1729</v>
      </c>
      <c r="G139" s="769" t="s">
        <v>1730</v>
      </c>
      <c r="H139" s="637" t="s">
        <v>1731</v>
      </c>
    </row>
    <row r="140" spans="2:8" x14ac:dyDescent="0.25">
      <c r="B140" s="637" t="b">
        <v>1</v>
      </c>
      <c r="C140" s="637" t="s">
        <v>1721</v>
      </c>
      <c r="D140" s="637" t="s">
        <v>1722</v>
      </c>
      <c r="E140" s="769" t="s">
        <v>1408</v>
      </c>
      <c r="F140" s="769" t="s">
        <v>1732</v>
      </c>
      <c r="G140" s="769" t="s">
        <v>1733</v>
      </c>
      <c r="H140" s="637" t="s">
        <v>1734</v>
      </c>
    </row>
    <row r="141" spans="2:8" x14ac:dyDescent="0.25">
      <c r="B141" s="637" t="b">
        <v>1</v>
      </c>
      <c r="C141" s="637" t="s">
        <v>1721</v>
      </c>
      <c r="D141" s="637" t="s">
        <v>1722</v>
      </c>
      <c r="E141" s="769" t="s">
        <v>1408</v>
      </c>
      <c r="F141" s="769" t="s">
        <v>1735</v>
      </c>
      <c r="G141" s="769" t="s">
        <v>1736</v>
      </c>
      <c r="H141" s="637" t="s">
        <v>1737</v>
      </c>
    </row>
    <row r="142" spans="2:8" x14ac:dyDescent="0.25">
      <c r="B142" s="637" t="b">
        <v>1</v>
      </c>
      <c r="C142" s="637" t="s">
        <v>1721</v>
      </c>
      <c r="D142" s="637" t="s">
        <v>1722</v>
      </c>
      <c r="E142" s="769" t="s">
        <v>1408</v>
      </c>
      <c r="F142" s="769" t="s">
        <v>1738</v>
      </c>
      <c r="G142" s="769" t="s">
        <v>1739</v>
      </c>
      <c r="H142" s="637" t="s">
        <v>1740</v>
      </c>
    </row>
    <row r="143" spans="2:8" x14ac:dyDescent="0.25">
      <c r="B143" s="637" t="b">
        <v>1</v>
      </c>
      <c r="C143" s="637" t="s">
        <v>1741</v>
      </c>
      <c r="D143" s="637" t="s">
        <v>1742</v>
      </c>
      <c r="E143" s="769" t="s">
        <v>1388</v>
      </c>
      <c r="F143" s="769" t="s">
        <v>1743</v>
      </c>
      <c r="G143" s="769" t="s">
        <v>1744</v>
      </c>
      <c r="H143" s="637" t="s">
        <v>1745</v>
      </c>
    </row>
    <row r="144" spans="2:8" x14ac:dyDescent="0.25">
      <c r="B144" s="637" t="b">
        <v>1</v>
      </c>
      <c r="C144" s="637" t="s">
        <v>1741</v>
      </c>
      <c r="D144" s="637" t="s">
        <v>1742</v>
      </c>
      <c r="E144" s="769" t="s">
        <v>1388</v>
      </c>
      <c r="F144" s="769" t="s">
        <v>1746</v>
      </c>
      <c r="G144" s="769" t="s">
        <v>1747</v>
      </c>
      <c r="H144" s="637" t="s">
        <v>1748</v>
      </c>
    </row>
    <row r="145" spans="2:8" x14ac:dyDescent="0.25">
      <c r="B145" s="637" t="b">
        <v>1</v>
      </c>
      <c r="C145" s="637" t="s">
        <v>1741</v>
      </c>
      <c r="D145" s="637" t="s">
        <v>1742</v>
      </c>
      <c r="E145" s="769" t="s">
        <v>1388</v>
      </c>
      <c r="F145" s="769" t="s">
        <v>1749</v>
      </c>
      <c r="G145" s="769" t="s">
        <v>1750</v>
      </c>
      <c r="H145" s="637" t="s">
        <v>1751</v>
      </c>
    </row>
    <row r="146" spans="2:8" x14ac:dyDescent="0.25">
      <c r="B146" s="637" t="b">
        <v>1</v>
      </c>
      <c r="C146" s="637" t="s">
        <v>1741</v>
      </c>
      <c r="D146" s="637" t="s">
        <v>1742</v>
      </c>
      <c r="E146" s="769" t="s">
        <v>1388</v>
      </c>
      <c r="F146" s="769" t="s">
        <v>1752</v>
      </c>
      <c r="G146" s="769" t="s">
        <v>1753</v>
      </c>
      <c r="H146" s="637" t="s">
        <v>1754</v>
      </c>
    </row>
    <row r="147" spans="2:8" x14ac:dyDescent="0.25">
      <c r="B147" s="637" t="b">
        <v>1</v>
      </c>
      <c r="C147" s="637" t="s">
        <v>1741</v>
      </c>
      <c r="D147" s="637" t="s">
        <v>1742</v>
      </c>
      <c r="E147" s="769" t="s">
        <v>1388</v>
      </c>
      <c r="F147" s="769" t="s">
        <v>1755</v>
      </c>
      <c r="G147" s="769" t="s">
        <v>1756</v>
      </c>
      <c r="H147" s="637" t="s">
        <v>1757</v>
      </c>
    </row>
    <row r="148" spans="2:8" x14ac:dyDescent="0.25">
      <c r="B148" s="637" t="b">
        <v>1</v>
      </c>
      <c r="C148" s="637" t="s">
        <v>1741</v>
      </c>
      <c r="D148" s="637" t="s">
        <v>1742</v>
      </c>
      <c r="E148" s="769" t="s">
        <v>1388</v>
      </c>
      <c r="F148" s="769" t="s">
        <v>1758</v>
      </c>
      <c r="G148" s="769" t="s">
        <v>1759</v>
      </c>
      <c r="H148" s="637" t="s">
        <v>1760</v>
      </c>
    </row>
    <row r="149" spans="2:8" x14ac:dyDescent="0.25">
      <c r="B149" s="637" t="b">
        <v>1</v>
      </c>
      <c r="C149" s="637" t="s">
        <v>1741</v>
      </c>
      <c r="D149" s="637" t="s">
        <v>1742</v>
      </c>
      <c r="E149" s="769" t="s">
        <v>1388</v>
      </c>
      <c r="F149" s="769" t="s">
        <v>1761</v>
      </c>
      <c r="G149" s="769" t="s">
        <v>1762</v>
      </c>
      <c r="H149" s="637" t="s">
        <v>1763</v>
      </c>
    </row>
    <row r="150" spans="2:8" x14ac:dyDescent="0.25">
      <c r="B150" s="637" t="b">
        <v>1</v>
      </c>
      <c r="C150" s="637" t="s">
        <v>1741</v>
      </c>
      <c r="D150" s="637" t="s">
        <v>1742</v>
      </c>
      <c r="E150" s="769" t="s">
        <v>1388</v>
      </c>
      <c r="F150" s="769" t="s">
        <v>1764</v>
      </c>
      <c r="G150" s="769" t="s">
        <v>1765</v>
      </c>
      <c r="H150" s="637" t="s">
        <v>1766</v>
      </c>
    </row>
    <row r="151" spans="2:8" x14ac:dyDescent="0.25">
      <c r="B151" s="637" t="b">
        <v>1</v>
      </c>
      <c r="C151" s="637" t="s">
        <v>1741</v>
      </c>
      <c r="D151" s="637" t="s">
        <v>1742</v>
      </c>
      <c r="E151" s="769" t="s">
        <v>1388</v>
      </c>
      <c r="F151" s="769" t="s">
        <v>1767</v>
      </c>
      <c r="G151" s="769" t="s">
        <v>1768</v>
      </c>
      <c r="H151" s="637" t="s">
        <v>1769</v>
      </c>
    </row>
    <row r="152" spans="2:8" x14ac:dyDescent="0.25">
      <c r="B152" s="637" t="b">
        <v>1</v>
      </c>
      <c r="C152" s="637" t="s">
        <v>1741</v>
      </c>
      <c r="D152" s="637" t="s">
        <v>1742</v>
      </c>
      <c r="E152" s="769" t="s">
        <v>1388</v>
      </c>
      <c r="F152" s="769" t="s">
        <v>1770</v>
      </c>
      <c r="G152" s="769" t="s">
        <v>1771</v>
      </c>
      <c r="H152" s="637" t="s">
        <v>1772</v>
      </c>
    </row>
    <row r="153" spans="2:8" x14ac:dyDescent="0.25">
      <c r="B153" s="637" t="b">
        <v>1</v>
      </c>
      <c r="C153" s="637" t="s">
        <v>1741</v>
      </c>
      <c r="D153" s="637" t="s">
        <v>1742</v>
      </c>
      <c r="E153" s="769" t="s">
        <v>1388</v>
      </c>
      <c r="F153" s="769" t="s">
        <v>1773</v>
      </c>
      <c r="G153" s="769" t="s">
        <v>1774</v>
      </c>
      <c r="H153" s="637" t="s">
        <v>1775</v>
      </c>
    </row>
    <row r="154" spans="2:8" x14ac:dyDescent="0.25">
      <c r="B154" s="637" t="b">
        <v>1</v>
      </c>
      <c r="C154" s="637" t="s">
        <v>1741</v>
      </c>
      <c r="D154" s="637" t="s">
        <v>1742</v>
      </c>
      <c r="E154" s="769" t="s">
        <v>1388</v>
      </c>
      <c r="F154" s="769" t="s">
        <v>1776</v>
      </c>
      <c r="G154" s="769" t="s">
        <v>1777</v>
      </c>
      <c r="H154" s="637" t="s">
        <v>1778</v>
      </c>
    </row>
    <row r="155" spans="2:8" x14ac:dyDescent="0.25">
      <c r="B155" s="637" t="b">
        <v>1</v>
      </c>
      <c r="C155" s="637" t="s">
        <v>1741</v>
      </c>
      <c r="D155" s="637" t="s">
        <v>1742</v>
      </c>
      <c r="E155" s="769" t="s">
        <v>1388</v>
      </c>
      <c r="F155" s="769" t="s">
        <v>1779</v>
      </c>
      <c r="G155" s="769" t="s">
        <v>1780</v>
      </c>
      <c r="H155" s="637" t="s">
        <v>1781</v>
      </c>
    </row>
    <row r="156" spans="2:8" x14ac:dyDescent="0.25">
      <c r="B156" s="637" t="b">
        <v>1</v>
      </c>
      <c r="C156" s="637" t="s">
        <v>1741</v>
      </c>
      <c r="D156" s="637" t="s">
        <v>1742</v>
      </c>
      <c r="E156" s="769" t="s">
        <v>1388</v>
      </c>
      <c r="F156" s="769" t="s">
        <v>1782</v>
      </c>
      <c r="G156" s="769" t="s">
        <v>1783</v>
      </c>
      <c r="H156" s="637" t="s">
        <v>1784</v>
      </c>
    </row>
    <row r="157" spans="2:8" x14ac:dyDescent="0.25">
      <c r="B157" s="637" t="b">
        <v>1</v>
      </c>
      <c r="C157" s="637" t="s">
        <v>1741</v>
      </c>
      <c r="D157" s="637" t="s">
        <v>1742</v>
      </c>
      <c r="E157" s="769" t="s">
        <v>1388</v>
      </c>
      <c r="F157" s="769" t="s">
        <v>1785</v>
      </c>
      <c r="G157" s="769" t="s">
        <v>1786</v>
      </c>
      <c r="H157" s="637" t="s">
        <v>1787</v>
      </c>
    </row>
    <row r="158" spans="2:8" x14ac:dyDescent="0.25">
      <c r="B158" s="637" t="b">
        <v>1</v>
      </c>
      <c r="C158" s="637" t="s">
        <v>1741</v>
      </c>
      <c r="D158" s="637" t="s">
        <v>1742</v>
      </c>
      <c r="E158" s="769" t="s">
        <v>1388</v>
      </c>
      <c r="F158" s="769" t="s">
        <v>1788</v>
      </c>
      <c r="G158" s="769" t="s">
        <v>1789</v>
      </c>
      <c r="H158" s="637" t="s">
        <v>1790</v>
      </c>
    </row>
    <row r="159" spans="2:8" x14ac:dyDescent="0.25">
      <c r="B159" s="637" t="b">
        <v>1</v>
      </c>
      <c r="C159" s="637" t="s">
        <v>1741</v>
      </c>
      <c r="D159" s="637" t="s">
        <v>1742</v>
      </c>
      <c r="E159" s="769" t="s">
        <v>1388</v>
      </c>
      <c r="F159" s="769" t="s">
        <v>1791</v>
      </c>
      <c r="G159" s="769" t="s">
        <v>1792</v>
      </c>
      <c r="H159" s="637" t="s">
        <v>1793</v>
      </c>
    </row>
    <row r="160" spans="2:8" x14ac:dyDescent="0.25">
      <c r="B160" s="637" t="b">
        <v>1</v>
      </c>
      <c r="C160" s="637" t="s">
        <v>1741</v>
      </c>
      <c r="D160" s="637" t="s">
        <v>1742</v>
      </c>
      <c r="E160" s="769" t="s">
        <v>1388</v>
      </c>
      <c r="F160" s="769" t="s">
        <v>1794</v>
      </c>
      <c r="G160" s="769" t="s">
        <v>1795</v>
      </c>
      <c r="H160" s="637" t="s">
        <v>1796</v>
      </c>
    </row>
    <row r="161" spans="2:8" x14ac:dyDescent="0.25">
      <c r="B161" s="637" t="b">
        <v>1</v>
      </c>
      <c r="C161" s="637" t="s">
        <v>1741</v>
      </c>
      <c r="D161" s="637" t="s">
        <v>1742</v>
      </c>
      <c r="E161" s="769" t="s">
        <v>1388</v>
      </c>
      <c r="F161" s="769" t="s">
        <v>1797</v>
      </c>
      <c r="G161" s="769" t="s">
        <v>1798</v>
      </c>
      <c r="H161" s="637" t="s">
        <v>1799</v>
      </c>
    </row>
    <row r="162" spans="2:8" x14ac:dyDescent="0.25">
      <c r="B162" s="637" t="b">
        <v>1</v>
      </c>
      <c r="C162" s="637" t="s">
        <v>1741</v>
      </c>
      <c r="D162" s="637" t="s">
        <v>1742</v>
      </c>
      <c r="E162" s="769" t="s">
        <v>1388</v>
      </c>
      <c r="F162" s="769" t="s">
        <v>1800</v>
      </c>
      <c r="G162" s="769" t="s">
        <v>1801</v>
      </c>
      <c r="H162" s="637" t="s">
        <v>1802</v>
      </c>
    </row>
    <row r="163" spans="2:8" x14ac:dyDescent="0.25">
      <c r="B163" s="637" t="b">
        <v>1</v>
      </c>
      <c r="C163" s="637" t="s">
        <v>1741</v>
      </c>
      <c r="D163" s="637" t="s">
        <v>1742</v>
      </c>
      <c r="E163" s="769" t="s">
        <v>1388</v>
      </c>
      <c r="F163" s="769" t="s">
        <v>1803</v>
      </c>
      <c r="G163" s="769" t="s">
        <v>1804</v>
      </c>
      <c r="H163" s="637" t="s">
        <v>1805</v>
      </c>
    </row>
    <row r="164" spans="2:8" x14ac:dyDescent="0.25">
      <c r="B164" s="637" t="b">
        <v>1</v>
      </c>
      <c r="C164" s="637" t="s">
        <v>1741</v>
      </c>
      <c r="D164" s="637" t="s">
        <v>1742</v>
      </c>
      <c r="E164" s="769" t="s">
        <v>1388</v>
      </c>
      <c r="F164" s="769" t="s">
        <v>1806</v>
      </c>
      <c r="G164" s="769" t="s">
        <v>1807</v>
      </c>
      <c r="H164" s="637" t="s">
        <v>1808</v>
      </c>
    </row>
    <row r="165" spans="2:8" x14ac:dyDescent="0.25">
      <c r="B165" s="637" t="b">
        <v>1</v>
      </c>
      <c r="C165" s="637" t="s">
        <v>1741</v>
      </c>
      <c r="D165" s="637" t="s">
        <v>1742</v>
      </c>
      <c r="E165" s="769" t="s">
        <v>1388</v>
      </c>
      <c r="F165" s="769" t="s">
        <v>1809</v>
      </c>
      <c r="G165" s="769" t="s">
        <v>1810</v>
      </c>
      <c r="H165" s="637" t="s">
        <v>1811</v>
      </c>
    </row>
    <row r="166" spans="2:8" x14ac:dyDescent="0.25">
      <c r="B166" s="637" t="b">
        <v>1</v>
      </c>
      <c r="C166" s="637" t="s">
        <v>1741</v>
      </c>
      <c r="D166" s="637" t="s">
        <v>1742</v>
      </c>
      <c r="E166" s="769" t="s">
        <v>1388</v>
      </c>
      <c r="F166" s="769" t="s">
        <v>1812</v>
      </c>
      <c r="G166" s="769" t="s">
        <v>1813</v>
      </c>
      <c r="H166" s="637" t="s">
        <v>1814</v>
      </c>
    </row>
    <row r="167" spans="2:8" x14ac:dyDescent="0.25">
      <c r="B167" s="637" t="b">
        <v>1</v>
      </c>
      <c r="C167" s="637" t="s">
        <v>1741</v>
      </c>
      <c r="D167" s="637" t="s">
        <v>1742</v>
      </c>
      <c r="E167" s="769" t="s">
        <v>1388</v>
      </c>
      <c r="F167" s="769" t="s">
        <v>1815</v>
      </c>
      <c r="G167" s="769" t="s">
        <v>1816</v>
      </c>
      <c r="H167" s="637" t="s">
        <v>1817</v>
      </c>
    </row>
    <row r="168" spans="2:8" x14ac:dyDescent="0.25">
      <c r="B168" s="637" t="b">
        <v>1</v>
      </c>
      <c r="C168" s="637" t="s">
        <v>1818</v>
      </c>
      <c r="D168" s="637" t="s">
        <v>1819</v>
      </c>
      <c r="E168" s="769" t="s">
        <v>1410</v>
      </c>
      <c r="F168" s="769" t="s">
        <v>1820</v>
      </c>
      <c r="G168" s="769" t="s">
        <v>1821</v>
      </c>
      <c r="H168" s="637" t="s">
        <v>1822</v>
      </c>
    </row>
    <row r="169" spans="2:8" x14ac:dyDescent="0.25">
      <c r="B169" s="637" t="b">
        <v>1</v>
      </c>
      <c r="C169" s="637" t="s">
        <v>1818</v>
      </c>
      <c r="D169" s="637" t="s">
        <v>1819</v>
      </c>
      <c r="E169" s="769" t="s">
        <v>1410</v>
      </c>
      <c r="F169" s="769" t="s">
        <v>1823</v>
      </c>
      <c r="G169" s="769" t="s">
        <v>1824</v>
      </c>
      <c r="H169" s="637" t="s">
        <v>1825</v>
      </c>
    </row>
    <row r="170" spans="2:8" x14ac:dyDescent="0.25">
      <c r="B170" s="637" t="b">
        <v>1</v>
      </c>
      <c r="C170" s="637" t="s">
        <v>1818</v>
      </c>
      <c r="D170" s="637" t="s">
        <v>1819</v>
      </c>
      <c r="E170" s="769" t="s">
        <v>1410</v>
      </c>
      <c r="F170" s="769" t="s">
        <v>1826</v>
      </c>
      <c r="G170" s="769" t="s">
        <v>1827</v>
      </c>
      <c r="H170" s="637" t="s">
        <v>1828</v>
      </c>
    </row>
    <row r="171" spans="2:8" x14ac:dyDescent="0.25">
      <c r="B171" s="637" t="b">
        <v>1</v>
      </c>
      <c r="C171" s="637" t="s">
        <v>1818</v>
      </c>
      <c r="D171" s="637" t="s">
        <v>1819</v>
      </c>
      <c r="E171" s="769" t="s">
        <v>1410</v>
      </c>
      <c r="F171" s="769" t="s">
        <v>1829</v>
      </c>
      <c r="G171" s="769" t="s">
        <v>1830</v>
      </c>
      <c r="H171" s="637" t="s">
        <v>1831</v>
      </c>
    </row>
    <row r="172" spans="2:8" x14ac:dyDescent="0.25">
      <c r="B172" s="637" t="b">
        <v>1</v>
      </c>
      <c r="C172" s="637" t="s">
        <v>1818</v>
      </c>
      <c r="D172" s="637" t="s">
        <v>1819</v>
      </c>
      <c r="E172" s="769" t="s">
        <v>1410</v>
      </c>
      <c r="F172" s="769" t="s">
        <v>1832</v>
      </c>
      <c r="G172" s="769" t="s">
        <v>1833</v>
      </c>
      <c r="H172" s="637" t="s">
        <v>1834</v>
      </c>
    </row>
    <row r="173" spans="2:8" x14ac:dyDescent="0.25">
      <c r="B173" s="637" t="b">
        <v>1</v>
      </c>
      <c r="C173" s="637" t="s">
        <v>1818</v>
      </c>
      <c r="D173" s="637" t="s">
        <v>1819</v>
      </c>
      <c r="E173" s="769" t="s">
        <v>1410</v>
      </c>
      <c r="F173" s="769" t="s">
        <v>1835</v>
      </c>
      <c r="G173" s="769" t="s">
        <v>1836</v>
      </c>
      <c r="H173" s="637" t="s">
        <v>1837</v>
      </c>
    </row>
    <row r="174" spans="2:8" x14ac:dyDescent="0.25">
      <c r="B174" s="637" t="b">
        <v>1</v>
      </c>
      <c r="C174" s="637" t="s">
        <v>1818</v>
      </c>
      <c r="D174" s="637" t="s">
        <v>1819</v>
      </c>
      <c r="E174" s="769" t="s">
        <v>1410</v>
      </c>
      <c r="F174" s="769" t="s">
        <v>1838</v>
      </c>
      <c r="G174" s="769" t="s">
        <v>1839</v>
      </c>
      <c r="H174" s="637" t="s">
        <v>1840</v>
      </c>
    </row>
    <row r="175" spans="2:8" x14ac:dyDescent="0.25">
      <c r="B175" s="637" t="b">
        <v>1</v>
      </c>
      <c r="C175" s="637" t="s">
        <v>1818</v>
      </c>
      <c r="D175" s="637" t="s">
        <v>1819</v>
      </c>
      <c r="E175" s="769" t="s">
        <v>1410</v>
      </c>
      <c r="F175" s="769" t="s">
        <v>1841</v>
      </c>
      <c r="G175" s="769" t="s">
        <v>1842</v>
      </c>
      <c r="H175" s="637" t="s">
        <v>1843</v>
      </c>
    </row>
    <row r="176" spans="2:8" x14ac:dyDescent="0.25">
      <c r="B176" s="637" t="b">
        <v>1</v>
      </c>
      <c r="C176" s="637" t="s">
        <v>1818</v>
      </c>
      <c r="D176" s="637" t="s">
        <v>1819</v>
      </c>
      <c r="E176" s="769" t="s">
        <v>1410</v>
      </c>
      <c r="F176" s="769" t="s">
        <v>1844</v>
      </c>
      <c r="G176" s="769" t="s">
        <v>1845</v>
      </c>
      <c r="H176" s="637" t="s">
        <v>1846</v>
      </c>
    </row>
    <row r="177" spans="2:8" x14ac:dyDescent="0.25">
      <c r="B177" s="637" t="b">
        <v>1</v>
      </c>
      <c r="C177" s="637" t="s">
        <v>1818</v>
      </c>
      <c r="D177" s="637" t="s">
        <v>1819</v>
      </c>
      <c r="E177" s="769" t="s">
        <v>1410</v>
      </c>
      <c r="F177" s="769" t="s">
        <v>1847</v>
      </c>
      <c r="G177" s="769" t="s">
        <v>1848</v>
      </c>
      <c r="H177" s="637" t="s">
        <v>1849</v>
      </c>
    </row>
    <row r="178" spans="2:8" x14ac:dyDescent="0.25">
      <c r="B178" s="637" t="b">
        <v>1</v>
      </c>
      <c r="C178" s="637" t="s">
        <v>1850</v>
      </c>
      <c r="D178" s="637" t="s">
        <v>1851</v>
      </c>
      <c r="E178" s="769" t="s">
        <v>1414</v>
      </c>
      <c r="F178" s="769" t="s">
        <v>1852</v>
      </c>
      <c r="G178" s="769" t="s">
        <v>1853</v>
      </c>
      <c r="H178" s="637" t="s">
        <v>1854</v>
      </c>
    </row>
    <row r="179" spans="2:8" x14ac:dyDescent="0.25">
      <c r="B179" s="637" t="b">
        <v>1</v>
      </c>
      <c r="C179" s="637" t="s">
        <v>1850</v>
      </c>
      <c r="D179" s="637" t="s">
        <v>1851</v>
      </c>
      <c r="E179" s="769" t="s">
        <v>1414</v>
      </c>
      <c r="F179" s="769" t="s">
        <v>1855</v>
      </c>
      <c r="G179" s="769" t="s">
        <v>1856</v>
      </c>
      <c r="H179" s="637" t="s">
        <v>1857</v>
      </c>
    </row>
    <row r="180" spans="2:8" x14ac:dyDescent="0.25">
      <c r="B180" s="637" t="b">
        <v>1</v>
      </c>
      <c r="C180" s="637" t="s">
        <v>1850</v>
      </c>
      <c r="D180" s="637" t="s">
        <v>1851</v>
      </c>
      <c r="E180" s="769" t="s">
        <v>1414</v>
      </c>
      <c r="F180" s="769" t="s">
        <v>1858</v>
      </c>
      <c r="G180" s="769" t="s">
        <v>1859</v>
      </c>
      <c r="H180" s="637" t="s">
        <v>1860</v>
      </c>
    </row>
    <row r="181" spans="2:8" x14ac:dyDescent="0.25">
      <c r="B181" s="637" t="b">
        <v>1</v>
      </c>
      <c r="C181" s="637" t="s">
        <v>1850</v>
      </c>
      <c r="D181" s="637" t="s">
        <v>1851</v>
      </c>
      <c r="E181" s="769" t="s">
        <v>1414</v>
      </c>
      <c r="F181" s="769" t="s">
        <v>1861</v>
      </c>
      <c r="G181" s="769" t="s">
        <v>1862</v>
      </c>
      <c r="H181" s="637" t="s">
        <v>1863</v>
      </c>
    </row>
    <row r="182" spans="2:8" x14ac:dyDescent="0.25">
      <c r="B182" s="637" t="b">
        <v>1</v>
      </c>
      <c r="C182" s="637" t="s">
        <v>1850</v>
      </c>
      <c r="D182" s="637" t="s">
        <v>1851</v>
      </c>
      <c r="E182" s="769" t="s">
        <v>1414</v>
      </c>
      <c r="F182" s="769" t="s">
        <v>1864</v>
      </c>
      <c r="G182" s="769" t="s">
        <v>1865</v>
      </c>
      <c r="H182" s="637" t="s">
        <v>1866</v>
      </c>
    </row>
    <row r="183" spans="2:8" x14ac:dyDescent="0.25">
      <c r="B183" s="637" t="b">
        <v>1</v>
      </c>
      <c r="C183" s="637" t="s">
        <v>1850</v>
      </c>
      <c r="D183" s="637" t="s">
        <v>1851</v>
      </c>
      <c r="E183" s="769" t="s">
        <v>1414</v>
      </c>
      <c r="F183" s="769" t="s">
        <v>1867</v>
      </c>
      <c r="G183" s="769" t="s">
        <v>1868</v>
      </c>
      <c r="H183" s="637" t="s">
        <v>1869</v>
      </c>
    </row>
    <row r="184" spans="2:8" x14ac:dyDescent="0.25">
      <c r="B184" s="637" t="b">
        <v>1</v>
      </c>
      <c r="C184" s="637" t="s">
        <v>1850</v>
      </c>
      <c r="D184" s="637" t="s">
        <v>1851</v>
      </c>
      <c r="E184" s="769" t="s">
        <v>1414</v>
      </c>
      <c r="F184" s="769" t="s">
        <v>1870</v>
      </c>
      <c r="G184" s="769" t="s">
        <v>1871</v>
      </c>
      <c r="H184" s="637" t="s">
        <v>1872</v>
      </c>
    </row>
    <row r="185" spans="2:8" x14ac:dyDescent="0.25">
      <c r="B185" s="637" t="b">
        <v>1</v>
      </c>
      <c r="C185" s="637" t="s">
        <v>1873</v>
      </c>
      <c r="D185" s="637" t="s">
        <v>1874</v>
      </c>
      <c r="E185" s="769" t="s">
        <v>1374</v>
      </c>
      <c r="F185" s="769" t="s">
        <v>1875</v>
      </c>
      <c r="G185" s="769" t="s">
        <v>1876</v>
      </c>
      <c r="H185" s="637" t="s">
        <v>1877</v>
      </c>
    </row>
    <row r="186" spans="2:8" x14ac:dyDescent="0.25">
      <c r="B186" s="637" t="b">
        <v>1</v>
      </c>
      <c r="C186" s="637" t="s">
        <v>1873</v>
      </c>
      <c r="D186" s="637" t="s">
        <v>1874</v>
      </c>
      <c r="E186" s="769" t="s">
        <v>1374</v>
      </c>
      <c r="F186" s="769" t="s">
        <v>1878</v>
      </c>
      <c r="G186" s="769" t="s">
        <v>1879</v>
      </c>
      <c r="H186" s="637" t="s">
        <v>1880</v>
      </c>
    </row>
    <row r="187" spans="2:8" x14ac:dyDescent="0.25">
      <c r="B187" s="637" t="b">
        <v>1</v>
      </c>
      <c r="C187" s="637" t="s">
        <v>1873</v>
      </c>
      <c r="D187" s="637" t="s">
        <v>1874</v>
      </c>
      <c r="E187" s="769" t="s">
        <v>1374</v>
      </c>
      <c r="F187" s="769" t="s">
        <v>1881</v>
      </c>
      <c r="G187" s="769" t="s">
        <v>1882</v>
      </c>
      <c r="H187" s="637" t="s">
        <v>1883</v>
      </c>
    </row>
    <row r="188" spans="2:8" x14ac:dyDescent="0.25">
      <c r="B188" s="637" t="b">
        <v>1</v>
      </c>
      <c r="C188" s="637" t="s">
        <v>1873</v>
      </c>
      <c r="D188" s="637" t="s">
        <v>1874</v>
      </c>
      <c r="E188" s="769" t="s">
        <v>1374</v>
      </c>
      <c r="F188" s="769" t="s">
        <v>1884</v>
      </c>
      <c r="G188" s="769" t="s">
        <v>1885</v>
      </c>
      <c r="H188" s="637" t="s">
        <v>1886</v>
      </c>
    </row>
    <row r="189" spans="2:8" x14ac:dyDescent="0.25">
      <c r="B189" s="637" t="b">
        <v>1</v>
      </c>
      <c r="C189" s="637" t="s">
        <v>1873</v>
      </c>
      <c r="D189" s="637" t="s">
        <v>1874</v>
      </c>
      <c r="E189" s="769" t="s">
        <v>1374</v>
      </c>
      <c r="F189" s="769" t="s">
        <v>1887</v>
      </c>
      <c r="G189" s="769" t="s">
        <v>1888</v>
      </c>
      <c r="H189" s="637" t="s">
        <v>1889</v>
      </c>
    </row>
    <row r="190" spans="2:8" x14ac:dyDescent="0.25">
      <c r="B190" s="637" t="b">
        <v>1</v>
      </c>
      <c r="C190" s="637" t="s">
        <v>1873</v>
      </c>
      <c r="D190" s="637" t="s">
        <v>1874</v>
      </c>
      <c r="E190" s="769" t="s">
        <v>1374</v>
      </c>
      <c r="F190" s="769" t="s">
        <v>1890</v>
      </c>
      <c r="G190" s="769" t="s">
        <v>1891</v>
      </c>
      <c r="H190" s="637" t="s">
        <v>1892</v>
      </c>
    </row>
    <row r="191" spans="2:8" x14ac:dyDescent="0.25">
      <c r="B191" s="637" t="b">
        <v>1</v>
      </c>
      <c r="C191" s="637" t="s">
        <v>1873</v>
      </c>
      <c r="D191" s="637" t="s">
        <v>1874</v>
      </c>
      <c r="E191" s="769" t="s">
        <v>1374</v>
      </c>
      <c r="F191" s="769" t="s">
        <v>1893</v>
      </c>
      <c r="G191" s="769" t="s">
        <v>1894</v>
      </c>
      <c r="H191" s="637" t="s">
        <v>1895</v>
      </c>
    </row>
    <row r="192" spans="2:8" x14ac:dyDescent="0.25">
      <c r="B192" s="637" t="b">
        <v>1</v>
      </c>
      <c r="C192" s="637" t="s">
        <v>1896</v>
      </c>
      <c r="D192" s="637" t="s">
        <v>1897</v>
      </c>
      <c r="E192" s="769" t="s">
        <v>1378</v>
      </c>
      <c r="F192" s="769" t="s">
        <v>1898</v>
      </c>
      <c r="G192" s="769" t="s">
        <v>1899</v>
      </c>
      <c r="H192" s="637" t="s">
        <v>1900</v>
      </c>
    </row>
    <row r="193" spans="2:8" x14ac:dyDescent="0.25">
      <c r="B193" s="637" t="b">
        <v>1</v>
      </c>
      <c r="C193" s="637" t="s">
        <v>1896</v>
      </c>
      <c r="D193" s="637" t="s">
        <v>1897</v>
      </c>
      <c r="E193" s="769" t="s">
        <v>1378</v>
      </c>
      <c r="F193" s="769" t="s">
        <v>1901</v>
      </c>
      <c r="G193" s="769" t="s">
        <v>1902</v>
      </c>
      <c r="H193" s="637" t="s">
        <v>1903</v>
      </c>
    </row>
    <row r="194" spans="2:8" x14ac:dyDescent="0.25">
      <c r="B194" s="637" t="b">
        <v>1</v>
      </c>
      <c r="C194" s="637" t="s">
        <v>1896</v>
      </c>
      <c r="D194" s="637" t="s">
        <v>1897</v>
      </c>
      <c r="E194" s="769" t="s">
        <v>1378</v>
      </c>
      <c r="F194" s="769" t="s">
        <v>1904</v>
      </c>
      <c r="G194" s="769" t="s">
        <v>1905</v>
      </c>
      <c r="H194" s="637" t="s">
        <v>1906</v>
      </c>
    </row>
    <row r="195" spans="2:8" x14ac:dyDescent="0.25">
      <c r="B195" s="637" t="b">
        <v>1</v>
      </c>
      <c r="C195" s="637" t="s">
        <v>1896</v>
      </c>
      <c r="D195" s="637" t="s">
        <v>1897</v>
      </c>
      <c r="E195" s="769" t="s">
        <v>1378</v>
      </c>
      <c r="F195" s="769" t="s">
        <v>1907</v>
      </c>
      <c r="G195" s="769" t="s">
        <v>1908</v>
      </c>
      <c r="H195" s="637" t="s">
        <v>1909</v>
      </c>
    </row>
    <row r="196" spans="2:8" x14ac:dyDescent="0.25">
      <c r="B196" s="637" t="b">
        <v>1</v>
      </c>
      <c r="C196" s="637" t="s">
        <v>1896</v>
      </c>
      <c r="D196" s="637" t="s">
        <v>1897</v>
      </c>
      <c r="E196" s="769" t="s">
        <v>1378</v>
      </c>
      <c r="F196" s="769" t="s">
        <v>1910</v>
      </c>
      <c r="G196" s="769" t="s">
        <v>1911</v>
      </c>
      <c r="H196" s="637" t="s">
        <v>1912</v>
      </c>
    </row>
    <row r="197" spans="2:8" x14ac:dyDescent="0.25">
      <c r="B197" s="637" t="b">
        <v>1</v>
      </c>
      <c r="C197" s="637" t="s">
        <v>1896</v>
      </c>
      <c r="D197" s="637" t="s">
        <v>1897</v>
      </c>
      <c r="E197" s="769" t="s">
        <v>1378</v>
      </c>
      <c r="F197" s="769" t="s">
        <v>1913</v>
      </c>
      <c r="G197" s="769" t="s">
        <v>1914</v>
      </c>
      <c r="H197" s="637" t="s">
        <v>1915</v>
      </c>
    </row>
    <row r="198" spans="2:8" x14ac:dyDescent="0.25">
      <c r="B198" s="637" t="b">
        <v>1</v>
      </c>
      <c r="C198" s="637" t="s">
        <v>1896</v>
      </c>
      <c r="D198" s="637" t="s">
        <v>1897</v>
      </c>
      <c r="E198" s="769" t="s">
        <v>1378</v>
      </c>
      <c r="F198" s="769" t="s">
        <v>1916</v>
      </c>
      <c r="G198" s="769" t="s">
        <v>1917</v>
      </c>
      <c r="H198" s="637" t="s">
        <v>1918</v>
      </c>
    </row>
    <row r="199" spans="2:8" x14ac:dyDescent="0.25">
      <c r="B199" s="637" t="b">
        <v>1</v>
      </c>
      <c r="C199" s="637" t="s">
        <v>1896</v>
      </c>
      <c r="D199" s="637" t="s">
        <v>1897</v>
      </c>
      <c r="E199" s="769" t="s">
        <v>1378</v>
      </c>
      <c r="F199" s="769" t="s">
        <v>1919</v>
      </c>
      <c r="G199" s="769" t="s">
        <v>1920</v>
      </c>
      <c r="H199" s="637" t="s">
        <v>1921</v>
      </c>
    </row>
    <row r="200" spans="2:8" x14ac:dyDescent="0.25">
      <c r="B200" s="637" t="b">
        <v>1</v>
      </c>
      <c r="C200" s="637" t="s">
        <v>1896</v>
      </c>
      <c r="D200" s="637" t="s">
        <v>1897</v>
      </c>
      <c r="E200" s="769" t="s">
        <v>1378</v>
      </c>
      <c r="F200" s="769" t="s">
        <v>1922</v>
      </c>
      <c r="G200" s="769" t="s">
        <v>1923</v>
      </c>
      <c r="H200" s="637" t="s">
        <v>1924</v>
      </c>
    </row>
    <row r="201" spans="2:8" x14ac:dyDescent="0.25">
      <c r="B201" s="637" t="b">
        <v>1</v>
      </c>
      <c r="C201" s="637" t="s">
        <v>1896</v>
      </c>
      <c r="D201" s="637" t="s">
        <v>1897</v>
      </c>
      <c r="E201" s="769" t="s">
        <v>1378</v>
      </c>
      <c r="F201" s="769" t="s">
        <v>1925</v>
      </c>
      <c r="G201" s="769" t="s">
        <v>1926</v>
      </c>
      <c r="H201" s="637" t="s">
        <v>1927</v>
      </c>
    </row>
    <row r="202" spans="2:8" x14ac:dyDescent="0.25">
      <c r="B202" s="637" t="b">
        <v>1</v>
      </c>
      <c r="C202" s="637" t="s">
        <v>1896</v>
      </c>
      <c r="D202" s="637" t="s">
        <v>1897</v>
      </c>
      <c r="E202" s="769" t="s">
        <v>1378</v>
      </c>
      <c r="F202" s="769" t="s">
        <v>1928</v>
      </c>
      <c r="G202" s="769" t="s">
        <v>1929</v>
      </c>
      <c r="H202" s="637" t="s">
        <v>1930</v>
      </c>
    </row>
    <row r="203" spans="2:8" x14ac:dyDescent="0.25">
      <c r="B203" s="637" t="b">
        <v>1</v>
      </c>
      <c r="C203" s="637" t="s">
        <v>1896</v>
      </c>
      <c r="D203" s="637" t="s">
        <v>1897</v>
      </c>
      <c r="E203" s="769" t="s">
        <v>1378</v>
      </c>
      <c r="F203" s="769" t="s">
        <v>1931</v>
      </c>
      <c r="G203" s="769" t="s">
        <v>1932</v>
      </c>
      <c r="H203" s="637" t="s">
        <v>1933</v>
      </c>
    </row>
    <row r="204" spans="2:8" x14ac:dyDescent="0.25">
      <c r="B204" s="637" t="b">
        <v>1</v>
      </c>
      <c r="C204" s="637" t="s">
        <v>1896</v>
      </c>
      <c r="D204" s="637" t="s">
        <v>1897</v>
      </c>
      <c r="E204" s="769" t="s">
        <v>1378</v>
      </c>
      <c r="F204" s="769" t="s">
        <v>1934</v>
      </c>
      <c r="G204" s="769" t="s">
        <v>1935</v>
      </c>
      <c r="H204" s="637" t="s">
        <v>1936</v>
      </c>
    </row>
    <row r="205" spans="2:8" x14ac:dyDescent="0.25">
      <c r="B205" s="637" t="b">
        <v>1</v>
      </c>
      <c r="C205" s="637" t="s">
        <v>1896</v>
      </c>
      <c r="D205" s="637" t="s">
        <v>1897</v>
      </c>
      <c r="E205" s="769" t="s">
        <v>1378</v>
      </c>
      <c r="F205" s="769" t="s">
        <v>1937</v>
      </c>
      <c r="G205" s="769" t="s">
        <v>1938</v>
      </c>
      <c r="H205" s="637" t="s">
        <v>1939</v>
      </c>
    </row>
    <row r="206" spans="2:8" x14ac:dyDescent="0.25">
      <c r="B206" s="637" t="b">
        <v>1</v>
      </c>
      <c r="C206" s="637" t="s">
        <v>1896</v>
      </c>
      <c r="D206" s="637" t="s">
        <v>1897</v>
      </c>
      <c r="E206" s="769" t="s">
        <v>1378</v>
      </c>
      <c r="F206" s="769" t="s">
        <v>1940</v>
      </c>
      <c r="G206" s="769" t="s">
        <v>1941</v>
      </c>
      <c r="H206" s="637" t="s">
        <v>1942</v>
      </c>
    </row>
    <row r="207" spans="2:8" x14ac:dyDescent="0.25">
      <c r="B207" s="637" t="b">
        <v>1</v>
      </c>
      <c r="C207" s="637" t="s">
        <v>1943</v>
      </c>
      <c r="D207" s="637" t="s">
        <v>1944</v>
      </c>
      <c r="E207" s="769" t="s">
        <v>1384</v>
      </c>
      <c r="F207" s="769" t="s">
        <v>1945</v>
      </c>
      <c r="G207" s="769" t="s">
        <v>1946</v>
      </c>
      <c r="H207" s="637" t="s">
        <v>1947</v>
      </c>
    </row>
    <row r="208" spans="2:8" x14ac:dyDescent="0.25">
      <c r="B208" s="637" t="b">
        <v>1</v>
      </c>
      <c r="C208" s="637" t="s">
        <v>1943</v>
      </c>
      <c r="D208" s="637" t="s">
        <v>1944</v>
      </c>
      <c r="E208" s="769" t="s">
        <v>1384</v>
      </c>
      <c r="F208" s="769" t="s">
        <v>1948</v>
      </c>
      <c r="G208" s="769" t="s">
        <v>1949</v>
      </c>
      <c r="H208" s="637" t="s">
        <v>1950</v>
      </c>
    </row>
    <row r="209" spans="2:8" x14ac:dyDescent="0.25">
      <c r="B209" s="637" t="b">
        <v>1</v>
      </c>
      <c r="C209" s="637" t="s">
        <v>1943</v>
      </c>
      <c r="D209" s="637" t="s">
        <v>1944</v>
      </c>
      <c r="E209" s="769" t="s">
        <v>1384</v>
      </c>
      <c r="F209" s="769" t="s">
        <v>1951</v>
      </c>
      <c r="G209" s="769" t="s">
        <v>1952</v>
      </c>
      <c r="H209" s="637" t="s">
        <v>1953</v>
      </c>
    </row>
    <row r="210" spans="2:8" x14ac:dyDescent="0.25">
      <c r="B210" s="637" t="b">
        <v>1</v>
      </c>
      <c r="C210" s="637" t="s">
        <v>1943</v>
      </c>
      <c r="D210" s="637" t="s">
        <v>1944</v>
      </c>
      <c r="E210" s="769" t="s">
        <v>1384</v>
      </c>
      <c r="F210" s="769" t="s">
        <v>1954</v>
      </c>
      <c r="G210" s="769" t="s">
        <v>1955</v>
      </c>
      <c r="H210" s="637" t="s">
        <v>1956</v>
      </c>
    </row>
    <row r="211" spans="2:8" x14ac:dyDescent="0.25">
      <c r="B211" s="637" t="b">
        <v>1</v>
      </c>
      <c r="C211" s="637" t="s">
        <v>1943</v>
      </c>
      <c r="D211" s="637" t="s">
        <v>1944</v>
      </c>
      <c r="E211" s="769" t="s">
        <v>1384</v>
      </c>
      <c r="F211" s="769" t="s">
        <v>1957</v>
      </c>
      <c r="G211" s="769" t="s">
        <v>1958</v>
      </c>
      <c r="H211" s="637" t="s">
        <v>1959</v>
      </c>
    </row>
    <row r="212" spans="2:8" x14ac:dyDescent="0.25">
      <c r="B212" s="637" t="b">
        <v>1</v>
      </c>
      <c r="C212" s="637" t="s">
        <v>1943</v>
      </c>
      <c r="D212" s="637" t="s">
        <v>1944</v>
      </c>
      <c r="E212" s="769" t="s">
        <v>1384</v>
      </c>
      <c r="F212" s="769" t="s">
        <v>1960</v>
      </c>
      <c r="G212" s="769" t="s">
        <v>1961</v>
      </c>
      <c r="H212" s="637" t="s">
        <v>1962</v>
      </c>
    </row>
    <row r="213" spans="2:8" x14ac:dyDescent="0.25">
      <c r="B213" s="637" t="b">
        <v>1</v>
      </c>
      <c r="C213" s="637" t="s">
        <v>1963</v>
      </c>
      <c r="D213" s="637" t="s">
        <v>1964</v>
      </c>
      <c r="E213" s="769" t="s">
        <v>1404</v>
      </c>
      <c r="F213" s="769" t="s">
        <v>1965</v>
      </c>
      <c r="G213" s="769" t="s">
        <v>1966</v>
      </c>
      <c r="H213" s="637" t="s">
        <v>1967</v>
      </c>
    </row>
    <row r="214" spans="2:8" x14ac:dyDescent="0.25">
      <c r="B214" s="637" t="b">
        <v>1</v>
      </c>
      <c r="C214" s="637" t="s">
        <v>1963</v>
      </c>
      <c r="D214" s="637" t="s">
        <v>1964</v>
      </c>
      <c r="E214" s="769" t="s">
        <v>1404</v>
      </c>
      <c r="F214" s="769" t="s">
        <v>1968</v>
      </c>
      <c r="G214" s="769" t="s">
        <v>1969</v>
      </c>
      <c r="H214" s="637" t="s">
        <v>1970</v>
      </c>
    </row>
    <row r="215" spans="2:8" x14ac:dyDescent="0.25">
      <c r="B215" s="637" t="b">
        <v>1</v>
      </c>
      <c r="C215" s="637" t="s">
        <v>1963</v>
      </c>
      <c r="D215" s="637" t="s">
        <v>1964</v>
      </c>
      <c r="E215" s="769" t="s">
        <v>1404</v>
      </c>
      <c r="F215" s="769" t="s">
        <v>1971</v>
      </c>
      <c r="G215" s="769" t="s">
        <v>1972</v>
      </c>
      <c r="H215" s="637" t="s">
        <v>1973</v>
      </c>
    </row>
    <row r="216" spans="2:8" x14ac:dyDescent="0.25">
      <c r="B216" s="637" t="b">
        <v>1</v>
      </c>
      <c r="C216" s="637" t="s">
        <v>1963</v>
      </c>
      <c r="D216" s="637" t="s">
        <v>1964</v>
      </c>
      <c r="E216" s="769" t="s">
        <v>1404</v>
      </c>
      <c r="F216" s="769" t="s">
        <v>1974</v>
      </c>
      <c r="G216" s="769" t="s">
        <v>1975</v>
      </c>
      <c r="H216" s="637" t="s">
        <v>1976</v>
      </c>
    </row>
    <row r="217" spans="2:8" x14ac:dyDescent="0.25">
      <c r="B217" s="637" t="b">
        <v>1</v>
      </c>
      <c r="C217" s="637" t="s">
        <v>1963</v>
      </c>
      <c r="D217" s="637" t="s">
        <v>1964</v>
      </c>
      <c r="E217" s="769" t="s">
        <v>1404</v>
      </c>
      <c r="F217" s="769" t="s">
        <v>1977</v>
      </c>
      <c r="G217" s="769" t="s">
        <v>1978</v>
      </c>
      <c r="H217" s="637" t="s">
        <v>1979</v>
      </c>
    </row>
    <row r="218" spans="2:8" x14ac:dyDescent="0.25">
      <c r="B218" s="637" t="b">
        <v>1</v>
      </c>
      <c r="C218" s="637" t="s">
        <v>1963</v>
      </c>
      <c r="D218" s="637" t="s">
        <v>1964</v>
      </c>
      <c r="E218" s="769" t="s">
        <v>1404</v>
      </c>
      <c r="F218" s="769" t="s">
        <v>1980</v>
      </c>
      <c r="G218" s="769" t="s">
        <v>1981</v>
      </c>
      <c r="H218" s="637" t="s">
        <v>1982</v>
      </c>
    </row>
    <row r="219" spans="2:8" x14ac:dyDescent="0.25">
      <c r="B219" s="637" t="b">
        <v>1</v>
      </c>
      <c r="C219" s="637" t="s">
        <v>1963</v>
      </c>
      <c r="D219" s="637" t="s">
        <v>1964</v>
      </c>
      <c r="E219" s="769" t="s">
        <v>1404</v>
      </c>
      <c r="F219" s="769" t="s">
        <v>1983</v>
      </c>
      <c r="G219" s="769" t="s">
        <v>1984</v>
      </c>
      <c r="H219" s="637" t="s">
        <v>1985</v>
      </c>
    </row>
    <row r="220" spans="2:8" x14ac:dyDescent="0.25">
      <c r="B220" s="637" t="b">
        <v>1</v>
      </c>
      <c r="C220" s="637" t="s">
        <v>1963</v>
      </c>
      <c r="D220" s="637" t="s">
        <v>1964</v>
      </c>
      <c r="E220" s="769" t="s">
        <v>1404</v>
      </c>
      <c r="F220" s="769" t="s">
        <v>1986</v>
      </c>
      <c r="G220" s="769" t="s">
        <v>1987</v>
      </c>
      <c r="H220" s="637" t="s">
        <v>1988</v>
      </c>
    </row>
    <row r="221" spans="2:8" x14ac:dyDescent="0.25">
      <c r="B221" s="637" t="b">
        <v>1</v>
      </c>
      <c r="C221" s="637" t="s">
        <v>1989</v>
      </c>
      <c r="D221" s="637" t="s">
        <v>1990</v>
      </c>
      <c r="E221" s="769" t="s">
        <v>1398</v>
      </c>
      <c r="F221" s="769" t="s">
        <v>1991</v>
      </c>
      <c r="G221" s="769" t="s">
        <v>1992</v>
      </c>
      <c r="H221" s="637" t="s">
        <v>1993</v>
      </c>
    </row>
    <row r="222" spans="2:8" x14ac:dyDescent="0.25">
      <c r="B222" s="637" t="b">
        <v>1</v>
      </c>
      <c r="C222" s="637" t="s">
        <v>1989</v>
      </c>
      <c r="D222" s="637" t="s">
        <v>1990</v>
      </c>
      <c r="E222" s="769" t="s">
        <v>1398</v>
      </c>
      <c r="F222" s="769" t="s">
        <v>1994</v>
      </c>
      <c r="G222" s="769" t="s">
        <v>1995</v>
      </c>
      <c r="H222" s="637" t="s">
        <v>1996</v>
      </c>
    </row>
    <row r="223" spans="2:8" x14ac:dyDescent="0.25">
      <c r="B223" s="637" t="b">
        <v>1</v>
      </c>
      <c r="C223" s="637" t="s">
        <v>1989</v>
      </c>
      <c r="D223" s="637" t="s">
        <v>1990</v>
      </c>
      <c r="E223" s="769" t="s">
        <v>1398</v>
      </c>
      <c r="F223" s="769" t="s">
        <v>1997</v>
      </c>
      <c r="G223" s="769" t="s">
        <v>1998</v>
      </c>
      <c r="H223" s="637" t="s">
        <v>1999</v>
      </c>
    </row>
    <row r="224" spans="2:8" x14ac:dyDescent="0.25">
      <c r="B224" s="637" t="b">
        <v>1</v>
      </c>
      <c r="C224" s="637" t="s">
        <v>2000</v>
      </c>
      <c r="D224" s="637" t="s">
        <v>1412</v>
      </c>
      <c r="E224" s="769" t="s">
        <v>1412</v>
      </c>
      <c r="F224" s="769" t="s">
        <v>2001</v>
      </c>
      <c r="G224" s="769" t="s">
        <v>2002</v>
      </c>
      <c r="H224" s="637" t="s">
        <v>2003</v>
      </c>
    </row>
    <row r="225" spans="2:8" x14ac:dyDescent="0.25">
      <c r="B225" s="637" t="b">
        <v>1</v>
      </c>
      <c r="C225" s="637" t="s">
        <v>2000</v>
      </c>
      <c r="D225" s="637" t="s">
        <v>1412</v>
      </c>
      <c r="E225" s="769" t="s">
        <v>1412</v>
      </c>
      <c r="F225" s="769" t="s">
        <v>2004</v>
      </c>
      <c r="G225" s="769" t="s">
        <v>2005</v>
      </c>
      <c r="H225" s="637" t="s">
        <v>2006</v>
      </c>
    </row>
    <row r="226" spans="2:8" x14ac:dyDescent="0.25">
      <c r="B226" s="637" t="b">
        <v>1</v>
      </c>
      <c r="C226" s="637" t="s">
        <v>2000</v>
      </c>
      <c r="D226" s="637" t="s">
        <v>1412</v>
      </c>
      <c r="E226" s="769" t="s">
        <v>1412</v>
      </c>
      <c r="F226" s="769" t="s">
        <v>2007</v>
      </c>
      <c r="G226" s="769" t="s">
        <v>2008</v>
      </c>
      <c r="H226" s="637" t="s">
        <v>2009</v>
      </c>
    </row>
    <row r="227" spans="2:8" x14ac:dyDescent="0.25">
      <c r="B227" s="637" t="b">
        <v>1</v>
      </c>
      <c r="C227" s="637" t="s">
        <v>2000</v>
      </c>
      <c r="D227" s="637" t="s">
        <v>1412</v>
      </c>
      <c r="E227" s="769" t="s">
        <v>1412</v>
      </c>
      <c r="F227" s="769" t="s">
        <v>2010</v>
      </c>
      <c r="G227" s="769" t="s">
        <v>2011</v>
      </c>
      <c r="H227" s="637" t="s">
        <v>2012</v>
      </c>
    </row>
    <row r="228" spans="2:8" x14ac:dyDescent="0.25">
      <c r="B228" s="637" t="b">
        <v>1</v>
      </c>
      <c r="C228" s="637" t="s">
        <v>2000</v>
      </c>
      <c r="D228" s="637" t="s">
        <v>1412</v>
      </c>
      <c r="E228" s="769" t="s">
        <v>1412</v>
      </c>
      <c r="F228" s="769" t="s">
        <v>2013</v>
      </c>
      <c r="G228" s="769" t="s">
        <v>2014</v>
      </c>
      <c r="H228" s="637" t="s">
        <v>2015</v>
      </c>
    </row>
    <row r="229" spans="2:8" x14ac:dyDescent="0.25">
      <c r="B229" s="637" t="b">
        <v>1</v>
      </c>
      <c r="C229" s="637" t="s">
        <v>2000</v>
      </c>
      <c r="D229" s="637" t="s">
        <v>1412</v>
      </c>
      <c r="E229" s="769" t="s">
        <v>1412</v>
      </c>
      <c r="F229" s="769" t="s">
        <v>2016</v>
      </c>
      <c r="G229" s="769" t="s">
        <v>2017</v>
      </c>
      <c r="H229" s="637" t="s">
        <v>2018</v>
      </c>
    </row>
    <row r="230" spans="2:8" x14ac:dyDescent="0.25">
      <c r="B230" s="637" t="b">
        <v>1</v>
      </c>
      <c r="C230" s="637" t="s">
        <v>2000</v>
      </c>
      <c r="D230" s="637" t="s">
        <v>1412</v>
      </c>
      <c r="E230" s="769" t="s">
        <v>1412</v>
      </c>
      <c r="F230" s="769" t="s">
        <v>2019</v>
      </c>
      <c r="G230" s="769" t="s">
        <v>2020</v>
      </c>
      <c r="H230" s="637" t="s">
        <v>2021</v>
      </c>
    </row>
    <row r="231" spans="2:8" x14ac:dyDescent="0.25">
      <c r="B231" s="637" t="b">
        <v>1</v>
      </c>
      <c r="C231" s="637" t="s">
        <v>2000</v>
      </c>
      <c r="D231" s="637" t="s">
        <v>1412</v>
      </c>
      <c r="E231" s="769" t="s">
        <v>1412</v>
      </c>
      <c r="F231" s="769" t="s">
        <v>2022</v>
      </c>
      <c r="G231" s="769" t="s">
        <v>2023</v>
      </c>
      <c r="H231" s="637" t="s">
        <v>2024</v>
      </c>
    </row>
    <row r="232" spans="2:8" x14ac:dyDescent="0.25">
      <c r="B232" s="637" t="b">
        <v>1</v>
      </c>
      <c r="C232" s="637" t="s">
        <v>2000</v>
      </c>
      <c r="D232" s="637" t="s">
        <v>1412</v>
      </c>
      <c r="E232" s="769" t="s">
        <v>1412</v>
      </c>
      <c r="F232" s="769" t="s">
        <v>2025</v>
      </c>
      <c r="G232" s="769" t="s">
        <v>2026</v>
      </c>
      <c r="H232" s="637" t="s">
        <v>2027</v>
      </c>
    </row>
    <row r="233" spans="2:8" x14ac:dyDescent="0.25">
      <c r="B233" s="637" t="b">
        <v>1</v>
      </c>
      <c r="C233" s="637" t="s">
        <v>2000</v>
      </c>
      <c r="D233" s="637" t="s">
        <v>1412</v>
      </c>
      <c r="E233" s="769" t="s">
        <v>1412</v>
      </c>
      <c r="F233" s="769" t="s">
        <v>2028</v>
      </c>
      <c r="G233" s="769" t="s">
        <v>2029</v>
      </c>
      <c r="H233" s="637" t="s">
        <v>2030</v>
      </c>
    </row>
    <row r="234" spans="2:8" x14ac:dyDescent="0.25">
      <c r="B234" s="637" t="b">
        <v>1</v>
      </c>
      <c r="C234" s="637" t="s">
        <v>2000</v>
      </c>
      <c r="D234" s="637" t="s">
        <v>1412</v>
      </c>
      <c r="E234" s="769" t="s">
        <v>1412</v>
      </c>
      <c r="F234" s="769" t="s">
        <v>2031</v>
      </c>
      <c r="G234" s="769" t="s">
        <v>2032</v>
      </c>
      <c r="H234" s="637" t="s">
        <v>2033</v>
      </c>
    </row>
    <row r="235" spans="2:8" x14ac:dyDescent="0.25">
      <c r="B235" s="637" t="b">
        <v>1</v>
      </c>
      <c r="C235" s="637" t="s">
        <v>2000</v>
      </c>
      <c r="D235" s="637" t="s">
        <v>1412</v>
      </c>
      <c r="E235" s="769" t="s">
        <v>1412</v>
      </c>
      <c r="F235" s="769" t="s">
        <v>2034</v>
      </c>
      <c r="G235" s="769" t="s">
        <v>2035</v>
      </c>
      <c r="H235" s="637" t="s">
        <v>2036</v>
      </c>
    </row>
    <row r="236" spans="2:8" x14ac:dyDescent="0.25">
      <c r="B236" s="637" t="b">
        <v>1</v>
      </c>
      <c r="C236" s="637" t="s">
        <v>2000</v>
      </c>
      <c r="D236" s="637" t="s">
        <v>1412</v>
      </c>
      <c r="E236" s="769" t="s">
        <v>1412</v>
      </c>
      <c r="F236" s="769" t="s">
        <v>2037</v>
      </c>
      <c r="G236" s="769" t="s">
        <v>2038</v>
      </c>
      <c r="H236" s="637" t="s">
        <v>2039</v>
      </c>
    </row>
    <row r="237" spans="2:8" x14ac:dyDescent="0.25">
      <c r="B237" s="637" t="b">
        <v>1</v>
      </c>
      <c r="C237" s="637" t="s">
        <v>2000</v>
      </c>
      <c r="D237" s="637" t="s">
        <v>1412</v>
      </c>
      <c r="E237" s="769" t="s">
        <v>1412</v>
      </c>
      <c r="F237" s="769" t="s">
        <v>2040</v>
      </c>
      <c r="G237" s="769" t="s">
        <v>2041</v>
      </c>
      <c r="H237" s="637" t="s">
        <v>2042</v>
      </c>
    </row>
    <row r="238" spans="2:8" x14ac:dyDescent="0.25">
      <c r="B238" s="637" t="b">
        <v>1</v>
      </c>
      <c r="C238" s="637" t="s">
        <v>2000</v>
      </c>
      <c r="D238" s="637" t="s">
        <v>1412</v>
      </c>
      <c r="E238" s="769" t="s">
        <v>1412</v>
      </c>
      <c r="F238" s="769" t="s">
        <v>2043</v>
      </c>
      <c r="G238" s="769" t="s">
        <v>2044</v>
      </c>
      <c r="H238" s="637" t="s">
        <v>2045</v>
      </c>
    </row>
    <row r="239" spans="2:8" x14ac:dyDescent="0.25">
      <c r="B239" s="637" t="b">
        <v>1</v>
      </c>
      <c r="C239" s="637" t="s">
        <v>2000</v>
      </c>
      <c r="D239" s="637" t="s">
        <v>1412</v>
      </c>
      <c r="E239" s="769" t="s">
        <v>1412</v>
      </c>
      <c r="F239" s="769" t="s">
        <v>2046</v>
      </c>
      <c r="G239" s="769" t="s">
        <v>2047</v>
      </c>
      <c r="H239" s="637" t="s">
        <v>2048</v>
      </c>
    </row>
    <row r="240" spans="2:8" x14ac:dyDescent="0.25">
      <c r="B240" s="637" t="b">
        <v>1</v>
      </c>
      <c r="C240" s="637" t="s">
        <v>2000</v>
      </c>
      <c r="D240" s="637" t="s">
        <v>1412</v>
      </c>
      <c r="E240" s="769" t="s">
        <v>1412</v>
      </c>
      <c r="F240" s="769" t="s">
        <v>2049</v>
      </c>
      <c r="G240" s="769" t="s">
        <v>2050</v>
      </c>
      <c r="H240" s="637" t="s">
        <v>2051</v>
      </c>
    </row>
    <row r="241" spans="2:8" x14ac:dyDescent="0.25">
      <c r="B241" s="637" t="b">
        <v>1</v>
      </c>
      <c r="C241" s="637" t="s">
        <v>2000</v>
      </c>
      <c r="D241" s="637" t="s">
        <v>1412</v>
      </c>
      <c r="E241" s="769" t="s">
        <v>1412</v>
      </c>
      <c r="F241" s="769" t="s">
        <v>2052</v>
      </c>
      <c r="G241" s="769" t="s">
        <v>2053</v>
      </c>
      <c r="H241" s="637" t="s">
        <v>2054</v>
      </c>
    </row>
    <row r="242" spans="2:8" x14ac:dyDescent="0.25">
      <c r="B242" s="637" t="b">
        <v>1</v>
      </c>
      <c r="C242" s="637" t="s">
        <v>2000</v>
      </c>
      <c r="D242" s="637" t="s">
        <v>1412</v>
      </c>
      <c r="E242" s="769" t="s">
        <v>1412</v>
      </c>
      <c r="F242" s="769" t="s">
        <v>2055</v>
      </c>
      <c r="G242" s="769" t="s">
        <v>2056</v>
      </c>
      <c r="H242" s="637" t="s">
        <v>2057</v>
      </c>
    </row>
    <row r="243" spans="2:8" x14ac:dyDescent="0.25">
      <c r="B243" s="637" t="b">
        <v>1</v>
      </c>
      <c r="C243" s="637" t="s">
        <v>2058</v>
      </c>
      <c r="D243" s="637" t="s">
        <v>2059</v>
      </c>
      <c r="E243" s="769" t="s">
        <v>1402</v>
      </c>
      <c r="F243" s="769" t="s">
        <v>2060</v>
      </c>
      <c r="G243" s="769" t="s">
        <v>2061</v>
      </c>
      <c r="H243" s="637" t="s">
        <v>2062</v>
      </c>
    </row>
    <row r="244" spans="2:8" x14ac:dyDescent="0.25">
      <c r="B244" s="637" t="b">
        <v>1</v>
      </c>
      <c r="C244" s="637" t="s">
        <v>2058</v>
      </c>
      <c r="D244" s="637" t="s">
        <v>2059</v>
      </c>
      <c r="E244" s="769" t="s">
        <v>1402</v>
      </c>
      <c r="F244" s="769" t="s">
        <v>2063</v>
      </c>
      <c r="G244" s="769" t="s">
        <v>2064</v>
      </c>
      <c r="H244" s="637" t="s">
        <v>2065</v>
      </c>
    </row>
    <row r="245" spans="2:8" x14ac:dyDescent="0.25">
      <c r="B245" s="637" t="b">
        <v>1</v>
      </c>
      <c r="C245" s="637" t="s">
        <v>2058</v>
      </c>
      <c r="D245" s="637" t="s">
        <v>2059</v>
      </c>
      <c r="E245" s="769" t="s">
        <v>1402</v>
      </c>
      <c r="F245" s="769" t="s">
        <v>2066</v>
      </c>
      <c r="G245" s="769" t="s">
        <v>2067</v>
      </c>
      <c r="H245" s="637" t="s">
        <v>2068</v>
      </c>
    </row>
    <row r="246" spans="2:8" x14ac:dyDescent="0.25">
      <c r="B246" s="637" t="b">
        <v>1</v>
      </c>
      <c r="C246" s="637" t="s">
        <v>2058</v>
      </c>
      <c r="D246" s="637" t="s">
        <v>2059</v>
      </c>
      <c r="E246" s="769" t="s">
        <v>1402</v>
      </c>
      <c r="F246" s="769" t="s">
        <v>2069</v>
      </c>
      <c r="G246" s="769" t="s">
        <v>2070</v>
      </c>
      <c r="H246" s="637" t="s">
        <v>2071</v>
      </c>
    </row>
    <row r="247" spans="2:8" x14ac:dyDescent="0.25">
      <c r="B247" s="637" t="b">
        <v>1</v>
      </c>
      <c r="C247" s="637" t="s">
        <v>2058</v>
      </c>
      <c r="D247" s="637" t="s">
        <v>2059</v>
      </c>
      <c r="E247" s="769" t="s">
        <v>1402</v>
      </c>
      <c r="F247" s="769" t="s">
        <v>2072</v>
      </c>
      <c r="G247" s="769" t="s">
        <v>2073</v>
      </c>
      <c r="H247" s="637" t="s">
        <v>2074</v>
      </c>
    </row>
    <row r="248" spans="2:8" x14ac:dyDescent="0.25">
      <c r="B248" s="637" t="b">
        <v>1</v>
      </c>
      <c r="C248" s="637" t="s">
        <v>2058</v>
      </c>
      <c r="D248" s="637" t="s">
        <v>2059</v>
      </c>
      <c r="E248" s="769" t="s">
        <v>1402</v>
      </c>
      <c r="F248" s="769" t="s">
        <v>2075</v>
      </c>
      <c r="G248" s="769" t="s">
        <v>2076</v>
      </c>
      <c r="H248" s="637" t="s">
        <v>2077</v>
      </c>
    </row>
    <row r="249" spans="2:8" x14ac:dyDescent="0.25">
      <c r="B249" s="637" t="b">
        <v>1</v>
      </c>
      <c r="C249" s="637" t="s">
        <v>2058</v>
      </c>
      <c r="D249" s="637" t="s">
        <v>2059</v>
      </c>
      <c r="E249" s="769" t="s">
        <v>1402</v>
      </c>
      <c r="F249" s="769" t="s">
        <v>2078</v>
      </c>
      <c r="G249" s="769" t="s">
        <v>2079</v>
      </c>
      <c r="H249" s="637" t="s">
        <v>2080</v>
      </c>
    </row>
    <row r="250" spans="2:8" x14ac:dyDescent="0.25">
      <c r="B250" s="637" t="b">
        <v>1</v>
      </c>
      <c r="C250" s="637" t="s">
        <v>2058</v>
      </c>
      <c r="D250" s="637" t="s">
        <v>2059</v>
      </c>
      <c r="E250" s="769" t="s">
        <v>1402</v>
      </c>
      <c r="F250" s="769" t="s">
        <v>2081</v>
      </c>
      <c r="G250" s="769" t="s">
        <v>2082</v>
      </c>
      <c r="H250" s="637" t="s">
        <v>2083</v>
      </c>
    </row>
    <row r="251" spans="2:8" x14ac:dyDescent="0.25">
      <c r="B251" s="637" t="b">
        <v>1</v>
      </c>
      <c r="C251" s="637" t="s">
        <v>2084</v>
      </c>
      <c r="D251" s="637" t="s">
        <v>2085</v>
      </c>
      <c r="E251" s="769" t="s">
        <v>1380</v>
      </c>
      <c r="F251" s="769" t="s">
        <v>2086</v>
      </c>
      <c r="G251" s="769" t="s">
        <v>2087</v>
      </c>
      <c r="H251" s="637" t="s">
        <v>2088</v>
      </c>
    </row>
    <row r="252" spans="2:8" x14ac:dyDescent="0.25">
      <c r="B252" s="637" t="b">
        <v>1</v>
      </c>
      <c r="C252" s="637" t="s">
        <v>2084</v>
      </c>
      <c r="D252" s="637" t="s">
        <v>2085</v>
      </c>
      <c r="E252" s="769" t="s">
        <v>1380</v>
      </c>
      <c r="F252" s="769" t="s">
        <v>2089</v>
      </c>
      <c r="G252" s="769" t="s">
        <v>2090</v>
      </c>
      <c r="H252" s="637" t="s">
        <v>2091</v>
      </c>
    </row>
    <row r="253" spans="2:8" x14ac:dyDescent="0.25">
      <c r="B253" s="637" t="b">
        <v>1</v>
      </c>
      <c r="C253" s="637" t="s">
        <v>2084</v>
      </c>
      <c r="D253" s="637" t="s">
        <v>2085</v>
      </c>
      <c r="E253" s="769" t="s">
        <v>1380</v>
      </c>
      <c r="F253" s="769" t="s">
        <v>2092</v>
      </c>
      <c r="G253" s="769" t="s">
        <v>2093</v>
      </c>
      <c r="H253" s="637" t="s">
        <v>2094</v>
      </c>
    </row>
    <row r="254" spans="2:8" x14ac:dyDescent="0.25">
      <c r="B254" s="637" t="b">
        <v>1</v>
      </c>
      <c r="C254" s="637" t="s">
        <v>2084</v>
      </c>
      <c r="D254" s="637" t="s">
        <v>2085</v>
      </c>
      <c r="E254" s="769" t="s">
        <v>1380</v>
      </c>
      <c r="F254" s="769" t="s">
        <v>2095</v>
      </c>
      <c r="G254" s="769" t="s">
        <v>2096</v>
      </c>
      <c r="H254" s="637" t="s">
        <v>2097</v>
      </c>
    </row>
    <row r="255" spans="2:8" x14ac:dyDescent="0.25">
      <c r="B255" s="637" t="b">
        <v>1</v>
      </c>
      <c r="C255" s="637" t="s">
        <v>2084</v>
      </c>
      <c r="D255" s="637" t="s">
        <v>2085</v>
      </c>
      <c r="E255" s="769" t="s">
        <v>1380</v>
      </c>
      <c r="F255" s="769" t="s">
        <v>2098</v>
      </c>
      <c r="G255" s="769" t="s">
        <v>2099</v>
      </c>
      <c r="H255" s="637" t="s">
        <v>2100</v>
      </c>
    </row>
    <row r="256" spans="2:8" x14ac:dyDescent="0.25">
      <c r="B256" s="637" t="b">
        <v>1</v>
      </c>
      <c r="C256" s="637" t="s">
        <v>2084</v>
      </c>
      <c r="D256" s="637" t="s">
        <v>2085</v>
      </c>
      <c r="E256" s="769" t="s">
        <v>1380</v>
      </c>
      <c r="F256" s="769" t="s">
        <v>2101</v>
      </c>
      <c r="G256" s="769" t="s">
        <v>2102</v>
      </c>
      <c r="H256" s="637" t="s">
        <v>2103</v>
      </c>
    </row>
    <row r="257" spans="2:8" x14ac:dyDescent="0.25">
      <c r="B257" s="637" t="b">
        <v>1</v>
      </c>
      <c r="C257" s="637" t="s">
        <v>2084</v>
      </c>
      <c r="D257" s="637" t="s">
        <v>2085</v>
      </c>
      <c r="E257" s="769" t="s">
        <v>1380</v>
      </c>
      <c r="F257" s="769" t="s">
        <v>2104</v>
      </c>
      <c r="G257" s="769" t="s">
        <v>2105</v>
      </c>
      <c r="H257" s="637" t="s">
        <v>2106</v>
      </c>
    </row>
    <row r="258" spans="2:8" x14ac:dyDescent="0.25">
      <c r="B258" s="637" t="b">
        <v>1</v>
      </c>
      <c r="C258" s="637" t="s">
        <v>2084</v>
      </c>
      <c r="D258" s="637" t="s">
        <v>2085</v>
      </c>
      <c r="E258" s="769" t="s">
        <v>1380</v>
      </c>
      <c r="F258" s="769" t="s">
        <v>2107</v>
      </c>
      <c r="G258" s="769" t="s">
        <v>2108</v>
      </c>
      <c r="H258" s="637" t="s">
        <v>2109</v>
      </c>
    </row>
    <row r="259" spans="2:8" x14ac:dyDescent="0.25">
      <c r="B259" s="637" t="b">
        <v>1</v>
      </c>
      <c r="C259" s="637" t="s">
        <v>2084</v>
      </c>
      <c r="D259" s="637" t="s">
        <v>2085</v>
      </c>
      <c r="E259" s="769" t="s">
        <v>1380</v>
      </c>
      <c r="F259" s="769" t="s">
        <v>2110</v>
      </c>
      <c r="G259" s="769" t="s">
        <v>2111</v>
      </c>
      <c r="H259" s="637" t="s">
        <v>2112</v>
      </c>
    </row>
    <row r="260" spans="2:8" x14ac:dyDescent="0.25">
      <c r="B260" s="637" t="b">
        <v>1</v>
      </c>
      <c r="C260" s="637" t="s">
        <v>2084</v>
      </c>
      <c r="D260" s="637" t="s">
        <v>2085</v>
      </c>
      <c r="E260" s="769" t="s">
        <v>1380</v>
      </c>
      <c r="F260" s="769" t="s">
        <v>2113</v>
      </c>
      <c r="G260" s="769" t="s">
        <v>2114</v>
      </c>
      <c r="H260" s="637" t="s">
        <v>2115</v>
      </c>
    </row>
    <row r="261" spans="2:8" x14ac:dyDescent="0.25">
      <c r="B261" s="637" t="b">
        <v>1</v>
      </c>
      <c r="C261" s="637" t="s">
        <v>2116</v>
      </c>
      <c r="D261" s="637" t="s">
        <v>2117</v>
      </c>
      <c r="E261" s="769" t="s">
        <v>1406</v>
      </c>
      <c r="F261" s="769" t="s">
        <v>2118</v>
      </c>
      <c r="G261" s="769" t="s">
        <v>2119</v>
      </c>
      <c r="H261" s="637" t="s">
        <v>2120</v>
      </c>
    </row>
    <row r="262" spans="2:8" x14ac:dyDescent="0.25">
      <c r="B262" s="637" t="b">
        <v>1</v>
      </c>
      <c r="C262" s="637" t="s">
        <v>2116</v>
      </c>
      <c r="D262" s="637" t="s">
        <v>2117</v>
      </c>
      <c r="E262" s="769" t="s">
        <v>1406</v>
      </c>
      <c r="F262" s="769" t="s">
        <v>2121</v>
      </c>
      <c r="G262" s="769" t="s">
        <v>2122</v>
      </c>
      <c r="H262" s="637" t="s">
        <v>2123</v>
      </c>
    </row>
    <row r="263" spans="2:8" x14ac:dyDescent="0.25">
      <c r="B263" s="637" t="b">
        <v>1</v>
      </c>
      <c r="C263" s="637" t="s">
        <v>2116</v>
      </c>
      <c r="D263" s="637" t="s">
        <v>2117</v>
      </c>
      <c r="E263" s="769" t="s">
        <v>1406</v>
      </c>
      <c r="F263" s="769" t="s">
        <v>2124</v>
      </c>
      <c r="G263" s="769" t="s">
        <v>2125</v>
      </c>
      <c r="H263" s="637" t="s">
        <v>2126</v>
      </c>
    </row>
    <row r="264" spans="2:8" x14ac:dyDescent="0.25">
      <c r="B264" s="637" t="b">
        <v>1</v>
      </c>
      <c r="C264" s="637" t="s">
        <v>2116</v>
      </c>
      <c r="D264" s="637" t="s">
        <v>2117</v>
      </c>
      <c r="E264" s="769" t="s">
        <v>1406</v>
      </c>
      <c r="F264" s="769" t="s">
        <v>2127</v>
      </c>
      <c r="G264" s="769" t="s">
        <v>2128</v>
      </c>
      <c r="H264" s="637" t="s">
        <v>2129</v>
      </c>
    </row>
    <row r="265" spans="2:8" x14ac:dyDescent="0.25">
      <c r="B265" s="637" t="b">
        <v>1</v>
      </c>
      <c r="C265" s="637" t="s">
        <v>2116</v>
      </c>
      <c r="D265" s="637" t="s">
        <v>2117</v>
      </c>
      <c r="E265" s="769" t="s">
        <v>1406</v>
      </c>
      <c r="F265" s="769" t="s">
        <v>2130</v>
      </c>
      <c r="G265" s="769" t="s">
        <v>2131</v>
      </c>
      <c r="H265" s="637" t="s">
        <v>2132</v>
      </c>
    </row>
    <row r="266" spans="2:8" x14ac:dyDescent="0.25">
      <c r="B266" s="637" t="b">
        <v>1</v>
      </c>
      <c r="C266" s="637" t="s">
        <v>2116</v>
      </c>
      <c r="D266" s="637" t="s">
        <v>2117</v>
      </c>
      <c r="E266" s="769" t="s">
        <v>1406</v>
      </c>
      <c r="F266" s="769" t="s">
        <v>2133</v>
      </c>
      <c r="G266" s="769" t="s">
        <v>2134</v>
      </c>
      <c r="H266" s="637" t="s">
        <v>2135</v>
      </c>
    </row>
    <row r="267" spans="2:8" x14ac:dyDescent="0.25">
      <c r="B267" s="637" t="b">
        <v>1</v>
      </c>
      <c r="C267" s="637" t="s">
        <v>2116</v>
      </c>
      <c r="D267" s="637" t="s">
        <v>2117</v>
      </c>
      <c r="E267" s="769" t="s">
        <v>1406</v>
      </c>
      <c r="F267" s="769" t="s">
        <v>2136</v>
      </c>
      <c r="G267" s="769" t="s">
        <v>2137</v>
      </c>
      <c r="H267" s="637" t="s">
        <v>2138</v>
      </c>
    </row>
    <row r="268" spans="2:8" x14ac:dyDescent="0.25">
      <c r="B268" s="637" t="b">
        <v>1</v>
      </c>
      <c r="C268" s="637" t="s">
        <v>2139</v>
      </c>
      <c r="D268" s="637" t="s">
        <v>2140</v>
      </c>
      <c r="E268" s="769" t="s">
        <v>1382</v>
      </c>
      <c r="F268" s="769" t="s">
        <v>2141</v>
      </c>
      <c r="G268" s="769" t="s">
        <v>2142</v>
      </c>
      <c r="H268" s="637" t="s">
        <v>2143</v>
      </c>
    </row>
    <row r="269" spans="2:8" x14ac:dyDescent="0.25">
      <c r="B269" s="637" t="b">
        <v>1</v>
      </c>
      <c r="C269" s="637" t="s">
        <v>2139</v>
      </c>
      <c r="D269" s="637" t="s">
        <v>2140</v>
      </c>
      <c r="E269" s="769" t="s">
        <v>1382</v>
      </c>
      <c r="F269" s="769" t="s">
        <v>2144</v>
      </c>
      <c r="G269" s="769" t="s">
        <v>2145</v>
      </c>
      <c r="H269" s="637" t="s">
        <v>2146</v>
      </c>
    </row>
    <row r="270" spans="2:8" x14ac:dyDescent="0.25">
      <c r="B270" s="637" t="b">
        <v>1</v>
      </c>
      <c r="C270" s="637" t="s">
        <v>2139</v>
      </c>
      <c r="D270" s="637" t="s">
        <v>2140</v>
      </c>
      <c r="E270" s="769" t="s">
        <v>1382</v>
      </c>
      <c r="F270" s="769" t="s">
        <v>2147</v>
      </c>
      <c r="G270" s="769" t="s">
        <v>2148</v>
      </c>
      <c r="H270" s="637" t="s">
        <v>2149</v>
      </c>
    </row>
    <row r="271" spans="2:8" x14ac:dyDescent="0.25">
      <c r="B271" s="637" t="b">
        <v>1</v>
      </c>
      <c r="C271" s="637" t="s">
        <v>2150</v>
      </c>
      <c r="D271" s="637" t="s">
        <v>2151</v>
      </c>
      <c r="E271" s="769" t="s">
        <v>1394</v>
      </c>
      <c r="F271" s="769" t="s">
        <v>2152</v>
      </c>
      <c r="G271" s="769" t="s">
        <v>2153</v>
      </c>
      <c r="H271" s="637" t="s">
        <v>2154</v>
      </c>
    </row>
    <row r="272" spans="2:8" x14ac:dyDescent="0.25">
      <c r="B272" s="637" t="b">
        <v>1</v>
      </c>
      <c r="C272" s="637" t="s">
        <v>2150</v>
      </c>
      <c r="D272" s="637" t="s">
        <v>2151</v>
      </c>
      <c r="E272" s="769" t="s">
        <v>1394</v>
      </c>
      <c r="F272" s="769" t="s">
        <v>2155</v>
      </c>
      <c r="G272" s="769" t="s">
        <v>2156</v>
      </c>
      <c r="H272" s="637" t="s">
        <v>2157</v>
      </c>
    </row>
    <row r="273" spans="2:8" x14ac:dyDescent="0.25">
      <c r="B273" s="637" t="b">
        <v>1</v>
      </c>
      <c r="C273" s="637" t="s">
        <v>2150</v>
      </c>
      <c r="D273" s="637" t="s">
        <v>2151</v>
      </c>
      <c r="E273" s="769" t="s">
        <v>1394</v>
      </c>
      <c r="F273" s="769" t="s">
        <v>2158</v>
      </c>
      <c r="G273" s="769" t="s">
        <v>2159</v>
      </c>
      <c r="H273" s="637" t="s">
        <v>2160</v>
      </c>
    </row>
    <row r="274" spans="2:8" x14ac:dyDescent="0.25">
      <c r="B274" s="637" t="b">
        <v>1</v>
      </c>
      <c r="C274" s="637" t="s">
        <v>2150</v>
      </c>
      <c r="D274" s="637" t="s">
        <v>2151</v>
      </c>
      <c r="E274" s="769" t="s">
        <v>1394</v>
      </c>
      <c r="F274" s="769" t="s">
        <v>2161</v>
      </c>
      <c r="G274" s="769" t="s">
        <v>2162</v>
      </c>
      <c r="H274" s="637" t="s">
        <v>2163</v>
      </c>
    </row>
    <row r="275" spans="2:8" x14ac:dyDescent="0.25">
      <c r="B275" s="637" t="b">
        <v>1</v>
      </c>
      <c r="C275" s="637" t="s">
        <v>2150</v>
      </c>
      <c r="D275" s="637" t="s">
        <v>2151</v>
      </c>
      <c r="E275" s="769" t="s">
        <v>1394</v>
      </c>
      <c r="F275" s="769" t="s">
        <v>2164</v>
      </c>
      <c r="G275" s="769" t="s">
        <v>2165</v>
      </c>
      <c r="H275" s="637" t="s">
        <v>2166</v>
      </c>
    </row>
    <row r="276" spans="2:8" x14ac:dyDescent="0.25">
      <c r="B276" s="637" t="b">
        <v>1</v>
      </c>
      <c r="C276" s="637" t="s">
        <v>2150</v>
      </c>
      <c r="D276" s="637" t="s">
        <v>2151</v>
      </c>
      <c r="E276" s="769" t="s">
        <v>1394</v>
      </c>
      <c r="F276" s="769" t="s">
        <v>2167</v>
      </c>
      <c r="G276" s="769" t="s">
        <v>2168</v>
      </c>
      <c r="H276" s="637" t="s">
        <v>2169</v>
      </c>
    </row>
    <row r="277" spans="2:8" x14ac:dyDescent="0.25">
      <c r="B277" s="637" t="b">
        <v>1</v>
      </c>
      <c r="C277" s="637" t="s">
        <v>2150</v>
      </c>
      <c r="D277" s="637" t="s">
        <v>2151</v>
      </c>
      <c r="E277" s="769" t="s">
        <v>1394</v>
      </c>
      <c r="F277" s="769" t="s">
        <v>2170</v>
      </c>
      <c r="G277" s="769" t="s">
        <v>2171</v>
      </c>
      <c r="H277" s="637" t="s">
        <v>2172</v>
      </c>
    </row>
    <row r="278" spans="2:8" x14ac:dyDescent="0.25">
      <c r="B278" s="637" t="b">
        <v>1</v>
      </c>
      <c r="C278" s="637" t="s">
        <v>2150</v>
      </c>
      <c r="D278" s="637" t="s">
        <v>2151</v>
      </c>
      <c r="E278" s="769" t="s">
        <v>1394</v>
      </c>
      <c r="F278" s="769" t="s">
        <v>2173</v>
      </c>
      <c r="G278" s="769" t="s">
        <v>2174</v>
      </c>
      <c r="H278" s="637" t="s">
        <v>2175</v>
      </c>
    </row>
    <row r="279" spans="2:8" x14ac:dyDescent="0.25">
      <c r="B279" s="637" t="b">
        <v>1</v>
      </c>
      <c r="C279" s="637" t="s">
        <v>2150</v>
      </c>
      <c r="D279" s="637" t="s">
        <v>2151</v>
      </c>
      <c r="E279" s="769" t="s">
        <v>1394</v>
      </c>
      <c r="F279" s="769" t="s">
        <v>2176</v>
      </c>
      <c r="G279" s="769" t="s">
        <v>2177</v>
      </c>
      <c r="H279" s="637" t="s">
        <v>2178</v>
      </c>
    </row>
    <row r="280" spans="2:8" x14ac:dyDescent="0.25">
      <c r="B280" s="637" t="b">
        <v>1</v>
      </c>
      <c r="C280" s="637" t="s">
        <v>2150</v>
      </c>
      <c r="D280" s="637" t="s">
        <v>2151</v>
      </c>
      <c r="E280" s="769" t="s">
        <v>1394</v>
      </c>
      <c r="F280" s="769" t="s">
        <v>2179</v>
      </c>
      <c r="G280" s="769" t="s">
        <v>2180</v>
      </c>
      <c r="H280" s="637" t="s">
        <v>2181</v>
      </c>
    </row>
    <row r="281" spans="2:8" x14ac:dyDescent="0.25">
      <c r="B281" s="637" t="b">
        <v>1</v>
      </c>
      <c r="C281" s="637" t="s">
        <v>2150</v>
      </c>
      <c r="D281" s="637" t="s">
        <v>2151</v>
      </c>
      <c r="E281" s="769" t="s">
        <v>1394</v>
      </c>
      <c r="F281" s="769" t="s">
        <v>2182</v>
      </c>
      <c r="G281" s="769" t="s">
        <v>2183</v>
      </c>
      <c r="H281" s="637" t="s">
        <v>2184</v>
      </c>
    </row>
    <row r="282" spans="2:8" x14ac:dyDescent="0.25">
      <c r="B282" s="637" t="b">
        <v>1</v>
      </c>
      <c r="C282" s="637" t="s">
        <v>2150</v>
      </c>
      <c r="D282" s="637" t="s">
        <v>2151</v>
      </c>
      <c r="E282" s="769" t="s">
        <v>1394</v>
      </c>
      <c r="F282" s="769" t="s">
        <v>2185</v>
      </c>
      <c r="G282" s="769" t="s">
        <v>2186</v>
      </c>
      <c r="H282" s="637" t="s">
        <v>2187</v>
      </c>
    </row>
    <row r="283" spans="2:8" x14ac:dyDescent="0.25">
      <c r="B283" s="637" t="b">
        <v>1</v>
      </c>
      <c r="C283" s="637" t="s">
        <v>2188</v>
      </c>
      <c r="D283" s="637" t="s">
        <v>2189</v>
      </c>
      <c r="E283" s="769" t="s">
        <v>1400</v>
      </c>
      <c r="F283" s="769" t="s">
        <v>2190</v>
      </c>
      <c r="G283" s="769" t="s">
        <v>2191</v>
      </c>
      <c r="H283" s="637" t="s">
        <v>2192</v>
      </c>
    </row>
    <row r="284" spans="2:8" x14ac:dyDescent="0.25">
      <c r="B284" s="637" t="b">
        <v>1</v>
      </c>
      <c r="C284" s="637" t="s">
        <v>2188</v>
      </c>
      <c r="D284" s="637" t="s">
        <v>2189</v>
      </c>
      <c r="E284" s="769" t="s">
        <v>1400</v>
      </c>
      <c r="F284" s="769" t="s">
        <v>2193</v>
      </c>
      <c r="G284" s="769" t="s">
        <v>2194</v>
      </c>
      <c r="H284" s="637" t="s">
        <v>2195</v>
      </c>
    </row>
    <row r="285" spans="2:8" x14ac:dyDescent="0.25">
      <c r="B285" s="637" t="b">
        <v>1</v>
      </c>
      <c r="C285" s="637" t="s">
        <v>2188</v>
      </c>
      <c r="D285" s="637" t="s">
        <v>2189</v>
      </c>
      <c r="E285" s="769" t="s">
        <v>1400</v>
      </c>
      <c r="F285" s="769" t="s">
        <v>2196</v>
      </c>
      <c r="G285" s="769" t="s">
        <v>2197</v>
      </c>
      <c r="H285" s="637" t="s">
        <v>2198</v>
      </c>
    </row>
    <row r="286" spans="2:8" x14ac:dyDescent="0.25">
      <c r="B286" s="637" t="b">
        <v>1</v>
      </c>
      <c r="C286" s="637" t="s">
        <v>2188</v>
      </c>
      <c r="D286" s="637" t="s">
        <v>2189</v>
      </c>
      <c r="E286" s="769" t="s">
        <v>1400</v>
      </c>
      <c r="F286" s="769" t="s">
        <v>2199</v>
      </c>
      <c r="G286" s="769" t="s">
        <v>2200</v>
      </c>
      <c r="H286" s="637" t="s">
        <v>2201</v>
      </c>
    </row>
    <row r="287" spans="2:8" x14ac:dyDescent="0.25">
      <c r="B287" s="637" t="b">
        <v>1</v>
      </c>
      <c r="C287" s="637" t="s">
        <v>2188</v>
      </c>
      <c r="D287" s="637" t="s">
        <v>2189</v>
      </c>
      <c r="E287" s="769" t="s">
        <v>1400</v>
      </c>
      <c r="F287" s="769" t="s">
        <v>2202</v>
      </c>
      <c r="G287" s="769" t="s">
        <v>2203</v>
      </c>
      <c r="H287" s="637" t="s">
        <v>2204</v>
      </c>
    </row>
    <row r="288" spans="2:8" x14ac:dyDescent="0.25">
      <c r="B288" s="637" t="b">
        <v>1</v>
      </c>
      <c r="C288" s="637" t="s">
        <v>2188</v>
      </c>
      <c r="D288" s="637" t="s">
        <v>2189</v>
      </c>
      <c r="E288" s="769" t="s">
        <v>1400</v>
      </c>
      <c r="F288" s="769" t="s">
        <v>2205</v>
      </c>
      <c r="G288" s="769" t="s">
        <v>2206</v>
      </c>
      <c r="H288" s="637" t="s">
        <v>2207</v>
      </c>
    </row>
    <row r="289" spans="2:8" x14ac:dyDescent="0.25">
      <c r="B289" s="637" t="b">
        <v>1</v>
      </c>
      <c r="C289" s="637" t="s">
        <v>2188</v>
      </c>
      <c r="D289" s="637" t="s">
        <v>2189</v>
      </c>
      <c r="E289" s="769" t="s">
        <v>1400</v>
      </c>
      <c r="F289" s="769" t="s">
        <v>2208</v>
      </c>
      <c r="G289" s="769" t="s">
        <v>2209</v>
      </c>
      <c r="H289" s="637" t="s">
        <v>2210</v>
      </c>
    </row>
  </sheetData>
  <dataValidations count="2">
    <dataValidation type="custom" allowBlank="1" showInputMessage="1" showErrorMessage="1" errorTitle="X-Author for Excel" error="Id and Lookup fields are not editable." promptTitle="X-Author for Excel" sqref="D6:D10 H40:H289 C40:C289 I14:I35 C14:C35" xr:uid="{00000000-0002-0000-1900-000000000000}">
      <formula1>""</formula1>
    </dataValidation>
    <dataValidation type="list" allowBlank="1" showInputMessage="1" showErrorMessage="1" errorTitle="X-Author for Excel" error="Please select either TRUE or FALSE from the dropdown." promptTitle="X-Author for Excel" sqref="B40:B289" xr:uid="{00000000-0002-0000-1900-000001000000}">
      <formula1>"TRUE,FALSE"</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theme="5"/>
  </sheetPr>
  <dimension ref="A1:O76"/>
  <sheetViews>
    <sheetView showGridLines="0" topLeftCell="A4" zoomScale="70" zoomScaleNormal="70" zoomScaleSheetLayoutView="55" workbookViewId="0">
      <selection activeCell="A6" sqref="A6"/>
    </sheetView>
  </sheetViews>
  <sheetFormatPr baseColWidth="10" defaultColWidth="9.140625" defaultRowHeight="12.75" x14ac:dyDescent="0.2"/>
  <cols>
    <col min="1" max="1" width="12.140625" style="146" customWidth="1"/>
    <col min="2" max="2" width="28.85546875" style="146" customWidth="1"/>
    <col min="3" max="3" width="22.42578125" style="146" customWidth="1"/>
    <col min="4" max="4" width="16.85546875" style="146" customWidth="1"/>
    <col min="5" max="5" width="21.85546875" style="146" customWidth="1"/>
    <col min="6" max="6" width="15.85546875" style="146" customWidth="1"/>
    <col min="7" max="7" width="10.140625" style="146" customWidth="1"/>
    <col min="8" max="8" width="22.140625" style="146" customWidth="1"/>
    <col min="9" max="9" width="9.140625" style="146" customWidth="1"/>
    <col min="10" max="11" width="9.140625" style="146"/>
    <col min="12" max="12" width="3.140625" style="146" customWidth="1"/>
    <col min="13" max="14" width="9.140625" style="146"/>
    <col min="15" max="15" width="17.5703125" style="146" customWidth="1"/>
    <col min="16" max="16384" width="9.140625" style="146"/>
  </cols>
  <sheetData>
    <row r="1" spans="1:15" s="255" customFormat="1" ht="34.5" customHeight="1" x14ac:dyDescent="0.6">
      <c r="A1" s="1618" t="str">
        <f>CoverSheet!A1</f>
        <v>Rapport périodique sur les résultats actuels et demande de décaissement</v>
      </c>
      <c r="B1" s="1618"/>
      <c r="C1" s="1618"/>
      <c r="D1" s="1618"/>
      <c r="E1" s="1618"/>
      <c r="F1" s="1618"/>
      <c r="G1" s="1618"/>
      <c r="H1" s="1618"/>
      <c r="I1" s="1618"/>
      <c r="J1" s="1618"/>
      <c r="K1" s="1618"/>
      <c r="L1" s="1618"/>
      <c r="M1" s="1618"/>
      <c r="N1" s="1618"/>
      <c r="O1" s="1618"/>
    </row>
    <row r="2" spans="1:15" ht="20.25" x14ac:dyDescent="0.3">
      <c r="A2" s="254" t="str">
        <f>VLOOKUP(Translations!B340,Translations!B3:H508,4,0)</f>
        <v>Section 5 : Évaluation des résultats globaux par le récipiendaire principal et l'agent local du Fonds</v>
      </c>
      <c r="B2" s="253"/>
      <c r="C2" s="253"/>
      <c r="D2" s="253"/>
      <c r="E2" s="253"/>
      <c r="F2" s="253"/>
      <c r="G2" s="253"/>
      <c r="H2" s="253"/>
      <c r="I2" s="253"/>
      <c r="J2" s="253"/>
      <c r="K2" s="253"/>
      <c r="L2" s="105"/>
      <c r="M2" s="105"/>
      <c r="N2" s="105"/>
      <c r="O2" s="105"/>
    </row>
    <row r="3" spans="1:15" ht="20.25" x14ac:dyDescent="0.3">
      <c r="A3" s="251"/>
      <c r="B3" s="251"/>
      <c r="C3" s="251"/>
      <c r="D3" s="251"/>
      <c r="E3" s="251"/>
      <c r="F3" s="251"/>
      <c r="G3" s="251"/>
      <c r="H3" s="251"/>
      <c r="I3" s="251"/>
      <c r="J3" s="251"/>
      <c r="K3" s="251"/>
    </row>
    <row r="4" spans="1:15" ht="44.25" customHeight="1" x14ac:dyDescent="0.2">
      <c r="A4" s="1775" t="str">
        <f>VLOOKUP(Translations!B341,Translations!B3:H508,4,0)</f>
        <v>A. Autoévaluation globale des résultats de la subvention par le RP (y compris un résumé des liens entre les résultats financiers et programmatiques)</v>
      </c>
      <c r="B4" s="1775"/>
      <c r="C4" s="1775"/>
      <c r="D4" s="1775"/>
      <c r="E4" s="1775"/>
      <c r="F4" s="1775"/>
      <c r="G4" s="1775"/>
      <c r="H4" s="1775"/>
      <c r="I4" s="1775"/>
      <c r="J4" s="1775"/>
      <c r="K4" s="1775"/>
      <c r="L4" s="1775"/>
      <c r="M4" s="1775"/>
      <c r="N4" s="1775"/>
      <c r="O4" s="1775"/>
    </row>
    <row r="5" spans="1:15" ht="42.75" customHeight="1" x14ac:dyDescent="0.2">
      <c r="A5" s="1770" t="str">
        <f>VLOOKUP(Translations!B342,Translations!B3:H508,4,0)</f>
        <v>!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v>
      </c>
      <c r="B5" s="1771"/>
      <c r="C5" s="1771"/>
      <c r="D5" s="1771"/>
      <c r="E5" s="1771"/>
      <c r="F5" s="1771"/>
      <c r="G5" s="1771"/>
      <c r="H5" s="1771"/>
      <c r="I5" s="1771"/>
      <c r="J5" s="1771"/>
      <c r="K5" s="1771"/>
    </row>
    <row r="6" spans="1:15" x14ac:dyDescent="0.2">
      <c r="A6" s="1776" t="s">
        <v>2211</v>
      </c>
      <c r="B6" s="1777"/>
      <c r="C6" s="1777"/>
      <c r="D6" s="1777"/>
      <c r="E6" s="1777"/>
      <c r="F6" s="1777"/>
      <c r="G6" s="1777"/>
      <c r="H6" s="1777"/>
      <c r="I6" s="1777"/>
      <c r="J6" s="1777"/>
      <c r="K6" s="1777"/>
      <c r="L6" s="1777"/>
      <c r="M6" s="1777"/>
      <c r="N6" s="1777"/>
      <c r="O6" s="1778"/>
    </row>
    <row r="7" spans="1:15" ht="26.25" customHeight="1" x14ac:dyDescent="0.2">
      <c r="A7" s="1779"/>
      <c r="B7" s="1780"/>
      <c r="C7" s="1780"/>
      <c r="D7" s="1780"/>
      <c r="E7" s="1780"/>
      <c r="F7" s="1780"/>
      <c r="G7" s="1780"/>
      <c r="H7" s="1780"/>
      <c r="I7" s="1780"/>
      <c r="J7" s="1780"/>
      <c r="K7" s="1780"/>
      <c r="L7" s="1780"/>
      <c r="M7" s="1780"/>
      <c r="N7" s="1780"/>
      <c r="O7" s="1781"/>
    </row>
    <row r="8" spans="1:15" ht="13.5" customHeight="1" x14ac:dyDescent="0.2">
      <c r="A8" s="1779"/>
      <c r="B8" s="1780"/>
      <c r="C8" s="1780"/>
      <c r="D8" s="1780"/>
      <c r="E8" s="1780"/>
      <c r="F8" s="1780"/>
      <c r="G8" s="1780"/>
      <c r="H8" s="1780"/>
      <c r="I8" s="1780"/>
      <c r="J8" s="1780"/>
      <c r="K8" s="1780"/>
      <c r="L8" s="1780"/>
      <c r="M8" s="1780"/>
      <c r="N8" s="1780"/>
      <c r="O8" s="1781"/>
    </row>
    <row r="9" spans="1:15" s="252" customFormat="1" ht="24" customHeight="1" x14ac:dyDescent="0.25">
      <c r="A9" s="1779"/>
      <c r="B9" s="1780"/>
      <c r="C9" s="1780"/>
      <c r="D9" s="1780"/>
      <c r="E9" s="1780"/>
      <c r="F9" s="1780"/>
      <c r="G9" s="1780"/>
      <c r="H9" s="1780"/>
      <c r="I9" s="1780"/>
      <c r="J9" s="1780"/>
      <c r="K9" s="1780"/>
      <c r="L9" s="1780"/>
      <c r="M9" s="1780"/>
      <c r="N9" s="1780"/>
      <c r="O9" s="1781"/>
    </row>
    <row r="10" spans="1:15" ht="45.75" customHeight="1" x14ac:dyDescent="0.2">
      <c r="A10" s="1782"/>
      <c r="B10" s="1783"/>
      <c r="C10" s="1783"/>
      <c r="D10" s="1783"/>
      <c r="E10" s="1783"/>
      <c r="F10" s="1783"/>
      <c r="G10" s="1783"/>
      <c r="H10" s="1783"/>
      <c r="I10" s="1783"/>
      <c r="J10" s="1783"/>
      <c r="K10" s="1783"/>
      <c r="L10" s="1783"/>
      <c r="M10" s="1783"/>
      <c r="N10" s="1783"/>
      <c r="O10" s="1784"/>
    </row>
    <row r="11" spans="1:15" ht="25.5" customHeight="1" x14ac:dyDescent="0.3">
      <c r="A11" s="251"/>
      <c r="B11" s="251"/>
      <c r="C11" s="251"/>
      <c r="D11" s="251"/>
      <c r="E11" s="251"/>
      <c r="F11" s="251"/>
      <c r="G11" s="251"/>
      <c r="H11" s="251"/>
      <c r="I11" s="251"/>
      <c r="J11" s="251"/>
      <c r="K11" s="251"/>
    </row>
    <row r="12" spans="1:15" ht="25.5" customHeight="1" x14ac:dyDescent="0.2">
      <c r="A12" s="1759" t="str">
        <f>VLOOKUP(Translations!B343,Translations!B3:H508,4,0)</f>
        <v>B. Modifications prévues du programme, le cas échéant</v>
      </c>
      <c r="B12" s="1759"/>
      <c r="C12" s="1759"/>
      <c r="D12" s="1759"/>
      <c r="E12" s="1759"/>
      <c r="F12" s="1759"/>
      <c r="G12" s="1759"/>
      <c r="H12" s="1759"/>
      <c r="I12" s="1759"/>
      <c r="J12" s="1759"/>
      <c r="K12" s="1759"/>
      <c r="L12" s="1759"/>
      <c r="M12" s="1759"/>
      <c r="N12" s="1759"/>
      <c r="O12" s="1759"/>
    </row>
    <row r="13" spans="1:15" ht="25.5" customHeight="1" x14ac:dyDescent="0.2">
      <c r="A13" s="1760" t="s">
        <v>2212</v>
      </c>
      <c r="B13" s="1761"/>
      <c r="C13" s="1761"/>
      <c r="D13" s="1761"/>
      <c r="E13" s="1761"/>
      <c r="F13" s="1761"/>
      <c r="G13" s="1761"/>
      <c r="H13" s="1761"/>
      <c r="I13" s="1761"/>
      <c r="J13" s="1761"/>
      <c r="K13" s="1761"/>
      <c r="L13" s="1761"/>
      <c r="M13" s="1761"/>
      <c r="N13" s="1761"/>
      <c r="O13" s="1762"/>
    </row>
    <row r="14" spans="1:15" ht="25.5" customHeight="1" x14ac:dyDescent="0.2">
      <c r="A14" s="1763"/>
      <c r="B14" s="1764"/>
      <c r="C14" s="1764"/>
      <c r="D14" s="1764"/>
      <c r="E14" s="1764"/>
      <c r="F14" s="1764"/>
      <c r="G14" s="1764"/>
      <c r="H14" s="1764"/>
      <c r="I14" s="1764"/>
      <c r="J14" s="1764"/>
      <c r="K14" s="1764"/>
      <c r="L14" s="1764"/>
      <c r="M14" s="1764"/>
      <c r="N14" s="1764"/>
      <c r="O14" s="1765"/>
    </row>
    <row r="15" spans="1:15" ht="25.5" customHeight="1" x14ac:dyDescent="0.2">
      <c r="A15" s="1763"/>
      <c r="B15" s="1764"/>
      <c r="C15" s="1764"/>
      <c r="D15" s="1764"/>
      <c r="E15" s="1764"/>
      <c r="F15" s="1764"/>
      <c r="G15" s="1764"/>
      <c r="H15" s="1764"/>
      <c r="I15" s="1764"/>
      <c r="J15" s="1764"/>
      <c r="K15" s="1764"/>
      <c r="L15" s="1764"/>
      <c r="M15" s="1764"/>
      <c r="N15" s="1764"/>
      <c r="O15" s="1765"/>
    </row>
    <row r="16" spans="1:15" ht="12.75" customHeight="1" x14ac:dyDescent="0.2">
      <c r="A16" s="1763"/>
      <c r="B16" s="1764"/>
      <c r="C16" s="1764"/>
      <c r="D16" s="1764"/>
      <c r="E16" s="1764"/>
      <c r="F16" s="1764"/>
      <c r="G16" s="1764"/>
      <c r="H16" s="1764"/>
      <c r="I16" s="1764"/>
      <c r="J16" s="1764"/>
      <c r="K16" s="1764"/>
      <c r="L16" s="1764"/>
      <c r="M16" s="1764"/>
      <c r="N16" s="1764"/>
      <c r="O16" s="1765"/>
    </row>
    <row r="17" spans="1:15" ht="27" customHeight="1" x14ac:dyDescent="0.2">
      <c r="A17" s="1766"/>
      <c r="B17" s="1767"/>
      <c r="C17" s="1767"/>
      <c r="D17" s="1767"/>
      <c r="E17" s="1767"/>
      <c r="F17" s="1767"/>
      <c r="G17" s="1767"/>
      <c r="H17" s="1767"/>
      <c r="I17" s="1767"/>
      <c r="J17" s="1767"/>
      <c r="K17" s="1767"/>
      <c r="L17" s="1767"/>
      <c r="M17" s="1767"/>
      <c r="N17" s="1767"/>
      <c r="O17" s="1768"/>
    </row>
    <row r="18" spans="1:15" ht="21" customHeight="1" x14ac:dyDescent="0.2">
      <c r="A18" s="250"/>
      <c r="B18" s="250"/>
      <c r="C18" s="250"/>
      <c r="D18" s="250"/>
      <c r="E18" s="250"/>
      <c r="F18" s="250"/>
      <c r="G18" s="250"/>
      <c r="H18" s="250"/>
      <c r="I18" s="250"/>
      <c r="J18" s="250"/>
      <c r="K18" s="250"/>
    </row>
    <row r="19" spans="1:15" ht="25.5" customHeight="1" x14ac:dyDescent="0.2">
      <c r="A19" s="1759" t="str">
        <f>VLOOKUP(Translations!B344,Translations!B3:H508,4,0)</f>
        <v>C.  Facteurs externes échappant au contrôle du récipiendaire principal et ayant eu ou étant susceptibles d’avoir une incidence sur le programme</v>
      </c>
      <c r="B19" s="1759"/>
      <c r="C19" s="1759"/>
      <c r="D19" s="1759"/>
      <c r="E19" s="1759"/>
      <c r="F19" s="1759"/>
      <c r="G19" s="1759"/>
      <c r="H19" s="1759"/>
      <c r="I19" s="1759"/>
      <c r="J19" s="1759"/>
      <c r="K19" s="1759"/>
      <c r="L19" s="1759"/>
      <c r="M19" s="1759"/>
      <c r="N19" s="1759"/>
      <c r="O19" s="1759"/>
    </row>
    <row r="20" spans="1:15" ht="21" customHeight="1" x14ac:dyDescent="0.2">
      <c r="A20" s="1760" t="s">
        <v>2213</v>
      </c>
      <c r="B20" s="1761"/>
      <c r="C20" s="1761"/>
      <c r="D20" s="1761"/>
      <c r="E20" s="1761"/>
      <c r="F20" s="1761"/>
      <c r="G20" s="1761"/>
      <c r="H20" s="1761"/>
      <c r="I20" s="1761"/>
      <c r="J20" s="1761"/>
      <c r="K20" s="1761"/>
      <c r="L20" s="1761"/>
      <c r="M20" s="1761"/>
      <c r="N20" s="1761"/>
      <c r="O20" s="1762"/>
    </row>
    <row r="21" spans="1:15" ht="21" customHeight="1" x14ac:dyDescent="0.2">
      <c r="A21" s="1763"/>
      <c r="B21" s="1764"/>
      <c r="C21" s="1764"/>
      <c r="D21" s="1764"/>
      <c r="E21" s="1764"/>
      <c r="F21" s="1764"/>
      <c r="G21" s="1764"/>
      <c r="H21" s="1764"/>
      <c r="I21" s="1764"/>
      <c r="J21" s="1764"/>
      <c r="K21" s="1764"/>
      <c r="L21" s="1764"/>
      <c r="M21" s="1764"/>
      <c r="N21" s="1764"/>
      <c r="O21" s="1765"/>
    </row>
    <row r="22" spans="1:15" ht="21" customHeight="1" x14ac:dyDescent="0.2">
      <c r="A22" s="1763"/>
      <c r="B22" s="1764"/>
      <c r="C22" s="1764"/>
      <c r="D22" s="1764"/>
      <c r="E22" s="1764"/>
      <c r="F22" s="1764"/>
      <c r="G22" s="1764"/>
      <c r="H22" s="1764"/>
      <c r="I22" s="1764"/>
      <c r="J22" s="1764"/>
      <c r="K22" s="1764"/>
      <c r="L22" s="1764"/>
      <c r="M22" s="1764"/>
      <c r="N22" s="1764"/>
      <c r="O22" s="1765"/>
    </row>
    <row r="23" spans="1:15" x14ac:dyDescent="0.2">
      <c r="A23" s="1763"/>
      <c r="B23" s="1764"/>
      <c r="C23" s="1764"/>
      <c r="D23" s="1764"/>
      <c r="E23" s="1764"/>
      <c r="F23" s="1764"/>
      <c r="G23" s="1764"/>
      <c r="H23" s="1764"/>
      <c r="I23" s="1764"/>
      <c r="J23" s="1764"/>
      <c r="K23" s="1764"/>
      <c r="L23" s="1764"/>
      <c r="M23" s="1764"/>
      <c r="N23" s="1764"/>
      <c r="O23" s="1765"/>
    </row>
    <row r="24" spans="1:15" ht="27.75" customHeight="1" x14ac:dyDescent="0.2">
      <c r="A24" s="1766"/>
      <c r="B24" s="1767"/>
      <c r="C24" s="1767"/>
      <c r="D24" s="1767"/>
      <c r="E24" s="1767"/>
      <c r="F24" s="1767"/>
      <c r="G24" s="1767"/>
      <c r="H24" s="1767"/>
      <c r="I24" s="1767"/>
      <c r="J24" s="1767"/>
      <c r="K24" s="1767"/>
      <c r="L24" s="1767"/>
      <c r="M24" s="1767"/>
      <c r="N24" s="1767"/>
      <c r="O24" s="1768"/>
    </row>
    <row r="25" spans="1:15" ht="27" customHeight="1" x14ac:dyDescent="0.2">
      <c r="A25" s="61"/>
      <c r="B25" s="61"/>
      <c r="C25" s="61"/>
      <c r="D25" s="61"/>
      <c r="E25" s="61"/>
      <c r="F25" s="61"/>
      <c r="G25" s="61"/>
      <c r="H25" s="61"/>
      <c r="I25" s="61"/>
      <c r="J25" s="61"/>
      <c r="K25" s="61"/>
    </row>
    <row r="26" spans="1:15" ht="27" customHeight="1" x14ac:dyDescent="0.4">
      <c r="A26" s="249" t="s">
        <v>1114</v>
      </c>
      <c r="B26" s="248"/>
      <c r="C26" s="248"/>
      <c r="D26" s="248"/>
      <c r="E26" s="248"/>
      <c r="F26" s="248"/>
      <c r="G26" s="248"/>
      <c r="H26" s="248"/>
      <c r="I26" s="248"/>
      <c r="J26" s="248"/>
      <c r="K26" s="248"/>
      <c r="L26" s="248"/>
      <c r="M26" s="248"/>
      <c r="N26" s="248"/>
    </row>
    <row r="27" spans="1:15" ht="27" customHeight="1" x14ac:dyDescent="0.3">
      <c r="A27" s="247"/>
      <c r="B27" s="247"/>
      <c r="C27" s="247"/>
      <c r="D27" s="247"/>
      <c r="E27" s="247"/>
      <c r="F27" s="247"/>
      <c r="G27" s="1300"/>
      <c r="H27" s="1300"/>
      <c r="I27" s="1300"/>
      <c r="J27" s="1300"/>
      <c r="K27" s="1301"/>
    </row>
    <row r="28" spans="1:15" ht="41.25" customHeight="1" x14ac:dyDescent="0.2">
      <c r="A28" s="1769" t="s">
        <v>2214</v>
      </c>
      <c r="B28" s="1769"/>
      <c r="C28" s="1769"/>
      <c r="D28" s="1769"/>
      <c r="E28" s="1769"/>
      <c r="F28" s="1769"/>
      <c r="G28" s="1769"/>
      <c r="H28" s="1769"/>
      <c r="I28" s="1769"/>
      <c r="J28" s="1769"/>
      <c r="K28" s="1769"/>
      <c r="L28" s="1769"/>
      <c r="M28" s="1769"/>
      <c r="N28" s="1769"/>
      <c r="O28" s="1769"/>
    </row>
    <row r="29" spans="1:15" ht="27" customHeight="1" x14ac:dyDescent="0.2">
      <c r="A29" s="1770" t="s">
        <v>2215</v>
      </c>
      <c r="B29" s="1771"/>
      <c r="C29" s="1771"/>
      <c r="D29" s="1771"/>
      <c r="E29" s="1771"/>
      <c r="F29" s="1771"/>
      <c r="G29" s="1771"/>
      <c r="H29" s="1771"/>
      <c r="I29" s="1771"/>
      <c r="J29" s="1771"/>
      <c r="K29" s="1771"/>
    </row>
    <row r="30" spans="1:15" ht="14.25" x14ac:dyDescent="0.2">
      <c r="A30" s="246"/>
      <c r="B30" s="245"/>
      <c r="C30" s="245"/>
      <c r="D30" s="245"/>
      <c r="E30" s="245"/>
      <c r="F30" s="245"/>
      <c r="G30" s="245"/>
      <c r="H30" s="245"/>
      <c r="I30" s="245"/>
      <c r="J30" s="245"/>
      <c r="K30" s="245"/>
    </row>
    <row r="31" spans="1:15" ht="71.25" x14ac:dyDescent="0.2">
      <c r="A31" s="244" t="s">
        <v>2216</v>
      </c>
      <c r="B31" s="1302" t="s">
        <v>1140</v>
      </c>
      <c r="C31" s="240"/>
      <c r="D31" s="244" t="s">
        <v>2217</v>
      </c>
      <c r="E31" s="1303" t="s">
        <v>1140</v>
      </c>
      <c r="F31" s="240"/>
      <c r="G31" s="244" t="s">
        <v>2218</v>
      </c>
      <c r="H31" s="1302" t="s">
        <v>1140</v>
      </c>
      <c r="I31" s="240"/>
      <c r="J31" s="240"/>
      <c r="K31" s="240"/>
    </row>
    <row r="32" spans="1:15" ht="15" customHeight="1" x14ac:dyDescent="0.2">
      <c r="A32" s="243"/>
      <c r="B32" s="241"/>
      <c r="C32" s="240"/>
      <c r="D32" s="242"/>
      <c r="E32" s="241"/>
      <c r="F32" s="240"/>
      <c r="G32" s="240"/>
      <c r="H32" s="241"/>
      <c r="I32" s="240"/>
      <c r="J32" s="240"/>
      <c r="K32" s="240"/>
    </row>
    <row r="33" spans="1:15" ht="33" customHeight="1" x14ac:dyDescent="0.2">
      <c r="A33" s="1755"/>
      <c r="B33" s="1755"/>
      <c r="C33" s="1755"/>
      <c r="D33" s="1755"/>
      <c r="E33" s="1755"/>
      <c r="F33" s="1755"/>
      <c r="G33" s="1755"/>
      <c r="H33" s="1755"/>
      <c r="I33" s="1755"/>
      <c r="J33" s="1755"/>
      <c r="K33" s="1755"/>
      <c r="L33" s="1755"/>
      <c r="M33" s="1755"/>
      <c r="N33" s="1755"/>
      <c r="O33" s="1755"/>
    </row>
    <row r="34" spans="1:15" ht="53.25" customHeight="1" x14ac:dyDescent="0.2">
      <c r="A34" s="1755"/>
      <c r="B34" s="1755"/>
      <c r="C34" s="1755"/>
      <c r="D34" s="1755"/>
      <c r="E34" s="1755"/>
      <c r="F34" s="1755"/>
      <c r="G34" s="1755"/>
      <c r="H34" s="1755"/>
      <c r="I34" s="1755"/>
      <c r="J34" s="1755"/>
      <c r="K34" s="1755"/>
      <c r="L34" s="1755"/>
      <c r="M34" s="1755"/>
      <c r="N34" s="1755"/>
      <c r="O34" s="1755"/>
    </row>
    <row r="35" spans="1:15" hidden="1" x14ac:dyDescent="0.2">
      <c r="A35" s="1755"/>
      <c r="B35" s="1755"/>
      <c r="C35" s="1755"/>
      <c r="D35" s="1755"/>
      <c r="E35" s="1755"/>
      <c r="F35" s="1755"/>
      <c r="G35" s="1755"/>
      <c r="H35" s="1755"/>
      <c r="I35" s="1755"/>
      <c r="J35" s="1755"/>
      <c r="K35" s="1755"/>
      <c r="L35" s="1755"/>
      <c r="M35" s="1755"/>
      <c r="N35" s="1755"/>
      <c r="O35" s="1755"/>
    </row>
    <row r="36" spans="1:15" ht="72" customHeight="1" x14ac:dyDescent="0.2">
      <c r="A36" s="1755"/>
      <c r="B36" s="1755"/>
      <c r="C36" s="1755"/>
      <c r="D36" s="1755"/>
      <c r="E36" s="1755"/>
      <c r="F36" s="1755"/>
      <c r="G36" s="1755"/>
      <c r="H36" s="1755"/>
      <c r="I36" s="1755"/>
      <c r="J36" s="1755"/>
      <c r="K36" s="1755"/>
      <c r="L36" s="1755"/>
      <c r="M36" s="1755"/>
      <c r="N36" s="1755"/>
      <c r="O36" s="1755"/>
    </row>
    <row r="37" spans="1:15" x14ac:dyDescent="0.2">
      <c r="A37" s="1755"/>
      <c r="B37" s="1755"/>
      <c r="C37" s="1755"/>
      <c r="D37" s="1755"/>
      <c r="E37" s="1755"/>
      <c r="F37" s="1755"/>
      <c r="G37" s="1755"/>
      <c r="H37" s="1755"/>
      <c r="I37" s="1755"/>
      <c r="J37" s="1755"/>
      <c r="K37" s="1755"/>
      <c r="L37" s="1755"/>
      <c r="M37" s="1755"/>
      <c r="N37" s="1755"/>
      <c r="O37" s="1755"/>
    </row>
    <row r="38" spans="1:15" ht="21" customHeight="1" x14ac:dyDescent="0.2">
      <c r="A38" s="1755"/>
      <c r="B38" s="1755"/>
      <c r="C38" s="1755"/>
      <c r="D38" s="1755"/>
      <c r="E38" s="1755"/>
      <c r="F38" s="1755"/>
      <c r="G38" s="1755"/>
      <c r="H38" s="1755"/>
      <c r="I38" s="1755"/>
      <c r="J38" s="1755"/>
      <c r="K38" s="1755"/>
      <c r="L38" s="1755"/>
      <c r="M38" s="1755"/>
      <c r="N38" s="1755"/>
      <c r="O38" s="1755"/>
    </row>
    <row r="39" spans="1:15" ht="21" customHeight="1" x14ac:dyDescent="0.2">
      <c r="A39" s="235"/>
    </row>
    <row r="40" spans="1:15" ht="33" customHeight="1" x14ac:dyDescent="0.25">
      <c r="A40" s="1772" t="s">
        <v>2219</v>
      </c>
      <c r="B40" s="1773"/>
      <c r="C40" s="1773"/>
      <c r="D40" s="1773"/>
      <c r="E40" s="1773"/>
      <c r="F40" s="1773"/>
      <c r="G40" s="1773"/>
      <c r="H40" s="1773"/>
      <c r="I40" s="1773"/>
      <c r="J40" s="1773"/>
      <c r="K40" s="1773"/>
      <c r="L40" s="1773"/>
      <c r="M40" s="1773"/>
      <c r="N40" s="1773"/>
      <c r="O40" s="1774"/>
    </row>
    <row r="41" spans="1:15" ht="21" customHeight="1" x14ac:dyDescent="0.2">
      <c r="A41" s="1755"/>
      <c r="B41" s="1755"/>
      <c r="C41" s="1755"/>
      <c r="D41" s="1755"/>
      <c r="E41" s="1755"/>
      <c r="F41" s="1755"/>
      <c r="G41" s="1755"/>
      <c r="H41" s="1755"/>
      <c r="I41" s="1755"/>
      <c r="J41" s="1755"/>
      <c r="K41" s="1755"/>
      <c r="L41" s="1756"/>
      <c r="M41" s="1756"/>
      <c r="N41" s="1756"/>
      <c r="O41" s="1756"/>
    </row>
    <row r="42" spans="1:15" ht="21" customHeight="1" x14ac:dyDescent="0.2">
      <c r="A42" s="1755"/>
      <c r="B42" s="1755"/>
      <c r="C42" s="1755"/>
      <c r="D42" s="1755"/>
      <c r="E42" s="1755"/>
      <c r="F42" s="1755"/>
      <c r="G42" s="1755"/>
      <c r="H42" s="1755"/>
      <c r="I42" s="1755"/>
      <c r="J42" s="1755"/>
      <c r="K42" s="1755"/>
      <c r="L42" s="1756"/>
      <c r="M42" s="1756"/>
      <c r="N42" s="1756"/>
      <c r="O42" s="1756"/>
    </row>
    <row r="43" spans="1:15" ht="21" customHeight="1" x14ac:dyDescent="0.2">
      <c r="A43" s="1755"/>
      <c r="B43" s="1755"/>
      <c r="C43" s="1755"/>
      <c r="D43" s="1755"/>
      <c r="E43" s="1755"/>
      <c r="F43" s="1755"/>
      <c r="G43" s="1755"/>
      <c r="H43" s="1755"/>
      <c r="I43" s="1755"/>
      <c r="J43" s="1755"/>
      <c r="K43" s="1755"/>
      <c r="L43" s="1756"/>
      <c r="M43" s="1756"/>
      <c r="N43" s="1756"/>
      <c r="O43" s="1756"/>
    </row>
    <row r="44" spans="1:15" x14ac:dyDescent="0.2">
      <c r="A44" s="1755"/>
      <c r="B44" s="1755"/>
      <c r="C44" s="1755"/>
      <c r="D44" s="1755"/>
      <c r="E44" s="1755"/>
      <c r="F44" s="1755"/>
      <c r="G44" s="1755"/>
      <c r="H44" s="1755"/>
      <c r="I44" s="1755"/>
      <c r="J44" s="1755"/>
      <c r="K44" s="1755"/>
      <c r="L44" s="1756"/>
      <c r="M44" s="1756"/>
      <c r="N44" s="1756"/>
      <c r="O44" s="1756"/>
    </row>
    <row r="45" spans="1:15" ht="24" customHeight="1" x14ac:dyDescent="0.2">
      <c r="A45" s="1755"/>
      <c r="B45" s="1755"/>
      <c r="C45" s="1755"/>
      <c r="D45" s="1755"/>
      <c r="E45" s="1755"/>
      <c r="F45" s="1755"/>
      <c r="G45" s="1755"/>
      <c r="H45" s="1755"/>
      <c r="I45" s="1755"/>
      <c r="J45" s="1755"/>
      <c r="K45" s="1755"/>
      <c r="L45" s="1756"/>
      <c r="M45" s="1756"/>
      <c r="N45" s="1756"/>
      <c r="O45" s="1756"/>
    </row>
    <row r="46" spans="1:15" ht="21.75" customHeight="1" x14ac:dyDescent="0.2">
      <c r="A46" s="1755"/>
      <c r="B46" s="1755"/>
      <c r="C46" s="1755"/>
      <c r="D46" s="1755"/>
      <c r="E46" s="1755"/>
      <c r="F46" s="1755"/>
      <c r="G46" s="1755"/>
      <c r="H46" s="1755"/>
      <c r="I46" s="1755"/>
      <c r="J46" s="1755"/>
      <c r="K46" s="1755"/>
      <c r="L46" s="1756"/>
      <c r="M46" s="1756"/>
      <c r="N46" s="1756"/>
      <c r="O46" s="1756"/>
    </row>
    <row r="47" spans="1:15" ht="21.75" customHeight="1" x14ac:dyDescent="0.2">
      <c r="A47" s="239"/>
      <c r="B47" s="239"/>
      <c r="C47" s="239"/>
      <c r="D47" s="239"/>
      <c r="E47" s="239"/>
      <c r="F47" s="239"/>
      <c r="G47" s="239"/>
      <c r="H47" s="239"/>
      <c r="I47" s="239"/>
      <c r="J47" s="239"/>
      <c r="K47" s="239"/>
      <c r="L47" s="61"/>
      <c r="M47" s="61"/>
      <c r="N47" s="61"/>
    </row>
    <row r="48" spans="1:15" ht="21.75" customHeight="1" x14ac:dyDescent="0.2">
      <c r="A48" s="238"/>
      <c r="B48" s="238"/>
      <c r="C48" s="238"/>
      <c r="D48" s="238"/>
      <c r="E48" s="238"/>
      <c r="F48" s="238"/>
      <c r="G48" s="238"/>
      <c r="H48" s="238"/>
      <c r="I48" s="238"/>
      <c r="J48" s="238"/>
      <c r="K48" s="237"/>
    </row>
    <row r="49" spans="1:15" ht="30.75" customHeight="1" x14ac:dyDescent="0.2">
      <c r="A49" s="951" t="s">
        <v>2220</v>
      </c>
      <c r="B49" s="951"/>
      <c r="C49" s="951"/>
      <c r="D49" s="951"/>
      <c r="E49" s="951"/>
      <c r="F49" s="951"/>
      <c r="G49" s="951"/>
      <c r="H49" s="951"/>
      <c r="I49" s="951"/>
      <c r="J49" s="951"/>
      <c r="K49" s="951"/>
      <c r="L49" s="951"/>
      <c r="M49" s="951"/>
      <c r="N49" s="951"/>
      <c r="O49" s="951"/>
    </row>
    <row r="50" spans="1:15" ht="21.75" customHeight="1" x14ac:dyDescent="0.2">
      <c r="A50" s="1755"/>
      <c r="B50" s="1755"/>
      <c r="C50" s="1755"/>
      <c r="D50" s="1755"/>
      <c r="E50" s="1755"/>
      <c r="F50" s="1755"/>
      <c r="G50" s="1755"/>
      <c r="H50" s="1755"/>
      <c r="I50" s="1755"/>
      <c r="J50" s="1755"/>
      <c r="K50" s="1755"/>
      <c r="L50" s="1757"/>
      <c r="M50" s="1757"/>
      <c r="N50" s="1757"/>
      <c r="O50" s="1757"/>
    </row>
    <row r="51" spans="1:15" ht="21.75" customHeight="1" x14ac:dyDescent="0.2">
      <c r="A51" s="1755"/>
      <c r="B51" s="1755"/>
      <c r="C51" s="1755"/>
      <c r="D51" s="1755"/>
      <c r="E51" s="1755"/>
      <c r="F51" s="1755"/>
      <c r="G51" s="1755"/>
      <c r="H51" s="1755"/>
      <c r="I51" s="1755"/>
      <c r="J51" s="1755"/>
      <c r="K51" s="1755"/>
      <c r="L51" s="1757"/>
      <c r="M51" s="1757"/>
      <c r="N51" s="1757"/>
      <c r="O51" s="1757"/>
    </row>
    <row r="52" spans="1:15" x14ac:dyDescent="0.2">
      <c r="A52" s="1755"/>
      <c r="B52" s="1755"/>
      <c r="C52" s="1755"/>
      <c r="D52" s="1755"/>
      <c r="E52" s="1755"/>
      <c r="F52" s="1755"/>
      <c r="G52" s="1755"/>
      <c r="H52" s="1755"/>
      <c r="I52" s="1755"/>
      <c r="J52" s="1755"/>
      <c r="K52" s="1755"/>
      <c r="L52" s="1757"/>
      <c r="M52" s="1757"/>
      <c r="N52" s="1757"/>
      <c r="O52" s="1757"/>
    </row>
    <row r="53" spans="1:15" x14ac:dyDescent="0.2">
      <c r="A53" s="1755"/>
      <c r="B53" s="1755"/>
      <c r="C53" s="1755"/>
      <c r="D53" s="1755"/>
      <c r="E53" s="1755"/>
      <c r="F53" s="1755"/>
      <c r="G53" s="1755"/>
      <c r="H53" s="1755"/>
      <c r="I53" s="1755"/>
      <c r="J53" s="1755"/>
      <c r="K53" s="1755"/>
      <c r="L53" s="1757"/>
      <c r="M53" s="1757"/>
      <c r="N53" s="1757"/>
      <c r="O53" s="1757"/>
    </row>
    <row r="54" spans="1:15" s="236" customFormat="1" ht="22.5" customHeight="1" x14ac:dyDescent="0.25">
      <c r="A54" s="1755"/>
      <c r="B54" s="1755"/>
      <c r="C54" s="1755"/>
      <c r="D54" s="1755"/>
      <c r="E54" s="1755"/>
      <c r="F54" s="1755"/>
      <c r="G54" s="1755"/>
      <c r="H54" s="1755"/>
      <c r="I54" s="1755"/>
      <c r="J54" s="1755"/>
      <c r="K54" s="1755"/>
      <c r="L54" s="1757"/>
      <c r="M54" s="1757"/>
      <c r="N54" s="1757"/>
      <c r="O54" s="1757"/>
    </row>
    <row r="55" spans="1:15" ht="23.25" customHeight="1" x14ac:dyDescent="0.2">
      <c r="A55" s="1755"/>
      <c r="B55" s="1755"/>
      <c r="C55" s="1755"/>
      <c r="D55" s="1755"/>
      <c r="E55" s="1755"/>
      <c r="F55" s="1755"/>
      <c r="G55" s="1755"/>
      <c r="H55" s="1755"/>
      <c r="I55" s="1755"/>
      <c r="J55" s="1755"/>
      <c r="K55" s="1755"/>
      <c r="L55" s="1757"/>
      <c r="M55" s="1757"/>
      <c r="N55" s="1757"/>
      <c r="O55" s="1757"/>
    </row>
    <row r="56" spans="1:15" ht="23.25" customHeight="1" x14ac:dyDescent="0.2">
      <c r="A56" s="235"/>
      <c r="B56" s="235"/>
      <c r="C56" s="235"/>
      <c r="D56" s="235"/>
      <c r="E56" s="235"/>
      <c r="F56" s="235"/>
      <c r="G56" s="235"/>
      <c r="H56" s="235"/>
      <c r="I56" s="235"/>
      <c r="J56" s="235"/>
      <c r="K56" s="234"/>
    </row>
    <row r="57" spans="1:15" ht="23.25" customHeight="1" x14ac:dyDescent="0.2">
      <c r="A57" s="1758"/>
      <c r="B57" s="1758"/>
      <c r="C57" s="1758"/>
      <c r="D57" s="1758"/>
      <c r="E57" s="1758"/>
      <c r="F57" s="1758"/>
      <c r="G57" s="1758"/>
      <c r="H57" s="1758"/>
      <c r="I57" s="1758"/>
      <c r="J57" s="1758"/>
      <c r="K57" s="1758"/>
    </row>
    <row r="58" spans="1:15" ht="23.25" customHeight="1" x14ac:dyDescent="0.2"/>
    <row r="59" spans="1:15" ht="23.25" customHeight="1" x14ac:dyDescent="0.2"/>
    <row r="60" spans="1:15" ht="23.25" customHeight="1" x14ac:dyDescent="0.2"/>
    <row r="73" spans="1:2" hidden="1" x14ac:dyDescent="0.2">
      <c r="A73" s="644" t="s">
        <v>122</v>
      </c>
      <c r="B73" s="644" t="s">
        <v>2221</v>
      </c>
    </row>
    <row r="74" spans="1:2" hidden="1" x14ac:dyDescent="0.2">
      <c r="A74" s="644" t="s">
        <v>2222</v>
      </c>
      <c r="B74" s="764" t="str">
        <f>IF(B31="Select","",B31)</f>
        <v/>
      </c>
    </row>
    <row r="75" spans="1:2" hidden="1" x14ac:dyDescent="0.2">
      <c r="A75" s="644" t="s">
        <v>2223</v>
      </c>
      <c r="B75" s="764" t="str">
        <f>IF(E31="Select","",E31)</f>
        <v/>
      </c>
    </row>
    <row r="76" spans="1:2" hidden="1" x14ac:dyDescent="0.2">
      <c r="A76" s="644" t="s">
        <v>2224</v>
      </c>
      <c r="B76" s="764" t="str">
        <f>IF(H31="Select","",H31)</f>
        <v/>
      </c>
    </row>
  </sheetData>
  <sheetProtection password="BF22"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xr:uid="{00000000-0002-0000-1A00-000000000000}">
      <formula1>"Select, A1, A2, B1, B2, C"</formula1>
    </dataValidation>
    <dataValidation type="list" allowBlank="1" showInputMessage="1" showErrorMessage="1" sqref="E31:E32" xr:uid="{00000000-0002-0000-1A00-000001000000}">
      <formula1>"Select, Yes, No"</formula1>
    </dataValidation>
    <dataValidation type="custom" allowBlank="1" showInputMessage="1" showErrorMessage="1" errorTitle="X-Author for Excel" error="Id and Lookup fields are not editable." promptTitle="X-Author for Excel" sqref="B73" xr:uid="{00000000-0002-0000-1A00-000002000000}">
      <formula1>""</formula1>
    </dataValidation>
    <dataValidation type="list" allowBlank="1" showInputMessage="1" showErrorMessage="1" errorTitle="X-Author for Excel" error="Please select a value from the drop-down." promptTitle="X-Author for Excel" sqref="B75" xr:uid="{00000000-0002-0000-1A00-000003000000}">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xr:uid="{00000000-0002-0000-1A00-000004000000}">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xr:uid="{00000000-0002-0000-1A00-000005000000}">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FDE9D9"/>
  </sheetPr>
  <dimension ref="A1:O108"/>
  <sheetViews>
    <sheetView topLeftCell="C1" zoomScale="60" zoomScaleNormal="60" workbookViewId="0">
      <selection activeCell="C2" sqref="C2"/>
    </sheetView>
  </sheetViews>
  <sheetFormatPr baseColWidth="10" defaultColWidth="9.140625" defaultRowHeight="12.75" x14ac:dyDescent="0.2"/>
  <cols>
    <col min="1" max="1" width="11.140625" style="646" hidden="1" customWidth="1"/>
    <col min="2" max="2" width="13.85546875" style="646" hidden="1" customWidth="1"/>
    <col min="3" max="3" width="52.5703125" style="3" customWidth="1"/>
    <col min="4" max="4" width="62.5703125" style="3" customWidth="1"/>
    <col min="5" max="5" width="120.140625" style="3" customWidth="1"/>
    <col min="6" max="6" width="63.85546875" style="14" customWidth="1"/>
    <col min="7" max="7" width="55.5703125" style="3" customWidth="1"/>
    <col min="8" max="8" width="20.5703125" style="3" customWidth="1"/>
    <col min="9" max="9" width="24.5703125" style="3" customWidth="1"/>
    <col min="10" max="10" width="25.85546875" style="3" customWidth="1"/>
    <col min="11" max="11" width="18" style="3" customWidth="1"/>
    <col min="12" max="12" width="42.85546875" style="3" customWidth="1"/>
    <col min="13" max="13" width="7" style="20" customWidth="1"/>
    <col min="14" max="14" width="6.42578125" style="20" customWidth="1"/>
    <col min="15" max="15" width="4.140625" style="20" customWidth="1"/>
    <col min="16" max="16384" width="9.140625" style="3"/>
  </cols>
  <sheetData>
    <row r="1" spans="1:15" s="502" customFormat="1" ht="42" customHeight="1" x14ac:dyDescent="0.4">
      <c r="A1" s="687"/>
      <c r="B1" s="687"/>
      <c r="C1" s="1785" t="str">
        <f>CoverSheet!A1</f>
        <v>Rapport périodique sur les résultats actuels et demande de décaissement</v>
      </c>
      <c r="D1" s="1785"/>
      <c r="E1" s="1785"/>
      <c r="F1" s="1785"/>
      <c r="G1" s="1785"/>
      <c r="H1" s="1785"/>
      <c r="I1" s="1785"/>
      <c r="J1" s="1785"/>
      <c r="K1" s="1785"/>
      <c r="L1" s="1785"/>
      <c r="M1" s="743"/>
      <c r="N1" s="743"/>
      <c r="O1" s="743"/>
    </row>
    <row r="3" spans="1:15" ht="37.5" customHeight="1" x14ac:dyDescent="0.2">
      <c r="C3" s="1786" t="s">
        <v>1114</v>
      </c>
      <c r="D3" s="1787"/>
      <c r="E3" s="1787"/>
      <c r="F3" s="1787"/>
      <c r="G3" s="1787"/>
      <c r="H3" s="1787"/>
      <c r="I3" s="1787"/>
      <c r="J3" s="1787"/>
      <c r="K3" s="1787"/>
      <c r="L3" s="1787"/>
    </row>
    <row r="4" spans="1:15" ht="45" customHeight="1" x14ac:dyDescent="0.2">
      <c r="C4" s="1788" t="s">
        <v>2225</v>
      </c>
      <c r="D4" s="1789"/>
      <c r="E4" s="1789"/>
      <c r="F4" s="1789"/>
      <c r="G4" s="1789"/>
      <c r="H4" s="1789"/>
      <c r="I4" s="1789"/>
      <c r="J4" s="1789"/>
      <c r="K4" s="1789"/>
      <c r="L4" s="1789"/>
    </row>
    <row r="5" spans="1:15" ht="1.5" customHeight="1" x14ac:dyDescent="0.25">
      <c r="C5" s="1304"/>
      <c r="D5" s="1304"/>
      <c r="E5" s="952"/>
      <c r="F5" s="953"/>
      <c r="H5" s="503"/>
      <c r="I5" s="503"/>
      <c r="J5" s="503"/>
    </row>
    <row r="6" spans="1:15" ht="69" customHeight="1" x14ac:dyDescent="0.2">
      <c r="C6" s="1790" t="s">
        <v>2226</v>
      </c>
      <c r="D6" s="1791"/>
      <c r="E6" s="1791"/>
      <c r="F6" s="1791"/>
      <c r="G6" s="1791"/>
      <c r="H6" s="1791"/>
      <c r="I6" s="1791"/>
      <c r="J6" s="1791"/>
      <c r="K6" s="1791"/>
      <c r="L6" s="1791"/>
    </row>
    <row r="7" spans="1:15" ht="32.25" customHeight="1" x14ac:dyDescent="0.2">
      <c r="C7" s="504"/>
      <c r="D7" s="495"/>
      <c r="E7" s="495"/>
      <c r="F7" s="505"/>
      <c r="G7" s="495"/>
      <c r="H7" s="495"/>
      <c r="I7" s="495"/>
      <c r="J7" s="495"/>
    </row>
    <row r="8" spans="1:15" ht="99.95" customHeight="1" x14ac:dyDescent="0.2">
      <c r="A8" s="648"/>
      <c r="C8" s="954" t="s">
        <v>2227</v>
      </c>
      <c r="D8" s="955" t="s">
        <v>1417</v>
      </c>
      <c r="E8" s="955" t="s">
        <v>1349</v>
      </c>
      <c r="F8" s="955" t="s">
        <v>2228</v>
      </c>
      <c r="G8" s="955" t="s">
        <v>1246</v>
      </c>
      <c r="H8" s="955" t="s">
        <v>2229</v>
      </c>
      <c r="I8" s="955" t="s">
        <v>2230</v>
      </c>
      <c r="J8" s="955" t="s">
        <v>2231</v>
      </c>
      <c r="K8" s="955" t="s">
        <v>1185</v>
      </c>
      <c r="L8" s="956" t="s">
        <v>1249</v>
      </c>
    </row>
    <row r="9" spans="1:15" ht="50.1" customHeight="1" x14ac:dyDescent="0.25">
      <c r="A9" s="648" t="b">
        <f>OR(NOT(ISBLANK(C9)),NOT(ISBLANK(D9)),NOT(ISBLANK(E9)),NOT(ISBLANK(G9)),NOT(ISBLANK(H9)),NOT(ISBLANK(I9)),NOT(ISBLANK(J9)))</f>
        <v>0</v>
      </c>
      <c r="B9" s="650" t="s">
        <v>2232</v>
      </c>
      <c r="C9" s="1305"/>
      <c r="D9" s="1306"/>
      <c r="E9" s="1306"/>
      <c r="F9" s="1306"/>
      <c r="G9" s="1306"/>
      <c r="H9" s="1306"/>
      <c r="I9" s="1306"/>
      <c r="J9" s="1307"/>
      <c r="K9" s="1306"/>
      <c r="L9" s="1308"/>
      <c r="M9" s="660" t="b">
        <f>AND(OR(ISBLANK(D9),ISBLANK(E9),ISBLANK(G9),ISBLANK(H9),ISBLANK(I9),ISBLANK(C9)),
    OR(NOT(ISBLANK(D9)),NOT(ISBLANK(E9)),NOT(ISBLANK(G9)),NOT(ISBLANK(H9)),NOT(ISBLANK(I9)),NOT(ISBLANK(C9))))</f>
        <v>0</v>
      </c>
      <c r="N9" s="20" t="str">
        <f>IF(A9=TRUE,_xlfn.IFNA(INDEX(RiskData!$H$40:$H$290,MATCH(TRUE,INDEX(RIGHT(RiskData!$F$40:$F$290,255)=RIGHT(F9,255),0),0)), ""),"")</f>
        <v/>
      </c>
    </row>
    <row r="10" spans="1:15" ht="50.1" customHeight="1" x14ac:dyDescent="0.25">
      <c r="A10" s="648" t="b">
        <f t="shared" ref="A10:A73" si="0">OR(NOT(ISBLANK(C10)),NOT(ISBLANK(D10)),NOT(ISBLANK(E10)),NOT(ISBLANK(G10)),NOT(ISBLANK(H10)),NOT(ISBLANK(I10)),NOT(ISBLANK(J10)))</f>
        <v>0</v>
      </c>
      <c r="B10" s="650" t="s">
        <v>2233</v>
      </c>
      <c r="C10" s="1305"/>
      <c r="D10" s="1306"/>
      <c r="E10" s="1306"/>
      <c r="F10" s="1306"/>
      <c r="G10" s="1306"/>
      <c r="H10" s="1306"/>
      <c r="I10" s="1306"/>
      <c r="J10" s="1307"/>
      <c r="K10" s="1306"/>
      <c r="L10" s="1308"/>
      <c r="M10" s="660" t="b">
        <f t="shared" ref="M10:M73" si="1">AND(OR(ISBLANK(D10),ISBLANK(E10),ISBLANK(G10),ISBLANK(H10),ISBLANK(I10),ISBLANK(C10)),
    OR(NOT(ISBLANK(D10)),NOT(ISBLANK(E10)),NOT(ISBLANK(G10)),NOT(ISBLANK(H10)),NOT(ISBLANK(I10)),NOT(ISBLANK(C10))))</f>
        <v>0</v>
      </c>
      <c r="N10" s="20" t="str">
        <f>IF(A10=TRUE,_xlfn.IFNA(INDEX(RiskData!$H$40:$H$290,MATCH(TRUE,INDEX(RIGHT(RiskData!$F$40:$F$290,255)=RIGHT(F10,255),0),0)), ""),"")</f>
        <v/>
      </c>
    </row>
    <row r="11" spans="1:15" ht="50.1" customHeight="1" x14ac:dyDescent="0.25">
      <c r="A11" s="648" t="b">
        <f t="shared" si="0"/>
        <v>0</v>
      </c>
      <c r="B11" s="650" t="s">
        <v>2234</v>
      </c>
      <c r="C11" s="1305"/>
      <c r="D11" s="1306"/>
      <c r="E11" s="1306"/>
      <c r="F11" s="1306"/>
      <c r="G11" s="1306"/>
      <c r="H11" s="1306"/>
      <c r="I11" s="1306"/>
      <c r="J11" s="1307"/>
      <c r="K11" s="1306"/>
      <c r="L11" s="1308"/>
      <c r="M11" s="660" t="b">
        <f t="shared" si="1"/>
        <v>0</v>
      </c>
      <c r="N11" s="20" t="str">
        <f>IF(A11=TRUE,_xlfn.IFNA(INDEX(RiskData!$H$40:$H$290,MATCH(TRUE,INDEX(RIGHT(RiskData!$F$40:$F$290,255)=RIGHT(F11,255),0),0)), ""),"")</f>
        <v/>
      </c>
    </row>
    <row r="12" spans="1:15" ht="50.1" customHeight="1" x14ac:dyDescent="0.25">
      <c r="A12" s="648" t="b">
        <f t="shared" si="0"/>
        <v>0</v>
      </c>
      <c r="B12" s="650" t="s">
        <v>2235</v>
      </c>
      <c r="C12" s="1305"/>
      <c r="D12" s="1306"/>
      <c r="E12" s="1306"/>
      <c r="F12" s="1306"/>
      <c r="G12" s="1306"/>
      <c r="H12" s="1306"/>
      <c r="I12" s="1306"/>
      <c r="J12" s="1307"/>
      <c r="K12" s="1306"/>
      <c r="L12" s="1308"/>
      <c r="M12" s="660" t="b">
        <f t="shared" si="1"/>
        <v>0</v>
      </c>
      <c r="N12" s="20" t="str">
        <f>IF(A12=TRUE,_xlfn.IFNA(INDEX(RiskData!$H$40:$H$290,MATCH(TRUE,INDEX(RIGHT(RiskData!$F$40:$F$290,255)=RIGHT(F12,255),0),0)), ""),"")</f>
        <v/>
      </c>
    </row>
    <row r="13" spans="1:15" ht="50.1" customHeight="1" x14ac:dyDescent="0.25">
      <c r="A13" s="648" t="b">
        <f t="shared" si="0"/>
        <v>0</v>
      </c>
      <c r="B13" s="650" t="s">
        <v>2236</v>
      </c>
      <c r="C13" s="1305"/>
      <c r="D13" s="1306"/>
      <c r="E13" s="1306"/>
      <c r="F13" s="1306"/>
      <c r="G13" s="1306"/>
      <c r="H13" s="1306"/>
      <c r="I13" s="1306"/>
      <c r="J13" s="1307"/>
      <c r="K13" s="1306"/>
      <c r="L13" s="1308"/>
      <c r="M13" s="660" t="b">
        <f t="shared" si="1"/>
        <v>0</v>
      </c>
      <c r="N13" s="20" t="str">
        <f>IF(A13=TRUE,_xlfn.IFNA(INDEX(RiskData!$H$40:$H$290,MATCH(TRUE,INDEX(RIGHT(RiskData!$F$40:$F$290,255)=RIGHT(F13,255),0),0)), ""),"")</f>
        <v/>
      </c>
    </row>
    <row r="14" spans="1:15" ht="50.1" customHeight="1" x14ac:dyDescent="0.25">
      <c r="A14" s="648" t="b">
        <f t="shared" si="0"/>
        <v>0</v>
      </c>
      <c r="B14" s="650" t="s">
        <v>2237</v>
      </c>
      <c r="C14" s="1305"/>
      <c r="D14" s="1306"/>
      <c r="E14" s="1306"/>
      <c r="F14" s="1306"/>
      <c r="G14" s="1306"/>
      <c r="H14" s="1306"/>
      <c r="I14" s="1306"/>
      <c r="J14" s="1307"/>
      <c r="K14" s="1306"/>
      <c r="L14" s="1308"/>
      <c r="M14" s="660" t="b">
        <f t="shared" si="1"/>
        <v>0</v>
      </c>
      <c r="N14" s="20" t="str">
        <f>IF(A14=TRUE,_xlfn.IFNA(INDEX(RiskData!$H$40:$H$290,MATCH(TRUE,INDEX(RIGHT(RiskData!$F$40:$F$290,255)=RIGHT(F14,255),0),0)), ""),"")</f>
        <v/>
      </c>
    </row>
    <row r="15" spans="1:15" ht="50.1" customHeight="1" x14ac:dyDescent="0.25">
      <c r="A15" s="648" t="b">
        <f t="shared" si="0"/>
        <v>0</v>
      </c>
      <c r="B15" s="650" t="s">
        <v>2238</v>
      </c>
      <c r="C15" s="1305"/>
      <c r="D15" s="1306"/>
      <c r="E15" s="1306"/>
      <c r="F15" s="1306"/>
      <c r="G15" s="1306"/>
      <c r="H15" s="1306"/>
      <c r="I15" s="1306"/>
      <c r="J15" s="1307"/>
      <c r="K15" s="1306"/>
      <c r="L15" s="1308"/>
      <c r="M15" s="660" t="b">
        <f t="shared" si="1"/>
        <v>0</v>
      </c>
      <c r="N15" s="20" t="str">
        <f>IF(A15=TRUE,_xlfn.IFNA(INDEX(RiskData!$H$40:$H$290,MATCH(TRUE,INDEX(RIGHT(RiskData!$F$40:$F$290,255)=RIGHT(F15,255),0),0)), ""),"")</f>
        <v/>
      </c>
    </row>
    <row r="16" spans="1:15" ht="50.1" customHeight="1" x14ac:dyDescent="0.25">
      <c r="A16" s="648" t="b">
        <f t="shared" si="0"/>
        <v>0</v>
      </c>
      <c r="B16" s="650" t="s">
        <v>2239</v>
      </c>
      <c r="C16" s="1305"/>
      <c r="D16" s="1306"/>
      <c r="E16" s="1306"/>
      <c r="F16" s="1306"/>
      <c r="G16" s="1306"/>
      <c r="H16" s="1306"/>
      <c r="I16" s="1306"/>
      <c r="J16" s="1307"/>
      <c r="K16" s="1306"/>
      <c r="L16" s="1308"/>
      <c r="M16" s="660" t="b">
        <f t="shared" si="1"/>
        <v>0</v>
      </c>
      <c r="N16" s="20" t="str">
        <f>IF(A16=TRUE,_xlfn.IFNA(INDEX(RiskData!$H$40:$H$290,MATCH(TRUE,INDEX(RIGHT(RiskData!$F$40:$F$290,255)=RIGHT(F16,255),0),0)), ""),"")</f>
        <v/>
      </c>
    </row>
    <row r="17" spans="1:14" ht="50.1" customHeight="1" x14ac:dyDescent="0.25">
      <c r="A17" s="648" t="b">
        <f t="shared" si="0"/>
        <v>0</v>
      </c>
      <c r="B17" s="650" t="s">
        <v>2240</v>
      </c>
      <c r="C17" s="1305"/>
      <c r="D17" s="1306"/>
      <c r="E17" s="1306"/>
      <c r="F17" s="1306"/>
      <c r="G17" s="1306"/>
      <c r="H17" s="1306"/>
      <c r="I17" s="1306"/>
      <c r="J17" s="1307"/>
      <c r="K17" s="1306"/>
      <c r="L17" s="1308"/>
      <c r="M17" s="660" t="b">
        <f t="shared" si="1"/>
        <v>0</v>
      </c>
      <c r="N17" s="20" t="str">
        <f>IF(A17=TRUE,_xlfn.IFNA(INDEX(RiskData!$H$40:$H$290,MATCH(TRUE,INDEX(RIGHT(RiskData!$F$40:$F$290,255)=RIGHT(F17,255),0),0)), ""),"")</f>
        <v/>
      </c>
    </row>
    <row r="18" spans="1:14" ht="50.1" customHeight="1" x14ac:dyDescent="0.25">
      <c r="A18" s="648" t="b">
        <f t="shared" si="0"/>
        <v>0</v>
      </c>
      <c r="B18" s="650" t="s">
        <v>2241</v>
      </c>
      <c r="C18" s="1305"/>
      <c r="D18" s="1306"/>
      <c r="E18" s="1306"/>
      <c r="F18" s="1306"/>
      <c r="G18" s="1306"/>
      <c r="H18" s="1306"/>
      <c r="I18" s="1306"/>
      <c r="J18" s="1307"/>
      <c r="K18" s="1306"/>
      <c r="L18" s="1308"/>
      <c r="M18" s="660" t="b">
        <f t="shared" si="1"/>
        <v>0</v>
      </c>
      <c r="N18" s="20" t="str">
        <f>IF(A18=TRUE,_xlfn.IFNA(INDEX(RiskData!$H$40:$H$290,MATCH(TRUE,INDEX(RIGHT(RiskData!$F$40:$F$290,255)=RIGHT(F18,255),0),0)), ""),"")</f>
        <v/>
      </c>
    </row>
    <row r="19" spans="1:14" ht="50.1" customHeight="1" x14ac:dyDescent="0.25">
      <c r="A19" s="648" t="b">
        <f t="shared" si="0"/>
        <v>0</v>
      </c>
      <c r="B19" s="650" t="s">
        <v>2242</v>
      </c>
      <c r="C19" s="1305"/>
      <c r="D19" s="1306"/>
      <c r="E19" s="1306"/>
      <c r="F19" s="1306"/>
      <c r="G19" s="1306"/>
      <c r="H19" s="1306"/>
      <c r="I19" s="1306"/>
      <c r="J19" s="1307"/>
      <c r="K19" s="1306"/>
      <c r="L19" s="1308"/>
      <c r="M19" s="660" t="b">
        <f t="shared" si="1"/>
        <v>0</v>
      </c>
      <c r="N19" s="20" t="str">
        <f>IF(A19=TRUE,_xlfn.IFNA(INDEX(RiskData!$H$40:$H$290,MATCH(TRUE,INDEX(RIGHT(RiskData!$F$40:$F$290,255)=RIGHT(F19,255),0),0)), ""),"")</f>
        <v/>
      </c>
    </row>
    <row r="20" spans="1:14" ht="50.1" customHeight="1" x14ac:dyDescent="0.25">
      <c r="A20" s="648" t="b">
        <f t="shared" si="0"/>
        <v>0</v>
      </c>
      <c r="B20" s="650" t="s">
        <v>2243</v>
      </c>
      <c r="C20" s="1305"/>
      <c r="D20" s="1306"/>
      <c r="E20" s="1306"/>
      <c r="F20" s="1306"/>
      <c r="G20" s="1306"/>
      <c r="H20" s="1306"/>
      <c r="I20" s="1306"/>
      <c r="J20" s="1307"/>
      <c r="K20" s="1306"/>
      <c r="L20" s="1308"/>
      <c r="M20" s="660" t="b">
        <f t="shared" si="1"/>
        <v>0</v>
      </c>
      <c r="N20" s="20" t="str">
        <f>IF(A20=TRUE,_xlfn.IFNA(INDEX(RiskData!$H$40:$H$290,MATCH(TRUE,INDEX(RIGHT(RiskData!$F$40:$F$290,255)=RIGHT(F20,255),0),0)), ""),"")</f>
        <v/>
      </c>
    </row>
    <row r="21" spans="1:14" ht="50.1" customHeight="1" x14ac:dyDescent="0.25">
      <c r="A21" s="648" t="b">
        <f t="shared" si="0"/>
        <v>0</v>
      </c>
      <c r="B21" s="650" t="s">
        <v>2244</v>
      </c>
      <c r="C21" s="1305"/>
      <c r="D21" s="1306"/>
      <c r="E21" s="1306"/>
      <c r="F21" s="1306"/>
      <c r="G21" s="1306"/>
      <c r="H21" s="1306"/>
      <c r="I21" s="1306"/>
      <c r="J21" s="1307"/>
      <c r="K21" s="1306"/>
      <c r="L21" s="1308"/>
      <c r="M21" s="660" t="b">
        <f t="shared" si="1"/>
        <v>0</v>
      </c>
      <c r="N21" s="20" t="str">
        <f>IF(A21=TRUE,_xlfn.IFNA(INDEX(RiskData!$H$40:$H$290,MATCH(TRUE,INDEX(RIGHT(RiskData!$F$40:$F$290,255)=RIGHT(F21,255),0),0)), ""),"")</f>
        <v/>
      </c>
    </row>
    <row r="22" spans="1:14" ht="50.1" customHeight="1" x14ac:dyDescent="0.25">
      <c r="A22" s="648" t="b">
        <f t="shared" si="0"/>
        <v>0</v>
      </c>
      <c r="B22" s="650" t="s">
        <v>2245</v>
      </c>
      <c r="C22" s="1305"/>
      <c r="D22" s="1306"/>
      <c r="E22" s="1306"/>
      <c r="F22" s="1306"/>
      <c r="G22" s="1306"/>
      <c r="H22" s="1306"/>
      <c r="I22" s="1306"/>
      <c r="J22" s="1307"/>
      <c r="K22" s="1306"/>
      <c r="L22" s="1308"/>
      <c r="M22" s="660" t="b">
        <f t="shared" si="1"/>
        <v>0</v>
      </c>
      <c r="N22" s="20" t="str">
        <f>IF(A22=TRUE,_xlfn.IFNA(INDEX(RiskData!$H$40:$H$290,MATCH(TRUE,INDEX(RIGHT(RiskData!$F$40:$F$290,255)=RIGHT(F22,255),0),0)), ""),"")</f>
        <v/>
      </c>
    </row>
    <row r="23" spans="1:14" ht="50.1" customHeight="1" x14ac:dyDescent="0.25">
      <c r="A23" s="648" t="b">
        <f t="shared" si="0"/>
        <v>0</v>
      </c>
      <c r="B23" s="650" t="s">
        <v>2246</v>
      </c>
      <c r="C23" s="1305"/>
      <c r="D23" s="1306"/>
      <c r="E23" s="1306"/>
      <c r="F23" s="1306"/>
      <c r="G23" s="1306"/>
      <c r="H23" s="1306"/>
      <c r="I23" s="1306"/>
      <c r="J23" s="1307"/>
      <c r="K23" s="1306"/>
      <c r="L23" s="1308"/>
      <c r="M23" s="660" t="b">
        <f t="shared" si="1"/>
        <v>0</v>
      </c>
      <c r="N23" s="20" t="str">
        <f>IF(A23=TRUE,_xlfn.IFNA(INDEX(RiskData!$H$40:$H$290,MATCH(TRUE,INDEX(RIGHT(RiskData!$F$40:$F$290,255)=RIGHT(F23,255),0),0)), ""),"")</f>
        <v/>
      </c>
    </row>
    <row r="24" spans="1:14" ht="50.1" customHeight="1" x14ac:dyDescent="0.25">
      <c r="A24" s="648" t="b">
        <f t="shared" si="0"/>
        <v>0</v>
      </c>
      <c r="B24" s="650" t="s">
        <v>2247</v>
      </c>
      <c r="C24" s="1305"/>
      <c r="D24" s="1306"/>
      <c r="E24" s="1306"/>
      <c r="F24" s="1306"/>
      <c r="G24" s="1306"/>
      <c r="H24" s="1306"/>
      <c r="I24" s="1306"/>
      <c r="J24" s="1307"/>
      <c r="K24" s="1306"/>
      <c r="L24" s="1308"/>
      <c r="M24" s="660" t="b">
        <f t="shared" si="1"/>
        <v>0</v>
      </c>
      <c r="N24" s="20" t="str">
        <f>IF(A24=TRUE,_xlfn.IFNA(INDEX(RiskData!$H$40:$H$290,MATCH(TRUE,INDEX(RIGHT(RiskData!$F$40:$F$290,255)=RIGHT(F24,255),0),0)), ""),"")</f>
        <v/>
      </c>
    </row>
    <row r="25" spans="1:14" ht="50.1" customHeight="1" x14ac:dyDescent="0.25">
      <c r="A25" s="648" t="b">
        <f t="shared" si="0"/>
        <v>0</v>
      </c>
      <c r="B25" s="650" t="s">
        <v>2248</v>
      </c>
      <c r="C25" s="1305"/>
      <c r="D25" s="1306"/>
      <c r="E25" s="1306"/>
      <c r="F25" s="1306"/>
      <c r="G25" s="1306"/>
      <c r="H25" s="1306"/>
      <c r="I25" s="1306"/>
      <c r="J25" s="1307"/>
      <c r="K25" s="1306"/>
      <c r="L25" s="1308"/>
      <c r="M25" s="660" t="b">
        <f t="shared" si="1"/>
        <v>0</v>
      </c>
      <c r="N25" s="20" t="str">
        <f>IF(A25=TRUE,_xlfn.IFNA(INDEX(RiskData!$H$40:$H$290,MATCH(TRUE,INDEX(RIGHT(RiskData!$F$40:$F$290,255)=RIGHT(F25,255),0),0)), ""),"")</f>
        <v/>
      </c>
    </row>
    <row r="26" spans="1:14" ht="50.1" customHeight="1" x14ac:dyDescent="0.25">
      <c r="A26" s="648" t="b">
        <f t="shared" si="0"/>
        <v>0</v>
      </c>
      <c r="B26" s="650" t="s">
        <v>2249</v>
      </c>
      <c r="C26" s="1305"/>
      <c r="D26" s="1306"/>
      <c r="E26" s="1306"/>
      <c r="F26" s="1306"/>
      <c r="G26" s="1306"/>
      <c r="H26" s="1306"/>
      <c r="I26" s="1306"/>
      <c r="J26" s="1307"/>
      <c r="K26" s="1306"/>
      <c r="L26" s="1308"/>
      <c r="M26" s="660" t="b">
        <f t="shared" si="1"/>
        <v>0</v>
      </c>
      <c r="N26" s="20" t="str">
        <f>IF(A26=TRUE,_xlfn.IFNA(INDEX(RiskData!$H$40:$H$290,MATCH(TRUE,INDEX(RIGHT(RiskData!$F$40:$F$290,255)=RIGHT(F26,255),0),0)), ""),"")</f>
        <v/>
      </c>
    </row>
    <row r="27" spans="1:14" ht="50.1" customHeight="1" x14ac:dyDescent="0.25">
      <c r="A27" s="648" t="b">
        <f t="shared" si="0"/>
        <v>0</v>
      </c>
      <c r="B27" s="650" t="s">
        <v>2250</v>
      </c>
      <c r="C27" s="1305"/>
      <c r="D27" s="1306"/>
      <c r="E27" s="1306"/>
      <c r="F27" s="1306"/>
      <c r="G27" s="1306"/>
      <c r="H27" s="1306"/>
      <c r="I27" s="1306"/>
      <c r="J27" s="1307"/>
      <c r="K27" s="1306"/>
      <c r="L27" s="1308"/>
      <c r="M27" s="660" t="b">
        <f t="shared" si="1"/>
        <v>0</v>
      </c>
      <c r="N27" s="20" t="str">
        <f>IF(A27=TRUE,_xlfn.IFNA(INDEX(RiskData!$H$40:$H$290,MATCH(TRUE,INDEX(RIGHT(RiskData!$F$40:$F$290,255)=RIGHT(F27,255),0),0)), ""),"")</f>
        <v/>
      </c>
    </row>
    <row r="28" spans="1:14" ht="50.1" customHeight="1" x14ac:dyDescent="0.25">
      <c r="A28" s="648" t="b">
        <f t="shared" si="0"/>
        <v>0</v>
      </c>
      <c r="B28" s="650" t="s">
        <v>2251</v>
      </c>
      <c r="C28" s="1305"/>
      <c r="D28" s="1306"/>
      <c r="E28" s="1306"/>
      <c r="F28" s="1306"/>
      <c r="G28" s="1306"/>
      <c r="H28" s="1306"/>
      <c r="I28" s="1306"/>
      <c r="J28" s="1307"/>
      <c r="K28" s="1306"/>
      <c r="L28" s="1308"/>
      <c r="M28" s="660" t="b">
        <f t="shared" si="1"/>
        <v>0</v>
      </c>
      <c r="N28" s="20" t="str">
        <f>IF(A28=TRUE,_xlfn.IFNA(INDEX(RiskData!$H$40:$H$290,MATCH(TRUE,INDEX(RIGHT(RiskData!$F$40:$F$290,255)=RIGHT(F28,255),0),0)), ""),"")</f>
        <v/>
      </c>
    </row>
    <row r="29" spans="1:14" ht="50.1" customHeight="1" x14ac:dyDescent="0.25">
      <c r="A29" s="648" t="b">
        <f t="shared" si="0"/>
        <v>0</v>
      </c>
      <c r="B29" s="650" t="s">
        <v>2252</v>
      </c>
      <c r="C29" s="1305"/>
      <c r="D29" s="1306"/>
      <c r="E29" s="1306"/>
      <c r="F29" s="1306"/>
      <c r="G29" s="1306"/>
      <c r="H29" s="1306"/>
      <c r="I29" s="1306"/>
      <c r="J29" s="1307"/>
      <c r="K29" s="1306"/>
      <c r="L29" s="1308"/>
      <c r="M29" s="660" t="b">
        <f t="shared" si="1"/>
        <v>0</v>
      </c>
      <c r="N29" s="20" t="str">
        <f>IF(A29=TRUE,_xlfn.IFNA(INDEX(RiskData!$H$40:$H$290,MATCH(TRUE,INDEX(RIGHT(RiskData!$F$40:$F$290,255)=RIGHT(F29,255),0),0)), ""),"")</f>
        <v/>
      </c>
    </row>
    <row r="30" spans="1:14" ht="50.1" customHeight="1" x14ac:dyDescent="0.25">
      <c r="A30" s="648" t="b">
        <f t="shared" si="0"/>
        <v>0</v>
      </c>
      <c r="B30" s="650" t="s">
        <v>2253</v>
      </c>
      <c r="C30" s="1305"/>
      <c r="D30" s="1306"/>
      <c r="E30" s="1306"/>
      <c r="F30" s="1306"/>
      <c r="G30" s="1306"/>
      <c r="H30" s="1306"/>
      <c r="I30" s="1306"/>
      <c r="J30" s="1307"/>
      <c r="K30" s="1306"/>
      <c r="L30" s="1308"/>
      <c r="M30" s="660" t="b">
        <f t="shared" si="1"/>
        <v>0</v>
      </c>
      <c r="N30" s="20" t="str">
        <f>IF(A30=TRUE,_xlfn.IFNA(INDEX(RiskData!$H$40:$H$290,MATCH(TRUE,INDEX(RIGHT(RiskData!$F$40:$F$290,255)=RIGHT(F30,255),0),0)), ""),"")</f>
        <v/>
      </c>
    </row>
    <row r="31" spans="1:14" ht="50.1" customHeight="1" x14ac:dyDescent="0.25">
      <c r="A31" s="648" t="b">
        <f t="shared" si="0"/>
        <v>0</v>
      </c>
      <c r="B31" s="650" t="s">
        <v>2254</v>
      </c>
      <c r="C31" s="1305"/>
      <c r="D31" s="1306"/>
      <c r="E31" s="1306"/>
      <c r="F31" s="1306"/>
      <c r="G31" s="1306"/>
      <c r="H31" s="1306"/>
      <c r="I31" s="1306"/>
      <c r="J31" s="1307"/>
      <c r="K31" s="1306"/>
      <c r="L31" s="1308"/>
      <c r="M31" s="660" t="b">
        <f t="shared" si="1"/>
        <v>0</v>
      </c>
      <c r="N31" s="20" t="str">
        <f>IF(A31=TRUE,_xlfn.IFNA(INDEX(RiskData!$H$40:$H$290,MATCH(TRUE,INDEX(RIGHT(RiskData!$F$40:$F$290,255)=RIGHT(F31,255),0),0)), ""),"")</f>
        <v/>
      </c>
    </row>
    <row r="32" spans="1:14" ht="50.1" customHeight="1" x14ac:dyDescent="0.25">
      <c r="A32" s="648" t="b">
        <f t="shared" si="0"/>
        <v>0</v>
      </c>
      <c r="B32" s="650" t="s">
        <v>2255</v>
      </c>
      <c r="C32" s="1305"/>
      <c r="D32" s="1306"/>
      <c r="E32" s="1306"/>
      <c r="F32" s="1306"/>
      <c r="G32" s="1306"/>
      <c r="H32" s="1306"/>
      <c r="I32" s="1306"/>
      <c r="J32" s="1307"/>
      <c r="K32" s="1306"/>
      <c r="L32" s="1308"/>
      <c r="M32" s="660" t="b">
        <f t="shared" si="1"/>
        <v>0</v>
      </c>
      <c r="N32" s="20" t="str">
        <f>IF(A32=TRUE,_xlfn.IFNA(INDEX(RiskData!$H$40:$H$290,MATCH(TRUE,INDEX(RIGHT(RiskData!$F$40:$F$290,255)=RIGHT(F32,255),0),0)), ""),"")</f>
        <v/>
      </c>
    </row>
    <row r="33" spans="1:14" ht="50.1" customHeight="1" x14ac:dyDescent="0.25">
      <c r="A33" s="648" t="b">
        <f t="shared" si="0"/>
        <v>0</v>
      </c>
      <c r="B33" s="650" t="s">
        <v>2256</v>
      </c>
      <c r="C33" s="1305"/>
      <c r="D33" s="1306"/>
      <c r="E33" s="1306"/>
      <c r="F33" s="1306"/>
      <c r="G33" s="1306"/>
      <c r="H33" s="1306"/>
      <c r="I33" s="1306"/>
      <c r="J33" s="1307"/>
      <c r="K33" s="1306"/>
      <c r="L33" s="1308"/>
      <c r="M33" s="660" t="b">
        <f t="shared" si="1"/>
        <v>0</v>
      </c>
      <c r="N33" s="20" t="str">
        <f>IF(A33=TRUE,_xlfn.IFNA(INDEX(RiskData!$H$40:$H$290,MATCH(TRUE,INDEX(RIGHT(RiskData!$F$40:$F$290,255)=RIGHT(F33,255),0),0)), ""),"")</f>
        <v/>
      </c>
    </row>
    <row r="34" spans="1:14" ht="50.1" customHeight="1" x14ac:dyDescent="0.25">
      <c r="A34" s="648" t="b">
        <f t="shared" si="0"/>
        <v>0</v>
      </c>
      <c r="B34" s="650" t="s">
        <v>2257</v>
      </c>
      <c r="C34" s="1305"/>
      <c r="D34" s="1306"/>
      <c r="E34" s="1306"/>
      <c r="F34" s="1306"/>
      <c r="G34" s="1306"/>
      <c r="H34" s="1306"/>
      <c r="I34" s="1306"/>
      <c r="J34" s="1307"/>
      <c r="K34" s="1306"/>
      <c r="L34" s="1308"/>
      <c r="M34" s="660" t="b">
        <f t="shared" si="1"/>
        <v>0</v>
      </c>
      <c r="N34" s="20" t="str">
        <f>IF(A34=TRUE,_xlfn.IFNA(INDEX(RiskData!$H$40:$H$290,MATCH(TRUE,INDEX(RIGHT(RiskData!$F$40:$F$290,255)=RIGHT(F34,255),0),0)), ""),"")</f>
        <v/>
      </c>
    </row>
    <row r="35" spans="1:14" ht="50.1" customHeight="1" x14ac:dyDescent="0.25">
      <c r="A35" s="648" t="b">
        <f t="shared" si="0"/>
        <v>0</v>
      </c>
      <c r="B35" s="650" t="s">
        <v>2258</v>
      </c>
      <c r="C35" s="1305"/>
      <c r="D35" s="1306"/>
      <c r="E35" s="1306"/>
      <c r="F35" s="1306"/>
      <c r="G35" s="1306"/>
      <c r="H35" s="1306"/>
      <c r="I35" s="1306"/>
      <c r="J35" s="1307"/>
      <c r="K35" s="1306"/>
      <c r="L35" s="1308"/>
      <c r="M35" s="660" t="b">
        <f t="shared" si="1"/>
        <v>0</v>
      </c>
      <c r="N35" s="20" t="str">
        <f>IF(A35=TRUE,_xlfn.IFNA(INDEX(RiskData!$H$40:$H$290,MATCH(TRUE,INDEX(RIGHT(RiskData!$F$40:$F$290,255)=RIGHT(F35,255),0),0)), ""),"")</f>
        <v/>
      </c>
    </row>
    <row r="36" spans="1:14" ht="50.1" customHeight="1" x14ac:dyDescent="0.25">
      <c r="A36" s="648" t="b">
        <f t="shared" si="0"/>
        <v>0</v>
      </c>
      <c r="B36" s="650" t="s">
        <v>2259</v>
      </c>
      <c r="C36" s="1305"/>
      <c r="D36" s="1306"/>
      <c r="E36" s="1306"/>
      <c r="F36" s="1306"/>
      <c r="G36" s="1306"/>
      <c r="H36" s="1306"/>
      <c r="I36" s="1306"/>
      <c r="J36" s="1307"/>
      <c r="K36" s="1306"/>
      <c r="L36" s="1308"/>
      <c r="M36" s="660" t="b">
        <f t="shared" si="1"/>
        <v>0</v>
      </c>
      <c r="N36" s="20" t="str">
        <f>IF(A36=TRUE,_xlfn.IFNA(INDEX(RiskData!$H$40:$H$290,MATCH(TRUE,INDEX(RIGHT(RiskData!$F$40:$F$290,255)=RIGHT(F36,255),0),0)), ""),"")</f>
        <v/>
      </c>
    </row>
    <row r="37" spans="1:14" ht="50.1" customHeight="1" x14ac:dyDescent="0.25">
      <c r="A37" s="648" t="b">
        <f t="shared" si="0"/>
        <v>0</v>
      </c>
      <c r="B37" s="650" t="s">
        <v>2260</v>
      </c>
      <c r="C37" s="1305"/>
      <c r="D37" s="1306"/>
      <c r="E37" s="1306"/>
      <c r="F37" s="1306"/>
      <c r="G37" s="1306"/>
      <c r="H37" s="1306"/>
      <c r="I37" s="1306"/>
      <c r="J37" s="1307"/>
      <c r="K37" s="1306"/>
      <c r="L37" s="1308"/>
      <c r="M37" s="660" t="b">
        <f t="shared" si="1"/>
        <v>0</v>
      </c>
      <c r="N37" s="20" t="str">
        <f>IF(A37=TRUE,_xlfn.IFNA(INDEX(RiskData!$H$40:$H$290,MATCH(TRUE,INDEX(RIGHT(RiskData!$F$40:$F$290,255)=RIGHT(F37,255),0),0)), ""),"")</f>
        <v/>
      </c>
    </row>
    <row r="38" spans="1:14" ht="50.1" customHeight="1" x14ac:dyDescent="0.25">
      <c r="A38" s="648" t="b">
        <f t="shared" si="0"/>
        <v>0</v>
      </c>
      <c r="B38" s="650" t="s">
        <v>2261</v>
      </c>
      <c r="C38" s="1305"/>
      <c r="D38" s="1306"/>
      <c r="E38" s="1306"/>
      <c r="F38" s="1306"/>
      <c r="G38" s="1306"/>
      <c r="H38" s="1306"/>
      <c r="I38" s="1306"/>
      <c r="J38" s="1307"/>
      <c r="K38" s="1306"/>
      <c r="L38" s="1308"/>
      <c r="M38" s="660" t="b">
        <f t="shared" si="1"/>
        <v>0</v>
      </c>
      <c r="N38" s="20" t="str">
        <f>IF(A38=TRUE,_xlfn.IFNA(INDEX(RiskData!$H$40:$H$290,MATCH(TRUE,INDEX(RIGHT(RiskData!$F$40:$F$290,255)=RIGHT(F38,255),0),0)), ""),"")</f>
        <v/>
      </c>
    </row>
    <row r="39" spans="1:14" ht="50.1" customHeight="1" x14ac:dyDescent="0.25">
      <c r="A39" s="648" t="b">
        <f t="shared" si="0"/>
        <v>0</v>
      </c>
      <c r="B39" s="650" t="s">
        <v>2262</v>
      </c>
      <c r="C39" s="1305"/>
      <c r="D39" s="1306"/>
      <c r="E39" s="1306"/>
      <c r="F39" s="1306"/>
      <c r="G39" s="1306"/>
      <c r="H39" s="1306"/>
      <c r="I39" s="1306"/>
      <c r="J39" s="1307"/>
      <c r="K39" s="1306"/>
      <c r="L39" s="1308"/>
      <c r="M39" s="660" t="b">
        <f t="shared" si="1"/>
        <v>0</v>
      </c>
      <c r="N39" s="20" t="str">
        <f>IF(A39=TRUE,_xlfn.IFNA(INDEX(RiskData!$H$40:$H$290,MATCH(TRUE,INDEX(RIGHT(RiskData!$F$40:$F$290,255)=RIGHT(F39,255),0),0)), ""),"")</f>
        <v/>
      </c>
    </row>
    <row r="40" spans="1:14" ht="50.1" customHeight="1" x14ac:dyDescent="0.25">
      <c r="A40" s="648" t="b">
        <f t="shared" si="0"/>
        <v>0</v>
      </c>
      <c r="B40" s="650" t="s">
        <v>2263</v>
      </c>
      <c r="C40" s="1305"/>
      <c r="D40" s="1306"/>
      <c r="E40" s="1306"/>
      <c r="F40" s="1306"/>
      <c r="G40" s="1306"/>
      <c r="H40" s="1306"/>
      <c r="I40" s="1306"/>
      <c r="J40" s="1307"/>
      <c r="K40" s="1306"/>
      <c r="L40" s="1308"/>
      <c r="M40" s="660" t="b">
        <f t="shared" si="1"/>
        <v>0</v>
      </c>
      <c r="N40" s="20" t="str">
        <f>IF(A40=TRUE,_xlfn.IFNA(INDEX(RiskData!$H$40:$H$290,MATCH(TRUE,INDEX(RIGHT(RiskData!$F$40:$F$290,255)=RIGHT(F40,255),0),0)), ""),"")</f>
        <v/>
      </c>
    </row>
    <row r="41" spans="1:14" ht="50.1" customHeight="1" x14ac:dyDescent="0.25">
      <c r="A41" s="648" t="b">
        <f t="shared" si="0"/>
        <v>0</v>
      </c>
      <c r="B41" s="650" t="s">
        <v>2264</v>
      </c>
      <c r="C41" s="1305"/>
      <c r="D41" s="1306"/>
      <c r="E41" s="1306"/>
      <c r="F41" s="1306"/>
      <c r="G41" s="1306"/>
      <c r="H41" s="1306"/>
      <c r="I41" s="1306"/>
      <c r="J41" s="1307"/>
      <c r="K41" s="1306"/>
      <c r="L41" s="1308"/>
      <c r="M41" s="660" t="b">
        <f t="shared" si="1"/>
        <v>0</v>
      </c>
      <c r="N41" s="20" t="str">
        <f>IF(A41=TRUE,_xlfn.IFNA(INDEX(RiskData!$H$40:$H$290,MATCH(TRUE,INDEX(RIGHT(RiskData!$F$40:$F$290,255)=RIGHT(F41,255),0),0)), ""),"")</f>
        <v/>
      </c>
    </row>
    <row r="42" spans="1:14" ht="50.1" customHeight="1" x14ac:dyDescent="0.25">
      <c r="A42" s="648" t="b">
        <f t="shared" si="0"/>
        <v>0</v>
      </c>
      <c r="B42" s="650" t="s">
        <v>2265</v>
      </c>
      <c r="C42" s="1305"/>
      <c r="D42" s="1306"/>
      <c r="E42" s="1306"/>
      <c r="F42" s="1306"/>
      <c r="G42" s="1306"/>
      <c r="H42" s="1306"/>
      <c r="I42" s="1306"/>
      <c r="J42" s="1307"/>
      <c r="K42" s="1306"/>
      <c r="L42" s="1308"/>
      <c r="M42" s="660" t="b">
        <f t="shared" si="1"/>
        <v>0</v>
      </c>
      <c r="N42" s="20" t="str">
        <f>IF(A42=TRUE,_xlfn.IFNA(INDEX(RiskData!$H$40:$H$290,MATCH(TRUE,INDEX(RIGHT(RiskData!$F$40:$F$290,255)=RIGHT(F42,255),0),0)), ""),"")</f>
        <v/>
      </c>
    </row>
    <row r="43" spans="1:14" ht="50.1" customHeight="1" x14ac:dyDescent="0.25">
      <c r="A43" s="648" t="b">
        <f t="shared" si="0"/>
        <v>0</v>
      </c>
      <c r="B43" s="650" t="s">
        <v>2266</v>
      </c>
      <c r="C43" s="1305"/>
      <c r="D43" s="1306"/>
      <c r="E43" s="1306"/>
      <c r="F43" s="1306"/>
      <c r="G43" s="1306"/>
      <c r="H43" s="1306"/>
      <c r="I43" s="1306"/>
      <c r="J43" s="1307"/>
      <c r="K43" s="1306"/>
      <c r="L43" s="1308"/>
      <c r="M43" s="660" t="b">
        <f t="shared" si="1"/>
        <v>0</v>
      </c>
      <c r="N43" s="20" t="str">
        <f>IF(A43=TRUE,_xlfn.IFNA(INDEX(RiskData!$H$40:$H$290,MATCH(TRUE,INDEX(RIGHT(RiskData!$F$40:$F$290,255)=RIGHT(F43,255),0),0)), ""),"")</f>
        <v/>
      </c>
    </row>
    <row r="44" spans="1:14" ht="50.1" customHeight="1" x14ac:dyDescent="0.25">
      <c r="A44" s="648" t="b">
        <f t="shared" si="0"/>
        <v>0</v>
      </c>
      <c r="B44" s="650" t="s">
        <v>2267</v>
      </c>
      <c r="C44" s="1305"/>
      <c r="D44" s="1306"/>
      <c r="E44" s="1306"/>
      <c r="F44" s="1306"/>
      <c r="G44" s="1306"/>
      <c r="H44" s="1306"/>
      <c r="I44" s="1306"/>
      <c r="J44" s="1307"/>
      <c r="K44" s="1306"/>
      <c r="L44" s="1308"/>
      <c r="M44" s="660" t="b">
        <f t="shared" si="1"/>
        <v>0</v>
      </c>
      <c r="N44" s="20" t="str">
        <f>IF(A44=TRUE,_xlfn.IFNA(INDEX(RiskData!$H$40:$H$290,MATCH(TRUE,INDEX(RIGHT(RiskData!$F$40:$F$290,255)=RIGHT(F44,255),0),0)), ""),"")</f>
        <v/>
      </c>
    </row>
    <row r="45" spans="1:14" ht="50.1" customHeight="1" x14ac:dyDescent="0.25">
      <c r="A45" s="648" t="b">
        <f t="shared" si="0"/>
        <v>0</v>
      </c>
      <c r="B45" s="650" t="s">
        <v>2268</v>
      </c>
      <c r="C45" s="1305"/>
      <c r="D45" s="1306"/>
      <c r="E45" s="1306"/>
      <c r="F45" s="1306"/>
      <c r="G45" s="1306"/>
      <c r="H45" s="1306"/>
      <c r="I45" s="1306"/>
      <c r="J45" s="1307"/>
      <c r="K45" s="1306"/>
      <c r="L45" s="1308"/>
      <c r="M45" s="660" t="b">
        <f t="shared" si="1"/>
        <v>0</v>
      </c>
      <c r="N45" s="20" t="str">
        <f>IF(A45=TRUE,_xlfn.IFNA(INDEX(RiskData!$H$40:$H$290,MATCH(TRUE,INDEX(RIGHT(RiskData!$F$40:$F$290,255)=RIGHT(F45,255),0),0)), ""),"")</f>
        <v/>
      </c>
    </row>
    <row r="46" spans="1:14" ht="50.1" customHeight="1" x14ac:dyDescent="0.25">
      <c r="A46" s="648" t="b">
        <f t="shared" si="0"/>
        <v>0</v>
      </c>
      <c r="B46" s="650" t="s">
        <v>2269</v>
      </c>
      <c r="C46" s="1305"/>
      <c r="D46" s="1306"/>
      <c r="E46" s="1306"/>
      <c r="F46" s="1306"/>
      <c r="G46" s="1306"/>
      <c r="H46" s="1306"/>
      <c r="I46" s="1306"/>
      <c r="J46" s="1307"/>
      <c r="K46" s="1306"/>
      <c r="L46" s="1308"/>
      <c r="M46" s="660" t="b">
        <f t="shared" si="1"/>
        <v>0</v>
      </c>
      <c r="N46" s="20" t="str">
        <f>IF(A46=TRUE,_xlfn.IFNA(INDEX(RiskData!$H$40:$H$290,MATCH(TRUE,INDEX(RIGHT(RiskData!$F$40:$F$290,255)=RIGHT(F46,255),0),0)), ""),"")</f>
        <v/>
      </c>
    </row>
    <row r="47" spans="1:14" ht="50.1" customHeight="1" x14ac:dyDescent="0.25">
      <c r="A47" s="648" t="b">
        <f t="shared" si="0"/>
        <v>0</v>
      </c>
      <c r="B47" s="650" t="s">
        <v>2270</v>
      </c>
      <c r="C47" s="1305"/>
      <c r="D47" s="1306"/>
      <c r="E47" s="1306"/>
      <c r="F47" s="1306"/>
      <c r="G47" s="1306"/>
      <c r="H47" s="1306"/>
      <c r="I47" s="1306"/>
      <c r="J47" s="1307"/>
      <c r="K47" s="1306"/>
      <c r="L47" s="1308"/>
      <c r="M47" s="660" t="b">
        <f t="shared" si="1"/>
        <v>0</v>
      </c>
      <c r="N47" s="20" t="str">
        <f>IF(A47=TRUE,_xlfn.IFNA(INDEX(RiskData!$H$40:$H$290,MATCH(TRUE,INDEX(RIGHT(RiskData!$F$40:$F$290,255)=RIGHT(F47,255),0),0)), ""),"")</f>
        <v/>
      </c>
    </row>
    <row r="48" spans="1:14" ht="50.1" customHeight="1" x14ac:dyDescent="0.25">
      <c r="A48" s="648" t="b">
        <f t="shared" si="0"/>
        <v>0</v>
      </c>
      <c r="B48" s="650" t="s">
        <v>2271</v>
      </c>
      <c r="C48" s="1305"/>
      <c r="D48" s="1306"/>
      <c r="E48" s="1306"/>
      <c r="F48" s="1306"/>
      <c r="G48" s="1306"/>
      <c r="H48" s="1306"/>
      <c r="I48" s="1306"/>
      <c r="J48" s="1307"/>
      <c r="K48" s="1306"/>
      <c r="L48" s="1308"/>
      <c r="M48" s="660" t="b">
        <f t="shared" si="1"/>
        <v>0</v>
      </c>
      <c r="N48" s="20" t="str">
        <f>IF(A48=TRUE,_xlfn.IFNA(INDEX(RiskData!$H$40:$H$290,MATCH(TRUE,INDEX(RIGHT(RiskData!$F$40:$F$290,255)=RIGHT(F48,255),0),0)), ""),"")</f>
        <v/>
      </c>
    </row>
    <row r="49" spans="1:14" ht="50.1" customHeight="1" x14ac:dyDescent="0.25">
      <c r="A49" s="648" t="b">
        <f t="shared" si="0"/>
        <v>0</v>
      </c>
      <c r="B49" s="650" t="s">
        <v>2272</v>
      </c>
      <c r="C49" s="1305"/>
      <c r="D49" s="1306"/>
      <c r="E49" s="1306"/>
      <c r="F49" s="1306"/>
      <c r="G49" s="1306"/>
      <c r="H49" s="1306"/>
      <c r="I49" s="1306"/>
      <c r="J49" s="1307"/>
      <c r="K49" s="1306"/>
      <c r="L49" s="1308"/>
      <c r="M49" s="660" t="b">
        <f t="shared" si="1"/>
        <v>0</v>
      </c>
      <c r="N49" s="20" t="str">
        <f>IF(A49=TRUE,_xlfn.IFNA(INDEX(RiskData!$H$40:$H$290,MATCH(TRUE,INDEX(RIGHT(RiskData!$F$40:$F$290,255)=RIGHT(F49,255),0),0)), ""),"")</f>
        <v/>
      </c>
    </row>
    <row r="50" spans="1:14" ht="50.1" customHeight="1" x14ac:dyDescent="0.25">
      <c r="A50" s="648" t="b">
        <f t="shared" si="0"/>
        <v>0</v>
      </c>
      <c r="B50" s="650" t="s">
        <v>2273</v>
      </c>
      <c r="C50" s="1305"/>
      <c r="D50" s="1306"/>
      <c r="E50" s="1306"/>
      <c r="F50" s="1306"/>
      <c r="G50" s="1306"/>
      <c r="H50" s="1306"/>
      <c r="I50" s="1306"/>
      <c r="J50" s="1307"/>
      <c r="K50" s="1306"/>
      <c r="L50" s="1308"/>
      <c r="M50" s="660" t="b">
        <f t="shared" si="1"/>
        <v>0</v>
      </c>
      <c r="N50" s="20" t="str">
        <f>IF(A50=TRUE,_xlfn.IFNA(INDEX(RiskData!$H$40:$H$290,MATCH(TRUE,INDEX(RIGHT(RiskData!$F$40:$F$290,255)=RIGHT(F50,255),0),0)), ""),"")</f>
        <v/>
      </c>
    </row>
    <row r="51" spans="1:14" ht="50.1" customHeight="1" x14ac:dyDescent="0.25">
      <c r="A51" s="648" t="b">
        <f t="shared" si="0"/>
        <v>0</v>
      </c>
      <c r="B51" s="650" t="s">
        <v>2274</v>
      </c>
      <c r="C51" s="1305"/>
      <c r="D51" s="1306"/>
      <c r="E51" s="1306"/>
      <c r="F51" s="1306"/>
      <c r="G51" s="1306"/>
      <c r="H51" s="1306"/>
      <c r="I51" s="1306"/>
      <c r="J51" s="1307"/>
      <c r="K51" s="1306"/>
      <c r="L51" s="1308"/>
      <c r="M51" s="660" t="b">
        <f t="shared" si="1"/>
        <v>0</v>
      </c>
      <c r="N51" s="20" t="str">
        <f>IF(A51=TRUE,_xlfn.IFNA(INDEX(RiskData!$H$40:$H$290,MATCH(TRUE,INDEX(RIGHT(RiskData!$F$40:$F$290,255)=RIGHT(F51,255),0),0)), ""),"")</f>
        <v/>
      </c>
    </row>
    <row r="52" spans="1:14" ht="50.1" customHeight="1" x14ac:dyDescent="0.25">
      <c r="A52" s="648" t="b">
        <f t="shared" si="0"/>
        <v>0</v>
      </c>
      <c r="B52" s="650" t="s">
        <v>2275</v>
      </c>
      <c r="C52" s="1305"/>
      <c r="D52" s="1306"/>
      <c r="E52" s="1306"/>
      <c r="F52" s="1306"/>
      <c r="G52" s="1306"/>
      <c r="H52" s="1306"/>
      <c r="I52" s="1306"/>
      <c r="J52" s="1307"/>
      <c r="K52" s="1306"/>
      <c r="L52" s="1308"/>
      <c r="M52" s="660" t="b">
        <f t="shared" si="1"/>
        <v>0</v>
      </c>
      <c r="N52" s="20" t="str">
        <f>IF(A52=TRUE,_xlfn.IFNA(INDEX(RiskData!$H$40:$H$290,MATCH(TRUE,INDEX(RIGHT(RiskData!$F$40:$F$290,255)=RIGHT(F52,255),0),0)), ""),"")</f>
        <v/>
      </c>
    </row>
    <row r="53" spans="1:14" ht="50.1" customHeight="1" x14ac:dyDescent="0.25">
      <c r="A53" s="648" t="b">
        <f t="shared" si="0"/>
        <v>0</v>
      </c>
      <c r="B53" s="650" t="s">
        <v>2276</v>
      </c>
      <c r="C53" s="1305"/>
      <c r="D53" s="1306"/>
      <c r="E53" s="1306"/>
      <c r="F53" s="1306"/>
      <c r="G53" s="1306"/>
      <c r="H53" s="1306"/>
      <c r="I53" s="1306"/>
      <c r="J53" s="1307"/>
      <c r="K53" s="1306"/>
      <c r="L53" s="1308"/>
      <c r="M53" s="660" t="b">
        <f t="shared" si="1"/>
        <v>0</v>
      </c>
      <c r="N53" s="20" t="str">
        <f>IF(A53=TRUE,_xlfn.IFNA(INDEX(RiskData!$H$40:$H$290,MATCH(TRUE,INDEX(RIGHT(RiskData!$F$40:$F$290,255)=RIGHT(F53,255),0),0)), ""),"")</f>
        <v/>
      </c>
    </row>
    <row r="54" spans="1:14" ht="50.1" customHeight="1" x14ac:dyDescent="0.25">
      <c r="A54" s="648" t="b">
        <f t="shared" si="0"/>
        <v>0</v>
      </c>
      <c r="B54" s="650" t="s">
        <v>2277</v>
      </c>
      <c r="C54" s="1305"/>
      <c r="D54" s="1306"/>
      <c r="E54" s="1306"/>
      <c r="F54" s="1306"/>
      <c r="G54" s="1306"/>
      <c r="H54" s="1306"/>
      <c r="I54" s="1306"/>
      <c r="J54" s="1307"/>
      <c r="K54" s="1306"/>
      <c r="L54" s="1308"/>
      <c r="M54" s="660" t="b">
        <f t="shared" si="1"/>
        <v>0</v>
      </c>
      <c r="N54" s="20" t="str">
        <f>IF(A54=TRUE,_xlfn.IFNA(INDEX(RiskData!$H$40:$H$290,MATCH(TRUE,INDEX(RIGHT(RiskData!$F$40:$F$290,255)=RIGHT(F54,255),0),0)), ""),"")</f>
        <v/>
      </c>
    </row>
    <row r="55" spans="1:14" ht="50.1" customHeight="1" x14ac:dyDescent="0.25">
      <c r="A55" s="648" t="b">
        <f t="shared" si="0"/>
        <v>0</v>
      </c>
      <c r="B55" s="650" t="s">
        <v>2278</v>
      </c>
      <c r="C55" s="1305"/>
      <c r="D55" s="1306"/>
      <c r="E55" s="1306"/>
      <c r="F55" s="1306"/>
      <c r="G55" s="1306"/>
      <c r="H55" s="1306"/>
      <c r="I55" s="1306"/>
      <c r="J55" s="1307"/>
      <c r="K55" s="1306"/>
      <c r="L55" s="1308"/>
      <c r="M55" s="660" t="b">
        <f t="shared" si="1"/>
        <v>0</v>
      </c>
      <c r="N55" s="20" t="str">
        <f>IF(A55=TRUE,_xlfn.IFNA(INDEX(RiskData!$H$40:$H$290,MATCH(TRUE,INDEX(RIGHT(RiskData!$F$40:$F$290,255)=RIGHT(F55,255),0),0)), ""),"")</f>
        <v/>
      </c>
    </row>
    <row r="56" spans="1:14" ht="50.1" customHeight="1" x14ac:dyDescent="0.25">
      <c r="A56" s="648" t="b">
        <f t="shared" si="0"/>
        <v>0</v>
      </c>
      <c r="B56" s="650" t="s">
        <v>2279</v>
      </c>
      <c r="C56" s="1305"/>
      <c r="D56" s="1306"/>
      <c r="E56" s="1306"/>
      <c r="F56" s="1306"/>
      <c r="G56" s="1306"/>
      <c r="H56" s="1306"/>
      <c r="I56" s="1306"/>
      <c r="J56" s="1307"/>
      <c r="K56" s="1306"/>
      <c r="L56" s="1308"/>
      <c r="M56" s="660" t="b">
        <f t="shared" si="1"/>
        <v>0</v>
      </c>
      <c r="N56" s="20" t="str">
        <f>IF(A56=TRUE,_xlfn.IFNA(INDEX(RiskData!$H$40:$H$290,MATCH(TRUE,INDEX(RIGHT(RiskData!$F$40:$F$290,255)=RIGHT(F56,255),0),0)), ""),"")</f>
        <v/>
      </c>
    </row>
    <row r="57" spans="1:14" ht="50.1" customHeight="1" x14ac:dyDescent="0.25">
      <c r="A57" s="648" t="b">
        <f t="shared" si="0"/>
        <v>0</v>
      </c>
      <c r="B57" s="650" t="s">
        <v>2280</v>
      </c>
      <c r="C57" s="1305"/>
      <c r="D57" s="1306"/>
      <c r="E57" s="1306"/>
      <c r="F57" s="1306"/>
      <c r="G57" s="1306"/>
      <c r="H57" s="1306"/>
      <c r="I57" s="1306"/>
      <c r="J57" s="1307"/>
      <c r="K57" s="1306"/>
      <c r="L57" s="1308"/>
      <c r="M57" s="660" t="b">
        <f t="shared" si="1"/>
        <v>0</v>
      </c>
      <c r="N57" s="20" t="str">
        <f>IF(A57=TRUE,_xlfn.IFNA(INDEX(RiskData!$H$40:$H$290,MATCH(TRUE,INDEX(RIGHT(RiskData!$F$40:$F$290,255)=RIGHT(F57,255),0),0)), ""),"")</f>
        <v/>
      </c>
    </row>
    <row r="58" spans="1:14" ht="50.1" customHeight="1" x14ac:dyDescent="0.25">
      <c r="A58" s="648" t="b">
        <f t="shared" si="0"/>
        <v>0</v>
      </c>
      <c r="B58" s="650" t="s">
        <v>2281</v>
      </c>
      <c r="C58" s="1305"/>
      <c r="D58" s="1306"/>
      <c r="E58" s="1306"/>
      <c r="F58" s="1306"/>
      <c r="G58" s="1306"/>
      <c r="H58" s="1306"/>
      <c r="I58" s="1306"/>
      <c r="J58" s="1307"/>
      <c r="K58" s="1306"/>
      <c r="L58" s="1308"/>
      <c r="M58" s="660" t="b">
        <f t="shared" si="1"/>
        <v>0</v>
      </c>
      <c r="N58" s="20" t="str">
        <f>IF(A58=TRUE,_xlfn.IFNA(INDEX(RiskData!$H$40:$H$290,MATCH(TRUE,INDEX(RIGHT(RiskData!$F$40:$F$290,255)=RIGHT(F58,255),0),0)), ""),"")</f>
        <v/>
      </c>
    </row>
    <row r="59" spans="1:14" ht="50.1" customHeight="1" x14ac:dyDescent="0.25">
      <c r="A59" s="648" t="b">
        <f t="shared" si="0"/>
        <v>0</v>
      </c>
      <c r="B59" s="650" t="s">
        <v>2282</v>
      </c>
      <c r="C59" s="1305"/>
      <c r="D59" s="1306"/>
      <c r="E59" s="1306"/>
      <c r="F59" s="1306"/>
      <c r="G59" s="1306"/>
      <c r="H59" s="1306"/>
      <c r="I59" s="1306"/>
      <c r="J59" s="1307"/>
      <c r="K59" s="1306"/>
      <c r="L59" s="1308"/>
      <c r="M59" s="660" t="b">
        <f t="shared" si="1"/>
        <v>0</v>
      </c>
      <c r="N59" s="20" t="str">
        <f>IF(A59=TRUE,_xlfn.IFNA(INDEX(RiskData!$H$40:$H$290,MATCH(TRUE,INDEX(RIGHT(RiskData!$F$40:$F$290,255)=RIGHT(F59,255),0),0)), ""),"")</f>
        <v/>
      </c>
    </row>
    <row r="60" spans="1:14" ht="50.1" customHeight="1" x14ac:dyDescent="0.25">
      <c r="A60" s="648" t="b">
        <f t="shared" si="0"/>
        <v>0</v>
      </c>
      <c r="B60" s="650" t="s">
        <v>2283</v>
      </c>
      <c r="C60" s="1305"/>
      <c r="D60" s="1306"/>
      <c r="E60" s="1306"/>
      <c r="F60" s="1306"/>
      <c r="G60" s="1306"/>
      <c r="H60" s="1306"/>
      <c r="I60" s="1306"/>
      <c r="J60" s="1307"/>
      <c r="K60" s="1306"/>
      <c r="L60" s="1308"/>
      <c r="M60" s="660" t="b">
        <f t="shared" si="1"/>
        <v>0</v>
      </c>
      <c r="N60" s="20" t="str">
        <f>IF(A60=TRUE,_xlfn.IFNA(INDEX(RiskData!$H$40:$H$290,MATCH(TRUE,INDEX(RIGHT(RiskData!$F$40:$F$290,255)=RIGHT(F60,255),0),0)), ""),"")</f>
        <v/>
      </c>
    </row>
    <row r="61" spans="1:14" ht="50.1" customHeight="1" x14ac:dyDescent="0.25">
      <c r="A61" s="648" t="b">
        <f t="shared" si="0"/>
        <v>0</v>
      </c>
      <c r="B61" s="650" t="s">
        <v>2284</v>
      </c>
      <c r="C61" s="1305"/>
      <c r="D61" s="1306"/>
      <c r="E61" s="1306"/>
      <c r="F61" s="1306"/>
      <c r="G61" s="1306"/>
      <c r="H61" s="1306"/>
      <c r="I61" s="1306"/>
      <c r="J61" s="1307"/>
      <c r="K61" s="1306"/>
      <c r="L61" s="1308"/>
      <c r="M61" s="660" t="b">
        <f t="shared" si="1"/>
        <v>0</v>
      </c>
      <c r="N61" s="20" t="str">
        <f>IF(A61=TRUE,_xlfn.IFNA(INDEX(RiskData!$H$40:$H$290,MATCH(TRUE,INDEX(RIGHT(RiskData!$F$40:$F$290,255)=RIGHT(F61,255),0),0)), ""),"")</f>
        <v/>
      </c>
    </row>
    <row r="62" spans="1:14" ht="50.1" customHeight="1" x14ac:dyDescent="0.25">
      <c r="A62" s="648" t="b">
        <f t="shared" si="0"/>
        <v>0</v>
      </c>
      <c r="B62" s="650" t="s">
        <v>2285</v>
      </c>
      <c r="C62" s="1305"/>
      <c r="D62" s="1306"/>
      <c r="E62" s="1306"/>
      <c r="F62" s="1306"/>
      <c r="G62" s="1306"/>
      <c r="H62" s="1306"/>
      <c r="I62" s="1306"/>
      <c r="J62" s="1307"/>
      <c r="K62" s="1306"/>
      <c r="L62" s="1308"/>
      <c r="M62" s="660" t="b">
        <f t="shared" si="1"/>
        <v>0</v>
      </c>
      <c r="N62" s="20" t="str">
        <f>IF(A62=TRUE,_xlfn.IFNA(INDEX(RiskData!$H$40:$H$290,MATCH(TRUE,INDEX(RIGHT(RiskData!$F$40:$F$290,255)=RIGHT(F62,255),0),0)), ""),"")</f>
        <v/>
      </c>
    </row>
    <row r="63" spans="1:14" ht="50.1" customHeight="1" x14ac:dyDescent="0.25">
      <c r="A63" s="648" t="b">
        <f t="shared" si="0"/>
        <v>0</v>
      </c>
      <c r="B63" s="650" t="s">
        <v>2286</v>
      </c>
      <c r="C63" s="1305"/>
      <c r="D63" s="1306"/>
      <c r="E63" s="1306"/>
      <c r="F63" s="1306"/>
      <c r="G63" s="1306"/>
      <c r="H63" s="1306"/>
      <c r="I63" s="1306"/>
      <c r="J63" s="1307"/>
      <c r="K63" s="1306"/>
      <c r="L63" s="1308"/>
      <c r="M63" s="660" t="b">
        <f t="shared" si="1"/>
        <v>0</v>
      </c>
      <c r="N63" s="20" t="str">
        <f>IF(A63=TRUE,_xlfn.IFNA(INDEX(RiskData!$H$40:$H$290,MATCH(TRUE,INDEX(RIGHT(RiskData!$F$40:$F$290,255)=RIGHT(F63,255),0),0)), ""),"")</f>
        <v/>
      </c>
    </row>
    <row r="64" spans="1:14" ht="50.1" customHeight="1" x14ac:dyDescent="0.25">
      <c r="A64" s="648" t="b">
        <f t="shared" si="0"/>
        <v>0</v>
      </c>
      <c r="B64" s="650" t="s">
        <v>2287</v>
      </c>
      <c r="C64" s="1305"/>
      <c r="D64" s="1306"/>
      <c r="E64" s="1306"/>
      <c r="F64" s="1306"/>
      <c r="G64" s="1306"/>
      <c r="H64" s="1306"/>
      <c r="I64" s="1306"/>
      <c r="J64" s="1307"/>
      <c r="K64" s="1306"/>
      <c r="L64" s="1308"/>
      <c r="M64" s="660" t="b">
        <f t="shared" si="1"/>
        <v>0</v>
      </c>
      <c r="N64" s="20" t="str">
        <f>IF(A64=TRUE,_xlfn.IFNA(INDEX(RiskData!$H$40:$H$290,MATCH(TRUE,INDEX(RIGHT(RiskData!$F$40:$F$290,255)=RIGHT(F64,255),0),0)), ""),"")</f>
        <v/>
      </c>
    </row>
    <row r="65" spans="1:14" ht="50.1" customHeight="1" x14ac:dyDescent="0.25">
      <c r="A65" s="648" t="b">
        <f t="shared" si="0"/>
        <v>0</v>
      </c>
      <c r="B65" s="650" t="s">
        <v>2288</v>
      </c>
      <c r="C65" s="1305"/>
      <c r="D65" s="1306"/>
      <c r="E65" s="1306"/>
      <c r="F65" s="1306"/>
      <c r="G65" s="1306"/>
      <c r="H65" s="1306"/>
      <c r="I65" s="1306"/>
      <c r="J65" s="1307"/>
      <c r="K65" s="1306"/>
      <c r="L65" s="1308"/>
      <c r="M65" s="660" t="b">
        <f t="shared" si="1"/>
        <v>0</v>
      </c>
      <c r="N65" s="20" t="str">
        <f>IF(A65=TRUE,_xlfn.IFNA(INDEX(RiskData!$H$40:$H$290,MATCH(TRUE,INDEX(RIGHT(RiskData!$F$40:$F$290,255)=RIGHT(F65,255),0),0)), ""),"")</f>
        <v/>
      </c>
    </row>
    <row r="66" spans="1:14" ht="50.1" customHeight="1" x14ac:dyDescent="0.25">
      <c r="A66" s="648" t="b">
        <f t="shared" si="0"/>
        <v>0</v>
      </c>
      <c r="B66" s="650" t="s">
        <v>2289</v>
      </c>
      <c r="C66" s="1305"/>
      <c r="D66" s="1306"/>
      <c r="E66" s="1306"/>
      <c r="F66" s="1306"/>
      <c r="G66" s="1306"/>
      <c r="H66" s="1306"/>
      <c r="I66" s="1306"/>
      <c r="J66" s="1307"/>
      <c r="K66" s="1306"/>
      <c r="L66" s="1308"/>
      <c r="M66" s="660" t="b">
        <f t="shared" si="1"/>
        <v>0</v>
      </c>
      <c r="N66" s="20" t="str">
        <f>IF(A66=TRUE,_xlfn.IFNA(INDEX(RiskData!$H$40:$H$290,MATCH(TRUE,INDEX(RIGHT(RiskData!$F$40:$F$290,255)=RIGHT(F66,255),0),0)), ""),"")</f>
        <v/>
      </c>
    </row>
    <row r="67" spans="1:14" ht="50.1" customHeight="1" x14ac:dyDescent="0.25">
      <c r="A67" s="648" t="b">
        <f t="shared" si="0"/>
        <v>0</v>
      </c>
      <c r="B67" s="650" t="s">
        <v>2290</v>
      </c>
      <c r="C67" s="1305"/>
      <c r="D67" s="1306"/>
      <c r="E67" s="1306"/>
      <c r="F67" s="1306"/>
      <c r="G67" s="1306"/>
      <c r="H67" s="1306"/>
      <c r="I67" s="1306"/>
      <c r="J67" s="1307"/>
      <c r="K67" s="1306"/>
      <c r="L67" s="1308"/>
      <c r="M67" s="660" t="b">
        <f t="shared" si="1"/>
        <v>0</v>
      </c>
      <c r="N67" s="20" t="str">
        <f>IF(A67=TRUE,_xlfn.IFNA(INDEX(RiskData!$H$40:$H$290,MATCH(TRUE,INDEX(RIGHT(RiskData!$F$40:$F$290,255)=RIGHT(F67,255),0),0)), ""),"")</f>
        <v/>
      </c>
    </row>
    <row r="68" spans="1:14" ht="50.1" customHeight="1" x14ac:dyDescent="0.25">
      <c r="A68" s="648" t="b">
        <f t="shared" si="0"/>
        <v>0</v>
      </c>
      <c r="B68" s="650" t="s">
        <v>2291</v>
      </c>
      <c r="C68" s="1305"/>
      <c r="D68" s="1306"/>
      <c r="E68" s="1306"/>
      <c r="F68" s="1306"/>
      <c r="G68" s="1306"/>
      <c r="H68" s="1306"/>
      <c r="I68" s="1306"/>
      <c r="J68" s="1307"/>
      <c r="K68" s="1306"/>
      <c r="L68" s="1308"/>
      <c r="M68" s="660" t="b">
        <f t="shared" si="1"/>
        <v>0</v>
      </c>
      <c r="N68" s="20" t="str">
        <f>IF(A68=TRUE,_xlfn.IFNA(INDEX(RiskData!$H$40:$H$290,MATCH(TRUE,INDEX(RIGHT(RiskData!$F$40:$F$290,255)=RIGHT(F68,255),0),0)), ""),"")</f>
        <v/>
      </c>
    </row>
    <row r="69" spans="1:14" ht="50.1" customHeight="1" x14ac:dyDescent="0.25">
      <c r="A69" s="648" t="b">
        <f t="shared" si="0"/>
        <v>0</v>
      </c>
      <c r="B69" s="650" t="s">
        <v>2292</v>
      </c>
      <c r="C69" s="1305"/>
      <c r="D69" s="1306"/>
      <c r="E69" s="1306"/>
      <c r="F69" s="1306"/>
      <c r="G69" s="1306"/>
      <c r="H69" s="1306"/>
      <c r="I69" s="1306"/>
      <c r="J69" s="1307"/>
      <c r="K69" s="1306"/>
      <c r="L69" s="1308"/>
      <c r="M69" s="660" t="b">
        <f t="shared" si="1"/>
        <v>0</v>
      </c>
      <c r="N69" s="20" t="str">
        <f>IF(A69=TRUE,_xlfn.IFNA(INDEX(RiskData!$H$40:$H$290,MATCH(TRUE,INDEX(RIGHT(RiskData!$F$40:$F$290,255)=RIGHT(F69,255),0),0)), ""),"")</f>
        <v/>
      </c>
    </row>
    <row r="70" spans="1:14" ht="50.1" customHeight="1" x14ac:dyDescent="0.25">
      <c r="A70" s="648" t="b">
        <f t="shared" si="0"/>
        <v>0</v>
      </c>
      <c r="B70" s="650" t="s">
        <v>2293</v>
      </c>
      <c r="C70" s="1305"/>
      <c r="D70" s="1306"/>
      <c r="E70" s="1306"/>
      <c r="F70" s="1306"/>
      <c r="G70" s="1306"/>
      <c r="H70" s="1306"/>
      <c r="I70" s="1306"/>
      <c r="J70" s="1307"/>
      <c r="K70" s="1306"/>
      <c r="L70" s="1308"/>
      <c r="M70" s="660" t="b">
        <f t="shared" si="1"/>
        <v>0</v>
      </c>
      <c r="N70" s="20" t="str">
        <f>IF(A70=TRUE,_xlfn.IFNA(INDEX(RiskData!$H$40:$H$290,MATCH(TRUE,INDEX(RIGHT(RiskData!$F$40:$F$290,255)=RIGHT(F70,255),0),0)), ""),"")</f>
        <v/>
      </c>
    </row>
    <row r="71" spans="1:14" ht="50.1" customHeight="1" x14ac:dyDescent="0.25">
      <c r="A71" s="648" t="b">
        <f t="shared" si="0"/>
        <v>0</v>
      </c>
      <c r="B71" s="650" t="s">
        <v>2294</v>
      </c>
      <c r="C71" s="1305"/>
      <c r="D71" s="1306"/>
      <c r="E71" s="1306"/>
      <c r="F71" s="1306"/>
      <c r="G71" s="1306"/>
      <c r="H71" s="1306"/>
      <c r="I71" s="1306"/>
      <c r="J71" s="1307"/>
      <c r="K71" s="1306"/>
      <c r="L71" s="1308"/>
      <c r="M71" s="660" t="b">
        <f t="shared" si="1"/>
        <v>0</v>
      </c>
      <c r="N71" s="20" t="str">
        <f>IF(A71=TRUE,_xlfn.IFNA(INDEX(RiskData!$H$40:$H$290,MATCH(TRUE,INDEX(RIGHT(RiskData!$F$40:$F$290,255)=RIGHT(F71,255),0),0)), ""),"")</f>
        <v/>
      </c>
    </row>
    <row r="72" spans="1:14" ht="50.1" customHeight="1" x14ac:dyDescent="0.25">
      <c r="A72" s="648" t="b">
        <f t="shared" si="0"/>
        <v>0</v>
      </c>
      <c r="B72" s="650" t="s">
        <v>2295</v>
      </c>
      <c r="C72" s="1305"/>
      <c r="D72" s="1306"/>
      <c r="E72" s="1306"/>
      <c r="F72" s="1306"/>
      <c r="G72" s="1306"/>
      <c r="H72" s="1306"/>
      <c r="I72" s="1306"/>
      <c r="J72" s="1307"/>
      <c r="K72" s="1306"/>
      <c r="L72" s="1308"/>
      <c r="M72" s="660" t="b">
        <f t="shared" si="1"/>
        <v>0</v>
      </c>
      <c r="N72" s="20" t="str">
        <f>IF(A72=TRUE,_xlfn.IFNA(INDEX(RiskData!$H$40:$H$290,MATCH(TRUE,INDEX(RIGHT(RiskData!$F$40:$F$290,255)=RIGHT(F72,255),0),0)), ""),"")</f>
        <v/>
      </c>
    </row>
    <row r="73" spans="1:14" ht="50.1" customHeight="1" x14ac:dyDescent="0.25">
      <c r="A73" s="648" t="b">
        <f t="shared" si="0"/>
        <v>0</v>
      </c>
      <c r="B73" s="650" t="s">
        <v>2296</v>
      </c>
      <c r="C73" s="1305"/>
      <c r="D73" s="1306"/>
      <c r="E73" s="1306"/>
      <c r="F73" s="1306"/>
      <c r="G73" s="1306"/>
      <c r="H73" s="1306"/>
      <c r="I73" s="1306"/>
      <c r="J73" s="1307"/>
      <c r="K73" s="1306"/>
      <c r="L73" s="1308"/>
      <c r="M73" s="660" t="b">
        <f t="shared" si="1"/>
        <v>0</v>
      </c>
      <c r="N73" s="20" t="str">
        <f>IF(A73=TRUE,_xlfn.IFNA(INDEX(RiskData!$H$40:$H$290,MATCH(TRUE,INDEX(RIGHT(RiskData!$F$40:$F$290,255)=RIGHT(F73,255),0),0)), ""),"")</f>
        <v/>
      </c>
    </row>
    <row r="74" spans="1:14" ht="50.1" customHeight="1" x14ac:dyDescent="0.25">
      <c r="A74" s="648" t="b">
        <f t="shared" ref="A74:A108" si="2">OR(NOT(ISBLANK(C74)),NOT(ISBLANK(D74)),NOT(ISBLANK(E74)),NOT(ISBLANK(G74)),NOT(ISBLANK(H74)),NOT(ISBLANK(I74)),NOT(ISBLANK(J74)))</f>
        <v>0</v>
      </c>
      <c r="B74" s="650" t="s">
        <v>2297</v>
      </c>
      <c r="C74" s="1305"/>
      <c r="D74" s="1306"/>
      <c r="E74" s="1306"/>
      <c r="F74" s="1306"/>
      <c r="G74" s="1306"/>
      <c r="H74" s="1306"/>
      <c r="I74" s="1306"/>
      <c r="J74" s="1307"/>
      <c r="K74" s="1306"/>
      <c r="L74" s="1308"/>
      <c r="M74" s="660" t="b">
        <f t="shared" ref="M74:M108" si="3">AND(OR(ISBLANK(D74),ISBLANK(E74),ISBLANK(G74),ISBLANK(H74),ISBLANK(I74),ISBLANK(C74)),
    OR(NOT(ISBLANK(D74)),NOT(ISBLANK(E74)),NOT(ISBLANK(G74)),NOT(ISBLANK(H74)),NOT(ISBLANK(I74)),NOT(ISBLANK(C74))))</f>
        <v>0</v>
      </c>
      <c r="N74" s="20" t="str">
        <f>IF(A74=TRUE,_xlfn.IFNA(INDEX(RiskData!$H$40:$H$290,MATCH(TRUE,INDEX(RIGHT(RiskData!$F$40:$F$290,255)=RIGHT(F74,255),0),0)), ""),"")</f>
        <v/>
      </c>
    </row>
    <row r="75" spans="1:14" ht="50.1" customHeight="1" x14ac:dyDescent="0.25">
      <c r="A75" s="648" t="b">
        <f t="shared" si="2"/>
        <v>0</v>
      </c>
      <c r="B75" s="650" t="s">
        <v>2298</v>
      </c>
      <c r="C75" s="1305"/>
      <c r="D75" s="1306"/>
      <c r="E75" s="1306"/>
      <c r="F75" s="1306"/>
      <c r="G75" s="1306"/>
      <c r="H75" s="1306"/>
      <c r="I75" s="1306"/>
      <c r="J75" s="1307"/>
      <c r="K75" s="1306"/>
      <c r="L75" s="1308"/>
      <c r="M75" s="660" t="b">
        <f t="shared" si="3"/>
        <v>0</v>
      </c>
      <c r="N75" s="20" t="str">
        <f>IF(A75=TRUE,_xlfn.IFNA(INDEX(RiskData!$H$40:$H$290,MATCH(TRUE,INDEX(RIGHT(RiskData!$F$40:$F$290,255)=RIGHT(F75,255),0),0)), ""),"")</f>
        <v/>
      </c>
    </row>
    <row r="76" spans="1:14" ht="50.1" customHeight="1" x14ac:dyDescent="0.25">
      <c r="A76" s="648" t="b">
        <f t="shared" si="2"/>
        <v>0</v>
      </c>
      <c r="B76" s="650" t="s">
        <v>2299</v>
      </c>
      <c r="C76" s="1305"/>
      <c r="D76" s="1306"/>
      <c r="E76" s="1306"/>
      <c r="F76" s="1306"/>
      <c r="G76" s="1306"/>
      <c r="H76" s="1306"/>
      <c r="I76" s="1306"/>
      <c r="J76" s="1307"/>
      <c r="K76" s="1306"/>
      <c r="L76" s="1308"/>
      <c r="M76" s="660" t="b">
        <f t="shared" si="3"/>
        <v>0</v>
      </c>
      <c r="N76" s="20" t="str">
        <f>IF(A76=TRUE,_xlfn.IFNA(INDEX(RiskData!$H$40:$H$290,MATCH(TRUE,INDEX(RIGHT(RiskData!$F$40:$F$290,255)=RIGHT(F76,255),0),0)), ""),"")</f>
        <v/>
      </c>
    </row>
    <row r="77" spans="1:14" ht="50.1" customHeight="1" x14ac:dyDescent="0.25">
      <c r="A77" s="648" t="b">
        <f t="shared" si="2"/>
        <v>0</v>
      </c>
      <c r="B77" s="650" t="s">
        <v>2300</v>
      </c>
      <c r="C77" s="1305"/>
      <c r="D77" s="1306"/>
      <c r="E77" s="1306"/>
      <c r="F77" s="1306"/>
      <c r="G77" s="1306"/>
      <c r="H77" s="1306"/>
      <c r="I77" s="1306"/>
      <c r="J77" s="1307"/>
      <c r="K77" s="1306"/>
      <c r="L77" s="1308"/>
      <c r="M77" s="660" t="b">
        <f t="shared" si="3"/>
        <v>0</v>
      </c>
      <c r="N77" s="20" t="str">
        <f>IF(A77=TRUE,_xlfn.IFNA(INDEX(RiskData!$H$40:$H$290,MATCH(TRUE,INDEX(RIGHT(RiskData!$F$40:$F$290,255)=RIGHT(F77,255),0),0)), ""),"")</f>
        <v/>
      </c>
    </row>
    <row r="78" spans="1:14" ht="50.1" customHeight="1" x14ac:dyDescent="0.25">
      <c r="A78" s="648" t="b">
        <f t="shared" si="2"/>
        <v>0</v>
      </c>
      <c r="B78" s="650" t="s">
        <v>2301</v>
      </c>
      <c r="C78" s="1305"/>
      <c r="D78" s="1306"/>
      <c r="E78" s="1306"/>
      <c r="F78" s="1306"/>
      <c r="G78" s="1306"/>
      <c r="H78" s="1306"/>
      <c r="I78" s="1306"/>
      <c r="J78" s="1307"/>
      <c r="K78" s="1306"/>
      <c r="L78" s="1308"/>
      <c r="M78" s="660" t="b">
        <f t="shared" si="3"/>
        <v>0</v>
      </c>
      <c r="N78" s="20" t="str">
        <f>IF(A78=TRUE,_xlfn.IFNA(INDEX(RiskData!$H$40:$H$290,MATCH(TRUE,INDEX(RIGHT(RiskData!$F$40:$F$290,255)=RIGHT(F78,255),0),0)), ""),"")</f>
        <v/>
      </c>
    </row>
    <row r="79" spans="1:14" ht="50.1" customHeight="1" x14ac:dyDescent="0.25">
      <c r="A79" s="648" t="b">
        <f t="shared" si="2"/>
        <v>0</v>
      </c>
      <c r="B79" s="650" t="s">
        <v>2302</v>
      </c>
      <c r="C79" s="1305"/>
      <c r="D79" s="1306"/>
      <c r="E79" s="1306"/>
      <c r="F79" s="1306"/>
      <c r="G79" s="1306"/>
      <c r="H79" s="1306"/>
      <c r="I79" s="1306"/>
      <c r="J79" s="1307"/>
      <c r="K79" s="1306"/>
      <c r="L79" s="1308"/>
      <c r="M79" s="660" t="b">
        <f t="shared" si="3"/>
        <v>0</v>
      </c>
      <c r="N79" s="20" t="str">
        <f>IF(A79=TRUE,_xlfn.IFNA(INDEX(RiskData!$H$40:$H$290,MATCH(TRUE,INDEX(RIGHT(RiskData!$F$40:$F$290,255)=RIGHT(F79,255),0),0)), ""),"")</f>
        <v/>
      </c>
    </row>
    <row r="80" spans="1:14" ht="50.1" customHeight="1" x14ac:dyDescent="0.25">
      <c r="A80" s="648" t="b">
        <f t="shared" si="2"/>
        <v>0</v>
      </c>
      <c r="B80" s="650" t="s">
        <v>2303</v>
      </c>
      <c r="C80" s="1305"/>
      <c r="D80" s="1306"/>
      <c r="E80" s="1306"/>
      <c r="F80" s="1306"/>
      <c r="G80" s="1306"/>
      <c r="H80" s="1306"/>
      <c r="I80" s="1306"/>
      <c r="J80" s="1307"/>
      <c r="K80" s="1306"/>
      <c r="L80" s="1308"/>
      <c r="M80" s="660" t="b">
        <f t="shared" si="3"/>
        <v>0</v>
      </c>
      <c r="N80" s="20" t="str">
        <f>IF(A80=TRUE,_xlfn.IFNA(INDEX(RiskData!$H$40:$H$290,MATCH(TRUE,INDEX(RIGHT(RiskData!$F$40:$F$290,255)=RIGHT(F80,255),0),0)), ""),"")</f>
        <v/>
      </c>
    </row>
    <row r="81" spans="1:14" ht="50.1" customHeight="1" x14ac:dyDescent="0.25">
      <c r="A81" s="648" t="b">
        <f t="shared" si="2"/>
        <v>0</v>
      </c>
      <c r="B81" s="650" t="s">
        <v>2304</v>
      </c>
      <c r="C81" s="1305"/>
      <c r="D81" s="1306"/>
      <c r="E81" s="1306"/>
      <c r="F81" s="1306"/>
      <c r="G81" s="1306"/>
      <c r="H81" s="1306"/>
      <c r="I81" s="1306"/>
      <c r="J81" s="1307"/>
      <c r="K81" s="1306"/>
      <c r="L81" s="1308"/>
      <c r="M81" s="660" t="b">
        <f t="shared" si="3"/>
        <v>0</v>
      </c>
      <c r="N81" s="20" t="str">
        <f>IF(A81=TRUE,_xlfn.IFNA(INDEX(RiskData!$H$40:$H$290,MATCH(TRUE,INDEX(RIGHT(RiskData!$F$40:$F$290,255)=RIGHT(F81,255),0),0)), ""),"")</f>
        <v/>
      </c>
    </row>
    <row r="82" spans="1:14" ht="50.1" customHeight="1" x14ac:dyDescent="0.25">
      <c r="A82" s="648" t="b">
        <f t="shared" si="2"/>
        <v>0</v>
      </c>
      <c r="B82" s="650" t="s">
        <v>2305</v>
      </c>
      <c r="C82" s="1305"/>
      <c r="D82" s="1306"/>
      <c r="E82" s="1306"/>
      <c r="F82" s="1306"/>
      <c r="G82" s="1306"/>
      <c r="H82" s="1306"/>
      <c r="I82" s="1306"/>
      <c r="J82" s="1307"/>
      <c r="K82" s="1306"/>
      <c r="L82" s="1308"/>
      <c r="M82" s="660" t="b">
        <f t="shared" si="3"/>
        <v>0</v>
      </c>
      <c r="N82" s="20" t="str">
        <f>IF(A82=TRUE,_xlfn.IFNA(INDEX(RiskData!$H$40:$H$290,MATCH(TRUE,INDEX(RIGHT(RiskData!$F$40:$F$290,255)=RIGHT(F82,255),0),0)), ""),"")</f>
        <v/>
      </c>
    </row>
    <row r="83" spans="1:14" ht="50.1" customHeight="1" x14ac:dyDescent="0.25">
      <c r="A83" s="648" t="b">
        <f t="shared" si="2"/>
        <v>0</v>
      </c>
      <c r="B83" s="650" t="s">
        <v>2306</v>
      </c>
      <c r="C83" s="1305"/>
      <c r="D83" s="1306"/>
      <c r="E83" s="1306"/>
      <c r="F83" s="1306"/>
      <c r="G83" s="1306"/>
      <c r="H83" s="1306"/>
      <c r="I83" s="1306"/>
      <c r="J83" s="1307"/>
      <c r="K83" s="1306"/>
      <c r="L83" s="1308"/>
      <c r="M83" s="660" t="b">
        <f t="shared" si="3"/>
        <v>0</v>
      </c>
      <c r="N83" s="20" t="str">
        <f>IF(A83=TRUE,_xlfn.IFNA(INDEX(RiskData!$H$40:$H$290,MATCH(TRUE,INDEX(RIGHT(RiskData!$F$40:$F$290,255)=RIGHT(F83,255),0),0)), ""),"")</f>
        <v/>
      </c>
    </row>
    <row r="84" spans="1:14" ht="50.1" customHeight="1" x14ac:dyDescent="0.25">
      <c r="A84" s="648" t="b">
        <f t="shared" si="2"/>
        <v>0</v>
      </c>
      <c r="B84" s="650" t="s">
        <v>2307</v>
      </c>
      <c r="C84" s="1305"/>
      <c r="D84" s="1306"/>
      <c r="E84" s="1306"/>
      <c r="F84" s="1306"/>
      <c r="G84" s="1306"/>
      <c r="H84" s="1306"/>
      <c r="I84" s="1306"/>
      <c r="J84" s="1307"/>
      <c r="K84" s="1306"/>
      <c r="L84" s="1308"/>
      <c r="M84" s="660" t="b">
        <f t="shared" si="3"/>
        <v>0</v>
      </c>
      <c r="N84" s="20" t="str">
        <f>IF(A84=TRUE,_xlfn.IFNA(INDEX(RiskData!$H$40:$H$290,MATCH(TRUE,INDEX(RIGHT(RiskData!$F$40:$F$290,255)=RIGHT(F84,255),0),0)), ""),"")</f>
        <v/>
      </c>
    </row>
    <row r="85" spans="1:14" ht="50.1" customHeight="1" x14ac:dyDescent="0.25">
      <c r="A85" s="648" t="b">
        <f t="shared" si="2"/>
        <v>0</v>
      </c>
      <c r="B85" s="650" t="s">
        <v>2308</v>
      </c>
      <c r="C85" s="1305"/>
      <c r="D85" s="1306"/>
      <c r="E85" s="1306"/>
      <c r="F85" s="1306"/>
      <c r="G85" s="1306"/>
      <c r="H85" s="1306"/>
      <c r="I85" s="1306"/>
      <c r="J85" s="1307"/>
      <c r="K85" s="1306"/>
      <c r="L85" s="1308"/>
      <c r="M85" s="660" t="b">
        <f t="shared" si="3"/>
        <v>0</v>
      </c>
      <c r="N85" s="20" t="str">
        <f>IF(A85=TRUE,_xlfn.IFNA(INDEX(RiskData!$H$40:$H$290,MATCH(TRUE,INDEX(RIGHT(RiskData!$F$40:$F$290,255)=RIGHT(F85,255),0),0)), ""),"")</f>
        <v/>
      </c>
    </row>
    <row r="86" spans="1:14" ht="50.1" customHeight="1" x14ac:dyDescent="0.25">
      <c r="A86" s="648" t="b">
        <f t="shared" si="2"/>
        <v>0</v>
      </c>
      <c r="B86" s="650" t="s">
        <v>2309</v>
      </c>
      <c r="C86" s="1305"/>
      <c r="D86" s="1306"/>
      <c r="E86" s="1306"/>
      <c r="F86" s="1306"/>
      <c r="G86" s="1306"/>
      <c r="H86" s="1306"/>
      <c r="I86" s="1306"/>
      <c r="J86" s="1307"/>
      <c r="K86" s="1306"/>
      <c r="L86" s="1308"/>
      <c r="M86" s="660" t="b">
        <f t="shared" si="3"/>
        <v>0</v>
      </c>
      <c r="N86" s="20" t="str">
        <f>IF(A86=TRUE,_xlfn.IFNA(INDEX(RiskData!$H$40:$H$290,MATCH(TRUE,INDEX(RIGHT(RiskData!$F$40:$F$290,255)=RIGHT(F86,255),0),0)), ""),"")</f>
        <v/>
      </c>
    </row>
    <row r="87" spans="1:14" ht="50.1" customHeight="1" x14ac:dyDescent="0.25">
      <c r="A87" s="648" t="b">
        <f t="shared" si="2"/>
        <v>0</v>
      </c>
      <c r="B87" s="650" t="s">
        <v>2310</v>
      </c>
      <c r="C87" s="1305"/>
      <c r="D87" s="1306"/>
      <c r="E87" s="1306"/>
      <c r="F87" s="1306"/>
      <c r="G87" s="1306"/>
      <c r="H87" s="1306"/>
      <c r="I87" s="1306"/>
      <c r="J87" s="1307"/>
      <c r="K87" s="1306"/>
      <c r="L87" s="1308"/>
      <c r="M87" s="660" t="b">
        <f t="shared" si="3"/>
        <v>0</v>
      </c>
      <c r="N87" s="20" t="str">
        <f>IF(A87=TRUE,_xlfn.IFNA(INDEX(RiskData!$H$40:$H$290,MATCH(TRUE,INDEX(RIGHT(RiskData!$F$40:$F$290,255)=RIGHT(F87,255),0),0)), ""),"")</f>
        <v/>
      </c>
    </row>
    <row r="88" spans="1:14" ht="50.1" customHeight="1" x14ac:dyDescent="0.25">
      <c r="A88" s="648" t="b">
        <f t="shared" si="2"/>
        <v>0</v>
      </c>
      <c r="B88" s="650" t="s">
        <v>2311</v>
      </c>
      <c r="C88" s="1305"/>
      <c r="D88" s="1306"/>
      <c r="E88" s="1306"/>
      <c r="F88" s="1306"/>
      <c r="G88" s="1306"/>
      <c r="H88" s="1306"/>
      <c r="I88" s="1306"/>
      <c r="J88" s="1307"/>
      <c r="K88" s="1306"/>
      <c r="L88" s="1308"/>
      <c r="M88" s="660" t="b">
        <f t="shared" si="3"/>
        <v>0</v>
      </c>
      <c r="N88" s="20" t="str">
        <f>IF(A88=TRUE,_xlfn.IFNA(INDEX(RiskData!$H$40:$H$290,MATCH(TRUE,INDEX(RIGHT(RiskData!$F$40:$F$290,255)=RIGHT(F88,255),0),0)), ""),"")</f>
        <v/>
      </c>
    </row>
    <row r="89" spans="1:14" ht="50.1" customHeight="1" x14ac:dyDescent="0.25">
      <c r="A89" s="648" t="b">
        <f t="shared" si="2"/>
        <v>0</v>
      </c>
      <c r="B89" s="650" t="s">
        <v>2312</v>
      </c>
      <c r="C89" s="1305"/>
      <c r="D89" s="1306"/>
      <c r="E89" s="1306"/>
      <c r="F89" s="1306"/>
      <c r="G89" s="1306"/>
      <c r="H89" s="1306"/>
      <c r="I89" s="1306"/>
      <c r="J89" s="1307"/>
      <c r="K89" s="1306"/>
      <c r="L89" s="1308"/>
      <c r="M89" s="660" t="b">
        <f t="shared" si="3"/>
        <v>0</v>
      </c>
      <c r="N89" s="20" t="str">
        <f>IF(A89=TRUE,_xlfn.IFNA(INDEX(RiskData!$H$40:$H$290,MATCH(TRUE,INDEX(RIGHT(RiskData!$F$40:$F$290,255)=RIGHT(F89,255),0),0)), ""),"")</f>
        <v/>
      </c>
    </row>
    <row r="90" spans="1:14" ht="50.1" customHeight="1" x14ac:dyDescent="0.25">
      <c r="A90" s="648" t="b">
        <f t="shared" si="2"/>
        <v>0</v>
      </c>
      <c r="B90" s="650" t="s">
        <v>2313</v>
      </c>
      <c r="C90" s="1305"/>
      <c r="D90" s="1306"/>
      <c r="E90" s="1306"/>
      <c r="F90" s="1306"/>
      <c r="G90" s="1306"/>
      <c r="H90" s="1306"/>
      <c r="I90" s="1306"/>
      <c r="J90" s="1307"/>
      <c r="K90" s="1306"/>
      <c r="L90" s="1308"/>
      <c r="M90" s="660" t="b">
        <f t="shared" si="3"/>
        <v>0</v>
      </c>
      <c r="N90" s="20" t="str">
        <f>IF(A90=TRUE,_xlfn.IFNA(INDEX(RiskData!$H$40:$H$290,MATCH(TRUE,INDEX(RIGHT(RiskData!$F$40:$F$290,255)=RIGHT(F90,255),0),0)), ""),"")</f>
        <v/>
      </c>
    </row>
    <row r="91" spans="1:14" ht="50.1" customHeight="1" x14ac:dyDescent="0.25">
      <c r="A91" s="648" t="b">
        <f t="shared" si="2"/>
        <v>0</v>
      </c>
      <c r="B91" s="650" t="s">
        <v>2314</v>
      </c>
      <c r="C91" s="1305"/>
      <c r="D91" s="1306"/>
      <c r="E91" s="1306"/>
      <c r="F91" s="1306"/>
      <c r="G91" s="1306"/>
      <c r="H91" s="1306"/>
      <c r="I91" s="1306"/>
      <c r="J91" s="1307"/>
      <c r="K91" s="1306"/>
      <c r="L91" s="1308"/>
      <c r="M91" s="660" t="b">
        <f t="shared" si="3"/>
        <v>0</v>
      </c>
      <c r="N91" s="20" t="str">
        <f>IF(A91=TRUE,_xlfn.IFNA(INDEX(RiskData!$H$40:$H$290,MATCH(TRUE,INDEX(RIGHT(RiskData!$F$40:$F$290,255)=RIGHT(F91,255),0),0)), ""),"")</f>
        <v/>
      </c>
    </row>
    <row r="92" spans="1:14" ht="50.1" customHeight="1" x14ac:dyDescent="0.25">
      <c r="A92" s="648" t="b">
        <f t="shared" si="2"/>
        <v>0</v>
      </c>
      <c r="B92" s="650" t="s">
        <v>2315</v>
      </c>
      <c r="C92" s="1305"/>
      <c r="D92" s="1306"/>
      <c r="E92" s="1306"/>
      <c r="F92" s="1306"/>
      <c r="G92" s="1306"/>
      <c r="H92" s="1306"/>
      <c r="I92" s="1306"/>
      <c r="J92" s="1307"/>
      <c r="K92" s="1306"/>
      <c r="L92" s="1308"/>
      <c r="M92" s="660" t="b">
        <f t="shared" si="3"/>
        <v>0</v>
      </c>
      <c r="N92" s="20" t="str">
        <f>IF(A92=TRUE,_xlfn.IFNA(INDEX(RiskData!$H$40:$H$290,MATCH(TRUE,INDEX(RIGHT(RiskData!$F$40:$F$290,255)=RIGHT(F92,255),0),0)), ""),"")</f>
        <v/>
      </c>
    </row>
    <row r="93" spans="1:14" ht="50.1" customHeight="1" x14ac:dyDescent="0.25">
      <c r="A93" s="648" t="b">
        <f t="shared" si="2"/>
        <v>0</v>
      </c>
      <c r="B93" s="650" t="s">
        <v>2316</v>
      </c>
      <c r="C93" s="1305"/>
      <c r="D93" s="1306"/>
      <c r="E93" s="1306"/>
      <c r="F93" s="1306"/>
      <c r="G93" s="1306"/>
      <c r="H93" s="1306"/>
      <c r="I93" s="1306"/>
      <c r="J93" s="1307"/>
      <c r="K93" s="1306"/>
      <c r="L93" s="1308"/>
      <c r="M93" s="660" t="b">
        <f t="shared" si="3"/>
        <v>0</v>
      </c>
      <c r="N93" s="20" t="str">
        <f>IF(A93=TRUE,_xlfn.IFNA(INDEX(RiskData!$H$40:$H$290,MATCH(TRUE,INDEX(RIGHT(RiskData!$F$40:$F$290,255)=RIGHT(F93,255),0),0)), ""),"")</f>
        <v/>
      </c>
    </row>
    <row r="94" spans="1:14" ht="50.1" customHeight="1" x14ac:dyDescent="0.25">
      <c r="A94" s="648" t="b">
        <f t="shared" si="2"/>
        <v>0</v>
      </c>
      <c r="B94" s="650" t="s">
        <v>2317</v>
      </c>
      <c r="C94" s="1305"/>
      <c r="D94" s="1306"/>
      <c r="E94" s="1306"/>
      <c r="F94" s="1306"/>
      <c r="G94" s="1306"/>
      <c r="H94" s="1306"/>
      <c r="I94" s="1306"/>
      <c r="J94" s="1307"/>
      <c r="K94" s="1306"/>
      <c r="L94" s="1308"/>
      <c r="M94" s="660" t="b">
        <f t="shared" si="3"/>
        <v>0</v>
      </c>
      <c r="N94" s="20" t="str">
        <f>IF(A94=TRUE,_xlfn.IFNA(INDEX(RiskData!$H$40:$H$290,MATCH(TRUE,INDEX(RIGHT(RiskData!$F$40:$F$290,255)=RIGHT(F94,255),0),0)), ""),"")</f>
        <v/>
      </c>
    </row>
    <row r="95" spans="1:14" ht="50.1" customHeight="1" x14ac:dyDescent="0.25">
      <c r="A95" s="648" t="b">
        <f t="shared" si="2"/>
        <v>0</v>
      </c>
      <c r="B95" s="650" t="s">
        <v>2318</v>
      </c>
      <c r="C95" s="1305"/>
      <c r="D95" s="1306"/>
      <c r="E95" s="1306"/>
      <c r="F95" s="1306"/>
      <c r="G95" s="1306"/>
      <c r="H95" s="1306"/>
      <c r="I95" s="1306"/>
      <c r="J95" s="1307"/>
      <c r="K95" s="1306"/>
      <c r="L95" s="1308"/>
      <c r="M95" s="660" t="b">
        <f t="shared" si="3"/>
        <v>0</v>
      </c>
      <c r="N95" s="20" t="str">
        <f>IF(A95=TRUE,_xlfn.IFNA(INDEX(RiskData!$H$40:$H$290,MATCH(TRUE,INDEX(RIGHT(RiskData!$F$40:$F$290,255)=RIGHT(F95,255),0),0)), ""),"")</f>
        <v/>
      </c>
    </row>
    <row r="96" spans="1:14" ht="50.1" customHeight="1" x14ac:dyDescent="0.25">
      <c r="A96" s="648" t="b">
        <f t="shared" si="2"/>
        <v>0</v>
      </c>
      <c r="B96" s="650" t="s">
        <v>2319</v>
      </c>
      <c r="C96" s="1305"/>
      <c r="D96" s="1306"/>
      <c r="E96" s="1306"/>
      <c r="F96" s="1306"/>
      <c r="G96" s="1306"/>
      <c r="H96" s="1306"/>
      <c r="I96" s="1306"/>
      <c r="J96" s="1307"/>
      <c r="K96" s="1306"/>
      <c r="L96" s="1308"/>
      <c r="M96" s="660" t="b">
        <f t="shared" si="3"/>
        <v>0</v>
      </c>
      <c r="N96" s="20" t="str">
        <f>IF(A96=TRUE,_xlfn.IFNA(INDEX(RiskData!$H$40:$H$290,MATCH(TRUE,INDEX(RIGHT(RiskData!$F$40:$F$290,255)=RIGHT(F96,255),0),0)), ""),"")</f>
        <v/>
      </c>
    </row>
    <row r="97" spans="1:14" ht="50.1" customHeight="1" x14ac:dyDescent="0.25">
      <c r="A97" s="648" t="b">
        <f t="shared" si="2"/>
        <v>0</v>
      </c>
      <c r="B97" s="650" t="s">
        <v>2320</v>
      </c>
      <c r="C97" s="1305"/>
      <c r="D97" s="1306"/>
      <c r="E97" s="1306"/>
      <c r="F97" s="1306"/>
      <c r="G97" s="1306"/>
      <c r="H97" s="1306"/>
      <c r="I97" s="1306"/>
      <c r="J97" s="1307"/>
      <c r="K97" s="1306"/>
      <c r="L97" s="1308"/>
      <c r="M97" s="660" t="b">
        <f t="shared" si="3"/>
        <v>0</v>
      </c>
      <c r="N97" s="20" t="str">
        <f>IF(A97=TRUE,_xlfn.IFNA(INDEX(RiskData!$H$40:$H$290,MATCH(TRUE,INDEX(RIGHT(RiskData!$F$40:$F$290,255)=RIGHT(F97,255),0),0)), ""),"")</f>
        <v/>
      </c>
    </row>
    <row r="98" spans="1:14" ht="50.1" customHeight="1" x14ac:dyDescent="0.25">
      <c r="A98" s="648" t="b">
        <f t="shared" si="2"/>
        <v>0</v>
      </c>
      <c r="B98" s="650" t="s">
        <v>2321</v>
      </c>
      <c r="C98" s="1305"/>
      <c r="D98" s="1306"/>
      <c r="E98" s="1306"/>
      <c r="F98" s="1306"/>
      <c r="G98" s="1306"/>
      <c r="H98" s="1306"/>
      <c r="I98" s="1306"/>
      <c r="J98" s="1307"/>
      <c r="K98" s="1306"/>
      <c r="L98" s="1308"/>
      <c r="M98" s="660" t="b">
        <f t="shared" si="3"/>
        <v>0</v>
      </c>
      <c r="N98" s="20" t="str">
        <f>IF(A98=TRUE,_xlfn.IFNA(INDEX(RiskData!$H$40:$H$290,MATCH(TRUE,INDEX(RIGHT(RiskData!$F$40:$F$290,255)=RIGHT(F98,255),0),0)), ""),"")</f>
        <v/>
      </c>
    </row>
    <row r="99" spans="1:14" ht="50.1" customHeight="1" x14ac:dyDescent="0.25">
      <c r="A99" s="648" t="b">
        <f t="shared" si="2"/>
        <v>0</v>
      </c>
      <c r="B99" s="650" t="s">
        <v>2322</v>
      </c>
      <c r="C99" s="1305"/>
      <c r="D99" s="1306"/>
      <c r="E99" s="1306"/>
      <c r="F99" s="1306"/>
      <c r="G99" s="1306"/>
      <c r="H99" s="1306"/>
      <c r="I99" s="1306"/>
      <c r="J99" s="1307"/>
      <c r="K99" s="1306"/>
      <c r="L99" s="1308"/>
      <c r="M99" s="660" t="b">
        <f t="shared" si="3"/>
        <v>0</v>
      </c>
      <c r="N99" s="20" t="str">
        <f>IF(A99=TRUE,_xlfn.IFNA(INDEX(RiskData!$H$40:$H$290,MATCH(TRUE,INDEX(RIGHT(RiskData!$F$40:$F$290,255)=RIGHT(F99,255),0),0)), ""),"")</f>
        <v/>
      </c>
    </row>
    <row r="100" spans="1:14" ht="50.1" customHeight="1" x14ac:dyDescent="0.25">
      <c r="A100" s="648" t="b">
        <f t="shared" si="2"/>
        <v>0</v>
      </c>
      <c r="B100" s="650" t="s">
        <v>2323</v>
      </c>
      <c r="C100" s="1305"/>
      <c r="D100" s="1306"/>
      <c r="E100" s="1306"/>
      <c r="F100" s="1306"/>
      <c r="G100" s="1306"/>
      <c r="H100" s="1306"/>
      <c r="I100" s="1306"/>
      <c r="J100" s="1307"/>
      <c r="K100" s="1306"/>
      <c r="L100" s="1308"/>
      <c r="M100" s="660" t="b">
        <f t="shared" si="3"/>
        <v>0</v>
      </c>
      <c r="N100" s="20" t="str">
        <f>IF(A100=TRUE,_xlfn.IFNA(INDEX(RiskData!$H$40:$H$290,MATCH(TRUE,INDEX(RIGHT(RiskData!$F$40:$F$290,255)=RIGHT(F100,255),0),0)), ""),"")</f>
        <v/>
      </c>
    </row>
    <row r="101" spans="1:14" ht="50.1" customHeight="1" x14ac:dyDescent="0.25">
      <c r="A101" s="648" t="b">
        <f t="shared" si="2"/>
        <v>0</v>
      </c>
      <c r="B101" s="650" t="s">
        <v>2324</v>
      </c>
      <c r="C101" s="1305"/>
      <c r="D101" s="1306"/>
      <c r="E101" s="1306"/>
      <c r="F101" s="1306"/>
      <c r="G101" s="1306"/>
      <c r="H101" s="1306"/>
      <c r="I101" s="1306"/>
      <c r="J101" s="1307"/>
      <c r="K101" s="1306"/>
      <c r="L101" s="1308"/>
      <c r="M101" s="660" t="b">
        <f t="shared" si="3"/>
        <v>0</v>
      </c>
      <c r="N101" s="20" t="str">
        <f>IF(A101=TRUE,_xlfn.IFNA(INDEX(RiskData!$H$40:$H$290,MATCH(TRUE,INDEX(RIGHT(RiskData!$F$40:$F$290,255)=RIGHT(F101,255),0),0)), ""),"")</f>
        <v/>
      </c>
    </row>
    <row r="102" spans="1:14" ht="50.1" customHeight="1" x14ac:dyDescent="0.25">
      <c r="A102" s="648" t="b">
        <f t="shared" si="2"/>
        <v>0</v>
      </c>
      <c r="B102" s="650" t="s">
        <v>2325</v>
      </c>
      <c r="C102" s="1305"/>
      <c r="D102" s="1306"/>
      <c r="E102" s="1306"/>
      <c r="F102" s="1306"/>
      <c r="G102" s="1306"/>
      <c r="H102" s="1306"/>
      <c r="I102" s="1306"/>
      <c r="J102" s="1307"/>
      <c r="K102" s="1306"/>
      <c r="L102" s="1308"/>
      <c r="M102" s="660" t="b">
        <f t="shared" si="3"/>
        <v>0</v>
      </c>
      <c r="N102" s="20" t="str">
        <f>IF(A102=TRUE,_xlfn.IFNA(INDEX(RiskData!$H$40:$H$290,MATCH(TRUE,INDEX(RIGHT(RiskData!$F$40:$F$290,255)=RIGHT(F102,255),0),0)), ""),"")</f>
        <v/>
      </c>
    </row>
    <row r="103" spans="1:14" ht="50.1" customHeight="1" x14ac:dyDescent="0.25">
      <c r="A103" s="648" t="b">
        <f t="shared" si="2"/>
        <v>0</v>
      </c>
      <c r="B103" s="650" t="s">
        <v>2326</v>
      </c>
      <c r="C103" s="1305"/>
      <c r="D103" s="1306"/>
      <c r="E103" s="1306"/>
      <c r="F103" s="1306"/>
      <c r="G103" s="1306"/>
      <c r="H103" s="1306"/>
      <c r="I103" s="1306"/>
      <c r="J103" s="1307"/>
      <c r="K103" s="1306"/>
      <c r="L103" s="1308"/>
      <c r="M103" s="660" t="b">
        <f t="shared" si="3"/>
        <v>0</v>
      </c>
      <c r="N103" s="20" t="str">
        <f>IF(A103=TRUE,_xlfn.IFNA(INDEX(RiskData!$H$40:$H$290,MATCH(TRUE,INDEX(RIGHT(RiskData!$F$40:$F$290,255)=RIGHT(F103,255),0),0)), ""),"")</f>
        <v/>
      </c>
    </row>
    <row r="104" spans="1:14" ht="50.1" customHeight="1" x14ac:dyDescent="0.25">
      <c r="A104" s="648" t="b">
        <f t="shared" si="2"/>
        <v>0</v>
      </c>
      <c r="B104" s="650" t="s">
        <v>2327</v>
      </c>
      <c r="C104" s="1305"/>
      <c r="D104" s="1306"/>
      <c r="E104" s="1306"/>
      <c r="F104" s="1306"/>
      <c r="G104" s="1306"/>
      <c r="H104" s="1306"/>
      <c r="I104" s="1306"/>
      <c r="J104" s="1307"/>
      <c r="K104" s="1306"/>
      <c r="L104" s="1308"/>
      <c r="M104" s="660" t="b">
        <f t="shared" si="3"/>
        <v>0</v>
      </c>
      <c r="N104" s="20" t="str">
        <f>IF(A104=TRUE,_xlfn.IFNA(INDEX(RiskData!$H$40:$H$290,MATCH(TRUE,INDEX(RIGHT(RiskData!$F$40:$F$290,255)=RIGHT(F104,255),0),0)), ""),"")</f>
        <v/>
      </c>
    </row>
    <row r="105" spans="1:14" ht="50.1" customHeight="1" x14ac:dyDescent="0.25">
      <c r="A105" s="648" t="b">
        <f t="shared" si="2"/>
        <v>0</v>
      </c>
      <c r="B105" s="650" t="s">
        <v>2328</v>
      </c>
      <c r="C105" s="1305"/>
      <c r="D105" s="1306"/>
      <c r="E105" s="1306"/>
      <c r="F105" s="1306"/>
      <c r="G105" s="1306"/>
      <c r="H105" s="1306"/>
      <c r="I105" s="1306"/>
      <c r="J105" s="1307"/>
      <c r="K105" s="1306"/>
      <c r="L105" s="1308"/>
      <c r="M105" s="660" t="b">
        <f t="shared" si="3"/>
        <v>0</v>
      </c>
      <c r="N105" s="20" t="str">
        <f>IF(A105=TRUE,_xlfn.IFNA(INDEX(RiskData!$H$40:$H$290,MATCH(TRUE,INDEX(RIGHT(RiskData!$F$40:$F$290,255)=RIGHT(F105,255),0),0)), ""),"")</f>
        <v/>
      </c>
    </row>
    <row r="106" spans="1:14" ht="50.1" customHeight="1" x14ac:dyDescent="0.25">
      <c r="A106" s="648" t="b">
        <f t="shared" si="2"/>
        <v>0</v>
      </c>
      <c r="B106" s="650" t="s">
        <v>2329</v>
      </c>
      <c r="C106" s="1305"/>
      <c r="D106" s="1306"/>
      <c r="E106" s="1306"/>
      <c r="F106" s="1306"/>
      <c r="G106" s="1306"/>
      <c r="H106" s="1306"/>
      <c r="I106" s="1306"/>
      <c r="J106" s="1307"/>
      <c r="K106" s="1306"/>
      <c r="L106" s="1308"/>
      <c r="M106" s="660" t="b">
        <f t="shared" si="3"/>
        <v>0</v>
      </c>
      <c r="N106" s="20" t="str">
        <f>IF(A106=TRUE,_xlfn.IFNA(INDEX(RiskData!$H$40:$H$290,MATCH(TRUE,INDEX(RIGHT(RiskData!$F$40:$F$290,255)=RIGHT(F106,255),0),0)), ""),"")</f>
        <v/>
      </c>
    </row>
    <row r="107" spans="1:14" ht="50.1" customHeight="1" x14ac:dyDescent="0.25">
      <c r="A107" s="648" t="b">
        <f t="shared" si="2"/>
        <v>0</v>
      </c>
      <c r="B107" s="650" t="s">
        <v>2330</v>
      </c>
      <c r="C107" s="1305"/>
      <c r="D107" s="1306"/>
      <c r="E107" s="1306"/>
      <c r="F107" s="1306"/>
      <c r="G107" s="1306"/>
      <c r="H107" s="1306"/>
      <c r="I107" s="1306"/>
      <c r="J107" s="1307"/>
      <c r="K107" s="1306"/>
      <c r="L107" s="1308"/>
      <c r="M107" s="660" t="b">
        <f t="shared" si="3"/>
        <v>0</v>
      </c>
      <c r="N107" s="20" t="str">
        <f>IF(A107=TRUE,_xlfn.IFNA(INDEX(RiskData!$H$40:$H$290,MATCH(TRUE,INDEX(RIGHT(RiskData!$F$40:$F$290,255)=RIGHT(F107,255),0),0)), ""),"")</f>
        <v/>
      </c>
    </row>
    <row r="108" spans="1:14" ht="50.1" customHeight="1" x14ac:dyDescent="0.25">
      <c r="A108" s="648" t="b">
        <f t="shared" si="2"/>
        <v>0</v>
      </c>
      <c r="B108" s="650" t="s">
        <v>2331</v>
      </c>
      <c r="C108" s="1305"/>
      <c r="D108" s="1306"/>
      <c r="E108" s="1306"/>
      <c r="F108" s="1306"/>
      <c r="G108" s="1306"/>
      <c r="H108" s="1306"/>
      <c r="I108" s="1306"/>
      <c r="J108" s="1307"/>
      <c r="K108" s="1306"/>
      <c r="L108" s="1308"/>
      <c r="M108" s="660" t="b">
        <f t="shared" si="3"/>
        <v>0</v>
      </c>
      <c r="N108" s="20" t="str">
        <f>IF(A108=TRUE,_xlfn.IFNA(INDEX(RiskData!$H$40:$H$290,MATCH(TRUE,INDEX(RIGHT(RiskData!$F$40:$F$290,255)=RIGHT(F108,255),0),0)), ""),"")</f>
        <v/>
      </c>
    </row>
  </sheetData>
  <sheetProtection algorithmName="SHA-512" hashValue="SXHx8xVVcyFqPhnjzHSv+GHdkEHv6CG++5jr/kxr5T/PzDb4BouJ0Lg0UPnRWp+M5++NWdewpeyqWGMohCROuw==" saltValue="ky2L9TVP8p3T4wW2UEpR3A==" spinCount="100000" sheet="1" formatColumns="0" formatRows="0" autoFilter="0"/>
  <mergeCells count="4">
    <mergeCell ref="C1:L1"/>
    <mergeCell ref="C3:L3"/>
    <mergeCell ref="C4:L4"/>
    <mergeCell ref="C6:L6"/>
  </mergeCells>
  <conditionalFormatting sqref="C9:E108 G9:J108">
    <cfRule type="expression" dxfId="117" priority="4">
      <formula>AND($A9, ISBLANK(C9))</formula>
    </cfRule>
  </conditionalFormatting>
  <conditionalFormatting sqref="E9:E108">
    <cfRule type="expression" dxfId="116" priority="39">
      <formula>AND($F9="",$N9&lt;&gt;"")</formula>
    </cfRule>
  </conditionalFormatting>
  <dataValidations count="4">
    <dataValidation type="list" allowBlank="1" showInputMessage="1" showErrorMessage="1" sqref="C9:C108" xr:uid="{00000000-0002-0000-1B00-000000000000}">
      <formula1>RiskCategories</formula1>
    </dataValidation>
    <dataValidation type="list" allowBlank="1" showInputMessage="1" showErrorMessage="1" sqref="K9:K108" xr:uid="{00000000-0002-0000-1B00-000001000000}">
      <formula1>Status</formula1>
    </dataValidation>
    <dataValidation type="list" allowBlank="1" showInputMessage="1" showErrorMessage="1" sqref="I9:I108" xr:uid="{00000000-0002-0000-1B00-000002000000}">
      <formula1>Actor</formula1>
    </dataValidation>
    <dataValidation type="date" allowBlank="1" showInputMessage="1" showErrorMessage="1" sqref="J9:J108" xr:uid="{00000000-0002-0000-1B00-000003000000}">
      <formula1>1</formula1>
      <formula2>73415</formula2>
    </dataValidation>
  </dataValidations>
  <pageMargins left="0.7" right="0.7" top="0.75" bottom="0.75" header="0.3" footer="0.3"/>
  <pageSetup paperSize="8" scale="39" orientation="landscape"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4000000}">
          <x14:formula1>
            <xm:f>IF($C9="",RiskData!$N$1,OFFSET(RiskData!$F$13,MATCH($C9,RiskData!$B$14:$B$36,0),0,COUNTIF(RiskCategoriesInRisks,$C9),1))</xm:f>
          </x14:formula1>
          <xm:sqref>D9:D108</xm:sqref>
        </x14:dataValidation>
        <x14:dataValidation type="list" allowBlank="1" showInputMessage="1" showErrorMessage="1" xr:uid="{00000000-0002-0000-1B00-000005000000}">
          <x14:formula1>
            <xm:f>IF($D9="",RiskData!$O$1,OFFSET(RiskData!$F$39,MATCH($D9,RiskData!$E$40:$E$290,0),0,COUNTIF(RisksInRootCauses,$D9),1))</xm:f>
          </x14:formula1>
          <xm:sqref>E9:E108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theme="0"/>
  </sheetPr>
  <dimension ref="A1:BF1497"/>
  <sheetViews>
    <sheetView zoomScale="70" zoomScaleNormal="70" workbookViewId="0">
      <selection activeCell="A2" sqref="A2"/>
    </sheetView>
  </sheetViews>
  <sheetFormatPr baseColWidth="10" defaultColWidth="9.140625" defaultRowHeight="12.75" x14ac:dyDescent="0.2"/>
  <cols>
    <col min="1" max="1" width="20.5703125" style="495" customWidth="1"/>
    <col min="2" max="2" width="9.140625" style="495"/>
    <col min="3" max="3" width="11.5703125" style="495" customWidth="1"/>
    <col min="4" max="4" width="65.140625" style="495" customWidth="1"/>
    <col min="5" max="5" width="62.5703125" style="495" customWidth="1"/>
    <col min="6" max="6" width="157.85546875" style="495" customWidth="1"/>
    <col min="7" max="7" width="42.140625" style="505" customWidth="1"/>
    <col min="8" max="8" width="42" style="495" customWidth="1"/>
    <col min="9" max="9" width="20.5703125" style="495" customWidth="1"/>
    <col min="10" max="10" width="16.85546875" style="495" bestFit="1" customWidth="1"/>
    <col min="11" max="11" width="20.85546875" style="495" customWidth="1"/>
    <col min="12" max="12" width="18" style="495" customWidth="1"/>
    <col min="13" max="14" width="39.140625" style="495" customWidth="1"/>
    <col min="15" max="16" width="20.5703125" style="495" customWidth="1"/>
    <col min="17" max="17" width="20.140625" style="495" customWidth="1"/>
    <col min="18" max="18" width="26.140625" style="495" customWidth="1"/>
    <col min="19" max="19" width="17.85546875" style="495" customWidth="1"/>
    <col min="20" max="20" width="23.85546875" style="495" customWidth="1"/>
    <col min="21" max="21" width="11.85546875" style="495" customWidth="1"/>
    <col min="22" max="22" width="18.85546875" style="495" customWidth="1"/>
    <col min="23" max="23" width="20.140625" style="495" customWidth="1"/>
    <col min="24" max="24" width="20.5703125" style="495" bestFit="1" customWidth="1"/>
    <col min="25" max="25" width="9.85546875" style="495" bestFit="1" customWidth="1"/>
    <col min="26" max="16384" width="9.140625" style="495"/>
  </cols>
  <sheetData>
    <row r="1" spans="1:25" ht="32.25" customHeight="1" x14ac:dyDescent="0.2">
      <c r="A1" s="507"/>
      <c r="B1" s="507"/>
      <c r="C1" s="507"/>
      <c r="D1" s="507">
        <v>2</v>
      </c>
      <c r="E1" s="507">
        <v>3</v>
      </c>
      <c r="F1" s="507">
        <v>4</v>
      </c>
      <c r="G1" s="507">
        <v>5</v>
      </c>
      <c r="H1" s="507">
        <v>6</v>
      </c>
      <c r="I1" s="507">
        <v>7</v>
      </c>
      <c r="J1" s="507">
        <v>8</v>
      </c>
      <c r="K1" s="507">
        <v>9</v>
      </c>
      <c r="L1" s="507">
        <v>10</v>
      </c>
      <c r="M1" s="507">
        <v>11</v>
      </c>
      <c r="N1" s="507"/>
      <c r="O1" s="507">
        <v>12</v>
      </c>
      <c r="P1" s="507"/>
      <c r="Q1" s="507">
        <v>13</v>
      </c>
      <c r="R1" s="507">
        <v>14</v>
      </c>
      <c r="S1" s="507">
        <v>15</v>
      </c>
      <c r="T1" s="507">
        <v>16</v>
      </c>
      <c r="U1" s="507">
        <v>17</v>
      </c>
      <c r="V1" s="507">
        <v>18</v>
      </c>
      <c r="W1" s="507">
        <v>19</v>
      </c>
      <c r="X1" s="507">
        <v>20</v>
      </c>
      <c r="Y1" s="507">
        <v>21</v>
      </c>
    </row>
    <row r="2" spans="1:25" ht="31.5" customHeight="1" x14ac:dyDescent="0.2">
      <c r="A2" s="920" t="s">
        <v>122</v>
      </c>
      <c r="B2" s="920">
        <v>-1</v>
      </c>
      <c r="C2" s="920"/>
      <c r="D2" s="921" t="s">
        <v>2227</v>
      </c>
      <c r="E2" s="921" t="s">
        <v>1417</v>
      </c>
      <c r="F2" s="921" t="s">
        <v>1349</v>
      </c>
      <c r="G2" s="921" t="s">
        <v>2228</v>
      </c>
      <c r="H2" s="921" t="s">
        <v>1246</v>
      </c>
      <c r="I2" s="921" t="s">
        <v>2229</v>
      </c>
      <c r="J2" s="921" t="s">
        <v>2230</v>
      </c>
      <c r="K2" s="922" t="s">
        <v>1245</v>
      </c>
      <c r="L2" s="921" t="s">
        <v>1185</v>
      </c>
      <c r="M2" s="921" t="s">
        <v>1249</v>
      </c>
      <c r="N2" s="921"/>
      <c r="O2" s="923" t="s">
        <v>2332</v>
      </c>
      <c r="P2" s="923" t="s">
        <v>2333</v>
      </c>
      <c r="Q2" s="923" t="s">
        <v>2227</v>
      </c>
      <c r="R2" s="923" t="s">
        <v>1244</v>
      </c>
      <c r="S2" s="923" t="s">
        <v>1349</v>
      </c>
      <c r="T2" s="923" t="s">
        <v>2334</v>
      </c>
      <c r="U2" s="923" t="s">
        <v>2335</v>
      </c>
      <c r="V2" s="923" t="s">
        <v>2336</v>
      </c>
      <c r="W2" s="923" t="s">
        <v>1185</v>
      </c>
      <c r="X2" s="923" t="s">
        <v>2228</v>
      </c>
      <c r="Y2" s="923" t="s">
        <v>1245</v>
      </c>
    </row>
    <row r="3" spans="1:25" ht="15" hidden="1" customHeight="1" x14ac:dyDescent="0.2">
      <c r="A3" s="920" t="s">
        <v>371</v>
      </c>
      <c r="B3" s="924">
        <f>B2+1</f>
        <v>0</v>
      </c>
      <c r="C3" s="925" t="str">
        <f>"Finding"&amp;B3</f>
        <v>Finding0</v>
      </c>
      <c r="D3" s="919" t="str">
        <f>IFERROR(IF(INDEX('LFA_Findings&amp;Recommendations_6'!C$9:C$108,MATCH('LFA_Findings&amp;Recom export'!$C3,'LFA_Findings&amp;Recommendations_6'!$B$9:$B$108,0))="","",INDEX('LFA_Findings&amp;Recommendations_6'!C$9:C$108,MATCH('LFA_Findings&amp;Recom export'!$C3,'LFA_Findings&amp;Recommendations_6'!$B$9:$B$108,0))),"")</f>
        <v/>
      </c>
      <c r="E3" s="919" t="str">
        <f>IFERROR(IF(INDEX('LFA_Findings&amp;Recommendations_6'!D$9:D$108,MATCH('LFA_Findings&amp;Recom export'!$C3,'LFA_Findings&amp;Recommendations_6'!$B$9:$B$108,0))="","",INDEX('LFA_Findings&amp;Recommendations_6'!D$9:D$108,MATCH('LFA_Findings&amp;Recom export'!$C3,'LFA_Findings&amp;Recommendations_6'!$B$9:$B$108,0))),"")</f>
        <v/>
      </c>
      <c r="F3" s="919" t="str">
        <f>IFERROR(IF(INDEX('LFA_Findings&amp;Recommendations_6'!E$9:E$108,MATCH('LFA_Findings&amp;Recom export'!$C3,'LFA_Findings&amp;Recommendations_6'!$B$9:$B$108,0))="","",INDEX('LFA_Findings&amp;Recommendations_6'!E$9:E$108,MATCH('LFA_Findings&amp;Recom export'!$C3,'LFA_Findings&amp;Recommendations_6'!$B$9:$B$108,0))),"")</f>
        <v/>
      </c>
      <c r="G3" s="919" t="str">
        <f>IFERROR(IF(INDEX('LFA_Findings&amp;Recommendations_6'!F$9:F$108,MATCH('LFA_Findings&amp;Recom export'!$C3,'LFA_Findings&amp;Recommendations_6'!$B$9:$B$108,0))="","",INDEX('LFA_Findings&amp;Recommendations_6'!F$9:F$108,MATCH('LFA_Findings&amp;Recom export'!$C3,'LFA_Findings&amp;Recommendations_6'!$B$9:$B$108,0))),"")</f>
        <v/>
      </c>
      <c r="H3" s="919" t="str">
        <f>IFERROR(IF(INDEX('LFA_Findings&amp;Recommendations_6'!G$9:G$108,MATCH('LFA_Findings&amp;Recom export'!$C3,'LFA_Findings&amp;Recommendations_6'!$B$9:$B$108,0))="","",INDEX('LFA_Findings&amp;Recommendations_6'!G$9:G$108,MATCH('LFA_Findings&amp;Recom export'!$C3,'LFA_Findings&amp;Recommendations_6'!$B$9:$B$108,0))),"")</f>
        <v/>
      </c>
      <c r="I3" s="919" t="str">
        <f>IFERROR(IF(INDEX('LFA_Findings&amp;Recommendations_6'!H$9:H$108,MATCH('LFA_Findings&amp;Recom export'!$C3,'LFA_Findings&amp;Recommendations_6'!$B$9:$B$108,0))="","",INDEX('LFA_Findings&amp;Recommendations_6'!H$9:H$108,MATCH('LFA_Findings&amp;Recom export'!$C3,'LFA_Findings&amp;Recommendations_6'!$B$9:$B$108,0))),"")</f>
        <v/>
      </c>
      <c r="J3" s="919" t="str">
        <f>IFERROR(IF(INDEX('LFA_Findings&amp;Recommendations_6'!I$9:I$108,MATCH('LFA_Findings&amp;Recom export'!$C3,'LFA_Findings&amp;Recommendations_6'!$B$9:$B$108,0))="","",INDEX('LFA_Findings&amp;Recommendations_6'!I$9:I$108,MATCH('LFA_Findings&amp;Recom export'!$C3,'LFA_Findings&amp;Recommendations_6'!$B$9:$B$108,0))),"")</f>
        <v/>
      </c>
      <c r="K3" s="919" t="str">
        <f>IFERROR(IF(INDEX('LFA_Findings&amp;Recommendations_6'!J$9:J$108,MATCH('LFA_Findings&amp;Recom export'!$C3,'LFA_Findings&amp;Recommendations_6'!$B$9:$B$108,0))="","",INDEX('LFA_Findings&amp;Recommendations_6'!J$9:J$108,MATCH('LFA_Findings&amp;Recom export'!$C3,'LFA_Findings&amp;Recommendations_6'!$B$9:$B$108,0))),"")</f>
        <v/>
      </c>
      <c r="L3" s="919" t="str">
        <f>IFERROR(IF(INDEX('LFA_Findings&amp;Recommendations_6'!K$9:K$108,MATCH('LFA_Findings&amp;Recom export'!$C3,'LFA_Findings&amp;Recommendations_6'!$B$9:$B$108,0))="","",INDEX('LFA_Findings&amp;Recommendations_6'!K$9:K$108,MATCH('LFA_Findings&amp;Recom export'!$C3,'LFA_Findings&amp;Recommendations_6'!$B$9:$B$108,0))),"")</f>
        <v/>
      </c>
      <c r="M3" s="919" t="str">
        <f>IFERROR(IF(INDEX('LFA_Findings&amp;Recommendations_6'!L$9:L$108,MATCH('LFA_Findings&amp;Recom export'!$C3,'LFA_Findings&amp;Recommendations_6'!$B$9:$B$108,0))="","",INDEX('LFA_Findings&amp;Recommendations_6'!L$9:L$108,MATCH('LFA_Findings&amp;Recom export'!$C3,'LFA_Findings&amp;Recommendations_6'!$B$9:$B$108,0))),"")</f>
        <v/>
      </c>
      <c r="N3" s="919" t="b">
        <f>OR(Q3="",R3="",S3="",H3="",I3="",J3="")</f>
        <v>1</v>
      </c>
      <c r="O3" s="926" t="b">
        <f>AND(OR(ISBLANK(D3),ISBLANK(E3),ISBLANK(F3),ISBLANK(H3),ISBLANK(I3),ISBLANK(J3)),
    OR(NOT(ISBLANK(D3)),NOT(ISBLANK(E3)),NOT(ISBLANK(F3)),NOT(ISBLANK(H3)),NOT(ISBLANK(I3)),NOT(ISBLANK(J3))))</f>
        <v>0</v>
      </c>
      <c r="P3" s="926" t="str">
        <f>IFERROR(IF(INDEX('LFA_Findings&amp;Recommendations_6'!A$9:A$108,MATCH('LFA_Findings&amp;Recom export'!$C3,'LFA_Findings&amp;Recommendations_6'!$B$9:$B$108,0))="","",INDEX('LFA_Findings&amp;Recommendations_6'!A$9:A$108,MATCH('LFA_Findings&amp;Recom export'!$C3,'LFA_Findings&amp;Recommendations_6'!$B$9:$B$108,0))),"")</f>
        <v/>
      </c>
      <c r="Q3" s="926" t="str">
        <f>IF(P3=TRUE,_xlfn.IFNA(VLOOKUP(D3,RiskData!$B$5:$D$11,3,FALSE), ""),"")</f>
        <v/>
      </c>
      <c r="R3" s="926" t="str">
        <f>IF(P3=TRUE,_xlfn.IFNA(VLOOKUP(E3,RiskData!$F$13:$I$36,4,FALSE), ""),"")</f>
        <v/>
      </c>
      <c r="S3" s="926" t="str">
        <f>IF(P3=TRUE,_xlfn.IFNA(INDEX(RiskData!$H$40:$H$290,MATCH(TRUE,INDEX(RIGHT(RiskData!$F$40:$F$290,255)=RIGHT(F3,255),0),0)), ""),"")</f>
        <v/>
      </c>
      <c r="T3" s="926" t="str">
        <f>IF(OR(P3=TRUE,ISBLANK(D3)),'Admin Sheet'!$B$44,"")</f>
        <v/>
      </c>
      <c r="U3" s="926" t="str">
        <f>IF(OR(ISBLANK(D3), P3=TRUE),'Admin Sheet'!$B$41,"")</f>
        <v/>
      </c>
      <c r="V3" s="927" t="str">
        <f>IF(OR(ISBLANK(M3), P3&lt;&gt;TRUE), "", M3)</f>
        <v/>
      </c>
      <c r="W3" s="927" t="str">
        <f>IF(OR(ISBLANK(L3), P3&lt;&gt;TRUE), "", L3)</f>
        <v/>
      </c>
      <c r="X3" s="927" t="str">
        <f>IF(OR($M3=TRUE, ISBLANK($D3)),"",G3)</f>
        <v/>
      </c>
      <c r="Y3" s="928" t="str">
        <f>IF(OR($M3=TRUE, ISBLANK($H3)), "", K3)</f>
        <v/>
      </c>
    </row>
    <row r="4" spans="1:25" ht="15" customHeight="1" x14ac:dyDescent="0.2">
      <c r="A4" s="918"/>
      <c r="B4" s="924">
        <f t="shared" ref="B4:B33" si="0">B3+1</f>
        <v>1</v>
      </c>
      <c r="C4" s="925" t="str">
        <f t="shared" ref="C4:C33" si="1">"Finding"&amp;B4</f>
        <v>Finding1</v>
      </c>
      <c r="D4" s="919" t="str">
        <f>IFERROR(IF(INDEX('LFA_Findings&amp;Recommendations_6'!C$9:C$108,MATCH('LFA_Findings&amp;Recom export'!$C4,'LFA_Findings&amp;Recommendations_6'!$B$9:$B$108,0))="","",INDEX('LFA_Findings&amp;Recommendations_6'!C$9:C$108,MATCH('LFA_Findings&amp;Recom export'!$C4,'LFA_Findings&amp;Recommendations_6'!$B$9:$B$108,0))),"")</f>
        <v/>
      </c>
      <c r="E4" s="919" t="str">
        <f>IFERROR(IF(INDEX('LFA_Findings&amp;Recommendations_6'!D$9:D$108,MATCH('LFA_Findings&amp;Recom export'!$C4,'LFA_Findings&amp;Recommendations_6'!$B$9:$B$108,0))="","",INDEX('LFA_Findings&amp;Recommendations_6'!D$9:D$108,MATCH('LFA_Findings&amp;Recom export'!$C4,'LFA_Findings&amp;Recommendations_6'!$B$9:$B$108,0))),"")</f>
        <v/>
      </c>
      <c r="F4" s="919" t="str">
        <f>IFERROR(IF(INDEX('LFA_Findings&amp;Recommendations_6'!E$9:E$108,MATCH('LFA_Findings&amp;Recom export'!$C4,'LFA_Findings&amp;Recommendations_6'!$B$9:$B$108,0))="","",INDEX('LFA_Findings&amp;Recommendations_6'!E$9:E$108,MATCH('LFA_Findings&amp;Recom export'!$C4,'LFA_Findings&amp;Recommendations_6'!$B$9:$B$108,0))),"")</f>
        <v/>
      </c>
      <c r="G4" s="919" t="str">
        <f>IFERROR(IF(INDEX('LFA_Findings&amp;Recommendations_6'!F$9:F$108,MATCH('LFA_Findings&amp;Recom export'!$C4,'LFA_Findings&amp;Recommendations_6'!$B$9:$B$108,0))="","",INDEX('LFA_Findings&amp;Recommendations_6'!F$9:F$108,MATCH('LFA_Findings&amp;Recom export'!$C4,'LFA_Findings&amp;Recommendations_6'!$B$9:$B$108,0))),"")</f>
        <v/>
      </c>
      <c r="H4" s="919" t="str">
        <f>IFERROR(IF(INDEX('LFA_Findings&amp;Recommendations_6'!G$9:G$108,MATCH('LFA_Findings&amp;Recom export'!$C4,'LFA_Findings&amp;Recommendations_6'!$B$9:$B$108,0))="","",INDEX('LFA_Findings&amp;Recommendations_6'!G$9:G$108,MATCH('LFA_Findings&amp;Recom export'!$C4,'LFA_Findings&amp;Recommendations_6'!$B$9:$B$108,0))),"")</f>
        <v/>
      </c>
      <c r="I4" s="919" t="str">
        <f>IFERROR(IF(INDEX('LFA_Findings&amp;Recommendations_6'!H$9:H$108,MATCH('LFA_Findings&amp;Recom export'!$C4,'LFA_Findings&amp;Recommendations_6'!$B$9:$B$108,0))="","",INDEX('LFA_Findings&amp;Recommendations_6'!H$9:H$108,MATCH('LFA_Findings&amp;Recom export'!$C4,'LFA_Findings&amp;Recommendations_6'!$B$9:$B$108,0))),"")</f>
        <v/>
      </c>
      <c r="J4" s="919" t="str">
        <f>IFERROR(IF(INDEX('LFA_Findings&amp;Recommendations_6'!I$9:I$108,MATCH('LFA_Findings&amp;Recom export'!$C4,'LFA_Findings&amp;Recommendations_6'!$B$9:$B$108,0))="","",INDEX('LFA_Findings&amp;Recommendations_6'!I$9:I$108,MATCH('LFA_Findings&amp;Recom export'!$C4,'LFA_Findings&amp;Recommendations_6'!$B$9:$B$108,0))),"")</f>
        <v/>
      </c>
      <c r="K4" s="919" t="str">
        <f>IFERROR(IF(INDEX('LFA_Findings&amp;Recommendations_6'!J$9:J$108,MATCH('LFA_Findings&amp;Recom export'!$C4,'LFA_Findings&amp;Recommendations_6'!$B$9:$B$108,0))="","",INDEX('LFA_Findings&amp;Recommendations_6'!J$9:J$108,MATCH('LFA_Findings&amp;Recom export'!$C4,'LFA_Findings&amp;Recommendations_6'!$B$9:$B$108,0))),"")</f>
        <v/>
      </c>
      <c r="L4" s="919" t="str">
        <f>IFERROR(IF(INDEX('LFA_Findings&amp;Recommendations_6'!K$9:K$108,MATCH('LFA_Findings&amp;Recom export'!$C4,'LFA_Findings&amp;Recommendations_6'!$B$9:$B$108,0))="","",INDEX('LFA_Findings&amp;Recommendations_6'!K$9:K$108,MATCH('LFA_Findings&amp;Recom export'!$C4,'LFA_Findings&amp;Recommendations_6'!$B$9:$B$108,0))),"")</f>
        <v/>
      </c>
      <c r="M4" s="919" t="str">
        <f>IFERROR(IF(INDEX('LFA_Findings&amp;Recommendations_6'!L$9:L$108,MATCH('LFA_Findings&amp;Recom export'!$C4,'LFA_Findings&amp;Recommendations_6'!$B$9:$B$108,0))="","",INDEX('LFA_Findings&amp;Recommendations_6'!L$9:L$108,MATCH('LFA_Findings&amp;Recom export'!$C4,'LFA_Findings&amp;Recommendations_6'!$B$9:$B$108,0))),"")</f>
        <v/>
      </c>
      <c r="N4" s="919" t="b">
        <f t="shared" ref="N4:N33" si="2">OR(Q4="",R4="",S4="",H4="",I4="",J4="")</f>
        <v>1</v>
      </c>
      <c r="O4" s="926" t="b">
        <f t="shared" ref="O4:O33" si="3">AND(OR(ISBLANK(D4),ISBLANK(E4),ISBLANK(F4),ISBLANK(H4),ISBLANK(I4),ISBLANK(J4)),
    OR(NOT(ISBLANK(D4)),NOT(ISBLANK(E4)),NOT(ISBLANK(F4)),NOT(ISBLANK(H4)),NOT(ISBLANK(I4)),NOT(ISBLANK(J4))))</f>
        <v>0</v>
      </c>
      <c r="P4" s="926" t="b">
        <f>IFERROR(IF(INDEX('LFA_Findings&amp;Recommendations_6'!A$9:A$108,MATCH('LFA_Findings&amp;Recom export'!$C4,'LFA_Findings&amp;Recommendations_6'!$B$9:$B$108,0))="","",INDEX('LFA_Findings&amp;Recommendations_6'!A$9:A$108,MATCH('LFA_Findings&amp;Recom export'!$C4,'LFA_Findings&amp;Recommendations_6'!$B$9:$B$108,0))),"")</f>
        <v>0</v>
      </c>
      <c r="Q4" s="926" t="str">
        <f>IF(P4=TRUE,_xlfn.IFNA(VLOOKUP(D4,RiskData!$B$5:$D$11,3,FALSE), ""),"")</f>
        <v/>
      </c>
      <c r="R4" s="926" t="str">
        <f>IF(P4=TRUE,_xlfn.IFNA(VLOOKUP(E4,RiskData!$F$13:$I$36,4,FALSE), ""),"")</f>
        <v/>
      </c>
      <c r="S4" s="926" t="str">
        <f>IF(P4=TRUE,_xlfn.IFNA(INDEX(RiskData!$H$40:$H$290,MATCH(TRUE,INDEX(RIGHT(RiskData!$F$40:$F$290,255)=RIGHT(F4,255),0),0)), ""),"")</f>
        <v/>
      </c>
      <c r="T4" s="926" t="str">
        <f>IF(OR(P4=TRUE,ISBLANK(D4)),'Admin Sheet'!$B$44,"")</f>
        <v/>
      </c>
      <c r="U4" s="926" t="str">
        <f>IF(OR(ISBLANK(D4), P4=TRUE),'Admin Sheet'!$B$41,"")</f>
        <v/>
      </c>
      <c r="V4" s="927" t="str">
        <f t="shared" ref="V4:V33" si="4">IF(OR(ISBLANK(M4), P4&lt;&gt;TRUE), "", M4)</f>
        <v/>
      </c>
      <c r="W4" s="927" t="str">
        <f t="shared" ref="W4:W33" si="5">IF(OR(ISBLANK(L4), P4&lt;&gt;TRUE), "", L4)</f>
        <v/>
      </c>
      <c r="X4" s="927" t="str">
        <f t="shared" ref="X4:X33" si="6">IF(OR($M4=TRUE, ISBLANK($D4)),"",G4)</f>
        <v/>
      </c>
      <c r="Y4" s="928" t="str">
        <f t="shared" ref="Y4:Y33" si="7">IF(OR($M4=TRUE, ISBLANK($H4)), "", K4)</f>
        <v/>
      </c>
    </row>
    <row r="5" spans="1:25" ht="15" customHeight="1" x14ac:dyDescent="0.2">
      <c r="A5" s="918"/>
      <c r="B5" s="924">
        <f t="shared" si="0"/>
        <v>2</v>
      </c>
      <c r="C5" s="925" t="str">
        <f t="shared" si="1"/>
        <v>Finding2</v>
      </c>
      <c r="D5" s="919" t="str">
        <f>IFERROR(IF(INDEX('LFA_Findings&amp;Recommendations_6'!C$9:C$108,MATCH('LFA_Findings&amp;Recom export'!$C5,'LFA_Findings&amp;Recommendations_6'!$B$9:$B$108,0))="","",INDEX('LFA_Findings&amp;Recommendations_6'!C$9:C$108,MATCH('LFA_Findings&amp;Recom export'!$C5,'LFA_Findings&amp;Recommendations_6'!$B$9:$B$108,0))),"")</f>
        <v/>
      </c>
      <c r="E5" s="919" t="str">
        <f>IFERROR(IF(INDEX('LFA_Findings&amp;Recommendations_6'!D$9:D$108,MATCH('LFA_Findings&amp;Recom export'!$C5,'LFA_Findings&amp;Recommendations_6'!$B$9:$B$108,0))="","",INDEX('LFA_Findings&amp;Recommendations_6'!D$9:D$108,MATCH('LFA_Findings&amp;Recom export'!$C5,'LFA_Findings&amp;Recommendations_6'!$B$9:$B$108,0))),"")</f>
        <v/>
      </c>
      <c r="F5" s="919" t="str">
        <f>IFERROR(IF(INDEX('LFA_Findings&amp;Recommendations_6'!E$9:E$108,MATCH('LFA_Findings&amp;Recom export'!$C5,'LFA_Findings&amp;Recommendations_6'!$B$9:$B$108,0))="","",INDEX('LFA_Findings&amp;Recommendations_6'!E$9:E$108,MATCH('LFA_Findings&amp;Recom export'!$C5,'LFA_Findings&amp;Recommendations_6'!$B$9:$B$108,0))),"")</f>
        <v/>
      </c>
      <c r="G5" s="919" t="str">
        <f>IFERROR(IF(INDEX('LFA_Findings&amp;Recommendations_6'!F$9:F$108,MATCH('LFA_Findings&amp;Recom export'!$C5,'LFA_Findings&amp;Recommendations_6'!$B$9:$B$108,0))="","",INDEX('LFA_Findings&amp;Recommendations_6'!F$9:F$108,MATCH('LFA_Findings&amp;Recom export'!$C5,'LFA_Findings&amp;Recommendations_6'!$B$9:$B$108,0))),"")</f>
        <v/>
      </c>
      <c r="H5" s="919" t="str">
        <f>IFERROR(IF(INDEX('LFA_Findings&amp;Recommendations_6'!G$9:G$108,MATCH('LFA_Findings&amp;Recom export'!$C5,'LFA_Findings&amp;Recommendations_6'!$B$9:$B$108,0))="","",INDEX('LFA_Findings&amp;Recommendations_6'!G$9:G$108,MATCH('LFA_Findings&amp;Recom export'!$C5,'LFA_Findings&amp;Recommendations_6'!$B$9:$B$108,0))),"")</f>
        <v/>
      </c>
      <c r="I5" s="919" t="str">
        <f>IFERROR(IF(INDEX('LFA_Findings&amp;Recommendations_6'!H$9:H$108,MATCH('LFA_Findings&amp;Recom export'!$C5,'LFA_Findings&amp;Recommendations_6'!$B$9:$B$108,0))="","",INDEX('LFA_Findings&amp;Recommendations_6'!H$9:H$108,MATCH('LFA_Findings&amp;Recom export'!$C5,'LFA_Findings&amp;Recommendations_6'!$B$9:$B$108,0))),"")</f>
        <v/>
      </c>
      <c r="J5" s="919" t="str">
        <f>IFERROR(IF(INDEX('LFA_Findings&amp;Recommendations_6'!I$9:I$108,MATCH('LFA_Findings&amp;Recom export'!$C5,'LFA_Findings&amp;Recommendations_6'!$B$9:$B$108,0))="","",INDEX('LFA_Findings&amp;Recommendations_6'!I$9:I$108,MATCH('LFA_Findings&amp;Recom export'!$C5,'LFA_Findings&amp;Recommendations_6'!$B$9:$B$108,0))),"")</f>
        <v/>
      </c>
      <c r="K5" s="919" t="str">
        <f>IFERROR(IF(INDEX('LFA_Findings&amp;Recommendations_6'!J$9:J$108,MATCH('LFA_Findings&amp;Recom export'!$C5,'LFA_Findings&amp;Recommendations_6'!$B$9:$B$108,0))="","",INDEX('LFA_Findings&amp;Recommendations_6'!J$9:J$108,MATCH('LFA_Findings&amp;Recom export'!$C5,'LFA_Findings&amp;Recommendations_6'!$B$9:$B$108,0))),"")</f>
        <v/>
      </c>
      <c r="L5" s="919" t="str">
        <f>IFERROR(IF(INDEX('LFA_Findings&amp;Recommendations_6'!K$9:K$108,MATCH('LFA_Findings&amp;Recom export'!$C5,'LFA_Findings&amp;Recommendations_6'!$B$9:$B$108,0))="","",INDEX('LFA_Findings&amp;Recommendations_6'!K$9:K$108,MATCH('LFA_Findings&amp;Recom export'!$C5,'LFA_Findings&amp;Recommendations_6'!$B$9:$B$108,0))),"")</f>
        <v/>
      </c>
      <c r="M5" s="919" t="str">
        <f>IFERROR(IF(INDEX('LFA_Findings&amp;Recommendations_6'!L$9:L$108,MATCH('LFA_Findings&amp;Recom export'!$C5,'LFA_Findings&amp;Recommendations_6'!$B$9:$B$108,0))="","",INDEX('LFA_Findings&amp;Recommendations_6'!L$9:L$108,MATCH('LFA_Findings&amp;Recom export'!$C5,'LFA_Findings&amp;Recommendations_6'!$B$9:$B$108,0))),"")</f>
        <v/>
      </c>
      <c r="N5" s="919" t="b">
        <f t="shared" si="2"/>
        <v>1</v>
      </c>
      <c r="O5" s="926" t="b">
        <f t="shared" si="3"/>
        <v>0</v>
      </c>
      <c r="P5" s="926" t="b">
        <f>IFERROR(IF(INDEX('LFA_Findings&amp;Recommendations_6'!A$9:A$108,MATCH('LFA_Findings&amp;Recom export'!$C5,'LFA_Findings&amp;Recommendations_6'!$B$9:$B$108,0))="","",INDEX('LFA_Findings&amp;Recommendations_6'!A$9:A$108,MATCH('LFA_Findings&amp;Recom export'!$C5,'LFA_Findings&amp;Recommendations_6'!$B$9:$B$108,0))),"")</f>
        <v>0</v>
      </c>
      <c r="Q5" s="926" t="str">
        <f>IF(P5=TRUE,_xlfn.IFNA(VLOOKUP(D5,RiskData!$B$5:$D$11,3,FALSE), ""),"")</f>
        <v/>
      </c>
      <c r="R5" s="926" t="str">
        <f>IF(P5=TRUE,_xlfn.IFNA(VLOOKUP(E5,RiskData!$F$13:$I$36,4,FALSE), ""),"")</f>
        <v/>
      </c>
      <c r="S5" s="926" t="str">
        <f>IF(P5=TRUE,_xlfn.IFNA(INDEX(RiskData!$H$40:$H$290,MATCH(TRUE,INDEX(RIGHT(RiskData!$F$40:$F$290,255)=RIGHT(F5,255),0),0)), ""),"")</f>
        <v/>
      </c>
      <c r="T5" s="926" t="str">
        <f>IF(OR(P5=TRUE,ISBLANK(D5)),'Admin Sheet'!$B$44,"")</f>
        <v/>
      </c>
      <c r="U5" s="926" t="str">
        <f>IF(OR(ISBLANK(D5), P5=TRUE),'Admin Sheet'!$B$41,"")</f>
        <v/>
      </c>
      <c r="V5" s="927" t="str">
        <f t="shared" si="4"/>
        <v/>
      </c>
      <c r="W5" s="927" t="str">
        <f t="shared" si="5"/>
        <v/>
      </c>
      <c r="X5" s="927" t="str">
        <f t="shared" si="6"/>
        <v/>
      </c>
      <c r="Y5" s="928" t="str">
        <f t="shared" si="7"/>
        <v/>
      </c>
    </row>
    <row r="6" spans="1:25" ht="15" customHeight="1" x14ac:dyDescent="0.2">
      <c r="A6" s="918"/>
      <c r="B6" s="924">
        <f t="shared" si="0"/>
        <v>3</v>
      </c>
      <c r="C6" s="925" t="str">
        <f t="shared" si="1"/>
        <v>Finding3</v>
      </c>
      <c r="D6" s="919" t="str">
        <f>IFERROR(IF(INDEX('LFA_Findings&amp;Recommendations_6'!C$9:C$108,MATCH('LFA_Findings&amp;Recom export'!$C6,'LFA_Findings&amp;Recommendations_6'!$B$9:$B$108,0))="","",INDEX('LFA_Findings&amp;Recommendations_6'!C$9:C$108,MATCH('LFA_Findings&amp;Recom export'!$C6,'LFA_Findings&amp;Recommendations_6'!$B$9:$B$108,0))),"")</f>
        <v/>
      </c>
      <c r="E6" s="919" t="str">
        <f>IFERROR(IF(INDEX('LFA_Findings&amp;Recommendations_6'!D$9:D$108,MATCH('LFA_Findings&amp;Recom export'!$C6,'LFA_Findings&amp;Recommendations_6'!$B$9:$B$108,0))="","",INDEX('LFA_Findings&amp;Recommendations_6'!D$9:D$108,MATCH('LFA_Findings&amp;Recom export'!$C6,'LFA_Findings&amp;Recommendations_6'!$B$9:$B$108,0))),"")</f>
        <v/>
      </c>
      <c r="F6" s="919" t="str">
        <f>IFERROR(IF(INDEX('LFA_Findings&amp;Recommendations_6'!E$9:E$108,MATCH('LFA_Findings&amp;Recom export'!$C6,'LFA_Findings&amp;Recommendations_6'!$B$9:$B$108,0))="","",INDEX('LFA_Findings&amp;Recommendations_6'!E$9:E$108,MATCH('LFA_Findings&amp;Recom export'!$C6,'LFA_Findings&amp;Recommendations_6'!$B$9:$B$108,0))),"")</f>
        <v/>
      </c>
      <c r="G6" s="919" t="str">
        <f>IFERROR(IF(INDEX('LFA_Findings&amp;Recommendations_6'!F$9:F$108,MATCH('LFA_Findings&amp;Recom export'!$C6,'LFA_Findings&amp;Recommendations_6'!$B$9:$B$108,0))="","",INDEX('LFA_Findings&amp;Recommendations_6'!F$9:F$108,MATCH('LFA_Findings&amp;Recom export'!$C6,'LFA_Findings&amp;Recommendations_6'!$B$9:$B$108,0))),"")</f>
        <v/>
      </c>
      <c r="H6" s="919" t="str">
        <f>IFERROR(IF(INDEX('LFA_Findings&amp;Recommendations_6'!G$9:G$108,MATCH('LFA_Findings&amp;Recom export'!$C6,'LFA_Findings&amp;Recommendations_6'!$B$9:$B$108,0))="","",INDEX('LFA_Findings&amp;Recommendations_6'!G$9:G$108,MATCH('LFA_Findings&amp;Recom export'!$C6,'LFA_Findings&amp;Recommendations_6'!$B$9:$B$108,0))),"")</f>
        <v/>
      </c>
      <c r="I6" s="919" t="str">
        <f>IFERROR(IF(INDEX('LFA_Findings&amp;Recommendations_6'!H$9:H$108,MATCH('LFA_Findings&amp;Recom export'!$C6,'LFA_Findings&amp;Recommendations_6'!$B$9:$B$108,0))="","",INDEX('LFA_Findings&amp;Recommendations_6'!H$9:H$108,MATCH('LFA_Findings&amp;Recom export'!$C6,'LFA_Findings&amp;Recommendations_6'!$B$9:$B$108,0))),"")</f>
        <v/>
      </c>
      <c r="J6" s="919" t="str">
        <f>IFERROR(IF(INDEX('LFA_Findings&amp;Recommendations_6'!I$9:I$108,MATCH('LFA_Findings&amp;Recom export'!$C6,'LFA_Findings&amp;Recommendations_6'!$B$9:$B$108,0))="","",INDEX('LFA_Findings&amp;Recommendations_6'!I$9:I$108,MATCH('LFA_Findings&amp;Recom export'!$C6,'LFA_Findings&amp;Recommendations_6'!$B$9:$B$108,0))),"")</f>
        <v/>
      </c>
      <c r="K6" s="919" t="str">
        <f>IFERROR(IF(INDEX('LFA_Findings&amp;Recommendations_6'!J$9:J$108,MATCH('LFA_Findings&amp;Recom export'!$C6,'LFA_Findings&amp;Recommendations_6'!$B$9:$B$108,0))="","",INDEX('LFA_Findings&amp;Recommendations_6'!J$9:J$108,MATCH('LFA_Findings&amp;Recom export'!$C6,'LFA_Findings&amp;Recommendations_6'!$B$9:$B$108,0))),"")</f>
        <v/>
      </c>
      <c r="L6" s="919" t="str">
        <f>IFERROR(IF(INDEX('LFA_Findings&amp;Recommendations_6'!K$9:K$108,MATCH('LFA_Findings&amp;Recom export'!$C6,'LFA_Findings&amp;Recommendations_6'!$B$9:$B$108,0))="","",INDEX('LFA_Findings&amp;Recommendations_6'!K$9:K$108,MATCH('LFA_Findings&amp;Recom export'!$C6,'LFA_Findings&amp;Recommendations_6'!$B$9:$B$108,0))),"")</f>
        <v/>
      </c>
      <c r="M6" s="919" t="str">
        <f>IFERROR(IF(INDEX('LFA_Findings&amp;Recommendations_6'!L$9:L$108,MATCH('LFA_Findings&amp;Recom export'!$C6,'LFA_Findings&amp;Recommendations_6'!$B$9:$B$108,0))="","",INDEX('LFA_Findings&amp;Recommendations_6'!L$9:L$108,MATCH('LFA_Findings&amp;Recom export'!$C6,'LFA_Findings&amp;Recommendations_6'!$B$9:$B$108,0))),"")</f>
        <v/>
      </c>
      <c r="N6" s="919" t="b">
        <f t="shared" si="2"/>
        <v>1</v>
      </c>
      <c r="O6" s="926" t="b">
        <f t="shared" si="3"/>
        <v>0</v>
      </c>
      <c r="P6" s="926" t="b">
        <f>IFERROR(IF(INDEX('LFA_Findings&amp;Recommendations_6'!A$9:A$108,MATCH('LFA_Findings&amp;Recom export'!$C6,'LFA_Findings&amp;Recommendations_6'!$B$9:$B$108,0))="","",INDEX('LFA_Findings&amp;Recommendations_6'!A$9:A$108,MATCH('LFA_Findings&amp;Recom export'!$C6,'LFA_Findings&amp;Recommendations_6'!$B$9:$B$108,0))),"")</f>
        <v>0</v>
      </c>
      <c r="Q6" s="926" t="str">
        <f>IF(P6=TRUE,_xlfn.IFNA(VLOOKUP(D6,RiskData!$B$5:$D$11,3,FALSE), ""),"")</f>
        <v/>
      </c>
      <c r="R6" s="926" t="str">
        <f>IF(P6=TRUE,_xlfn.IFNA(VLOOKUP(E6,RiskData!$F$13:$I$36,4,FALSE), ""),"")</f>
        <v/>
      </c>
      <c r="S6" s="926" t="str">
        <f>IF(P6=TRUE,_xlfn.IFNA(INDEX(RiskData!$H$40:$H$290,MATCH(TRUE,INDEX(RIGHT(RiskData!$F$40:$F$290,255)=RIGHT(F6,255),0),0)), ""),"")</f>
        <v/>
      </c>
      <c r="T6" s="926" t="str">
        <f>IF(OR(P6=TRUE,ISBLANK(D6)),'Admin Sheet'!$B$44,"")</f>
        <v/>
      </c>
      <c r="U6" s="926" t="str">
        <f>IF(OR(ISBLANK(D6), P6=TRUE),'Admin Sheet'!$B$41,"")</f>
        <v/>
      </c>
      <c r="V6" s="927" t="str">
        <f t="shared" si="4"/>
        <v/>
      </c>
      <c r="W6" s="927" t="str">
        <f t="shared" si="5"/>
        <v/>
      </c>
      <c r="X6" s="927" t="str">
        <f t="shared" si="6"/>
        <v/>
      </c>
      <c r="Y6" s="928" t="str">
        <f t="shared" si="7"/>
        <v/>
      </c>
    </row>
    <row r="7" spans="1:25" ht="15" customHeight="1" x14ac:dyDescent="0.2">
      <c r="A7" s="918"/>
      <c r="B7" s="924">
        <f t="shared" si="0"/>
        <v>4</v>
      </c>
      <c r="C7" s="925" t="str">
        <f t="shared" si="1"/>
        <v>Finding4</v>
      </c>
      <c r="D7" s="919" t="str">
        <f>IFERROR(IF(INDEX('LFA_Findings&amp;Recommendations_6'!C$9:C$108,MATCH('LFA_Findings&amp;Recom export'!$C7,'LFA_Findings&amp;Recommendations_6'!$B$9:$B$108,0))="","",INDEX('LFA_Findings&amp;Recommendations_6'!C$9:C$108,MATCH('LFA_Findings&amp;Recom export'!$C7,'LFA_Findings&amp;Recommendations_6'!$B$9:$B$108,0))),"")</f>
        <v/>
      </c>
      <c r="E7" s="919" t="str">
        <f>IFERROR(IF(INDEX('LFA_Findings&amp;Recommendations_6'!D$9:D$108,MATCH('LFA_Findings&amp;Recom export'!$C7,'LFA_Findings&amp;Recommendations_6'!$B$9:$B$108,0))="","",INDEX('LFA_Findings&amp;Recommendations_6'!D$9:D$108,MATCH('LFA_Findings&amp;Recom export'!$C7,'LFA_Findings&amp;Recommendations_6'!$B$9:$B$108,0))),"")</f>
        <v/>
      </c>
      <c r="F7" s="919" t="str">
        <f>IFERROR(IF(INDEX('LFA_Findings&amp;Recommendations_6'!E$9:E$108,MATCH('LFA_Findings&amp;Recom export'!$C7,'LFA_Findings&amp;Recommendations_6'!$B$9:$B$108,0))="","",INDEX('LFA_Findings&amp;Recommendations_6'!E$9:E$108,MATCH('LFA_Findings&amp;Recom export'!$C7,'LFA_Findings&amp;Recommendations_6'!$B$9:$B$108,0))),"")</f>
        <v/>
      </c>
      <c r="G7" s="919" t="str">
        <f>IFERROR(IF(INDEX('LFA_Findings&amp;Recommendations_6'!F$9:F$108,MATCH('LFA_Findings&amp;Recom export'!$C7,'LFA_Findings&amp;Recommendations_6'!$B$9:$B$108,0))="","",INDEX('LFA_Findings&amp;Recommendations_6'!F$9:F$108,MATCH('LFA_Findings&amp;Recom export'!$C7,'LFA_Findings&amp;Recommendations_6'!$B$9:$B$108,0))),"")</f>
        <v/>
      </c>
      <c r="H7" s="919" t="str">
        <f>IFERROR(IF(INDEX('LFA_Findings&amp;Recommendations_6'!G$9:G$108,MATCH('LFA_Findings&amp;Recom export'!$C7,'LFA_Findings&amp;Recommendations_6'!$B$9:$B$108,0))="","",INDEX('LFA_Findings&amp;Recommendations_6'!G$9:G$108,MATCH('LFA_Findings&amp;Recom export'!$C7,'LFA_Findings&amp;Recommendations_6'!$B$9:$B$108,0))),"")</f>
        <v/>
      </c>
      <c r="I7" s="919" t="str">
        <f>IFERROR(IF(INDEX('LFA_Findings&amp;Recommendations_6'!H$9:H$108,MATCH('LFA_Findings&amp;Recom export'!$C7,'LFA_Findings&amp;Recommendations_6'!$B$9:$B$108,0))="","",INDEX('LFA_Findings&amp;Recommendations_6'!H$9:H$108,MATCH('LFA_Findings&amp;Recom export'!$C7,'LFA_Findings&amp;Recommendations_6'!$B$9:$B$108,0))),"")</f>
        <v/>
      </c>
      <c r="J7" s="919" t="str">
        <f>IFERROR(IF(INDEX('LFA_Findings&amp;Recommendations_6'!I$9:I$108,MATCH('LFA_Findings&amp;Recom export'!$C7,'LFA_Findings&amp;Recommendations_6'!$B$9:$B$108,0))="","",INDEX('LFA_Findings&amp;Recommendations_6'!I$9:I$108,MATCH('LFA_Findings&amp;Recom export'!$C7,'LFA_Findings&amp;Recommendations_6'!$B$9:$B$108,0))),"")</f>
        <v/>
      </c>
      <c r="K7" s="919" t="str">
        <f>IFERROR(IF(INDEX('LFA_Findings&amp;Recommendations_6'!J$9:J$108,MATCH('LFA_Findings&amp;Recom export'!$C7,'LFA_Findings&amp;Recommendations_6'!$B$9:$B$108,0))="","",INDEX('LFA_Findings&amp;Recommendations_6'!J$9:J$108,MATCH('LFA_Findings&amp;Recom export'!$C7,'LFA_Findings&amp;Recommendations_6'!$B$9:$B$108,0))),"")</f>
        <v/>
      </c>
      <c r="L7" s="919" t="str">
        <f>IFERROR(IF(INDEX('LFA_Findings&amp;Recommendations_6'!K$9:K$108,MATCH('LFA_Findings&amp;Recom export'!$C7,'LFA_Findings&amp;Recommendations_6'!$B$9:$B$108,0))="","",INDEX('LFA_Findings&amp;Recommendations_6'!K$9:K$108,MATCH('LFA_Findings&amp;Recom export'!$C7,'LFA_Findings&amp;Recommendations_6'!$B$9:$B$108,0))),"")</f>
        <v/>
      </c>
      <c r="M7" s="919" t="str">
        <f>IFERROR(IF(INDEX('LFA_Findings&amp;Recommendations_6'!L$9:L$108,MATCH('LFA_Findings&amp;Recom export'!$C7,'LFA_Findings&amp;Recommendations_6'!$B$9:$B$108,0))="","",INDEX('LFA_Findings&amp;Recommendations_6'!L$9:L$108,MATCH('LFA_Findings&amp;Recom export'!$C7,'LFA_Findings&amp;Recommendations_6'!$B$9:$B$108,0))),"")</f>
        <v/>
      </c>
      <c r="N7" s="919" t="b">
        <f t="shared" si="2"/>
        <v>1</v>
      </c>
      <c r="O7" s="926" t="b">
        <f t="shared" si="3"/>
        <v>0</v>
      </c>
      <c r="P7" s="926" t="b">
        <f>IFERROR(IF(INDEX('LFA_Findings&amp;Recommendations_6'!A$9:A$108,MATCH('LFA_Findings&amp;Recom export'!$C7,'LFA_Findings&amp;Recommendations_6'!$B$9:$B$108,0))="","",INDEX('LFA_Findings&amp;Recommendations_6'!A$9:A$108,MATCH('LFA_Findings&amp;Recom export'!$C7,'LFA_Findings&amp;Recommendations_6'!$B$9:$B$108,0))),"")</f>
        <v>0</v>
      </c>
      <c r="Q7" s="926" t="str">
        <f>IF(P7=TRUE,_xlfn.IFNA(VLOOKUP(D7,RiskData!$B$5:$D$11,3,FALSE), ""),"")</f>
        <v/>
      </c>
      <c r="R7" s="926" t="str">
        <f>IF(P7=TRUE,_xlfn.IFNA(VLOOKUP(E7,RiskData!$F$13:$I$36,4,FALSE), ""),"")</f>
        <v/>
      </c>
      <c r="S7" s="926" t="str">
        <f>IF(P7=TRUE,_xlfn.IFNA(INDEX(RiskData!$H$40:$H$290,MATCH(TRUE,INDEX(RIGHT(RiskData!$F$40:$F$290,255)=RIGHT(F7,255),0),0)), ""),"")</f>
        <v/>
      </c>
      <c r="T7" s="926" t="str">
        <f>IF(OR(P7=TRUE,ISBLANK(D7)),'Admin Sheet'!$B$44,"")</f>
        <v/>
      </c>
      <c r="U7" s="926" t="str">
        <f>IF(OR(ISBLANK(D7), P7=TRUE),'Admin Sheet'!$B$41,"")</f>
        <v/>
      </c>
      <c r="V7" s="927" t="str">
        <f t="shared" si="4"/>
        <v/>
      </c>
      <c r="W7" s="927" t="str">
        <f t="shared" si="5"/>
        <v/>
      </c>
      <c r="X7" s="927" t="str">
        <f t="shared" si="6"/>
        <v/>
      </c>
      <c r="Y7" s="928" t="str">
        <f t="shared" si="7"/>
        <v/>
      </c>
    </row>
    <row r="8" spans="1:25" ht="15" customHeight="1" x14ac:dyDescent="0.2">
      <c r="A8" s="918"/>
      <c r="B8" s="924">
        <f t="shared" si="0"/>
        <v>5</v>
      </c>
      <c r="C8" s="925" t="str">
        <f t="shared" si="1"/>
        <v>Finding5</v>
      </c>
      <c r="D8" s="919" t="str">
        <f>IFERROR(IF(INDEX('LFA_Findings&amp;Recommendations_6'!C$9:C$108,MATCH('LFA_Findings&amp;Recom export'!$C8,'LFA_Findings&amp;Recommendations_6'!$B$9:$B$108,0))="","",INDEX('LFA_Findings&amp;Recommendations_6'!C$9:C$108,MATCH('LFA_Findings&amp;Recom export'!$C8,'LFA_Findings&amp;Recommendations_6'!$B$9:$B$108,0))),"")</f>
        <v/>
      </c>
      <c r="E8" s="919" t="str">
        <f>IFERROR(IF(INDEX('LFA_Findings&amp;Recommendations_6'!D$9:D$108,MATCH('LFA_Findings&amp;Recom export'!$C8,'LFA_Findings&amp;Recommendations_6'!$B$9:$B$108,0))="","",INDEX('LFA_Findings&amp;Recommendations_6'!D$9:D$108,MATCH('LFA_Findings&amp;Recom export'!$C8,'LFA_Findings&amp;Recommendations_6'!$B$9:$B$108,0))),"")</f>
        <v/>
      </c>
      <c r="F8" s="919" t="str">
        <f>IFERROR(IF(INDEX('LFA_Findings&amp;Recommendations_6'!E$9:E$108,MATCH('LFA_Findings&amp;Recom export'!$C8,'LFA_Findings&amp;Recommendations_6'!$B$9:$B$108,0))="","",INDEX('LFA_Findings&amp;Recommendations_6'!E$9:E$108,MATCH('LFA_Findings&amp;Recom export'!$C8,'LFA_Findings&amp;Recommendations_6'!$B$9:$B$108,0))),"")</f>
        <v/>
      </c>
      <c r="G8" s="919" t="str">
        <f>IFERROR(IF(INDEX('LFA_Findings&amp;Recommendations_6'!F$9:F$108,MATCH('LFA_Findings&amp;Recom export'!$C8,'LFA_Findings&amp;Recommendations_6'!$B$9:$B$108,0))="","",INDEX('LFA_Findings&amp;Recommendations_6'!F$9:F$108,MATCH('LFA_Findings&amp;Recom export'!$C8,'LFA_Findings&amp;Recommendations_6'!$B$9:$B$108,0))),"")</f>
        <v/>
      </c>
      <c r="H8" s="919" t="str">
        <f>IFERROR(IF(INDEX('LFA_Findings&amp;Recommendations_6'!G$9:G$108,MATCH('LFA_Findings&amp;Recom export'!$C8,'LFA_Findings&amp;Recommendations_6'!$B$9:$B$108,0))="","",INDEX('LFA_Findings&amp;Recommendations_6'!G$9:G$108,MATCH('LFA_Findings&amp;Recom export'!$C8,'LFA_Findings&amp;Recommendations_6'!$B$9:$B$108,0))),"")</f>
        <v/>
      </c>
      <c r="I8" s="919" t="str">
        <f>IFERROR(IF(INDEX('LFA_Findings&amp;Recommendations_6'!H$9:H$108,MATCH('LFA_Findings&amp;Recom export'!$C8,'LFA_Findings&amp;Recommendations_6'!$B$9:$B$108,0))="","",INDEX('LFA_Findings&amp;Recommendations_6'!H$9:H$108,MATCH('LFA_Findings&amp;Recom export'!$C8,'LFA_Findings&amp;Recommendations_6'!$B$9:$B$108,0))),"")</f>
        <v/>
      </c>
      <c r="J8" s="919" t="str">
        <f>IFERROR(IF(INDEX('LFA_Findings&amp;Recommendations_6'!I$9:I$108,MATCH('LFA_Findings&amp;Recom export'!$C8,'LFA_Findings&amp;Recommendations_6'!$B$9:$B$108,0))="","",INDEX('LFA_Findings&amp;Recommendations_6'!I$9:I$108,MATCH('LFA_Findings&amp;Recom export'!$C8,'LFA_Findings&amp;Recommendations_6'!$B$9:$B$108,0))),"")</f>
        <v/>
      </c>
      <c r="K8" s="919" t="str">
        <f>IFERROR(IF(INDEX('LFA_Findings&amp;Recommendations_6'!J$9:J$108,MATCH('LFA_Findings&amp;Recom export'!$C8,'LFA_Findings&amp;Recommendations_6'!$B$9:$B$108,0))="","",INDEX('LFA_Findings&amp;Recommendations_6'!J$9:J$108,MATCH('LFA_Findings&amp;Recom export'!$C8,'LFA_Findings&amp;Recommendations_6'!$B$9:$B$108,0))),"")</f>
        <v/>
      </c>
      <c r="L8" s="919" t="str">
        <f>IFERROR(IF(INDEX('LFA_Findings&amp;Recommendations_6'!K$9:K$108,MATCH('LFA_Findings&amp;Recom export'!$C8,'LFA_Findings&amp;Recommendations_6'!$B$9:$B$108,0))="","",INDEX('LFA_Findings&amp;Recommendations_6'!K$9:K$108,MATCH('LFA_Findings&amp;Recom export'!$C8,'LFA_Findings&amp;Recommendations_6'!$B$9:$B$108,0))),"")</f>
        <v/>
      </c>
      <c r="M8" s="919" t="str">
        <f>IFERROR(IF(INDEX('LFA_Findings&amp;Recommendations_6'!L$9:L$108,MATCH('LFA_Findings&amp;Recom export'!$C8,'LFA_Findings&amp;Recommendations_6'!$B$9:$B$108,0))="","",INDEX('LFA_Findings&amp;Recommendations_6'!L$9:L$108,MATCH('LFA_Findings&amp;Recom export'!$C8,'LFA_Findings&amp;Recommendations_6'!$B$9:$B$108,0))),"")</f>
        <v/>
      </c>
      <c r="N8" s="919" t="b">
        <f t="shared" si="2"/>
        <v>1</v>
      </c>
      <c r="O8" s="926" t="b">
        <f t="shared" si="3"/>
        <v>0</v>
      </c>
      <c r="P8" s="926" t="b">
        <f>IFERROR(IF(INDEX('LFA_Findings&amp;Recommendations_6'!A$9:A$108,MATCH('LFA_Findings&amp;Recom export'!$C8,'LFA_Findings&amp;Recommendations_6'!$B$9:$B$108,0))="","",INDEX('LFA_Findings&amp;Recommendations_6'!A$9:A$108,MATCH('LFA_Findings&amp;Recom export'!$C8,'LFA_Findings&amp;Recommendations_6'!$B$9:$B$108,0))),"")</f>
        <v>0</v>
      </c>
      <c r="Q8" s="926" t="str">
        <f>IF(P8=TRUE,_xlfn.IFNA(VLOOKUP(D8,RiskData!$B$5:$D$11,3,FALSE), ""),"")</f>
        <v/>
      </c>
      <c r="R8" s="926" t="str">
        <f>IF(P8=TRUE,_xlfn.IFNA(VLOOKUP(E8,RiskData!$F$13:$I$36,4,FALSE), ""),"")</f>
        <v/>
      </c>
      <c r="S8" s="926" t="str">
        <f>IF(P8=TRUE,_xlfn.IFNA(INDEX(RiskData!$H$40:$H$290,MATCH(TRUE,INDEX(RIGHT(RiskData!$F$40:$F$290,255)=RIGHT(F8,255),0),0)), ""),"")</f>
        <v/>
      </c>
      <c r="T8" s="926" t="str">
        <f>IF(OR(P8=TRUE,ISBLANK(D8)),'Admin Sheet'!$B$44,"")</f>
        <v/>
      </c>
      <c r="U8" s="926" t="str">
        <f>IF(OR(ISBLANK(D8), P8=TRUE),'Admin Sheet'!$B$41,"")</f>
        <v/>
      </c>
      <c r="V8" s="927" t="str">
        <f t="shared" si="4"/>
        <v/>
      </c>
      <c r="W8" s="927" t="str">
        <f t="shared" si="5"/>
        <v/>
      </c>
      <c r="X8" s="927" t="str">
        <f t="shared" si="6"/>
        <v/>
      </c>
      <c r="Y8" s="928" t="str">
        <f t="shared" si="7"/>
        <v/>
      </c>
    </row>
    <row r="9" spans="1:25" ht="15" customHeight="1" x14ac:dyDescent="0.2">
      <c r="A9" s="918"/>
      <c r="B9" s="924">
        <f t="shared" si="0"/>
        <v>6</v>
      </c>
      <c r="C9" s="925" t="str">
        <f t="shared" si="1"/>
        <v>Finding6</v>
      </c>
      <c r="D9" s="919" t="str">
        <f>IFERROR(IF(INDEX('LFA_Findings&amp;Recommendations_6'!C$9:C$108,MATCH('LFA_Findings&amp;Recom export'!$C9,'LFA_Findings&amp;Recommendations_6'!$B$9:$B$108,0))="","",INDEX('LFA_Findings&amp;Recommendations_6'!C$9:C$108,MATCH('LFA_Findings&amp;Recom export'!$C9,'LFA_Findings&amp;Recommendations_6'!$B$9:$B$108,0))),"")</f>
        <v/>
      </c>
      <c r="E9" s="919" t="str">
        <f>IFERROR(IF(INDEX('LFA_Findings&amp;Recommendations_6'!D$9:D$108,MATCH('LFA_Findings&amp;Recom export'!$C9,'LFA_Findings&amp;Recommendations_6'!$B$9:$B$108,0))="","",INDEX('LFA_Findings&amp;Recommendations_6'!D$9:D$108,MATCH('LFA_Findings&amp;Recom export'!$C9,'LFA_Findings&amp;Recommendations_6'!$B$9:$B$108,0))),"")</f>
        <v/>
      </c>
      <c r="F9" s="919" t="str">
        <f>IFERROR(IF(INDEX('LFA_Findings&amp;Recommendations_6'!E$9:E$108,MATCH('LFA_Findings&amp;Recom export'!$C9,'LFA_Findings&amp;Recommendations_6'!$B$9:$B$108,0))="","",INDEX('LFA_Findings&amp;Recommendations_6'!E$9:E$108,MATCH('LFA_Findings&amp;Recom export'!$C9,'LFA_Findings&amp;Recommendations_6'!$B$9:$B$108,0))),"")</f>
        <v/>
      </c>
      <c r="G9" s="919" t="str">
        <f>IFERROR(IF(INDEX('LFA_Findings&amp;Recommendations_6'!F$9:F$108,MATCH('LFA_Findings&amp;Recom export'!$C9,'LFA_Findings&amp;Recommendations_6'!$B$9:$B$108,0))="","",INDEX('LFA_Findings&amp;Recommendations_6'!F$9:F$108,MATCH('LFA_Findings&amp;Recom export'!$C9,'LFA_Findings&amp;Recommendations_6'!$B$9:$B$108,0))),"")</f>
        <v/>
      </c>
      <c r="H9" s="919" t="str">
        <f>IFERROR(IF(INDEX('LFA_Findings&amp;Recommendations_6'!G$9:G$108,MATCH('LFA_Findings&amp;Recom export'!$C9,'LFA_Findings&amp;Recommendations_6'!$B$9:$B$108,0))="","",INDEX('LFA_Findings&amp;Recommendations_6'!G$9:G$108,MATCH('LFA_Findings&amp;Recom export'!$C9,'LFA_Findings&amp;Recommendations_6'!$B$9:$B$108,0))),"")</f>
        <v/>
      </c>
      <c r="I9" s="919" t="str">
        <f>IFERROR(IF(INDEX('LFA_Findings&amp;Recommendations_6'!H$9:H$108,MATCH('LFA_Findings&amp;Recom export'!$C9,'LFA_Findings&amp;Recommendations_6'!$B$9:$B$108,0))="","",INDEX('LFA_Findings&amp;Recommendations_6'!H$9:H$108,MATCH('LFA_Findings&amp;Recom export'!$C9,'LFA_Findings&amp;Recommendations_6'!$B$9:$B$108,0))),"")</f>
        <v/>
      </c>
      <c r="J9" s="919" t="str">
        <f>IFERROR(IF(INDEX('LFA_Findings&amp;Recommendations_6'!I$9:I$108,MATCH('LFA_Findings&amp;Recom export'!$C9,'LFA_Findings&amp;Recommendations_6'!$B$9:$B$108,0))="","",INDEX('LFA_Findings&amp;Recommendations_6'!I$9:I$108,MATCH('LFA_Findings&amp;Recom export'!$C9,'LFA_Findings&amp;Recommendations_6'!$B$9:$B$108,0))),"")</f>
        <v/>
      </c>
      <c r="K9" s="919" t="str">
        <f>IFERROR(IF(INDEX('LFA_Findings&amp;Recommendations_6'!J$9:J$108,MATCH('LFA_Findings&amp;Recom export'!$C9,'LFA_Findings&amp;Recommendations_6'!$B$9:$B$108,0))="","",INDEX('LFA_Findings&amp;Recommendations_6'!J$9:J$108,MATCH('LFA_Findings&amp;Recom export'!$C9,'LFA_Findings&amp;Recommendations_6'!$B$9:$B$108,0))),"")</f>
        <v/>
      </c>
      <c r="L9" s="919" t="str">
        <f>IFERROR(IF(INDEX('LFA_Findings&amp;Recommendations_6'!K$9:K$108,MATCH('LFA_Findings&amp;Recom export'!$C9,'LFA_Findings&amp;Recommendations_6'!$B$9:$B$108,0))="","",INDEX('LFA_Findings&amp;Recommendations_6'!K$9:K$108,MATCH('LFA_Findings&amp;Recom export'!$C9,'LFA_Findings&amp;Recommendations_6'!$B$9:$B$108,0))),"")</f>
        <v/>
      </c>
      <c r="M9" s="919" t="str">
        <f>IFERROR(IF(INDEX('LFA_Findings&amp;Recommendations_6'!L$9:L$108,MATCH('LFA_Findings&amp;Recom export'!$C9,'LFA_Findings&amp;Recommendations_6'!$B$9:$B$108,0))="","",INDEX('LFA_Findings&amp;Recommendations_6'!L$9:L$108,MATCH('LFA_Findings&amp;Recom export'!$C9,'LFA_Findings&amp;Recommendations_6'!$B$9:$B$108,0))),"")</f>
        <v/>
      </c>
      <c r="N9" s="919" t="b">
        <f t="shared" si="2"/>
        <v>1</v>
      </c>
      <c r="O9" s="926" t="b">
        <f t="shared" si="3"/>
        <v>0</v>
      </c>
      <c r="P9" s="926" t="b">
        <f>IFERROR(IF(INDEX('LFA_Findings&amp;Recommendations_6'!A$9:A$108,MATCH('LFA_Findings&amp;Recom export'!$C9,'LFA_Findings&amp;Recommendations_6'!$B$9:$B$108,0))="","",INDEX('LFA_Findings&amp;Recommendations_6'!A$9:A$108,MATCH('LFA_Findings&amp;Recom export'!$C9,'LFA_Findings&amp;Recommendations_6'!$B$9:$B$108,0))),"")</f>
        <v>0</v>
      </c>
      <c r="Q9" s="926" t="str">
        <f>IF(P9=TRUE,_xlfn.IFNA(VLOOKUP(D9,RiskData!$B$5:$D$11,3,FALSE), ""),"")</f>
        <v/>
      </c>
      <c r="R9" s="926" t="str">
        <f>IF(P9=TRUE,_xlfn.IFNA(VLOOKUP(E9,RiskData!$F$13:$I$36,4,FALSE), ""),"")</f>
        <v/>
      </c>
      <c r="S9" s="926" t="str">
        <f>IF(P9=TRUE,_xlfn.IFNA(INDEX(RiskData!$H$40:$H$290,MATCH(TRUE,INDEX(RIGHT(RiskData!$F$40:$F$290,255)=RIGHT(F9,255),0),0)), ""),"")</f>
        <v/>
      </c>
      <c r="T9" s="926" t="str">
        <f>IF(OR(P9=TRUE,ISBLANK(D9)),'Admin Sheet'!$B$44,"")</f>
        <v/>
      </c>
      <c r="U9" s="926" t="str">
        <f>IF(OR(ISBLANK(D9), P9=TRUE),'Admin Sheet'!$B$41,"")</f>
        <v/>
      </c>
      <c r="V9" s="927" t="str">
        <f t="shared" si="4"/>
        <v/>
      </c>
      <c r="W9" s="927" t="str">
        <f t="shared" si="5"/>
        <v/>
      </c>
      <c r="X9" s="927" t="str">
        <f t="shared" si="6"/>
        <v/>
      </c>
      <c r="Y9" s="928" t="str">
        <f t="shared" si="7"/>
        <v/>
      </c>
    </row>
    <row r="10" spans="1:25" ht="15" customHeight="1" x14ac:dyDescent="0.2">
      <c r="A10" s="918"/>
      <c r="B10" s="924">
        <f t="shared" si="0"/>
        <v>7</v>
      </c>
      <c r="C10" s="925" t="str">
        <f t="shared" si="1"/>
        <v>Finding7</v>
      </c>
      <c r="D10" s="919" t="str">
        <f>IFERROR(IF(INDEX('LFA_Findings&amp;Recommendations_6'!C$9:C$108,MATCH('LFA_Findings&amp;Recom export'!$C10,'LFA_Findings&amp;Recommendations_6'!$B$9:$B$108,0))="","",INDEX('LFA_Findings&amp;Recommendations_6'!C$9:C$108,MATCH('LFA_Findings&amp;Recom export'!$C10,'LFA_Findings&amp;Recommendations_6'!$B$9:$B$108,0))),"")</f>
        <v/>
      </c>
      <c r="E10" s="919" t="str">
        <f>IFERROR(IF(INDEX('LFA_Findings&amp;Recommendations_6'!D$9:D$108,MATCH('LFA_Findings&amp;Recom export'!$C10,'LFA_Findings&amp;Recommendations_6'!$B$9:$B$108,0))="","",INDEX('LFA_Findings&amp;Recommendations_6'!D$9:D$108,MATCH('LFA_Findings&amp;Recom export'!$C10,'LFA_Findings&amp;Recommendations_6'!$B$9:$B$108,0))),"")</f>
        <v/>
      </c>
      <c r="F10" s="919" t="str">
        <f>IFERROR(IF(INDEX('LFA_Findings&amp;Recommendations_6'!E$9:E$108,MATCH('LFA_Findings&amp;Recom export'!$C10,'LFA_Findings&amp;Recommendations_6'!$B$9:$B$108,0))="","",INDEX('LFA_Findings&amp;Recommendations_6'!E$9:E$108,MATCH('LFA_Findings&amp;Recom export'!$C10,'LFA_Findings&amp;Recommendations_6'!$B$9:$B$108,0))),"")</f>
        <v/>
      </c>
      <c r="G10" s="919" t="str">
        <f>IFERROR(IF(INDEX('LFA_Findings&amp;Recommendations_6'!F$9:F$108,MATCH('LFA_Findings&amp;Recom export'!$C10,'LFA_Findings&amp;Recommendations_6'!$B$9:$B$108,0))="","",INDEX('LFA_Findings&amp;Recommendations_6'!F$9:F$108,MATCH('LFA_Findings&amp;Recom export'!$C10,'LFA_Findings&amp;Recommendations_6'!$B$9:$B$108,0))),"")</f>
        <v/>
      </c>
      <c r="H10" s="919" t="str">
        <f>IFERROR(IF(INDEX('LFA_Findings&amp;Recommendations_6'!G$9:G$108,MATCH('LFA_Findings&amp;Recom export'!$C10,'LFA_Findings&amp;Recommendations_6'!$B$9:$B$108,0))="","",INDEX('LFA_Findings&amp;Recommendations_6'!G$9:G$108,MATCH('LFA_Findings&amp;Recom export'!$C10,'LFA_Findings&amp;Recommendations_6'!$B$9:$B$108,0))),"")</f>
        <v/>
      </c>
      <c r="I10" s="919" t="str">
        <f>IFERROR(IF(INDEX('LFA_Findings&amp;Recommendations_6'!H$9:H$108,MATCH('LFA_Findings&amp;Recom export'!$C10,'LFA_Findings&amp;Recommendations_6'!$B$9:$B$108,0))="","",INDEX('LFA_Findings&amp;Recommendations_6'!H$9:H$108,MATCH('LFA_Findings&amp;Recom export'!$C10,'LFA_Findings&amp;Recommendations_6'!$B$9:$B$108,0))),"")</f>
        <v/>
      </c>
      <c r="J10" s="919" t="str">
        <f>IFERROR(IF(INDEX('LFA_Findings&amp;Recommendations_6'!I$9:I$108,MATCH('LFA_Findings&amp;Recom export'!$C10,'LFA_Findings&amp;Recommendations_6'!$B$9:$B$108,0))="","",INDEX('LFA_Findings&amp;Recommendations_6'!I$9:I$108,MATCH('LFA_Findings&amp;Recom export'!$C10,'LFA_Findings&amp;Recommendations_6'!$B$9:$B$108,0))),"")</f>
        <v/>
      </c>
      <c r="K10" s="919" t="str">
        <f>IFERROR(IF(INDEX('LFA_Findings&amp;Recommendations_6'!J$9:J$108,MATCH('LFA_Findings&amp;Recom export'!$C10,'LFA_Findings&amp;Recommendations_6'!$B$9:$B$108,0))="","",INDEX('LFA_Findings&amp;Recommendations_6'!J$9:J$108,MATCH('LFA_Findings&amp;Recom export'!$C10,'LFA_Findings&amp;Recommendations_6'!$B$9:$B$108,0))),"")</f>
        <v/>
      </c>
      <c r="L10" s="919" t="str">
        <f>IFERROR(IF(INDEX('LFA_Findings&amp;Recommendations_6'!K$9:K$108,MATCH('LFA_Findings&amp;Recom export'!$C10,'LFA_Findings&amp;Recommendations_6'!$B$9:$B$108,0))="","",INDEX('LFA_Findings&amp;Recommendations_6'!K$9:K$108,MATCH('LFA_Findings&amp;Recom export'!$C10,'LFA_Findings&amp;Recommendations_6'!$B$9:$B$108,0))),"")</f>
        <v/>
      </c>
      <c r="M10" s="919" t="str">
        <f>IFERROR(IF(INDEX('LFA_Findings&amp;Recommendations_6'!L$9:L$108,MATCH('LFA_Findings&amp;Recom export'!$C10,'LFA_Findings&amp;Recommendations_6'!$B$9:$B$108,0))="","",INDEX('LFA_Findings&amp;Recommendations_6'!L$9:L$108,MATCH('LFA_Findings&amp;Recom export'!$C10,'LFA_Findings&amp;Recommendations_6'!$B$9:$B$108,0))),"")</f>
        <v/>
      </c>
      <c r="N10" s="919" t="b">
        <f t="shared" si="2"/>
        <v>1</v>
      </c>
      <c r="O10" s="926" t="b">
        <f t="shared" si="3"/>
        <v>0</v>
      </c>
      <c r="P10" s="926" t="b">
        <f>IFERROR(IF(INDEX('LFA_Findings&amp;Recommendations_6'!A$9:A$108,MATCH('LFA_Findings&amp;Recom export'!$C10,'LFA_Findings&amp;Recommendations_6'!$B$9:$B$108,0))="","",INDEX('LFA_Findings&amp;Recommendations_6'!A$9:A$108,MATCH('LFA_Findings&amp;Recom export'!$C10,'LFA_Findings&amp;Recommendations_6'!$B$9:$B$108,0))),"")</f>
        <v>0</v>
      </c>
      <c r="Q10" s="926" t="str">
        <f>IF(P10=TRUE,_xlfn.IFNA(VLOOKUP(D10,RiskData!$B$5:$D$11,3,FALSE), ""),"")</f>
        <v/>
      </c>
      <c r="R10" s="926" t="str">
        <f>IF(P10=TRUE,_xlfn.IFNA(VLOOKUP(E10,RiskData!$F$13:$I$36,4,FALSE), ""),"")</f>
        <v/>
      </c>
      <c r="S10" s="926" t="str">
        <f>IF(P10=TRUE,_xlfn.IFNA(INDEX(RiskData!$H$40:$H$290,MATCH(TRUE,INDEX(RIGHT(RiskData!$F$40:$F$290,255)=RIGHT(F10,255),0),0)), ""),"")</f>
        <v/>
      </c>
      <c r="T10" s="926" t="str">
        <f>IF(OR(P10=TRUE,ISBLANK(D10)),'Admin Sheet'!$B$44,"")</f>
        <v/>
      </c>
      <c r="U10" s="926" t="str">
        <f>IF(OR(ISBLANK(D10), P10=TRUE),'Admin Sheet'!$B$41,"")</f>
        <v/>
      </c>
      <c r="V10" s="927" t="str">
        <f t="shared" si="4"/>
        <v/>
      </c>
      <c r="W10" s="927" t="str">
        <f t="shared" si="5"/>
        <v/>
      </c>
      <c r="X10" s="927" t="str">
        <f t="shared" si="6"/>
        <v/>
      </c>
      <c r="Y10" s="928" t="str">
        <f t="shared" si="7"/>
        <v/>
      </c>
    </row>
    <row r="11" spans="1:25" ht="15" customHeight="1" x14ac:dyDescent="0.2">
      <c r="A11" s="918"/>
      <c r="B11" s="924">
        <f t="shared" si="0"/>
        <v>8</v>
      </c>
      <c r="C11" s="925" t="str">
        <f t="shared" si="1"/>
        <v>Finding8</v>
      </c>
      <c r="D11" s="919" t="str">
        <f>IFERROR(IF(INDEX('LFA_Findings&amp;Recommendations_6'!C$9:C$108,MATCH('LFA_Findings&amp;Recom export'!$C11,'LFA_Findings&amp;Recommendations_6'!$B$9:$B$108,0))="","",INDEX('LFA_Findings&amp;Recommendations_6'!C$9:C$108,MATCH('LFA_Findings&amp;Recom export'!$C11,'LFA_Findings&amp;Recommendations_6'!$B$9:$B$108,0))),"")</f>
        <v/>
      </c>
      <c r="E11" s="919" t="str">
        <f>IFERROR(IF(INDEX('LFA_Findings&amp;Recommendations_6'!D$9:D$108,MATCH('LFA_Findings&amp;Recom export'!$C11,'LFA_Findings&amp;Recommendations_6'!$B$9:$B$108,0))="","",INDEX('LFA_Findings&amp;Recommendations_6'!D$9:D$108,MATCH('LFA_Findings&amp;Recom export'!$C11,'LFA_Findings&amp;Recommendations_6'!$B$9:$B$108,0))),"")</f>
        <v/>
      </c>
      <c r="F11" s="919" t="str">
        <f>IFERROR(IF(INDEX('LFA_Findings&amp;Recommendations_6'!E$9:E$108,MATCH('LFA_Findings&amp;Recom export'!$C11,'LFA_Findings&amp;Recommendations_6'!$B$9:$B$108,0))="","",INDEX('LFA_Findings&amp;Recommendations_6'!E$9:E$108,MATCH('LFA_Findings&amp;Recom export'!$C11,'LFA_Findings&amp;Recommendations_6'!$B$9:$B$108,0))),"")</f>
        <v/>
      </c>
      <c r="G11" s="919" t="str">
        <f>IFERROR(IF(INDEX('LFA_Findings&amp;Recommendations_6'!F$9:F$108,MATCH('LFA_Findings&amp;Recom export'!$C11,'LFA_Findings&amp;Recommendations_6'!$B$9:$B$108,0))="","",INDEX('LFA_Findings&amp;Recommendations_6'!F$9:F$108,MATCH('LFA_Findings&amp;Recom export'!$C11,'LFA_Findings&amp;Recommendations_6'!$B$9:$B$108,0))),"")</f>
        <v/>
      </c>
      <c r="H11" s="919" t="str">
        <f>IFERROR(IF(INDEX('LFA_Findings&amp;Recommendations_6'!G$9:G$108,MATCH('LFA_Findings&amp;Recom export'!$C11,'LFA_Findings&amp;Recommendations_6'!$B$9:$B$108,0))="","",INDEX('LFA_Findings&amp;Recommendations_6'!G$9:G$108,MATCH('LFA_Findings&amp;Recom export'!$C11,'LFA_Findings&amp;Recommendations_6'!$B$9:$B$108,0))),"")</f>
        <v/>
      </c>
      <c r="I11" s="919" t="str">
        <f>IFERROR(IF(INDEX('LFA_Findings&amp;Recommendations_6'!H$9:H$108,MATCH('LFA_Findings&amp;Recom export'!$C11,'LFA_Findings&amp;Recommendations_6'!$B$9:$B$108,0))="","",INDEX('LFA_Findings&amp;Recommendations_6'!H$9:H$108,MATCH('LFA_Findings&amp;Recom export'!$C11,'LFA_Findings&amp;Recommendations_6'!$B$9:$B$108,0))),"")</f>
        <v/>
      </c>
      <c r="J11" s="919" t="str">
        <f>IFERROR(IF(INDEX('LFA_Findings&amp;Recommendations_6'!I$9:I$108,MATCH('LFA_Findings&amp;Recom export'!$C11,'LFA_Findings&amp;Recommendations_6'!$B$9:$B$108,0))="","",INDEX('LFA_Findings&amp;Recommendations_6'!I$9:I$108,MATCH('LFA_Findings&amp;Recom export'!$C11,'LFA_Findings&amp;Recommendations_6'!$B$9:$B$108,0))),"")</f>
        <v/>
      </c>
      <c r="K11" s="919" t="str">
        <f>IFERROR(IF(INDEX('LFA_Findings&amp;Recommendations_6'!J$9:J$108,MATCH('LFA_Findings&amp;Recom export'!$C11,'LFA_Findings&amp;Recommendations_6'!$B$9:$B$108,0))="","",INDEX('LFA_Findings&amp;Recommendations_6'!J$9:J$108,MATCH('LFA_Findings&amp;Recom export'!$C11,'LFA_Findings&amp;Recommendations_6'!$B$9:$B$108,0))),"")</f>
        <v/>
      </c>
      <c r="L11" s="919" t="str">
        <f>IFERROR(IF(INDEX('LFA_Findings&amp;Recommendations_6'!K$9:K$108,MATCH('LFA_Findings&amp;Recom export'!$C11,'LFA_Findings&amp;Recommendations_6'!$B$9:$B$108,0))="","",INDEX('LFA_Findings&amp;Recommendations_6'!K$9:K$108,MATCH('LFA_Findings&amp;Recom export'!$C11,'LFA_Findings&amp;Recommendations_6'!$B$9:$B$108,0))),"")</f>
        <v/>
      </c>
      <c r="M11" s="919" t="str">
        <f>IFERROR(IF(INDEX('LFA_Findings&amp;Recommendations_6'!L$9:L$108,MATCH('LFA_Findings&amp;Recom export'!$C11,'LFA_Findings&amp;Recommendations_6'!$B$9:$B$108,0))="","",INDEX('LFA_Findings&amp;Recommendations_6'!L$9:L$108,MATCH('LFA_Findings&amp;Recom export'!$C11,'LFA_Findings&amp;Recommendations_6'!$B$9:$B$108,0))),"")</f>
        <v/>
      </c>
      <c r="N11" s="919" t="b">
        <f t="shared" si="2"/>
        <v>1</v>
      </c>
      <c r="O11" s="926" t="b">
        <f t="shared" si="3"/>
        <v>0</v>
      </c>
      <c r="P11" s="926" t="b">
        <f>IFERROR(IF(INDEX('LFA_Findings&amp;Recommendations_6'!A$9:A$108,MATCH('LFA_Findings&amp;Recom export'!$C11,'LFA_Findings&amp;Recommendations_6'!$B$9:$B$108,0))="","",INDEX('LFA_Findings&amp;Recommendations_6'!A$9:A$108,MATCH('LFA_Findings&amp;Recom export'!$C11,'LFA_Findings&amp;Recommendations_6'!$B$9:$B$108,0))),"")</f>
        <v>0</v>
      </c>
      <c r="Q11" s="926" t="str">
        <f>IF(P11=TRUE,_xlfn.IFNA(VLOOKUP(D11,RiskData!$B$5:$D$11,3,FALSE), ""),"")</f>
        <v/>
      </c>
      <c r="R11" s="926" t="str">
        <f>IF(P11=TRUE,_xlfn.IFNA(VLOOKUP(E11,RiskData!$F$13:$I$36,4,FALSE), ""),"")</f>
        <v/>
      </c>
      <c r="S11" s="926" t="str">
        <f>IF(P11=TRUE,_xlfn.IFNA(INDEX(RiskData!$H$40:$H$290,MATCH(TRUE,INDEX(RIGHT(RiskData!$F$40:$F$290,255)=RIGHT(F11,255),0),0)), ""),"")</f>
        <v/>
      </c>
      <c r="T11" s="926" t="str">
        <f>IF(OR(P11=TRUE,ISBLANK(D11)),'Admin Sheet'!$B$44,"")</f>
        <v/>
      </c>
      <c r="U11" s="926" t="str">
        <f>IF(OR(ISBLANK(D11), P11=TRUE),'Admin Sheet'!$B$41,"")</f>
        <v/>
      </c>
      <c r="V11" s="927" t="str">
        <f t="shared" si="4"/>
        <v/>
      </c>
      <c r="W11" s="927" t="str">
        <f t="shared" si="5"/>
        <v/>
      </c>
      <c r="X11" s="927" t="str">
        <f t="shared" si="6"/>
        <v/>
      </c>
      <c r="Y11" s="928" t="str">
        <f t="shared" si="7"/>
        <v/>
      </c>
    </row>
    <row r="12" spans="1:25" ht="15" customHeight="1" x14ac:dyDescent="0.2">
      <c r="A12" s="918"/>
      <c r="B12" s="924">
        <f t="shared" si="0"/>
        <v>9</v>
      </c>
      <c r="C12" s="925" t="str">
        <f t="shared" si="1"/>
        <v>Finding9</v>
      </c>
      <c r="D12" s="919" t="str">
        <f>IFERROR(IF(INDEX('LFA_Findings&amp;Recommendations_6'!C$9:C$108,MATCH('LFA_Findings&amp;Recom export'!$C12,'LFA_Findings&amp;Recommendations_6'!$B$9:$B$108,0))="","",INDEX('LFA_Findings&amp;Recommendations_6'!C$9:C$108,MATCH('LFA_Findings&amp;Recom export'!$C12,'LFA_Findings&amp;Recommendations_6'!$B$9:$B$108,0))),"")</f>
        <v/>
      </c>
      <c r="E12" s="919" t="str">
        <f>IFERROR(IF(INDEX('LFA_Findings&amp;Recommendations_6'!D$9:D$108,MATCH('LFA_Findings&amp;Recom export'!$C12,'LFA_Findings&amp;Recommendations_6'!$B$9:$B$108,0))="","",INDEX('LFA_Findings&amp;Recommendations_6'!D$9:D$108,MATCH('LFA_Findings&amp;Recom export'!$C12,'LFA_Findings&amp;Recommendations_6'!$B$9:$B$108,0))),"")</f>
        <v/>
      </c>
      <c r="F12" s="919" t="str">
        <f>IFERROR(IF(INDEX('LFA_Findings&amp;Recommendations_6'!E$9:E$108,MATCH('LFA_Findings&amp;Recom export'!$C12,'LFA_Findings&amp;Recommendations_6'!$B$9:$B$108,0))="","",INDEX('LFA_Findings&amp;Recommendations_6'!E$9:E$108,MATCH('LFA_Findings&amp;Recom export'!$C12,'LFA_Findings&amp;Recommendations_6'!$B$9:$B$108,0))),"")</f>
        <v/>
      </c>
      <c r="G12" s="919" t="str">
        <f>IFERROR(IF(INDEX('LFA_Findings&amp;Recommendations_6'!F$9:F$108,MATCH('LFA_Findings&amp;Recom export'!$C12,'LFA_Findings&amp;Recommendations_6'!$B$9:$B$108,0))="","",INDEX('LFA_Findings&amp;Recommendations_6'!F$9:F$108,MATCH('LFA_Findings&amp;Recom export'!$C12,'LFA_Findings&amp;Recommendations_6'!$B$9:$B$108,0))),"")</f>
        <v/>
      </c>
      <c r="H12" s="919" t="str">
        <f>IFERROR(IF(INDEX('LFA_Findings&amp;Recommendations_6'!G$9:G$108,MATCH('LFA_Findings&amp;Recom export'!$C12,'LFA_Findings&amp;Recommendations_6'!$B$9:$B$108,0))="","",INDEX('LFA_Findings&amp;Recommendations_6'!G$9:G$108,MATCH('LFA_Findings&amp;Recom export'!$C12,'LFA_Findings&amp;Recommendations_6'!$B$9:$B$108,0))),"")</f>
        <v/>
      </c>
      <c r="I12" s="919" t="str">
        <f>IFERROR(IF(INDEX('LFA_Findings&amp;Recommendations_6'!H$9:H$108,MATCH('LFA_Findings&amp;Recom export'!$C12,'LFA_Findings&amp;Recommendations_6'!$B$9:$B$108,0))="","",INDEX('LFA_Findings&amp;Recommendations_6'!H$9:H$108,MATCH('LFA_Findings&amp;Recom export'!$C12,'LFA_Findings&amp;Recommendations_6'!$B$9:$B$108,0))),"")</f>
        <v/>
      </c>
      <c r="J12" s="919" t="str">
        <f>IFERROR(IF(INDEX('LFA_Findings&amp;Recommendations_6'!I$9:I$108,MATCH('LFA_Findings&amp;Recom export'!$C12,'LFA_Findings&amp;Recommendations_6'!$B$9:$B$108,0))="","",INDEX('LFA_Findings&amp;Recommendations_6'!I$9:I$108,MATCH('LFA_Findings&amp;Recom export'!$C12,'LFA_Findings&amp;Recommendations_6'!$B$9:$B$108,0))),"")</f>
        <v/>
      </c>
      <c r="K12" s="919" t="str">
        <f>IFERROR(IF(INDEX('LFA_Findings&amp;Recommendations_6'!J$9:J$108,MATCH('LFA_Findings&amp;Recom export'!$C12,'LFA_Findings&amp;Recommendations_6'!$B$9:$B$108,0))="","",INDEX('LFA_Findings&amp;Recommendations_6'!J$9:J$108,MATCH('LFA_Findings&amp;Recom export'!$C12,'LFA_Findings&amp;Recommendations_6'!$B$9:$B$108,0))),"")</f>
        <v/>
      </c>
      <c r="L12" s="919" t="str">
        <f>IFERROR(IF(INDEX('LFA_Findings&amp;Recommendations_6'!K$9:K$108,MATCH('LFA_Findings&amp;Recom export'!$C12,'LFA_Findings&amp;Recommendations_6'!$B$9:$B$108,0))="","",INDEX('LFA_Findings&amp;Recommendations_6'!K$9:K$108,MATCH('LFA_Findings&amp;Recom export'!$C12,'LFA_Findings&amp;Recommendations_6'!$B$9:$B$108,0))),"")</f>
        <v/>
      </c>
      <c r="M12" s="919" t="str">
        <f>IFERROR(IF(INDEX('LFA_Findings&amp;Recommendations_6'!L$9:L$108,MATCH('LFA_Findings&amp;Recom export'!$C12,'LFA_Findings&amp;Recommendations_6'!$B$9:$B$108,0))="","",INDEX('LFA_Findings&amp;Recommendations_6'!L$9:L$108,MATCH('LFA_Findings&amp;Recom export'!$C12,'LFA_Findings&amp;Recommendations_6'!$B$9:$B$108,0))),"")</f>
        <v/>
      </c>
      <c r="N12" s="919" t="b">
        <f t="shared" si="2"/>
        <v>1</v>
      </c>
      <c r="O12" s="926" t="b">
        <f t="shared" si="3"/>
        <v>0</v>
      </c>
      <c r="P12" s="926" t="b">
        <f>IFERROR(IF(INDEX('LFA_Findings&amp;Recommendations_6'!A$9:A$108,MATCH('LFA_Findings&amp;Recom export'!$C12,'LFA_Findings&amp;Recommendations_6'!$B$9:$B$108,0))="","",INDEX('LFA_Findings&amp;Recommendations_6'!A$9:A$108,MATCH('LFA_Findings&amp;Recom export'!$C12,'LFA_Findings&amp;Recommendations_6'!$B$9:$B$108,0))),"")</f>
        <v>0</v>
      </c>
      <c r="Q12" s="926" t="str">
        <f>IF(P12=TRUE,_xlfn.IFNA(VLOOKUP(D12,RiskData!$B$5:$D$11,3,FALSE), ""),"")</f>
        <v/>
      </c>
      <c r="R12" s="926" t="str">
        <f>IF(P12=TRUE,_xlfn.IFNA(VLOOKUP(E12,RiskData!$F$13:$I$36,4,FALSE), ""),"")</f>
        <v/>
      </c>
      <c r="S12" s="926" t="str">
        <f>IF(P12=TRUE,_xlfn.IFNA(INDEX(RiskData!$H$40:$H$290,MATCH(TRUE,INDEX(RIGHT(RiskData!$F$40:$F$290,255)=RIGHT(F12,255),0),0)), ""),"")</f>
        <v/>
      </c>
      <c r="T12" s="926" t="str">
        <f>IF(OR(P12=TRUE,ISBLANK(D12)),'Admin Sheet'!$B$44,"")</f>
        <v/>
      </c>
      <c r="U12" s="926" t="str">
        <f>IF(OR(ISBLANK(D12), P12=TRUE),'Admin Sheet'!$B$41,"")</f>
        <v/>
      </c>
      <c r="V12" s="927" t="str">
        <f t="shared" si="4"/>
        <v/>
      </c>
      <c r="W12" s="927" t="str">
        <f t="shared" si="5"/>
        <v/>
      </c>
      <c r="X12" s="927" t="str">
        <f t="shared" si="6"/>
        <v/>
      </c>
      <c r="Y12" s="928" t="str">
        <f t="shared" si="7"/>
        <v/>
      </c>
    </row>
    <row r="13" spans="1:25" ht="15" customHeight="1" x14ac:dyDescent="0.2">
      <c r="A13" s="918"/>
      <c r="B13" s="924">
        <f t="shared" si="0"/>
        <v>10</v>
      </c>
      <c r="C13" s="925" t="str">
        <f t="shared" si="1"/>
        <v>Finding10</v>
      </c>
      <c r="D13" s="919" t="str">
        <f>IFERROR(IF(INDEX('LFA_Findings&amp;Recommendations_6'!C$9:C$108,MATCH('LFA_Findings&amp;Recom export'!$C13,'LFA_Findings&amp;Recommendations_6'!$B$9:$B$108,0))="","",INDEX('LFA_Findings&amp;Recommendations_6'!C$9:C$108,MATCH('LFA_Findings&amp;Recom export'!$C13,'LFA_Findings&amp;Recommendations_6'!$B$9:$B$108,0))),"")</f>
        <v/>
      </c>
      <c r="E13" s="919" t="str">
        <f>IFERROR(IF(INDEX('LFA_Findings&amp;Recommendations_6'!D$9:D$108,MATCH('LFA_Findings&amp;Recom export'!$C13,'LFA_Findings&amp;Recommendations_6'!$B$9:$B$108,0))="","",INDEX('LFA_Findings&amp;Recommendations_6'!D$9:D$108,MATCH('LFA_Findings&amp;Recom export'!$C13,'LFA_Findings&amp;Recommendations_6'!$B$9:$B$108,0))),"")</f>
        <v/>
      </c>
      <c r="F13" s="919" t="str">
        <f>IFERROR(IF(INDEX('LFA_Findings&amp;Recommendations_6'!E$9:E$108,MATCH('LFA_Findings&amp;Recom export'!$C13,'LFA_Findings&amp;Recommendations_6'!$B$9:$B$108,0))="","",INDEX('LFA_Findings&amp;Recommendations_6'!E$9:E$108,MATCH('LFA_Findings&amp;Recom export'!$C13,'LFA_Findings&amp;Recommendations_6'!$B$9:$B$108,0))),"")</f>
        <v/>
      </c>
      <c r="G13" s="919" t="str">
        <f>IFERROR(IF(INDEX('LFA_Findings&amp;Recommendations_6'!F$9:F$108,MATCH('LFA_Findings&amp;Recom export'!$C13,'LFA_Findings&amp;Recommendations_6'!$B$9:$B$108,0))="","",INDEX('LFA_Findings&amp;Recommendations_6'!F$9:F$108,MATCH('LFA_Findings&amp;Recom export'!$C13,'LFA_Findings&amp;Recommendations_6'!$B$9:$B$108,0))),"")</f>
        <v/>
      </c>
      <c r="H13" s="919" t="str">
        <f>IFERROR(IF(INDEX('LFA_Findings&amp;Recommendations_6'!G$9:G$108,MATCH('LFA_Findings&amp;Recom export'!$C13,'LFA_Findings&amp;Recommendations_6'!$B$9:$B$108,0))="","",INDEX('LFA_Findings&amp;Recommendations_6'!G$9:G$108,MATCH('LFA_Findings&amp;Recom export'!$C13,'LFA_Findings&amp;Recommendations_6'!$B$9:$B$108,0))),"")</f>
        <v/>
      </c>
      <c r="I13" s="919" t="str">
        <f>IFERROR(IF(INDEX('LFA_Findings&amp;Recommendations_6'!H$9:H$108,MATCH('LFA_Findings&amp;Recom export'!$C13,'LFA_Findings&amp;Recommendations_6'!$B$9:$B$108,0))="","",INDEX('LFA_Findings&amp;Recommendations_6'!H$9:H$108,MATCH('LFA_Findings&amp;Recom export'!$C13,'LFA_Findings&amp;Recommendations_6'!$B$9:$B$108,0))),"")</f>
        <v/>
      </c>
      <c r="J13" s="919" t="str">
        <f>IFERROR(IF(INDEX('LFA_Findings&amp;Recommendations_6'!I$9:I$108,MATCH('LFA_Findings&amp;Recom export'!$C13,'LFA_Findings&amp;Recommendations_6'!$B$9:$B$108,0))="","",INDEX('LFA_Findings&amp;Recommendations_6'!I$9:I$108,MATCH('LFA_Findings&amp;Recom export'!$C13,'LFA_Findings&amp;Recommendations_6'!$B$9:$B$108,0))),"")</f>
        <v/>
      </c>
      <c r="K13" s="919" t="str">
        <f>IFERROR(IF(INDEX('LFA_Findings&amp;Recommendations_6'!J$9:J$108,MATCH('LFA_Findings&amp;Recom export'!$C13,'LFA_Findings&amp;Recommendations_6'!$B$9:$B$108,0))="","",INDEX('LFA_Findings&amp;Recommendations_6'!J$9:J$108,MATCH('LFA_Findings&amp;Recom export'!$C13,'LFA_Findings&amp;Recommendations_6'!$B$9:$B$108,0))),"")</f>
        <v/>
      </c>
      <c r="L13" s="919" t="str">
        <f>IFERROR(IF(INDEX('LFA_Findings&amp;Recommendations_6'!K$9:K$108,MATCH('LFA_Findings&amp;Recom export'!$C13,'LFA_Findings&amp;Recommendations_6'!$B$9:$B$108,0))="","",INDEX('LFA_Findings&amp;Recommendations_6'!K$9:K$108,MATCH('LFA_Findings&amp;Recom export'!$C13,'LFA_Findings&amp;Recommendations_6'!$B$9:$B$108,0))),"")</f>
        <v/>
      </c>
      <c r="M13" s="919" t="str">
        <f>IFERROR(IF(INDEX('LFA_Findings&amp;Recommendations_6'!L$9:L$108,MATCH('LFA_Findings&amp;Recom export'!$C13,'LFA_Findings&amp;Recommendations_6'!$B$9:$B$108,0))="","",INDEX('LFA_Findings&amp;Recommendations_6'!L$9:L$108,MATCH('LFA_Findings&amp;Recom export'!$C13,'LFA_Findings&amp;Recommendations_6'!$B$9:$B$108,0))),"")</f>
        <v/>
      </c>
      <c r="N13" s="919" t="b">
        <f t="shared" si="2"/>
        <v>1</v>
      </c>
      <c r="O13" s="926" t="b">
        <f t="shared" si="3"/>
        <v>0</v>
      </c>
      <c r="P13" s="926" t="b">
        <f>IFERROR(IF(INDEX('LFA_Findings&amp;Recommendations_6'!A$9:A$108,MATCH('LFA_Findings&amp;Recom export'!$C13,'LFA_Findings&amp;Recommendations_6'!$B$9:$B$108,0))="","",INDEX('LFA_Findings&amp;Recommendations_6'!A$9:A$108,MATCH('LFA_Findings&amp;Recom export'!$C13,'LFA_Findings&amp;Recommendations_6'!$B$9:$B$108,0))),"")</f>
        <v>0</v>
      </c>
      <c r="Q13" s="926" t="str">
        <f>IF(P13=TRUE,_xlfn.IFNA(VLOOKUP(D13,RiskData!$B$5:$D$11,3,FALSE), ""),"")</f>
        <v/>
      </c>
      <c r="R13" s="926" t="str">
        <f>IF(P13=TRUE,_xlfn.IFNA(VLOOKUP(E13,RiskData!$F$13:$I$36,4,FALSE), ""),"")</f>
        <v/>
      </c>
      <c r="S13" s="926" t="str">
        <f>IF(P13=TRUE,_xlfn.IFNA(INDEX(RiskData!$H$40:$H$290,MATCH(TRUE,INDEX(RIGHT(RiskData!$F$40:$F$290,255)=RIGHT(F13,255),0),0)), ""),"")</f>
        <v/>
      </c>
      <c r="T13" s="926" t="str">
        <f>IF(OR(P13=TRUE,ISBLANK(D13)),'Admin Sheet'!$B$44,"")</f>
        <v/>
      </c>
      <c r="U13" s="926" t="str">
        <f>IF(OR(ISBLANK(D13), P13=TRUE),'Admin Sheet'!$B$41,"")</f>
        <v/>
      </c>
      <c r="V13" s="927" t="str">
        <f t="shared" si="4"/>
        <v/>
      </c>
      <c r="W13" s="927" t="str">
        <f t="shared" si="5"/>
        <v/>
      </c>
      <c r="X13" s="927" t="str">
        <f t="shared" si="6"/>
        <v/>
      </c>
      <c r="Y13" s="928" t="str">
        <f t="shared" si="7"/>
        <v/>
      </c>
    </row>
    <row r="14" spans="1:25" ht="15" customHeight="1" x14ac:dyDescent="0.2">
      <c r="A14" s="918"/>
      <c r="B14" s="924">
        <f t="shared" si="0"/>
        <v>11</v>
      </c>
      <c r="C14" s="925" t="str">
        <f t="shared" si="1"/>
        <v>Finding11</v>
      </c>
      <c r="D14" s="919" t="str">
        <f>IFERROR(IF(INDEX('LFA_Findings&amp;Recommendations_6'!C$9:C$108,MATCH('LFA_Findings&amp;Recom export'!$C14,'LFA_Findings&amp;Recommendations_6'!$B$9:$B$108,0))="","",INDEX('LFA_Findings&amp;Recommendations_6'!C$9:C$108,MATCH('LFA_Findings&amp;Recom export'!$C14,'LFA_Findings&amp;Recommendations_6'!$B$9:$B$108,0))),"")</f>
        <v/>
      </c>
      <c r="E14" s="919" t="str">
        <f>IFERROR(IF(INDEX('LFA_Findings&amp;Recommendations_6'!D$9:D$108,MATCH('LFA_Findings&amp;Recom export'!$C14,'LFA_Findings&amp;Recommendations_6'!$B$9:$B$108,0))="","",INDEX('LFA_Findings&amp;Recommendations_6'!D$9:D$108,MATCH('LFA_Findings&amp;Recom export'!$C14,'LFA_Findings&amp;Recommendations_6'!$B$9:$B$108,0))),"")</f>
        <v/>
      </c>
      <c r="F14" s="919" t="str">
        <f>IFERROR(IF(INDEX('LFA_Findings&amp;Recommendations_6'!E$9:E$108,MATCH('LFA_Findings&amp;Recom export'!$C14,'LFA_Findings&amp;Recommendations_6'!$B$9:$B$108,0))="","",INDEX('LFA_Findings&amp;Recommendations_6'!E$9:E$108,MATCH('LFA_Findings&amp;Recom export'!$C14,'LFA_Findings&amp;Recommendations_6'!$B$9:$B$108,0))),"")</f>
        <v/>
      </c>
      <c r="G14" s="919" t="str">
        <f>IFERROR(IF(INDEX('LFA_Findings&amp;Recommendations_6'!F$9:F$108,MATCH('LFA_Findings&amp;Recom export'!$C14,'LFA_Findings&amp;Recommendations_6'!$B$9:$B$108,0))="","",INDEX('LFA_Findings&amp;Recommendations_6'!F$9:F$108,MATCH('LFA_Findings&amp;Recom export'!$C14,'LFA_Findings&amp;Recommendations_6'!$B$9:$B$108,0))),"")</f>
        <v/>
      </c>
      <c r="H14" s="919" t="str">
        <f>IFERROR(IF(INDEX('LFA_Findings&amp;Recommendations_6'!G$9:G$108,MATCH('LFA_Findings&amp;Recom export'!$C14,'LFA_Findings&amp;Recommendations_6'!$B$9:$B$108,0))="","",INDEX('LFA_Findings&amp;Recommendations_6'!G$9:G$108,MATCH('LFA_Findings&amp;Recom export'!$C14,'LFA_Findings&amp;Recommendations_6'!$B$9:$B$108,0))),"")</f>
        <v/>
      </c>
      <c r="I14" s="919" t="str">
        <f>IFERROR(IF(INDEX('LFA_Findings&amp;Recommendations_6'!H$9:H$108,MATCH('LFA_Findings&amp;Recom export'!$C14,'LFA_Findings&amp;Recommendations_6'!$B$9:$B$108,0))="","",INDEX('LFA_Findings&amp;Recommendations_6'!H$9:H$108,MATCH('LFA_Findings&amp;Recom export'!$C14,'LFA_Findings&amp;Recommendations_6'!$B$9:$B$108,0))),"")</f>
        <v/>
      </c>
      <c r="J14" s="919" t="str">
        <f>IFERROR(IF(INDEX('LFA_Findings&amp;Recommendations_6'!I$9:I$108,MATCH('LFA_Findings&amp;Recom export'!$C14,'LFA_Findings&amp;Recommendations_6'!$B$9:$B$108,0))="","",INDEX('LFA_Findings&amp;Recommendations_6'!I$9:I$108,MATCH('LFA_Findings&amp;Recom export'!$C14,'LFA_Findings&amp;Recommendations_6'!$B$9:$B$108,0))),"")</f>
        <v/>
      </c>
      <c r="K14" s="919" t="str">
        <f>IFERROR(IF(INDEX('LFA_Findings&amp;Recommendations_6'!J$9:J$108,MATCH('LFA_Findings&amp;Recom export'!$C14,'LFA_Findings&amp;Recommendations_6'!$B$9:$B$108,0))="","",INDEX('LFA_Findings&amp;Recommendations_6'!J$9:J$108,MATCH('LFA_Findings&amp;Recom export'!$C14,'LFA_Findings&amp;Recommendations_6'!$B$9:$B$108,0))),"")</f>
        <v/>
      </c>
      <c r="L14" s="919" t="str">
        <f>IFERROR(IF(INDEX('LFA_Findings&amp;Recommendations_6'!K$9:K$108,MATCH('LFA_Findings&amp;Recom export'!$C14,'LFA_Findings&amp;Recommendations_6'!$B$9:$B$108,0))="","",INDEX('LFA_Findings&amp;Recommendations_6'!K$9:K$108,MATCH('LFA_Findings&amp;Recom export'!$C14,'LFA_Findings&amp;Recommendations_6'!$B$9:$B$108,0))),"")</f>
        <v/>
      </c>
      <c r="M14" s="919" t="str">
        <f>IFERROR(IF(INDEX('LFA_Findings&amp;Recommendations_6'!L$9:L$108,MATCH('LFA_Findings&amp;Recom export'!$C14,'LFA_Findings&amp;Recommendations_6'!$B$9:$B$108,0))="","",INDEX('LFA_Findings&amp;Recommendations_6'!L$9:L$108,MATCH('LFA_Findings&amp;Recom export'!$C14,'LFA_Findings&amp;Recommendations_6'!$B$9:$B$108,0))),"")</f>
        <v/>
      </c>
      <c r="N14" s="919" t="b">
        <f t="shared" si="2"/>
        <v>1</v>
      </c>
      <c r="O14" s="926" t="b">
        <f t="shared" si="3"/>
        <v>0</v>
      </c>
      <c r="P14" s="926" t="b">
        <f>IFERROR(IF(INDEX('LFA_Findings&amp;Recommendations_6'!A$9:A$108,MATCH('LFA_Findings&amp;Recom export'!$C14,'LFA_Findings&amp;Recommendations_6'!$B$9:$B$108,0))="","",INDEX('LFA_Findings&amp;Recommendations_6'!A$9:A$108,MATCH('LFA_Findings&amp;Recom export'!$C14,'LFA_Findings&amp;Recommendations_6'!$B$9:$B$108,0))),"")</f>
        <v>0</v>
      </c>
      <c r="Q14" s="926" t="str">
        <f>IF(P14=TRUE,_xlfn.IFNA(VLOOKUP(D14,RiskData!$B$5:$D$11,3,FALSE), ""),"")</f>
        <v/>
      </c>
      <c r="R14" s="926" t="str">
        <f>IF(P14=TRUE,_xlfn.IFNA(VLOOKUP(E14,RiskData!$F$13:$I$36,4,FALSE), ""),"")</f>
        <v/>
      </c>
      <c r="S14" s="926" t="str">
        <f>IF(P14=TRUE,_xlfn.IFNA(INDEX(RiskData!$H$40:$H$290,MATCH(TRUE,INDEX(RIGHT(RiskData!$F$40:$F$290,255)=RIGHT(F14,255),0),0)), ""),"")</f>
        <v/>
      </c>
      <c r="T14" s="926" t="str">
        <f>IF(OR(P14=TRUE,ISBLANK(D14)),'Admin Sheet'!$B$44,"")</f>
        <v/>
      </c>
      <c r="U14" s="926" t="str">
        <f>IF(OR(ISBLANK(D14), P14=TRUE),'Admin Sheet'!$B$41,"")</f>
        <v/>
      </c>
      <c r="V14" s="927" t="str">
        <f t="shared" si="4"/>
        <v/>
      </c>
      <c r="W14" s="927" t="str">
        <f t="shared" si="5"/>
        <v/>
      </c>
      <c r="X14" s="927" t="str">
        <f t="shared" si="6"/>
        <v/>
      </c>
      <c r="Y14" s="928" t="str">
        <f t="shared" si="7"/>
        <v/>
      </c>
    </row>
    <row r="15" spans="1:25" ht="15" customHeight="1" x14ac:dyDescent="0.2">
      <c r="A15" s="918"/>
      <c r="B15" s="924">
        <f t="shared" si="0"/>
        <v>12</v>
      </c>
      <c r="C15" s="925" t="str">
        <f t="shared" si="1"/>
        <v>Finding12</v>
      </c>
      <c r="D15" s="919" t="str">
        <f>IFERROR(IF(INDEX('LFA_Findings&amp;Recommendations_6'!C$9:C$108,MATCH('LFA_Findings&amp;Recom export'!$C15,'LFA_Findings&amp;Recommendations_6'!$B$9:$B$108,0))="","",INDEX('LFA_Findings&amp;Recommendations_6'!C$9:C$108,MATCH('LFA_Findings&amp;Recom export'!$C15,'LFA_Findings&amp;Recommendations_6'!$B$9:$B$108,0))),"")</f>
        <v/>
      </c>
      <c r="E15" s="919" t="str">
        <f>IFERROR(IF(INDEX('LFA_Findings&amp;Recommendations_6'!D$9:D$108,MATCH('LFA_Findings&amp;Recom export'!$C15,'LFA_Findings&amp;Recommendations_6'!$B$9:$B$108,0))="","",INDEX('LFA_Findings&amp;Recommendations_6'!D$9:D$108,MATCH('LFA_Findings&amp;Recom export'!$C15,'LFA_Findings&amp;Recommendations_6'!$B$9:$B$108,0))),"")</f>
        <v/>
      </c>
      <c r="F15" s="919" t="str">
        <f>IFERROR(IF(INDEX('LFA_Findings&amp;Recommendations_6'!E$9:E$108,MATCH('LFA_Findings&amp;Recom export'!$C15,'LFA_Findings&amp;Recommendations_6'!$B$9:$B$108,0))="","",INDEX('LFA_Findings&amp;Recommendations_6'!E$9:E$108,MATCH('LFA_Findings&amp;Recom export'!$C15,'LFA_Findings&amp;Recommendations_6'!$B$9:$B$108,0))),"")</f>
        <v/>
      </c>
      <c r="G15" s="919" t="str">
        <f>IFERROR(IF(INDEX('LFA_Findings&amp;Recommendations_6'!F$9:F$108,MATCH('LFA_Findings&amp;Recom export'!$C15,'LFA_Findings&amp;Recommendations_6'!$B$9:$B$108,0))="","",INDEX('LFA_Findings&amp;Recommendations_6'!F$9:F$108,MATCH('LFA_Findings&amp;Recom export'!$C15,'LFA_Findings&amp;Recommendations_6'!$B$9:$B$108,0))),"")</f>
        <v/>
      </c>
      <c r="H15" s="919" t="str">
        <f>IFERROR(IF(INDEX('LFA_Findings&amp;Recommendations_6'!G$9:G$108,MATCH('LFA_Findings&amp;Recom export'!$C15,'LFA_Findings&amp;Recommendations_6'!$B$9:$B$108,0))="","",INDEX('LFA_Findings&amp;Recommendations_6'!G$9:G$108,MATCH('LFA_Findings&amp;Recom export'!$C15,'LFA_Findings&amp;Recommendations_6'!$B$9:$B$108,0))),"")</f>
        <v/>
      </c>
      <c r="I15" s="919" t="str">
        <f>IFERROR(IF(INDEX('LFA_Findings&amp;Recommendations_6'!H$9:H$108,MATCH('LFA_Findings&amp;Recom export'!$C15,'LFA_Findings&amp;Recommendations_6'!$B$9:$B$108,0))="","",INDEX('LFA_Findings&amp;Recommendations_6'!H$9:H$108,MATCH('LFA_Findings&amp;Recom export'!$C15,'LFA_Findings&amp;Recommendations_6'!$B$9:$B$108,0))),"")</f>
        <v/>
      </c>
      <c r="J15" s="919" t="str">
        <f>IFERROR(IF(INDEX('LFA_Findings&amp;Recommendations_6'!I$9:I$108,MATCH('LFA_Findings&amp;Recom export'!$C15,'LFA_Findings&amp;Recommendations_6'!$B$9:$B$108,0))="","",INDEX('LFA_Findings&amp;Recommendations_6'!I$9:I$108,MATCH('LFA_Findings&amp;Recom export'!$C15,'LFA_Findings&amp;Recommendations_6'!$B$9:$B$108,0))),"")</f>
        <v/>
      </c>
      <c r="K15" s="919" t="str">
        <f>IFERROR(IF(INDEX('LFA_Findings&amp;Recommendations_6'!J$9:J$108,MATCH('LFA_Findings&amp;Recom export'!$C15,'LFA_Findings&amp;Recommendations_6'!$B$9:$B$108,0))="","",INDEX('LFA_Findings&amp;Recommendations_6'!J$9:J$108,MATCH('LFA_Findings&amp;Recom export'!$C15,'LFA_Findings&amp;Recommendations_6'!$B$9:$B$108,0))),"")</f>
        <v/>
      </c>
      <c r="L15" s="919" t="str">
        <f>IFERROR(IF(INDEX('LFA_Findings&amp;Recommendations_6'!K$9:K$108,MATCH('LFA_Findings&amp;Recom export'!$C15,'LFA_Findings&amp;Recommendations_6'!$B$9:$B$108,0))="","",INDEX('LFA_Findings&amp;Recommendations_6'!K$9:K$108,MATCH('LFA_Findings&amp;Recom export'!$C15,'LFA_Findings&amp;Recommendations_6'!$B$9:$B$108,0))),"")</f>
        <v/>
      </c>
      <c r="M15" s="919" t="str">
        <f>IFERROR(IF(INDEX('LFA_Findings&amp;Recommendations_6'!L$9:L$108,MATCH('LFA_Findings&amp;Recom export'!$C15,'LFA_Findings&amp;Recommendations_6'!$B$9:$B$108,0))="","",INDEX('LFA_Findings&amp;Recommendations_6'!L$9:L$108,MATCH('LFA_Findings&amp;Recom export'!$C15,'LFA_Findings&amp;Recommendations_6'!$B$9:$B$108,0))),"")</f>
        <v/>
      </c>
      <c r="N15" s="919" t="b">
        <f t="shared" si="2"/>
        <v>1</v>
      </c>
      <c r="O15" s="926" t="b">
        <f t="shared" si="3"/>
        <v>0</v>
      </c>
      <c r="P15" s="926" t="b">
        <f>IFERROR(IF(INDEX('LFA_Findings&amp;Recommendations_6'!A$9:A$108,MATCH('LFA_Findings&amp;Recom export'!$C15,'LFA_Findings&amp;Recommendations_6'!$B$9:$B$108,0))="","",INDEX('LFA_Findings&amp;Recommendations_6'!A$9:A$108,MATCH('LFA_Findings&amp;Recom export'!$C15,'LFA_Findings&amp;Recommendations_6'!$B$9:$B$108,0))),"")</f>
        <v>0</v>
      </c>
      <c r="Q15" s="926" t="str">
        <f>IF(P15=TRUE,_xlfn.IFNA(VLOOKUP(D15,RiskData!$B$5:$D$11,3,FALSE), ""),"")</f>
        <v/>
      </c>
      <c r="R15" s="926" t="str">
        <f>IF(P15=TRUE,_xlfn.IFNA(VLOOKUP(E15,RiskData!$F$13:$I$36,4,FALSE), ""),"")</f>
        <v/>
      </c>
      <c r="S15" s="926" t="str">
        <f>IF(P15=TRUE,_xlfn.IFNA(INDEX(RiskData!$H$40:$H$290,MATCH(TRUE,INDEX(RIGHT(RiskData!$F$40:$F$290,255)=RIGHT(F15,255),0),0)), ""),"")</f>
        <v/>
      </c>
      <c r="T15" s="926" t="str">
        <f>IF(OR(P15=TRUE,ISBLANK(D15)),'Admin Sheet'!$B$44,"")</f>
        <v/>
      </c>
      <c r="U15" s="926" t="str">
        <f>IF(OR(ISBLANK(D15), P15=TRUE),'Admin Sheet'!$B$41,"")</f>
        <v/>
      </c>
      <c r="V15" s="927" t="str">
        <f t="shared" si="4"/>
        <v/>
      </c>
      <c r="W15" s="927" t="str">
        <f t="shared" si="5"/>
        <v/>
      </c>
      <c r="X15" s="927" t="str">
        <f t="shared" si="6"/>
        <v/>
      </c>
      <c r="Y15" s="928" t="str">
        <f t="shared" si="7"/>
        <v/>
      </c>
    </row>
    <row r="16" spans="1:25" ht="15" customHeight="1" x14ac:dyDescent="0.2">
      <c r="A16" s="918"/>
      <c r="B16" s="924">
        <f t="shared" si="0"/>
        <v>13</v>
      </c>
      <c r="C16" s="925" t="str">
        <f t="shared" si="1"/>
        <v>Finding13</v>
      </c>
      <c r="D16" s="919" t="str">
        <f>IFERROR(IF(INDEX('LFA_Findings&amp;Recommendations_6'!C$9:C$108,MATCH('LFA_Findings&amp;Recom export'!$C16,'LFA_Findings&amp;Recommendations_6'!$B$9:$B$108,0))="","",INDEX('LFA_Findings&amp;Recommendations_6'!C$9:C$108,MATCH('LFA_Findings&amp;Recom export'!$C16,'LFA_Findings&amp;Recommendations_6'!$B$9:$B$108,0))),"")</f>
        <v/>
      </c>
      <c r="E16" s="919" t="str">
        <f>IFERROR(IF(INDEX('LFA_Findings&amp;Recommendations_6'!D$9:D$108,MATCH('LFA_Findings&amp;Recom export'!$C16,'LFA_Findings&amp;Recommendations_6'!$B$9:$B$108,0))="","",INDEX('LFA_Findings&amp;Recommendations_6'!D$9:D$108,MATCH('LFA_Findings&amp;Recom export'!$C16,'LFA_Findings&amp;Recommendations_6'!$B$9:$B$108,0))),"")</f>
        <v/>
      </c>
      <c r="F16" s="919" t="str">
        <f>IFERROR(IF(INDEX('LFA_Findings&amp;Recommendations_6'!E$9:E$108,MATCH('LFA_Findings&amp;Recom export'!$C16,'LFA_Findings&amp;Recommendations_6'!$B$9:$B$108,0))="","",INDEX('LFA_Findings&amp;Recommendations_6'!E$9:E$108,MATCH('LFA_Findings&amp;Recom export'!$C16,'LFA_Findings&amp;Recommendations_6'!$B$9:$B$108,0))),"")</f>
        <v/>
      </c>
      <c r="G16" s="919" t="str">
        <f>IFERROR(IF(INDEX('LFA_Findings&amp;Recommendations_6'!F$9:F$108,MATCH('LFA_Findings&amp;Recom export'!$C16,'LFA_Findings&amp;Recommendations_6'!$B$9:$B$108,0))="","",INDEX('LFA_Findings&amp;Recommendations_6'!F$9:F$108,MATCH('LFA_Findings&amp;Recom export'!$C16,'LFA_Findings&amp;Recommendations_6'!$B$9:$B$108,0))),"")</f>
        <v/>
      </c>
      <c r="H16" s="919" t="str">
        <f>IFERROR(IF(INDEX('LFA_Findings&amp;Recommendations_6'!G$9:G$108,MATCH('LFA_Findings&amp;Recom export'!$C16,'LFA_Findings&amp;Recommendations_6'!$B$9:$B$108,0))="","",INDEX('LFA_Findings&amp;Recommendations_6'!G$9:G$108,MATCH('LFA_Findings&amp;Recom export'!$C16,'LFA_Findings&amp;Recommendations_6'!$B$9:$B$108,0))),"")</f>
        <v/>
      </c>
      <c r="I16" s="919" t="str">
        <f>IFERROR(IF(INDEX('LFA_Findings&amp;Recommendations_6'!H$9:H$108,MATCH('LFA_Findings&amp;Recom export'!$C16,'LFA_Findings&amp;Recommendations_6'!$B$9:$B$108,0))="","",INDEX('LFA_Findings&amp;Recommendations_6'!H$9:H$108,MATCH('LFA_Findings&amp;Recom export'!$C16,'LFA_Findings&amp;Recommendations_6'!$B$9:$B$108,0))),"")</f>
        <v/>
      </c>
      <c r="J16" s="919" t="str">
        <f>IFERROR(IF(INDEX('LFA_Findings&amp;Recommendations_6'!I$9:I$108,MATCH('LFA_Findings&amp;Recom export'!$C16,'LFA_Findings&amp;Recommendations_6'!$B$9:$B$108,0))="","",INDEX('LFA_Findings&amp;Recommendations_6'!I$9:I$108,MATCH('LFA_Findings&amp;Recom export'!$C16,'LFA_Findings&amp;Recommendations_6'!$B$9:$B$108,0))),"")</f>
        <v/>
      </c>
      <c r="K16" s="919" t="str">
        <f>IFERROR(IF(INDEX('LFA_Findings&amp;Recommendations_6'!J$9:J$108,MATCH('LFA_Findings&amp;Recom export'!$C16,'LFA_Findings&amp;Recommendations_6'!$B$9:$B$108,0))="","",INDEX('LFA_Findings&amp;Recommendations_6'!J$9:J$108,MATCH('LFA_Findings&amp;Recom export'!$C16,'LFA_Findings&amp;Recommendations_6'!$B$9:$B$108,0))),"")</f>
        <v/>
      </c>
      <c r="L16" s="919" t="str">
        <f>IFERROR(IF(INDEX('LFA_Findings&amp;Recommendations_6'!K$9:K$108,MATCH('LFA_Findings&amp;Recom export'!$C16,'LFA_Findings&amp;Recommendations_6'!$B$9:$B$108,0))="","",INDEX('LFA_Findings&amp;Recommendations_6'!K$9:K$108,MATCH('LFA_Findings&amp;Recom export'!$C16,'LFA_Findings&amp;Recommendations_6'!$B$9:$B$108,0))),"")</f>
        <v/>
      </c>
      <c r="M16" s="919" t="str">
        <f>IFERROR(IF(INDEX('LFA_Findings&amp;Recommendations_6'!L$9:L$108,MATCH('LFA_Findings&amp;Recom export'!$C16,'LFA_Findings&amp;Recommendations_6'!$B$9:$B$108,0))="","",INDEX('LFA_Findings&amp;Recommendations_6'!L$9:L$108,MATCH('LFA_Findings&amp;Recom export'!$C16,'LFA_Findings&amp;Recommendations_6'!$B$9:$B$108,0))),"")</f>
        <v/>
      </c>
      <c r="N16" s="919" t="b">
        <f t="shared" si="2"/>
        <v>1</v>
      </c>
      <c r="O16" s="926" t="b">
        <f t="shared" si="3"/>
        <v>0</v>
      </c>
      <c r="P16" s="926" t="b">
        <f>IFERROR(IF(INDEX('LFA_Findings&amp;Recommendations_6'!A$9:A$108,MATCH('LFA_Findings&amp;Recom export'!$C16,'LFA_Findings&amp;Recommendations_6'!$B$9:$B$108,0))="","",INDEX('LFA_Findings&amp;Recommendations_6'!A$9:A$108,MATCH('LFA_Findings&amp;Recom export'!$C16,'LFA_Findings&amp;Recommendations_6'!$B$9:$B$108,0))),"")</f>
        <v>0</v>
      </c>
      <c r="Q16" s="926" t="str">
        <f>IF(P16=TRUE,_xlfn.IFNA(VLOOKUP(D16,RiskData!$B$5:$D$11,3,FALSE), ""),"")</f>
        <v/>
      </c>
      <c r="R16" s="926" t="str">
        <f>IF(P16=TRUE,_xlfn.IFNA(VLOOKUP(E16,RiskData!$F$13:$I$36,4,FALSE), ""),"")</f>
        <v/>
      </c>
      <c r="S16" s="926" t="str">
        <f>IF(P16=TRUE,_xlfn.IFNA(INDEX(RiskData!$H$40:$H$290,MATCH(TRUE,INDEX(RIGHT(RiskData!$F$40:$F$290,255)=RIGHT(F16,255),0),0)), ""),"")</f>
        <v/>
      </c>
      <c r="T16" s="926" t="str">
        <f>IF(OR(P16=TRUE,ISBLANK(D16)),'Admin Sheet'!$B$44,"")</f>
        <v/>
      </c>
      <c r="U16" s="926" t="str">
        <f>IF(OR(ISBLANK(D16), P16=TRUE),'Admin Sheet'!$B$41,"")</f>
        <v/>
      </c>
      <c r="V16" s="927" t="str">
        <f t="shared" si="4"/>
        <v/>
      </c>
      <c r="W16" s="927" t="str">
        <f t="shared" si="5"/>
        <v/>
      </c>
      <c r="X16" s="927" t="str">
        <f t="shared" si="6"/>
        <v/>
      </c>
      <c r="Y16" s="928" t="str">
        <f t="shared" si="7"/>
        <v/>
      </c>
    </row>
    <row r="17" spans="1:25" ht="15" customHeight="1" x14ac:dyDescent="0.2">
      <c r="A17" s="918"/>
      <c r="B17" s="924">
        <f t="shared" si="0"/>
        <v>14</v>
      </c>
      <c r="C17" s="925" t="str">
        <f t="shared" si="1"/>
        <v>Finding14</v>
      </c>
      <c r="D17" s="919" t="str">
        <f>IFERROR(IF(INDEX('LFA_Findings&amp;Recommendations_6'!C$9:C$108,MATCH('LFA_Findings&amp;Recom export'!$C17,'LFA_Findings&amp;Recommendations_6'!$B$9:$B$108,0))="","",INDEX('LFA_Findings&amp;Recommendations_6'!C$9:C$108,MATCH('LFA_Findings&amp;Recom export'!$C17,'LFA_Findings&amp;Recommendations_6'!$B$9:$B$108,0))),"")</f>
        <v/>
      </c>
      <c r="E17" s="919" t="str">
        <f>IFERROR(IF(INDEX('LFA_Findings&amp;Recommendations_6'!D$9:D$108,MATCH('LFA_Findings&amp;Recom export'!$C17,'LFA_Findings&amp;Recommendations_6'!$B$9:$B$108,0))="","",INDEX('LFA_Findings&amp;Recommendations_6'!D$9:D$108,MATCH('LFA_Findings&amp;Recom export'!$C17,'LFA_Findings&amp;Recommendations_6'!$B$9:$B$108,0))),"")</f>
        <v/>
      </c>
      <c r="F17" s="919" t="str">
        <f>IFERROR(IF(INDEX('LFA_Findings&amp;Recommendations_6'!E$9:E$108,MATCH('LFA_Findings&amp;Recom export'!$C17,'LFA_Findings&amp;Recommendations_6'!$B$9:$B$108,0))="","",INDEX('LFA_Findings&amp;Recommendations_6'!E$9:E$108,MATCH('LFA_Findings&amp;Recom export'!$C17,'LFA_Findings&amp;Recommendations_6'!$B$9:$B$108,0))),"")</f>
        <v/>
      </c>
      <c r="G17" s="919" t="str">
        <f>IFERROR(IF(INDEX('LFA_Findings&amp;Recommendations_6'!F$9:F$108,MATCH('LFA_Findings&amp;Recom export'!$C17,'LFA_Findings&amp;Recommendations_6'!$B$9:$B$108,0))="","",INDEX('LFA_Findings&amp;Recommendations_6'!F$9:F$108,MATCH('LFA_Findings&amp;Recom export'!$C17,'LFA_Findings&amp;Recommendations_6'!$B$9:$B$108,0))),"")</f>
        <v/>
      </c>
      <c r="H17" s="919" t="str">
        <f>IFERROR(IF(INDEX('LFA_Findings&amp;Recommendations_6'!G$9:G$108,MATCH('LFA_Findings&amp;Recom export'!$C17,'LFA_Findings&amp;Recommendations_6'!$B$9:$B$108,0))="","",INDEX('LFA_Findings&amp;Recommendations_6'!G$9:G$108,MATCH('LFA_Findings&amp;Recom export'!$C17,'LFA_Findings&amp;Recommendations_6'!$B$9:$B$108,0))),"")</f>
        <v/>
      </c>
      <c r="I17" s="919" t="str">
        <f>IFERROR(IF(INDEX('LFA_Findings&amp;Recommendations_6'!H$9:H$108,MATCH('LFA_Findings&amp;Recom export'!$C17,'LFA_Findings&amp;Recommendations_6'!$B$9:$B$108,0))="","",INDEX('LFA_Findings&amp;Recommendations_6'!H$9:H$108,MATCH('LFA_Findings&amp;Recom export'!$C17,'LFA_Findings&amp;Recommendations_6'!$B$9:$B$108,0))),"")</f>
        <v/>
      </c>
      <c r="J17" s="919" t="str">
        <f>IFERROR(IF(INDEX('LFA_Findings&amp;Recommendations_6'!I$9:I$108,MATCH('LFA_Findings&amp;Recom export'!$C17,'LFA_Findings&amp;Recommendations_6'!$B$9:$B$108,0))="","",INDEX('LFA_Findings&amp;Recommendations_6'!I$9:I$108,MATCH('LFA_Findings&amp;Recom export'!$C17,'LFA_Findings&amp;Recommendations_6'!$B$9:$B$108,0))),"")</f>
        <v/>
      </c>
      <c r="K17" s="919" t="str">
        <f>IFERROR(IF(INDEX('LFA_Findings&amp;Recommendations_6'!J$9:J$108,MATCH('LFA_Findings&amp;Recom export'!$C17,'LFA_Findings&amp;Recommendations_6'!$B$9:$B$108,0))="","",INDEX('LFA_Findings&amp;Recommendations_6'!J$9:J$108,MATCH('LFA_Findings&amp;Recom export'!$C17,'LFA_Findings&amp;Recommendations_6'!$B$9:$B$108,0))),"")</f>
        <v/>
      </c>
      <c r="L17" s="919" t="str">
        <f>IFERROR(IF(INDEX('LFA_Findings&amp;Recommendations_6'!K$9:K$108,MATCH('LFA_Findings&amp;Recom export'!$C17,'LFA_Findings&amp;Recommendations_6'!$B$9:$B$108,0))="","",INDEX('LFA_Findings&amp;Recommendations_6'!K$9:K$108,MATCH('LFA_Findings&amp;Recom export'!$C17,'LFA_Findings&amp;Recommendations_6'!$B$9:$B$108,0))),"")</f>
        <v/>
      </c>
      <c r="M17" s="919" t="str">
        <f>IFERROR(IF(INDEX('LFA_Findings&amp;Recommendations_6'!L$9:L$108,MATCH('LFA_Findings&amp;Recom export'!$C17,'LFA_Findings&amp;Recommendations_6'!$B$9:$B$108,0))="","",INDEX('LFA_Findings&amp;Recommendations_6'!L$9:L$108,MATCH('LFA_Findings&amp;Recom export'!$C17,'LFA_Findings&amp;Recommendations_6'!$B$9:$B$108,0))),"")</f>
        <v/>
      </c>
      <c r="N17" s="919" t="b">
        <f t="shared" si="2"/>
        <v>1</v>
      </c>
      <c r="O17" s="926" t="b">
        <f t="shared" si="3"/>
        <v>0</v>
      </c>
      <c r="P17" s="926" t="b">
        <f>IFERROR(IF(INDEX('LFA_Findings&amp;Recommendations_6'!A$9:A$108,MATCH('LFA_Findings&amp;Recom export'!$C17,'LFA_Findings&amp;Recommendations_6'!$B$9:$B$108,0))="","",INDEX('LFA_Findings&amp;Recommendations_6'!A$9:A$108,MATCH('LFA_Findings&amp;Recom export'!$C17,'LFA_Findings&amp;Recommendations_6'!$B$9:$B$108,0))),"")</f>
        <v>0</v>
      </c>
      <c r="Q17" s="926" t="str">
        <f>IF(P17=TRUE,_xlfn.IFNA(VLOOKUP(D17,RiskData!$B$5:$D$11,3,FALSE), ""),"")</f>
        <v/>
      </c>
      <c r="R17" s="926" t="str">
        <f>IF(P17=TRUE,_xlfn.IFNA(VLOOKUP(E17,RiskData!$F$13:$I$36,4,FALSE), ""),"")</f>
        <v/>
      </c>
      <c r="S17" s="926" t="str">
        <f>IF(P17=TRUE,_xlfn.IFNA(INDEX(RiskData!$H$40:$H$290,MATCH(TRUE,INDEX(RIGHT(RiskData!$F$40:$F$290,255)=RIGHT(F17,255),0),0)), ""),"")</f>
        <v/>
      </c>
      <c r="T17" s="926" t="str">
        <f>IF(OR(P17=TRUE,ISBLANK(D17)),'Admin Sheet'!$B$44,"")</f>
        <v/>
      </c>
      <c r="U17" s="926" t="str">
        <f>IF(OR(ISBLANK(D17), P17=TRUE),'Admin Sheet'!$B$41,"")</f>
        <v/>
      </c>
      <c r="V17" s="927" t="str">
        <f t="shared" si="4"/>
        <v/>
      </c>
      <c r="W17" s="927" t="str">
        <f t="shared" si="5"/>
        <v/>
      </c>
      <c r="X17" s="927" t="str">
        <f t="shared" si="6"/>
        <v/>
      </c>
      <c r="Y17" s="928" t="str">
        <f t="shared" si="7"/>
        <v/>
      </c>
    </row>
    <row r="18" spans="1:25" ht="15" customHeight="1" x14ac:dyDescent="0.2">
      <c r="A18" s="918"/>
      <c r="B18" s="924">
        <f t="shared" si="0"/>
        <v>15</v>
      </c>
      <c r="C18" s="925" t="str">
        <f t="shared" si="1"/>
        <v>Finding15</v>
      </c>
      <c r="D18" s="919" t="str">
        <f>IFERROR(IF(INDEX('LFA_Findings&amp;Recommendations_6'!C$9:C$108,MATCH('LFA_Findings&amp;Recom export'!$C18,'LFA_Findings&amp;Recommendations_6'!$B$9:$B$108,0))="","",INDEX('LFA_Findings&amp;Recommendations_6'!C$9:C$108,MATCH('LFA_Findings&amp;Recom export'!$C18,'LFA_Findings&amp;Recommendations_6'!$B$9:$B$108,0))),"")</f>
        <v/>
      </c>
      <c r="E18" s="919" t="str">
        <f>IFERROR(IF(INDEX('LFA_Findings&amp;Recommendations_6'!D$9:D$108,MATCH('LFA_Findings&amp;Recom export'!$C18,'LFA_Findings&amp;Recommendations_6'!$B$9:$B$108,0))="","",INDEX('LFA_Findings&amp;Recommendations_6'!D$9:D$108,MATCH('LFA_Findings&amp;Recom export'!$C18,'LFA_Findings&amp;Recommendations_6'!$B$9:$B$108,0))),"")</f>
        <v/>
      </c>
      <c r="F18" s="919" t="str">
        <f>IFERROR(IF(INDEX('LFA_Findings&amp;Recommendations_6'!E$9:E$108,MATCH('LFA_Findings&amp;Recom export'!$C18,'LFA_Findings&amp;Recommendations_6'!$B$9:$B$108,0))="","",INDEX('LFA_Findings&amp;Recommendations_6'!E$9:E$108,MATCH('LFA_Findings&amp;Recom export'!$C18,'LFA_Findings&amp;Recommendations_6'!$B$9:$B$108,0))),"")</f>
        <v/>
      </c>
      <c r="G18" s="919" t="str">
        <f>IFERROR(IF(INDEX('LFA_Findings&amp;Recommendations_6'!F$9:F$108,MATCH('LFA_Findings&amp;Recom export'!$C18,'LFA_Findings&amp;Recommendations_6'!$B$9:$B$108,0))="","",INDEX('LFA_Findings&amp;Recommendations_6'!F$9:F$108,MATCH('LFA_Findings&amp;Recom export'!$C18,'LFA_Findings&amp;Recommendations_6'!$B$9:$B$108,0))),"")</f>
        <v/>
      </c>
      <c r="H18" s="919" t="str">
        <f>IFERROR(IF(INDEX('LFA_Findings&amp;Recommendations_6'!G$9:G$108,MATCH('LFA_Findings&amp;Recom export'!$C18,'LFA_Findings&amp;Recommendations_6'!$B$9:$B$108,0))="","",INDEX('LFA_Findings&amp;Recommendations_6'!G$9:G$108,MATCH('LFA_Findings&amp;Recom export'!$C18,'LFA_Findings&amp;Recommendations_6'!$B$9:$B$108,0))),"")</f>
        <v/>
      </c>
      <c r="I18" s="919" t="str">
        <f>IFERROR(IF(INDEX('LFA_Findings&amp;Recommendations_6'!H$9:H$108,MATCH('LFA_Findings&amp;Recom export'!$C18,'LFA_Findings&amp;Recommendations_6'!$B$9:$B$108,0))="","",INDEX('LFA_Findings&amp;Recommendations_6'!H$9:H$108,MATCH('LFA_Findings&amp;Recom export'!$C18,'LFA_Findings&amp;Recommendations_6'!$B$9:$B$108,0))),"")</f>
        <v/>
      </c>
      <c r="J18" s="919" t="str">
        <f>IFERROR(IF(INDEX('LFA_Findings&amp;Recommendations_6'!I$9:I$108,MATCH('LFA_Findings&amp;Recom export'!$C18,'LFA_Findings&amp;Recommendations_6'!$B$9:$B$108,0))="","",INDEX('LFA_Findings&amp;Recommendations_6'!I$9:I$108,MATCH('LFA_Findings&amp;Recom export'!$C18,'LFA_Findings&amp;Recommendations_6'!$B$9:$B$108,0))),"")</f>
        <v/>
      </c>
      <c r="K18" s="919" t="str">
        <f>IFERROR(IF(INDEX('LFA_Findings&amp;Recommendations_6'!J$9:J$108,MATCH('LFA_Findings&amp;Recom export'!$C18,'LFA_Findings&amp;Recommendations_6'!$B$9:$B$108,0))="","",INDEX('LFA_Findings&amp;Recommendations_6'!J$9:J$108,MATCH('LFA_Findings&amp;Recom export'!$C18,'LFA_Findings&amp;Recommendations_6'!$B$9:$B$108,0))),"")</f>
        <v/>
      </c>
      <c r="L18" s="919" t="str">
        <f>IFERROR(IF(INDEX('LFA_Findings&amp;Recommendations_6'!K$9:K$108,MATCH('LFA_Findings&amp;Recom export'!$C18,'LFA_Findings&amp;Recommendations_6'!$B$9:$B$108,0))="","",INDEX('LFA_Findings&amp;Recommendations_6'!K$9:K$108,MATCH('LFA_Findings&amp;Recom export'!$C18,'LFA_Findings&amp;Recommendations_6'!$B$9:$B$108,0))),"")</f>
        <v/>
      </c>
      <c r="M18" s="919" t="str">
        <f>IFERROR(IF(INDEX('LFA_Findings&amp;Recommendations_6'!L$9:L$108,MATCH('LFA_Findings&amp;Recom export'!$C18,'LFA_Findings&amp;Recommendations_6'!$B$9:$B$108,0))="","",INDEX('LFA_Findings&amp;Recommendations_6'!L$9:L$108,MATCH('LFA_Findings&amp;Recom export'!$C18,'LFA_Findings&amp;Recommendations_6'!$B$9:$B$108,0))),"")</f>
        <v/>
      </c>
      <c r="N18" s="919" t="b">
        <f t="shared" si="2"/>
        <v>1</v>
      </c>
      <c r="O18" s="926" t="b">
        <f t="shared" si="3"/>
        <v>0</v>
      </c>
      <c r="P18" s="926" t="b">
        <f>IFERROR(IF(INDEX('LFA_Findings&amp;Recommendations_6'!A$9:A$108,MATCH('LFA_Findings&amp;Recom export'!$C18,'LFA_Findings&amp;Recommendations_6'!$B$9:$B$108,0))="","",INDEX('LFA_Findings&amp;Recommendations_6'!A$9:A$108,MATCH('LFA_Findings&amp;Recom export'!$C18,'LFA_Findings&amp;Recommendations_6'!$B$9:$B$108,0))),"")</f>
        <v>0</v>
      </c>
      <c r="Q18" s="926" t="str">
        <f>IF(P18=TRUE,_xlfn.IFNA(VLOOKUP(D18,RiskData!$B$5:$D$11,3,FALSE), ""),"")</f>
        <v/>
      </c>
      <c r="R18" s="926" t="str">
        <f>IF(P18=TRUE,_xlfn.IFNA(VLOOKUP(E18,RiskData!$F$13:$I$36,4,FALSE), ""),"")</f>
        <v/>
      </c>
      <c r="S18" s="926" t="str">
        <f>IF(P18=TRUE,_xlfn.IFNA(INDEX(RiskData!$H$40:$H$290,MATCH(TRUE,INDEX(RIGHT(RiskData!$F$40:$F$290,255)=RIGHT(F18,255),0),0)), ""),"")</f>
        <v/>
      </c>
      <c r="T18" s="926" t="str">
        <f>IF(OR(P18=TRUE,ISBLANK(D18)),'Admin Sheet'!$B$44,"")</f>
        <v/>
      </c>
      <c r="U18" s="926" t="str">
        <f>IF(OR(ISBLANK(D18), P18=TRUE),'Admin Sheet'!$B$41,"")</f>
        <v/>
      </c>
      <c r="V18" s="927" t="str">
        <f t="shared" si="4"/>
        <v/>
      </c>
      <c r="W18" s="927" t="str">
        <f t="shared" si="5"/>
        <v/>
      </c>
      <c r="X18" s="927" t="str">
        <f t="shared" si="6"/>
        <v/>
      </c>
      <c r="Y18" s="928" t="str">
        <f t="shared" si="7"/>
        <v/>
      </c>
    </row>
    <row r="19" spans="1:25" ht="15" customHeight="1" x14ac:dyDescent="0.2">
      <c r="A19" s="918"/>
      <c r="B19" s="924">
        <f t="shared" si="0"/>
        <v>16</v>
      </c>
      <c r="C19" s="925" t="str">
        <f t="shared" si="1"/>
        <v>Finding16</v>
      </c>
      <c r="D19" s="919" t="str">
        <f>IFERROR(IF(INDEX('LFA_Findings&amp;Recommendations_6'!C$9:C$108,MATCH('LFA_Findings&amp;Recom export'!$C19,'LFA_Findings&amp;Recommendations_6'!$B$9:$B$108,0))="","",INDEX('LFA_Findings&amp;Recommendations_6'!C$9:C$108,MATCH('LFA_Findings&amp;Recom export'!$C19,'LFA_Findings&amp;Recommendations_6'!$B$9:$B$108,0))),"")</f>
        <v/>
      </c>
      <c r="E19" s="919" t="str">
        <f>IFERROR(IF(INDEX('LFA_Findings&amp;Recommendations_6'!D$9:D$108,MATCH('LFA_Findings&amp;Recom export'!$C19,'LFA_Findings&amp;Recommendations_6'!$B$9:$B$108,0))="","",INDEX('LFA_Findings&amp;Recommendations_6'!D$9:D$108,MATCH('LFA_Findings&amp;Recom export'!$C19,'LFA_Findings&amp;Recommendations_6'!$B$9:$B$108,0))),"")</f>
        <v/>
      </c>
      <c r="F19" s="919" t="str">
        <f>IFERROR(IF(INDEX('LFA_Findings&amp;Recommendations_6'!E$9:E$108,MATCH('LFA_Findings&amp;Recom export'!$C19,'LFA_Findings&amp;Recommendations_6'!$B$9:$B$108,0))="","",INDEX('LFA_Findings&amp;Recommendations_6'!E$9:E$108,MATCH('LFA_Findings&amp;Recom export'!$C19,'LFA_Findings&amp;Recommendations_6'!$B$9:$B$108,0))),"")</f>
        <v/>
      </c>
      <c r="G19" s="919" t="str">
        <f>IFERROR(IF(INDEX('LFA_Findings&amp;Recommendations_6'!F$9:F$108,MATCH('LFA_Findings&amp;Recom export'!$C19,'LFA_Findings&amp;Recommendations_6'!$B$9:$B$108,0))="","",INDEX('LFA_Findings&amp;Recommendations_6'!F$9:F$108,MATCH('LFA_Findings&amp;Recom export'!$C19,'LFA_Findings&amp;Recommendations_6'!$B$9:$B$108,0))),"")</f>
        <v/>
      </c>
      <c r="H19" s="919" t="str">
        <f>IFERROR(IF(INDEX('LFA_Findings&amp;Recommendations_6'!G$9:G$108,MATCH('LFA_Findings&amp;Recom export'!$C19,'LFA_Findings&amp;Recommendations_6'!$B$9:$B$108,0))="","",INDEX('LFA_Findings&amp;Recommendations_6'!G$9:G$108,MATCH('LFA_Findings&amp;Recom export'!$C19,'LFA_Findings&amp;Recommendations_6'!$B$9:$B$108,0))),"")</f>
        <v/>
      </c>
      <c r="I19" s="919" t="str">
        <f>IFERROR(IF(INDEX('LFA_Findings&amp;Recommendations_6'!H$9:H$108,MATCH('LFA_Findings&amp;Recom export'!$C19,'LFA_Findings&amp;Recommendations_6'!$B$9:$B$108,0))="","",INDEX('LFA_Findings&amp;Recommendations_6'!H$9:H$108,MATCH('LFA_Findings&amp;Recom export'!$C19,'LFA_Findings&amp;Recommendations_6'!$B$9:$B$108,0))),"")</f>
        <v/>
      </c>
      <c r="J19" s="919" t="str">
        <f>IFERROR(IF(INDEX('LFA_Findings&amp;Recommendations_6'!I$9:I$108,MATCH('LFA_Findings&amp;Recom export'!$C19,'LFA_Findings&amp;Recommendations_6'!$B$9:$B$108,0))="","",INDEX('LFA_Findings&amp;Recommendations_6'!I$9:I$108,MATCH('LFA_Findings&amp;Recom export'!$C19,'LFA_Findings&amp;Recommendations_6'!$B$9:$B$108,0))),"")</f>
        <v/>
      </c>
      <c r="K19" s="919" t="str">
        <f>IFERROR(IF(INDEX('LFA_Findings&amp;Recommendations_6'!J$9:J$108,MATCH('LFA_Findings&amp;Recom export'!$C19,'LFA_Findings&amp;Recommendations_6'!$B$9:$B$108,0))="","",INDEX('LFA_Findings&amp;Recommendations_6'!J$9:J$108,MATCH('LFA_Findings&amp;Recom export'!$C19,'LFA_Findings&amp;Recommendations_6'!$B$9:$B$108,0))),"")</f>
        <v/>
      </c>
      <c r="L19" s="919" t="str">
        <f>IFERROR(IF(INDEX('LFA_Findings&amp;Recommendations_6'!K$9:K$108,MATCH('LFA_Findings&amp;Recom export'!$C19,'LFA_Findings&amp;Recommendations_6'!$B$9:$B$108,0))="","",INDEX('LFA_Findings&amp;Recommendations_6'!K$9:K$108,MATCH('LFA_Findings&amp;Recom export'!$C19,'LFA_Findings&amp;Recommendations_6'!$B$9:$B$108,0))),"")</f>
        <v/>
      </c>
      <c r="M19" s="919" t="str">
        <f>IFERROR(IF(INDEX('LFA_Findings&amp;Recommendations_6'!L$9:L$108,MATCH('LFA_Findings&amp;Recom export'!$C19,'LFA_Findings&amp;Recommendations_6'!$B$9:$B$108,0))="","",INDEX('LFA_Findings&amp;Recommendations_6'!L$9:L$108,MATCH('LFA_Findings&amp;Recom export'!$C19,'LFA_Findings&amp;Recommendations_6'!$B$9:$B$108,0))),"")</f>
        <v/>
      </c>
      <c r="N19" s="919" t="b">
        <f t="shared" si="2"/>
        <v>1</v>
      </c>
      <c r="O19" s="926" t="b">
        <f t="shared" si="3"/>
        <v>0</v>
      </c>
      <c r="P19" s="926" t="b">
        <f>IFERROR(IF(INDEX('LFA_Findings&amp;Recommendations_6'!A$9:A$108,MATCH('LFA_Findings&amp;Recom export'!$C19,'LFA_Findings&amp;Recommendations_6'!$B$9:$B$108,0))="","",INDEX('LFA_Findings&amp;Recommendations_6'!A$9:A$108,MATCH('LFA_Findings&amp;Recom export'!$C19,'LFA_Findings&amp;Recommendations_6'!$B$9:$B$108,0))),"")</f>
        <v>0</v>
      </c>
      <c r="Q19" s="926" t="str">
        <f>IF(P19=TRUE,_xlfn.IFNA(VLOOKUP(D19,RiskData!$B$5:$D$11,3,FALSE), ""),"")</f>
        <v/>
      </c>
      <c r="R19" s="926" t="str">
        <f>IF(P19=TRUE,_xlfn.IFNA(VLOOKUP(E19,RiskData!$F$13:$I$36,4,FALSE), ""),"")</f>
        <v/>
      </c>
      <c r="S19" s="926" t="str">
        <f>IF(P19=TRUE,_xlfn.IFNA(INDEX(RiskData!$H$40:$H$290,MATCH(TRUE,INDEX(RIGHT(RiskData!$F$40:$F$290,255)=RIGHT(F19,255),0),0)), ""),"")</f>
        <v/>
      </c>
      <c r="T19" s="926" t="str">
        <f>IF(OR(P19=TRUE,ISBLANK(D19)),'Admin Sheet'!$B$44,"")</f>
        <v/>
      </c>
      <c r="U19" s="926" t="str">
        <f>IF(OR(ISBLANK(D19), P19=TRUE),'Admin Sheet'!$B$41,"")</f>
        <v/>
      </c>
      <c r="V19" s="927" t="str">
        <f t="shared" si="4"/>
        <v/>
      </c>
      <c r="W19" s="927" t="str">
        <f t="shared" si="5"/>
        <v/>
      </c>
      <c r="X19" s="927" t="str">
        <f t="shared" si="6"/>
        <v/>
      </c>
      <c r="Y19" s="928" t="str">
        <f t="shared" si="7"/>
        <v/>
      </c>
    </row>
    <row r="20" spans="1:25" ht="15" customHeight="1" x14ac:dyDescent="0.2">
      <c r="A20" s="918"/>
      <c r="B20" s="924">
        <f t="shared" si="0"/>
        <v>17</v>
      </c>
      <c r="C20" s="925" t="str">
        <f t="shared" si="1"/>
        <v>Finding17</v>
      </c>
      <c r="D20" s="919" t="str">
        <f>IFERROR(IF(INDEX('LFA_Findings&amp;Recommendations_6'!C$9:C$108,MATCH('LFA_Findings&amp;Recom export'!$C20,'LFA_Findings&amp;Recommendations_6'!$B$9:$B$108,0))="","",INDEX('LFA_Findings&amp;Recommendations_6'!C$9:C$108,MATCH('LFA_Findings&amp;Recom export'!$C20,'LFA_Findings&amp;Recommendations_6'!$B$9:$B$108,0))),"")</f>
        <v/>
      </c>
      <c r="E20" s="919" t="str">
        <f>IFERROR(IF(INDEX('LFA_Findings&amp;Recommendations_6'!D$9:D$108,MATCH('LFA_Findings&amp;Recom export'!$C20,'LFA_Findings&amp;Recommendations_6'!$B$9:$B$108,0))="","",INDEX('LFA_Findings&amp;Recommendations_6'!D$9:D$108,MATCH('LFA_Findings&amp;Recom export'!$C20,'LFA_Findings&amp;Recommendations_6'!$B$9:$B$108,0))),"")</f>
        <v/>
      </c>
      <c r="F20" s="919" t="str">
        <f>IFERROR(IF(INDEX('LFA_Findings&amp;Recommendations_6'!E$9:E$108,MATCH('LFA_Findings&amp;Recom export'!$C20,'LFA_Findings&amp;Recommendations_6'!$B$9:$B$108,0))="","",INDEX('LFA_Findings&amp;Recommendations_6'!E$9:E$108,MATCH('LFA_Findings&amp;Recom export'!$C20,'LFA_Findings&amp;Recommendations_6'!$B$9:$B$108,0))),"")</f>
        <v/>
      </c>
      <c r="G20" s="919" t="str">
        <f>IFERROR(IF(INDEX('LFA_Findings&amp;Recommendations_6'!F$9:F$108,MATCH('LFA_Findings&amp;Recom export'!$C20,'LFA_Findings&amp;Recommendations_6'!$B$9:$B$108,0))="","",INDEX('LFA_Findings&amp;Recommendations_6'!F$9:F$108,MATCH('LFA_Findings&amp;Recom export'!$C20,'LFA_Findings&amp;Recommendations_6'!$B$9:$B$108,0))),"")</f>
        <v/>
      </c>
      <c r="H20" s="919" t="str">
        <f>IFERROR(IF(INDEX('LFA_Findings&amp;Recommendations_6'!G$9:G$108,MATCH('LFA_Findings&amp;Recom export'!$C20,'LFA_Findings&amp;Recommendations_6'!$B$9:$B$108,0))="","",INDEX('LFA_Findings&amp;Recommendations_6'!G$9:G$108,MATCH('LFA_Findings&amp;Recom export'!$C20,'LFA_Findings&amp;Recommendations_6'!$B$9:$B$108,0))),"")</f>
        <v/>
      </c>
      <c r="I20" s="919" t="str">
        <f>IFERROR(IF(INDEX('LFA_Findings&amp;Recommendations_6'!H$9:H$108,MATCH('LFA_Findings&amp;Recom export'!$C20,'LFA_Findings&amp;Recommendations_6'!$B$9:$B$108,0))="","",INDEX('LFA_Findings&amp;Recommendations_6'!H$9:H$108,MATCH('LFA_Findings&amp;Recom export'!$C20,'LFA_Findings&amp;Recommendations_6'!$B$9:$B$108,0))),"")</f>
        <v/>
      </c>
      <c r="J20" s="919" t="str">
        <f>IFERROR(IF(INDEX('LFA_Findings&amp;Recommendations_6'!I$9:I$108,MATCH('LFA_Findings&amp;Recom export'!$C20,'LFA_Findings&amp;Recommendations_6'!$B$9:$B$108,0))="","",INDEX('LFA_Findings&amp;Recommendations_6'!I$9:I$108,MATCH('LFA_Findings&amp;Recom export'!$C20,'LFA_Findings&amp;Recommendations_6'!$B$9:$B$108,0))),"")</f>
        <v/>
      </c>
      <c r="K20" s="919" t="str">
        <f>IFERROR(IF(INDEX('LFA_Findings&amp;Recommendations_6'!J$9:J$108,MATCH('LFA_Findings&amp;Recom export'!$C20,'LFA_Findings&amp;Recommendations_6'!$B$9:$B$108,0))="","",INDEX('LFA_Findings&amp;Recommendations_6'!J$9:J$108,MATCH('LFA_Findings&amp;Recom export'!$C20,'LFA_Findings&amp;Recommendations_6'!$B$9:$B$108,0))),"")</f>
        <v/>
      </c>
      <c r="L20" s="919" t="str">
        <f>IFERROR(IF(INDEX('LFA_Findings&amp;Recommendations_6'!K$9:K$108,MATCH('LFA_Findings&amp;Recom export'!$C20,'LFA_Findings&amp;Recommendations_6'!$B$9:$B$108,0))="","",INDEX('LFA_Findings&amp;Recommendations_6'!K$9:K$108,MATCH('LFA_Findings&amp;Recom export'!$C20,'LFA_Findings&amp;Recommendations_6'!$B$9:$B$108,0))),"")</f>
        <v/>
      </c>
      <c r="M20" s="919" t="str">
        <f>IFERROR(IF(INDEX('LFA_Findings&amp;Recommendations_6'!L$9:L$108,MATCH('LFA_Findings&amp;Recom export'!$C20,'LFA_Findings&amp;Recommendations_6'!$B$9:$B$108,0))="","",INDEX('LFA_Findings&amp;Recommendations_6'!L$9:L$108,MATCH('LFA_Findings&amp;Recom export'!$C20,'LFA_Findings&amp;Recommendations_6'!$B$9:$B$108,0))),"")</f>
        <v/>
      </c>
      <c r="N20" s="919" t="b">
        <f t="shared" si="2"/>
        <v>1</v>
      </c>
      <c r="O20" s="926" t="b">
        <f t="shared" si="3"/>
        <v>0</v>
      </c>
      <c r="P20" s="926" t="b">
        <f>IFERROR(IF(INDEX('LFA_Findings&amp;Recommendations_6'!A$9:A$108,MATCH('LFA_Findings&amp;Recom export'!$C20,'LFA_Findings&amp;Recommendations_6'!$B$9:$B$108,0))="","",INDEX('LFA_Findings&amp;Recommendations_6'!A$9:A$108,MATCH('LFA_Findings&amp;Recom export'!$C20,'LFA_Findings&amp;Recommendations_6'!$B$9:$B$108,0))),"")</f>
        <v>0</v>
      </c>
      <c r="Q20" s="926" t="str">
        <f>IF(P20=TRUE,_xlfn.IFNA(VLOOKUP(D20,RiskData!$B$5:$D$11,3,FALSE), ""),"")</f>
        <v/>
      </c>
      <c r="R20" s="926" t="str">
        <f>IF(P20=TRUE,_xlfn.IFNA(VLOOKUP(E20,RiskData!$F$13:$I$36,4,FALSE), ""),"")</f>
        <v/>
      </c>
      <c r="S20" s="926" t="str">
        <f>IF(P20=TRUE,_xlfn.IFNA(INDEX(RiskData!$H$40:$H$290,MATCH(TRUE,INDEX(RIGHT(RiskData!$F$40:$F$290,255)=RIGHT(F20,255),0),0)), ""),"")</f>
        <v/>
      </c>
      <c r="T20" s="926" t="str">
        <f>IF(OR(P20=TRUE,ISBLANK(D20)),'Admin Sheet'!$B$44,"")</f>
        <v/>
      </c>
      <c r="U20" s="926" t="str">
        <f>IF(OR(ISBLANK(D20), P20=TRUE),'Admin Sheet'!$B$41,"")</f>
        <v/>
      </c>
      <c r="V20" s="927" t="str">
        <f t="shared" si="4"/>
        <v/>
      </c>
      <c r="W20" s="927" t="str">
        <f t="shared" si="5"/>
        <v/>
      </c>
      <c r="X20" s="927" t="str">
        <f t="shared" si="6"/>
        <v/>
      </c>
      <c r="Y20" s="928" t="str">
        <f t="shared" si="7"/>
        <v/>
      </c>
    </row>
    <row r="21" spans="1:25" ht="15" customHeight="1" x14ac:dyDescent="0.2">
      <c r="A21" s="918"/>
      <c r="B21" s="924">
        <f t="shared" si="0"/>
        <v>18</v>
      </c>
      <c r="C21" s="925" t="str">
        <f t="shared" si="1"/>
        <v>Finding18</v>
      </c>
      <c r="D21" s="919" t="str">
        <f>IFERROR(IF(INDEX('LFA_Findings&amp;Recommendations_6'!C$9:C$108,MATCH('LFA_Findings&amp;Recom export'!$C21,'LFA_Findings&amp;Recommendations_6'!$B$9:$B$108,0))="","",INDEX('LFA_Findings&amp;Recommendations_6'!C$9:C$108,MATCH('LFA_Findings&amp;Recom export'!$C21,'LFA_Findings&amp;Recommendations_6'!$B$9:$B$108,0))),"")</f>
        <v/>
      </c>
      <c r="E21" s="919" t="str">
        <f>IFERROR(IF(INDEX('LFA_Findings&amp;Recommendations_6'!D$9:D$108,MATCH('LFA_Findings&amp;Recom export'!$C21,'LFA_Findings&amp;Recommendations_6'!$B$9:$B$108,0))="","",INDEX('LFA_Findings&amp;Recommendations_6'!D$9:D$108,MATCH('LFA_Findings&amp;Recom export'!$C21,'LFA_Findings&amp;Recommendations_6'!$B$9:$B$108,0))),"")</f>
        <v/>
      </c>
      <c r="F21" s="919" t="str">
        <f>IFERROR(IF(INDEX('LFA_Findings&amp;Recommendations_6'!E$9:E$108,MATCH('LFA_Findings&amp;Recom export'!$C21,'LFA_Findings&amp;Recommendations_6'!$B$9:$B$108,0))="","",INDEX('LFA_Findings&amp;Recommendations_6'!E$9:E$108,MATCH('LFA_Findings&amp;Recom export'!$C21,'LFA_Findings&amp;Recommendations_6'!$B$9:$B$108,0))),"")</f>
        <v/>
      </c>
      <c r="G21" s="919" t="str">
        <f>IFERROR(IF(INDEX('LFA_Findings&amp;Recommendations_6'!F$9:F$108,MATCH('LFA_Findings&amp;Recom export'!$C21,'LFA_Findings&amp;Recommendations_6'!$B$9:$B$108,0))="","",INDEX('LFA_Findings&amp;Recommendations_6'!F$9:F$108,MATCH('LFA_Findings&amp;Recom export'!$C21,'LFA_Findings&amp;Recommendations_6'!$B$9:$B$108,0))),"")</f>
        <v/>
      </c>
      <c r="H21" s="919" t="str">
        <f>IFERROR(IF(INDEX('LFA_Findings&amp;Recommendations_6'!G$9:G$108,MATCH('LFA_Findings&amp;Recom export'!$C21,'LFA_Findings&amp;Recommendations_6'!$B$9:$B$108,0))="","",INDEX('LFA_Findings&amp;Recommendations_6'!G$9:G$108,MATCH('LFA_Findings&amp;Recom export'!$C21,'LFA_Findings&amp;Recommendations_6'!$B$9:$B$108,0))),"")</f>
        <v/>
      </c>
      <c r="I21" s="919" t="str">
        <f>IFERROR(IF(INDEX('LFA_Findings&amp;Recommendations_6'!H$9:H$108,MATCH('LFA_Findings&amp;Recom export'!$C21,'LFA_Findings&amp;Recommendations_6'!$B$9:$B$108,0))="","",INDEX('LFA_Findings&amp;Recommendations_6'!H$9:H$108,MATCH('LFA_Findings&amp;Recom export'!$C21,'LFA_Findings&amp;Recommendations_6'!$B$9:$B$108,0))),"")</f>
        <v/>
      </c>
      <c r="J21" s="919" t="str">
        <f>IFERROR(IF(INDEX('LFA_Findings&amp;Recommendations_6'!I$9:I$108,MATCH('LFA_Findings&amp;Recom export'!$C21,'LFA_Findings&amp;Recommendations_6'!$B$9:$B$108,0))="","",INDEX('LFA_Findings&amp;Recommendations_6'!I$9:I$108,MATCH('LFA_Findings&amp;Recom export'!$C21,'LFA_Findings&amp;Recommendations_6'!$B$9:$B$108,0))),"")</f>
        <v/>
      </c>
      <c r="K21" s="919" t="str">
        <f>IFERROR(IF(INDEX('LFA_Findings&amp;Recommendations_6'!J$9:J$108,MATCH('LFA_Findings&amp;Recom export'!$C21,'LFA_Findings&amp;Recommendations_6'!$B$9:$B$108,0))="","",INDEX('LFA_Findings&amp;Recommendations_6'!J$9:J$108,MATCH('LFA_Findings&amp;Recom export'!$C21,'LFA_Findings&amp;Recommendations_6'!$B$9:$B$108,0))),"")</f>
        <v/>
      </c>
      <c r="L21" s="919" t="str">
        <f>IFERROR(IF(INDEX('LFA_Findings&amp;Recommendations_6'!K$9:K$108,MATCH('LFA_Findings&amp;Recom export'!$C21,'LFA_Findings&amp;Recommendations_6'!$B$9:$B$108,0))="","",INDEX('LFA_Findings&amp;Recommendations_6'!K$9:K$108,MATCH('LFA_Findings&amp;Recom export'!$C21,'LFA_Findings&amp;Recommendations_6'!$B$9:$B$108,0))),"")</f>
        <v/>
      </c>
      <c r="M21" s="919" t="str">
        <f>IFERROR(IF(INDEX('LFA_Findings&amp;Recommendations_6'!L$9:L$108,MATCH('LFA_Findings&amp;Recom export'!$C21,'LFA_Findings&amp;Recommendations_6'!$B$9:$B$108,0))="","",INDEX('LFA_Findings&amp;Recommendations_6'!L$9:L$108,MATCH('LFA_Findings&amp;Recom export'!$C21,'LFA_Findings&amp;Recommendations_6'!$B$9:$B$108,0))),"")</f>
        <v/>
      </c>
      <c r="N21" s="919" t="b">
        <f t="shared" si="2"/>
        <v>1</v>
      </c>
      <c r="O21" s="926" t="b">
        <f t="shared" si="3"/>
        <v>0</v>
      </c>
      <c r="P21" s="926" t="b">
        <f>IFERROR(IF(INDEX('LFA_Findings&amp;Recommendations_6'!A$9:A$108,MATCH('LFA_Findings&amp;Recom export'!$C21,'LFA_Findings&amp;Recommendations_6'!$B$9:$B$108,0))="","",INDEX('LFA_Findings&amp;Recommendations_6'!A$9:A$108,MATCH('LFA_Findings&amp;Recom export'!$C21,'LFA_Findings&amp;Recommendations_6'!$B$9:$B$108,0))),"")</f>
        <v>0</v>
      </c>
      <c r="Q21" s="926" t="str">
        <f>IF(P21=TRUE,_xlfn.IFNA(VLOOKUP(D21,RiskData!$B$5:$D$11,3,FALSE), ""),"")</f>
        <v/>
      </c>
      <c r="R21" s="926" t="str">
        <f>IF(P21=TRUE,_xlfn.IFNA(VLOOKUP(E21,RiskData!$F$13:$I$36,4,FALSE), ""),"")</f>
        <v/>
      </c>
      <c r="S21" s="926" t="str">
        <f>IF(P21=TRUE,_xlfn.IFNA(INDEX(RiskData!$H$40:$H$290,MATCH(TRUE,INDEX(RIGHT(RiskData!$F$40:$F$290,255)=RIGHT(F21,255),0),0)), ""),"")</f>
        <v/>
      </c>
      <c r="T21" s="926" t="str">
        <f>IF(OR(P21=TRUE,ISBLANK(D21)),'Admin Sheet'!$B$44,"")</f>
        <v/>
      </c>
      <c r="U21" s="926" t="str">
        <f>IF(OR(ISBLANK(D21), P21=TRUE),'Admin Sheet'!$B$41,"")</f>
        <v/>
      </c>
      <c r="V21" s="927" t="str">
        <f t="shared" si="4"/>
        <v/>
      </c>
      <c r="W21" s="927" t="str">
        <f t="shared" si="5"/>
        <v/>
      </c>
      <c r="X21" s="927" t="str">
        <f t="shared" si="6"/>
        <v/>
      </c>
      <c r="Y21" s="928" t="str">
        <f t="shared" si="7"/>
        <v/>
      </c>
    </row>
    <row r="22" spans="1:25" ht="15" customHeight="1" x14ac:dyDescent="0.2">
      <c r="A22" s="918"/>
      <c r="B22" s="924">
        <f t="shared" si="0"/>
        <v>19</v>
      </c>
      <c r="C22" s="925" t="str">
        <f t="shared" si="1"/>
        <v>Finding19</v>
      </c>
      <c r="D22" s="919" t="str">
        <f>IFERROR(IF(INDEX('LFA_Findings&amp;Recommendations_6'!C$9:C$108,MATCH('LFA_Findings&amp;Recom export'!$C22,'LFA_Findings&amp;Recommendations_6'!$B$9:$B$108,0))="","",INDEX('LFA_Findings&amp;Recommendations_6'!C$9:C$108,MATCH('LFA_Findings&amp;Recom export'!$C22,'LFA_Findings&amp;Recommendations_6'!$B$9:$B$108,0))),"")</f>
        <v/>
      </c>
      <c r="E22" s="919" t="str">
        <f>IFERROR(IF(INDEX('LFA_Findings&amp;Recommendations_6'!D$9:D$108,MATCH('LFA_Findings&amp;Recom export'!$C22,'LFA_Findings&amp;Recommendations_6'!$B$9:$B$108,0))="","",INDEX('LFA_Findings&amp;Recommendations_6'!D$9:D$108,MATCH('LFA_Findings&amp;Recom export'!$C22,'LFA_Findings&amp;Recommendations_6'!$B$9:$B$108,0))),"")</f>
        <v/>
      </c>
      <c r="F22" s="919" t="str">
        <f>IFERROR(IF(INDEX('LFA_Findings&amp;Recommendations_6'!E$9:E$108,MATCH('LFA_Findings&amp;Recom export'!$C22,'LFA_Findings&amp;Recommendations_6'!$B$9:$B$108,0))="","",INDEX('LFA_Findings&amp;Recommendations_6'!E$9:E$108,MATCH('LFA_Findings&amp;Recom export'!$C22,'LFA_Findings&amp;Recommendations_6'!$B$9:$B$108,0))),"")</f>
        <v/>
      </c>
      <c r="G22" s="919" t="str">
        <f>IFERROR(IF(INDEX('LFA_Findings&amp;Recommendations_6'!F$9:F$108,MATCH('LFA_Findings&amp;Recom export'!$C22,'LFA_Findings&amp;Recommendations_6'!$B$9:$B$108,0))="","",INDEX('LFA_Findings&amp;Recommendations_6'!F$9:F$108,MATCH('LFA_Findings&amp;Recom export'!$C22,'LFA_Findings&amp;Recommendations_6'!$B$9:$B$108,0))),"")</f>
        <v/>
      </c>
      <c r="H22" s="919" t="str">
        <f>IFERROR(IF(INDEX('LFA_Findings&amp;Recommendations_6'!G$9:G$108,MATCH('LFA_Findings&amp;Recom export'!$C22,'LFA_Findings&amp;Recommendations_6'!$B$9:$B$108,0))="","",INDEX('LFA_Findings&amp;Recommendations_6'!G$9:G$108,MATCH('LFA_Findings&amp;Recom export'!$C22,'LFA_Findings&amp;Recommendations_6'!$B$9:$B$108,0))),"")</f>
        <v/>
      </c>
      <c r="I22" s="919" t="str">
        <f>IFERROR(IF(INDEX('LFA_Findings&amp;Recommendations_6'!H$9:H$108,MATCH('LFA_Findings&amp;Recom export'!$C22,'LFA_Findings&amp;Recommendations_6'!$B$9:$B$108,0))="","",INDEX('LFA_Findings&amp;Recommendations_6'!H$9:H$108,MATCH('LFA_Findings&amp;Recom export'!$C22,'LFA_Findings&amp;Recommendations_6'!$B$9:$B$108,0))),"")</f>
        <v/>
      </c>
      <c r="J22" s="919" t="str">
        <f>IFERROR(IF(INDEX('LFA_Findings&amp;Recommendations_6'!I$9:I$108,MATCH('LFA_Findings&amp;Recom export'!$C22,'LFA_Findings&amp;Recommendations_6'!$B$9:$B$108,0))="","",INDEX('LFA_Findings&amp;Recommendations_6'!I$9:I$108,MATCH('LFA_Findings&amp;Recom export'!$C22,'LFA_Findings&amp;Recommendations_6'!$B$9:$B$108,0))),"")</f>
        <v/>
      </c>
      <c r="K22" s="919" t="str">
        <f>IFERROR(IF(INDEX('LFA_Findings&amp;Recommendations_6'!J$9:J$108,MATCH('LFA_Findings&amp;Recom export'!$C22,'LFA_Findings&amp;Recommendations_6'!$B$9:$B$108,0))="","",INDEX('LFA_Findings&amp;Recommendations_6'!J$9:J$108,MATCH('LFA_Findings&amp;Recom export'!$C22,'LFA_Findings&amp;Recommendations_6'!$B$9:$B$108,0))),"")</f>
        <v/>
      </c>
      <c r="L22" s="919" t="str">
        <f>IFERROR(IF(INDEX('LFA_Findings&amp;Recommendations_6'!K$9:K$108,MATCH('LFA_Findings&amp;Recom export'!$C22,'LFA_Findings&amp;Recommendations_6'!$B$9:$B$108,0))="","",INDEX('LFA_Findings&amp;Recommendations_6'!K$9:K$108,MATCH('LFA_Findings&amp;Recom export'!$C22,'LFA_Findings&amp;Recommendations_6'!$B$9:$B$108,0))),"")</f>
        <v/>
      </c>
      <c r="M22" s="919" t="str">
        <f>IFERROR(IF(INDEX('LFA_Findings&amp;Recommendations_6'!L$9:L$108,MATCH('LFA_Findings&amp;Recom export'!$C22,'LFA_Findings&amp;Recommendations_6'!$B$9:$B$108,0))="","",INDEX('LFA_Findings&amp;Recommendations_6'!L$9:L$108,MATCH('LFA_Findings&amp;Recom export'!$C22,'LFA_Findings&amp;Recommendations_6'!$B$9:$B$108,0))),"")</f>
        <v/>
      </c>
      <c r="N22" s="919" t="b">
        <f t="shared" si="2"/>
        <v>1</v>
      </c>
      <c r="O22" s="926" t="b">
        <f t="shared" si="3"/>
        <v>0</v>
      </c>
      <c r="P22" s="926" t="b">
        <f>IFERROR(IF(INDEX('LFA_Findings&amp;Recommendations_6'!A$9:A$108,MATCH('LFA_Findings&amp;Recom export'!$C22,'LFA_Findings&amp;Recommendations_6'!$B$9:$B$108,0))="","",INDEX('LFA_Findings&amp;Recommendations_6'!A$9:A$108,MATCH('LFA_Findings&amp;Recom export'!$C22,'LFA_Findings&amp;Recommendations_6'!$B$9:$B$108,0))),"")</f>
        <v>0</v>
      </c>
      <c r="Q22" s="926" t="str">
        <f>IF(P22=TRUE,_xlfn.IFNA(VLOOKUP(D22,RiskData!$B$5:$D$11,3,FALSE), ""),"")</f>
        <v/>
      </c>
      <c r="R22" s="926" t="str">
        <f>IF(P22=TRUE,_xlfn.IFNA(VLOOKUP(E22,RiskData!$F$13:$I$36,4,FALSE), ""),"")</f>
        <v/>
      </c>
      <c r="S22" s="926" t="str">
        <f>IF(P22=TRUE,_xlfn.IFNA(INDEX(RiskData!$H$40:$H$290,MATCH(TRUE,INDEX(RIGHT(RiskData!$F$40:$F$290,255)=RIGHT(F22,255),0),0)), ""),"")</f>
        <v/>
      </c>
      <c r="T22" s="926" t="str">
        <f>IF(OR(P22=TRUE,ISBLANK(D22)),'Admin Sheet'!$B$44,"")</f>
        <v/>
      </c>
      <c r="U22" s="926" t="str">
        <f>IF(OR(ISBLANK(D22), P22=TRUE),'Admin Sheet'!$B$41,"")</f>
        <v/>
      </c>
      <c r="V22" s="927" t="str">
        <f t="shared" si="4"/>
        <v/>
      </c>
      <c r="W22" s="927" t="str">
        <f t="shared" si="5"/>
        <v/>
      </c>
      <c r="X22" s="927" t="str">
        <f t="shared" si="6"/>
        <v/>
      </c>
      <c r="Y22" s="928" t="str">
        <f t="shared" si="7"/>
        <v/>
      </c>
    </row>
    <row r="23" spans="1:25" ht="15" customHeight="1" x14ac:dyDescent="0.2">
      <c r="A23" s="918"/>
      <c r="B23" s="924">
        <f t="shared" si="0"/>
        <v>20</v>
      </c>
      <c r="C23" s="925" t="str">
        <f t="shared" si="1"/>
        <v>Finding20</v>
      </c>
      <c r="D23" s="919" t="str">
        <f>IFERROR(IF(INDEX('LFA_Findings&amp;Recommendations_6'!C$9:C$108,MATCH('LFA_Findings&amp;Recom export'!$C23,'LFA_Findings&amp;Recommendations_6'!$B$9:$B$108,0))="","",INDEX('LFA_Findings&amp;Recommendations_6'!C$9:C$108,MATCH('LFA_Findings&amp;Recom export'!$C23,'LFA_Findings&amp;Recommendations_6'!$B$9:$B$108,0))),"")</f>
        <v/>
      </c>
      <c r="E23" s="919" t="str">
        <f>IFERROR(IF(INDEX('LFA_Findings&amp;Recommendations_6'!D$9:D$108,MATCH('LFA_Findings&amp;Recom export'!$C23,'LFA_Findings&amp;Recommendations_6'!$B$9:$B$108,0))="","",INDEX('LFA_Findings&amp;Recommendations_6'!D$9:D$108,MATCH('LFA_Findings&amp;Recom export'!$C23,'LFA_Findings&amp;Recommendations_6'!$B$9:$B$108,0))),"")</f>
        <v/>
      </c>
      <c r="F23" s="919" t="str">
        <f>IFERROR(IF(INDEX('LFA_Findings&amp;Recommendations_6'!E$9:E$108,MATCH('LFA_Findings&amp;Recom export'!$C23,'LFA_Findings&amp;Recommendations_6'!$B$9:$B$108,0))="","",INDEX('LFA_Findings&amp;Recommendations_6'!E$9:E$108,MATCH('LFA_Findings&amp;Recom export'!$C23,'LFA_Findings&amp;Recommendations_6'!$B$9:$B$108,0))),"")</f>
        <v/>
      </c>
      <c r="G23" s="919" t="str">
        <f>IFERROR(IF(INDEX('LFA_Findings&amp;Recommendations_6'!F$9:F$108,MATCH('LFA_Findings&amp;Recom export'!$C23,'LFA_Findings&amp;Recommendations_6'!$B$9:$B$108,0))="","",INDEX('LFA_Findings&amp;Recommendations_6'!F$9:F$108,MATCH('LFA_Findings&amp;Recom export'!$C23,'LFA_Findings&amp;Recommendations_6'!$B$9:$B$108,0))),"")</f>
        <v/>
      </c>
      <c r="H23" s="919" t="str">
        <f>IFERROR(IF(INDEX('LFA_Findings&amp;Recommendations_6'!G$9:G$108,MATCH('LFA_Findings&amp;Recom export'!$C23,'LFA_Findings&amp;Recommendations_6'!$B$9:$B$108,0))="","",INDEX('LFA_Findings&amp;Recommendations_6'!G$9:G$108,MATCH('LFA_Findings&amp;Recom export'!$C23,'LFA_Findings&amp;Recommendations_6'!$B$9:$B$108,0))),"")</f>
        <v/>
      </c>
      <c r="I23" s="919" t="str">
        <f>IFERROR(IF(INDEX('LFA_Findings&amp;Recommendations_6'!H$9:H$108,MATCH('LFA_Findings&amp;Recom export'!$C23,'LFA_Findings&amp;Recommendations_6'!$B$9:$B$108,0))="","",INDEX('LFA_Findings&amp;Recommendations_6'!H$9:H$108,MATCH('LFA_Findings&amp;Recom export'!$C23,'LFA_Findings&amp;Recommendations_6'!$B$9:$B$108,0))),"")</f>
        <v/>
      </c>
      <c r="J23" s="919" t="str">
        <f>IFERROR(IF(INDEX('LFA_Findings&amp;Recommendations_6'!I$9:I$108,MATCH('LFA_Findings&amp;Recom export'!$C23,'LFA_Findings&amp;Recommendations_6'!$B$9:$B$108,0))="","",INDEX('LFA_Findings&amp;Recommendations_6'!I$9:I$108,MATCH('LFA_Findings&amp;Recom export'!$C23,'LFA_Findings&amp;Recommendations_6'!$B$9:$B$108,0))),"")</f>
        <v/>
      </c>
      <c r="K23" s="919" t="str">
        <f>IFERROR(IF(INDEX('LFA_Findings&amp;Recommendations_6'!J$9:J$108,MATCH('LFA_Findings&amp;Recom export'!$C23,'LFA_Findings&amp;Recommendations_6'!$B$9:$B$108,0))="","",INDEX('LFA_Findings&amp;Recommendations_6'!J$9:J$108,MATCH('LFA_Findings&amp;Recom export'!$C23,'LFA_Findings&amp;Recommendations_6'!$B$9:$B$108,0))),"")</f>
        <v/>
      </c>
      <c r="L23" s="919" t="str">
        <f>IFERROR(IF(INDEX('LFA_Findings&amp;Recommendations_6'!K$9:K$108,MATCH('LFA_Findings&amp;Recom export'!$C23,'LFA_Findings&amp;Recommendations_6'!$B$9:$B$108,0))="","",INDEX('LFA_Findings&amp;Recommendations_6'!K$9:K$108,MATCH('LFA_Findings&amp;Recom export'!$C23,'LFA_Findings&amp;Recommendations_6'!$B$9:$B$108,0))),"")</f>
        <v/>
      </c>
      <c r="M23" s="919" t="str">
        <f>IFERROR(IF(INDEX('LFA_Findings&amp;Recommendations_6'!L$9:L$108,MATCH('LFA_Findings&amp;Recom export'!$C23,'LFA_Findings&amp;Recommendations_6'!$B$9:$B$108,0))="","",INDEX('LFA_Findings&amp;Recommendations_6'!L$9:L$108,MATCH('LFA_Findings&amp;Recom export'!$C23,'LFA_Findings&amp;Recommendations_6'!$B$9:$B$108,0))),"")</f>
        <v/>
      </c>
      <c r="N23" s="919" t="b">
        <f t="shared" si="2"/>
        <v>1</v>
      </c>
      <c r="O23" s="926" t="b">
        <f t="shared" si="3"/>
        <v>0</v>
      </c>
      <c r="P23" s="926" t="b">
        <f>IFERROR(IF(INDEX('LFA_Findings&amp;Recommendations_6'!A$9:A$108,MATCH('LFA_Findings&amp;Recom export'!$C23,'LFA_Findings&amp;Recommendations_6'!$B$9:$B$108,0))="","",INDEX('LFA_Findings&amp;Recommendations_6'!A$9:A$108,MATCH('LFA_Findings&amp;Recom export'!$C23,'LFA_Findings&amp;Recommendations_6'!$B$9:$B$108,0))),"")</f>
        <v>0</v>
      </c>
      <c r="Q23" s="926" t="str">
        <f>IF(P23=TRUE,_xlfn.IFNA(VLOOKUP(D23,RiskData!$B$5:$D$11,3,FALSE), ""),"")</f>
        <v/>
      </c>
      <c r="R23" s="926" t="str">
        <f>IF(P23=TRUE,_xlfn.IFNA(VLOOKUP(E23,RiskData!$F$13:$I$36,4,FALSE), ""),"")</f>
        <v/>
      </c>
      <c r="S23" s="926" t="str">
        <f>IF(P23=TRUE,_xlfn.IFNA(INDEX(RiskData!$H$40:$H$290,MATCH(TRUE,INDEX(RIGHT(RiskData!$F$40:$F$290,255)=RIGHT(F23,255),0),0)), ""),"")</f>
        <v/>
      </c>
      <c r="T23" s="926" t="str">
        <f>IF(OR(P23=TRUE,ISBLANK(D23)),'Admin Sheet'!$B$44,"")</f>
        <v/>
      </c>
      <c r="U23" s="926" t="str">
        <f>IF(OR(ISBLANK(D23), P23=TRUE),'Admin Sheet'!$B$41,"")</f>
        <v/>
      </c>
      <c r="V23" s="927" t="str">
        <f t="shared" si="4"/>
        <v/>
      </c>
      <c r="W23" s="927" t="str">
        <f t="shared" si="5"/>
        <v/>
      </c>
      <c r="X23" s="927" t="str">
        <f t="shared" si="6"/>
        <v/>
      </c>
      <c r="Y23" s="928" t="str">
        <f t="shared" si="7"/>
        <v/>
      </c>
    </row>
    <row r="24" spans="1:25" ht="15" customHeight="1" x14ac:dyDescent="0.2">
      <c r="A24" s="918"/>
      <c r="B24" s="924">
        <f t="shared" si="0"/>
        <v>21</v>
      </c>
      <c r="C24" s="925" t="str">
        <f t="shared" si="1"/>
        <v>Finding21</v>
      </c>
      <c r="D24" s="919" t="str">
        <f>IFERROR(IF(INDEX('LFA_Findings&amp;Recommendations_6'!C$9:C$108,MATCH('LFA_Findings&amp;Recom export'!$C24,'LFA_Findings&amp;Recommendations_6'!$B$9:$B$108,0))="","",INDEX('LFA_Findings&amp;Recommendations_6'!C$9:C$108,MATCH('LFA_Findings&amp;Recom export'!$C24,'LFA_Findings&amp;Recommendations_6'!$B$9:$B$108,0))),"")</f>
        <v/>
      </c>
      <c r="E24" s="919" t="str">
        <f>IFERROR(IF(INDEX('LFA_Findings&amp;Recommendations_6'!D$9:D$108,MATCH('LFA_Findings&amp;Recom export'!$C24,'LFA_Findings&amp;Recommendations_6'!$B$9:$B$108,0))="","",INDEX('LFA_Findings&amp;Recommendations_6'!D$9:D$108,MATCH('LFA_Findings&amp;Recom export'!$C24,'LFA_Findings&amp;Recommendations_6'!$B$9:$B$108,0))),"")</f>
        <v/>
      </c>
      <c r="F24" s="919" t="str">
        <f>IFERROR(IF(INDEX('LFA_Findings&amp;Recommendations_6'!E$9:E$108,MATCH('LFA_Findings&amp;Recom export'!$C24,'LFA_Findings&amp;Recommendations_6'!$B$9:$B$108,0))="","",INDEX('LFA_Findings&amp;Recommendations_6'!E$9:E$108,MATCH('LFA_Findings&amp;Recom export'!$C24,'LFA_Findings&amp;Recommendations_6'!$B$9:$B$108,0))),"")</f>
        <v/>
      </c>
      <c r="G24" s="919" t="str">
        <f>IFERROR(IF(INDEX('LFA_Findings&amp;Recommendations_6'!F$9:F$108,MATCH('LFA_Findings&amp;Recom export'!$C24,'LFA_Findings&amp;Recommendations_6'!$B$9:$B$108,0))="","",INDEX('LFA_Findings&amp;Recommendations_6'!F$9:F$108,MATCH('LFA_Findings&amp;Recom export'!$C24,'LFA_Findings&amp;Recommendations_6'!$B$9:$B$108,0))),"")</f>
        <v/>
      </c>
      <c r="H24" s="919" t="str">
        <f>IFERROR(IF(INDEX('LFA_Findings&amp;Recommendations_6'!G$9:G$108,MATCH('LFA_Findings&amp;Recom export'!$C24,'LFA_Findings&amp;Recommendations_6'!$B$9:$B$108,0))="","",INDEX('LFA_Findings&amp;Recommendations_6'!G$9:G$108,MATCH('LFA_Findings&amp;Recom export'!$C24,'LFA_Findings&amp;Recommendations_6'!$B$9:$B$108,0))),"")</f>
        <v/>
      </c>
      <c r="I24" s="919" t="str">
        <f>IFERROR(IF(INDEX('LFA_Findings&amp;Recommendations_6'!H$9:H$108,MATCH('LFA_Findings&amp;Recom export'!$C24,'LFA_Findings&amp;Recommendations_6'!$B$9:$B$108,0))="","",INDEX('LFA_Findings&amp;Recommendations_6'!H$9:H$108,MATCH('LFA_Findings&amp;Recom export'!$C24,'LFA_Findings&amp;Recommendations_6'!$B$9:$B$108,0))),"")</f>
        <v/>
      </c>
      <c r="J24" s="919" t="str">
        <f>IFERROR(IF(INDEX('LFA_Findings&amp;Recommendations_6'!I$9:I$108,MATCH('LFA_Findings&amp;Recom export'!$C24,'LFA_Findings&amp;Recommendations_6'!$B$9:$B$108,0))="","",INDEX('LFA_Findings&amp;Recommendations_6'!I$9:I$108,MATCH('LFA_Findings&amp;Recom export'!$C24,'LFA_Findings&amp;Recommendations_6'!$B$9:$B$108,0))),"")</f>
        <v/>
      </c>
      <c r="K24" s="919" t="str">
        <f>IFERROR(IF(INDEX('LFA_Findings&amp;Recommendations_6'!J$9:J$108,MATCH('LFA_Findings&amp;Recom export'!$C24,'LFA_Findings&amp;Recommendations_6'!$B$9:$B$108,0))="","",INDEX('LFA_Findings&amp;Recommendations_6'!J$9:J$108,MATCH('LFA_Findings&amp;Recom export'!$C24,'LFA_Findings&amp;Recommendations_6'!$B$9:$B$108,0))),"")</f>
        <v/>
      </c>
      <c r="L24" s="919" t="str">
        <f>IFERROR(IF(INDEX('LFA_Findings&amp;Recommendations_6'!K$9:K$108,MATCH('LFA_Findings&amp;Recom export'!$C24,'LFA_Findings&amp;Recommendations_6'!$B$9:$B$108,0))="","",INDEX('LFA_Findings&amp;Recommendations_6'!K$9:K$108,MATCH('LFA_Findings&amp;Recom export'!$C24,'LFA_Findings&amp;Recommendations_6'!$B$9:$B$108,0))),"")</f>
        <v/>
      </c>
      <c r="M24" s="919" t="str">
        <f>IFERROR(IF(INDEX('LFA_Findings&amp;Recommendations_6'!L$9:L$108,MATCH('LFA_Findings&amp;Recom export'!$C24,'LFA_Findings&amp;Recommendations_6'!$B$9:$B$108,0))="","",INDEX('LFA_Findings&amp;Recommendations_6'!L$9:L$108,MATCH('LFA_Findings&amp;Recom export'!$C24,'LFA_Findings&amp;Recommendations_6'!$B$9:$B$108,0))),"")</f>
        <v/>
      </c>
      <c r="N24" s="919" t="b">
        <f t="shared" si="2"/>
        <v>1</v>
      </c>
      <c r="O24" s="926" t="b">
        <f t="shared" si="3"/>
        <v>0</v>
      </c>
      <c r="P24" s="926" t="b">
        <f>IFERROR(IF(INDEX('LFA_Findings&amp;Recommendations_6'!A$9:A$108,MATCH('LFA_Findings&amp;Recom export'!$C24,'LFA_Findings&amp;Recommendations_6'!$B$9:$B$108,0))="","",INDEX('LFA_Findings&amp;Recommendations_6'!A$9:A$108,MATCH('LFA_Findings&amp;Recom export'!$C24,'LFA_Findings&amp;Recommendations_6'!$B$9:$B$108,0))),"")</f>
        <v>0</v>
      </c>
      <c r="Q24" s="926" t="str">
        <f>IF(P24=TRUE,_xlfn.IFNA(VLOOKUP(D24,RiskData!$B$5:$D$11,3,FALSE), ""),"")</f>
        <v/>
      </c>
      <c r="R24" s="926" t="str">
        <f>IF(P24=TRUE,_xlfn.IFNA(VLOOKUP(E24,RiskData!$F$13:$I$36,4,FALSE), ""),"")</f>
        <v/>
      </c>
      <c r="S24" s="926" t="str">
        <f>IF(P24=TRUE,_xlfn.IFNA(INDEX(RiskData!$H$40:$H$290,MATCH(TRUE,INDEX(RIGHT(RiskData!$F$40:$F$290,255)=RIGHT(F24,255),0),0)), ""),"")</f>
        <v/>
      </c>
      <c r="T24" s="926" t="str">
        <f>IF(OR(P24=TRUE,ISBLANK(D24)),'Admin Sheet'!$B$44,"")</f>
        <v/>
      </c>
      <c r="U24" s="926" t="str">
        <f>IF(OR(ISBLANK(D24), P24=TRUE),'Admin Sheet'!$B$41,"")</f>
        <v/>
      </c>
      <c r="V24" s="927" t="str">
        <f t="shared" si="4"/>
        <v/>
      </c>
      <c r="W24" s="927" t="str">
        <f t="shared" si="5"/>
        <v/>
      </c>
      <c r="X24" s="927" t="str">
        <f t="shared" si="6"/>
        <v/>
      </c>
      <c r="Y24" s="928" t="str">
        <f t="shared" si="7"/>
        <v/>
      </c>
    </row>
    <row r="25" spans="1:25" ht="15" customHeight="1" x14ac:dyDescent="0.2">
      <c r="A25" s="918"/>
      <c r="B25" s="924">
        <f t="shared" si="0"/>
        <v>22</v>
      </c>
      <c r="C25" s="925" t="str">
        <f t="shared" si="1"/>
        <v>Finding22</v>
      </c>
      <c r="D25" s="919" t="str">
        <f>IFERROR(IF(INDEX('LFA_Findings&amp;Recommendations_6'!C$9:C$108,MATCH('LFA_Findings&amp;Recom export'!$C25,'LFA_Findings&amp;Recommendations_6'!$B$9:$B$108,0))="","",INDEX('LFA_Findings&amp;Recommendations_6'!C$9:C$108,MATCH('LFA_Findings&amp;Recom export'!$C25,'LFA_Findings&amp;Recommendations_6'!$B$9:$B$108,0))),"")</f>
        <v/>
      </c>
      <c r="E25" s="919" t="str">
        <f>IFERROR(IF(INDEX('LFA_Findings&amp;Recommendations_6'!D$9:D$108,MATCH('LFA_Findings&amp;Recom export'!$C25,'LFA_Findings&amp;Recommendations_6'!$B$9:$B$108,0))="","",INDEX('LFA_Findings&amp;Recommendations_6'!D$9:D$108,MATCH('LFA_Findings&amp;Recom export'!$C25,'LFA_Findings&amp;Recommendations_6'!$B$9:$B$108,0))),"")</f>
        <v/>
      </c>
      <c r="F25" s="919" t="str">
        <f>IFERROR(IF(INDEX('LFA_Findings&amp;Recommendations_6'!E$9:E$108,MATCH('LFA_Findings&amp;Recom export'!$C25,'LFA_Findings&amp;Recommendations_6'!$B$9:$B$108,0))="","",INDEX('LFA_Findings&amp;Recommendations_6'!E$9:E$108,MATCH('LFA_Findings&amp;Recom export'!$C25,'LFA_Findings&amp;Recommendations_6'!$B$9:$B$108,0))),"")</f>
        <v/>
      </c>
      <c r="G25" s="919" t="str">
        <f>IFERROR(IF(INDEX('LFA_Findings&amp;Recommendations_6'!F$9:F$108,MATCH('LFA_Findings&amp;Recom export'!$C25,'LFA_Findings&amp;Recommendations_6'!$B$9:$B$108,0))="","",INDEX('LFA_Findings&amp;Recommendations_6'!F$9:F$108,MATCH('LFA_Findings&amp;Recom export'!$C25,'LFA_Findings&amp;Recommendations_6'!$B$9:$B$108,0))),"")</f>
        <v/>
      </c>
      <c r="H25" s="919" t="str">
        <f>IFERROR(IF(INDEX('LFA_Findings&amp;Recommendations_6'!G$9:G$108,MATCH('LFA_Findings&amp;Recom export'!$C25,'LFA_Findings&amp;Recommendations_6'!$B$9:$B$108,0))="","",INDEX('LFA_Findings&amp;Recommendations_6'!G$9:G$108,MATCH('LFA_Findings&amp;Recom export'!$C25,'LFA_Findings&amp;Recommendations_6'!$B$9:$B$108,0))),"")</f>
        <v/>
      </c>
      <c r="I25" s="919" t="str">
        <f>IFERROR(IF(INDEX('LFA_Findings&amp;Recommendations_6'!H$9:H$108,MATCH('LFA_Findings&amp;Recom export'!$C25,'LFA_Findings&amp;Recommendations_6'!$B$9:$B$108,0))="","",INDEX('LFA_Findings&amp;Recommendations_6'!H$9:H$108,MATCH('LFA_Findings&amp;Recom export'!$C25,'LFA_Findings&amp;Recommendations_6'!$B$9:$B$108,0))),"")</f>
        <v/>
      </c>
      <c r="J25" s="919" t="str">
        <f>IFERROR(IF(INDEX('LFA_Findings&amp;Recommendations_6'!I$9:I$108,MATCH('LFA_Findings&amp;Recom export'!$C25,'LFA_Findings&amp;Recommendations_6'!$B$9:$B$108,0))="","",INDEX('LFA_Findings&amp;Recommendations_6'!I$9:I$108,MATCH('LFA_Findings&amp;Recom export'!$C25,'LFA_Findings&amp;Recommendations_6'!$B$9:$B$108,0))),"")</f>
        <v/>
      </c>
      <c r="K25" s="919" t="str">
        <f>IFERROR(IF(INDEX('LFA_Findings&amp;Recommendations_6'!J$9:J$108,MATCH('LFA_Findings&amp;Recom export'!$C25,'LFA_Findings&amp;Recommendations_6'!$B$9:$B$108,0))="","",INDEX('LFA_Findings&amp;Recommendations_6'!J$9:J$108,MATCH('LFA_Findings&amp;Recom export'!$C25,'LFA_Findings&amp;Recommendations_6'!$B$9:$B$108,0))),"")</f>
        <v/>
      </c>
      <c r="L25" s="919" t="str">
        <f>IFERROR(IF(INDEX('LFA_Findings&amp;Recommendations_6'!K$9:K$108,MATCH('LFA_Findings&amp;Recom export'!$C25,'LFA_Findings&amp;Recommendations_6'!$B$9:$B$108,0))="","",INDEX('LFA_Findings&amp;Recommendations_6'!K$9:K$108,MATCH('LFA_Findings&amp;Recom export'!$C25,'LFA_Findings&amp;Recommendations_6'!$B$9:$B$108,0))),"")</f>
        <v/>
      </c>
      <c r="M25" s="919" t="str">
        <f>IFERROR(IF(INDEX('LFA_Findings&amp;Recommendations_6'!L$9:L$108,MATCH('LFA_Findings&amp;Recom export'!$C25,'LFA_Findings&amp;Recommendations_6'!$B$9:$B$108,0))="","",INDEX('LFA_Findings&amp;Recommendations_6'!L$9:L$108,MATCH('LFA_Findings&amp;Recom export'!$C25,'LFA_Findings&amp;Recommendations_6'!$B$9:$B$108,0))),"")</f>
        <v/>
      </c>
      <c r="N25" s="919" t="b">
        <f t="shared" si="2"/>
        <v>1</v>
      </c>
      <c r="O25" s="926" t="b">
        <f t="shared" si="3"/>
        <v>0</v>
      </c>
      <c r="P25" s="926" t="b">
        <f>IFERROR(IF(INDEX('LFA_Findings&amp;Recommendations_6'!A$9:A$108,MATCH('LFA_Findings&amp;Recom export'!$C25,'LFA_Findings&amp;Recommendations_6'!$B$9:$B$108,0))="","",INDEX('LFA_Findings&amp;Recommendations_6'!A$9:A$108,MATCH('LFA_Findings&amp;Recom export'!$C25,'LFA_Findings&amp;Recommendations_6'!$B$9:$B$108,0))),"")</f>
        <v>0</v>
      </c>
      <c r="Q25" s="926" t="str">
        <f>IF(P25=TRUE,_xlfn.IFNA(VLOOKUP(D25,RiskData!$B$5:$D$11,3,FALSE), ""),"")</f>
        <v/>
      </c>
      <c r="R25" s="926" t="str">
        <f>IF(P25=TRUE,_xlfn.IFNA(VLOOKUP(E25,RiskData!$F$13:$I$36,4,FALSE), ""),"")</f>
        <v/>
      </c>
      <c r="S25" s="926" t="str">
        <f>IF(P25=TRUE,_xlfn.IFNA(INDEX(RiskData!$H$40:$H$290,MATCH(TRUE,INDEX(RIGHT(RiskData!$F$40:$F$290,255)=RIGHT(F25,255),0),0)), ""),"")</f>
        <v/>
      </c>
      <c r="T25" s="926" t="str">
        <f>IF(OR(P25=TRUE,ISBLANK(D25)),'Admin Sheet'!$B$44,"")</f>
        <v/>
      </c>
      <c r="U25" s="926" t="str">
        <f>IF(OR(ISBLANK(D25), P25=TRUE),'Admin Sheet'!$B$41,"")</f>
        <v/>
      </c>
      <c r="V25" s="927" t="str">
        <f t="shared" si="4"/>
        <v/>
      </c>
      <c r="W25" s="927" t="str">
        <f t="shared" si="5"/>
        <v/>
      </c>
      <c r="X25" s="927" t="str">
        <f t="shared" si="6"/>
        <v/>
      </c>
      <c r="Y25" s="928" t="str">
        <f t="shared" si="7"/>
        <v/>
      </c>
    </row>
    <row r="26" spans="1:25" ht="15" customHeight="1" x14ac:dyDescent="0.2">
      <c r="A26" s="918"/>
      <c r="B26" s="924">
        <f t="shared" si="0"/>
        <v>23</v>
      </c>
      <c r="C26" s="925" t="str">
        <f t="shared" si="1"/>
        <v>Finding23</v>
      </c>
      <c r="D26" s="919" t="str">
        <f>IFERROR(IF(INDEX('LFA_Findings&amp;Recommendations_6'!C$9:C$108,MATCH('LFA_Findings&amp;Recom export'!$C26,'LFA_Findings&amp;Recommendations_6'!$B$9:$B$108,0))="","",INDEX('LFA_Findings&amp;Recommendations_6'!C$9:C$108,MATCH('LFA_Findings&amp;Recom export'!$C26,'LFA_Findings&amp;Recommendations_6'!$B$9:$B$108,0))),"")</f>
        <v/>
      </c>
      <c r="E26" s="919" t="str">
        <f>IFERROR(IF(INDEX('LFA_Findings&amp;Recommendations_6'!D$9:D$108,MATCH('LFA_Findings&amp;Recom export'!$C26,'LFA_Findings&amp;Recommendations_6'!$B$9:$B$108,0))="","",INDEX('LFA_Findings&amp;Recommendations_6'!D$9:D$108,MATCH('LFA_Findings&amp;Recom export'!$C26,'LFA_Findings&amp;Recommendations_6'!$B$9:$B$108,0))),"")</f>
        <v/>
      </c>
      <c r="F26" s="919" t="str">
        <f>IFERROR(IF(INDEX('LFA_Findings&amp;Recommendations_6'!E$9:E$108,MATCH('LFA_Findings&amp;Recom export'!$C26,'LFA_Findings&amp;Recommendations_6'!$B$9:$B$108,0))="","",INDEX('LFA_Findings&amp;Recommendations_6'!E$9:E$108,MATCH('LFA_Findings&amp;Recom export'!$C26,'LFA_Findings&amp;Recommendations_6'!$B$9:$B$108,0))),"")</f>
        <v/>
      </c>
      <c r="G26" s="919" t="str">
        <f>IFERROR(IF(INDEX('LFA_Findings&amp;Recommendations_6'!F$9:F$108,MATCH('LFA_Findings&amp;Recom export'!$C26,'LFA_Findings&amp;Recommendations_6'!$B$9:$B$108,0))="","",INDEX('LFA_Findings&amp;Recommendations_6'!F$9:F$108,MATCH('LFA_Findings&amp;Recom export'!$C26,'LFA_Findings&amp;Recommendations_6'!$B$9:$B$108,0))),"")</f>
        <v/>
      </c>
      <c r="H26" s="919" t="str">
        <f>IFERROR(IF(INDEX('LFA_Findings&amp;Recommendations_6'!G$9:G$108,MATCH('LFA_Findings&amp;Recom export'!$C26,'LFA_Findings&amp;Recommendations_6'!$B$9:$B$108,0))="","",INDEX('LFA_Findings&amp;Recommendations_6'!G$9:G$108,MATCH('LFA_Findings&amp;Recom export'!$C26,'LFA_Findings&amp;Recommendations_6'!$B$9:$B$108,0))),"")</f>
        <v/>
      </c>
      <c r="I26" s="919" t="str">
        <f>IFERROR(IF(INDEX('LFA_Findings&amp;Recommendations_6'!H$9:H$108,MATCH('LFA_Findings&amp;Recom export'!$C26,'LFA_Findings&amp;Recommendations_6'!$B$9:$B$108,0))="","",INDEX('LFA_Findings&amp;Recommendations_6'!H$9:H$108,MATCH('LFA_Findings&amp;Recom export'!$C26,'LFA_Findings&amp;Recommendations_6'!$B$9:$B$108,0))),"")</f>
        <v/>
      </c>
      <c r="J26" s="919" t="str">
        <f>IFERROR(IF(INDEX('LFA_Findings&amp;Recommendations_6'!I$9:I$108,MATCH('LFA_Findings&amp;Recom export'!$C26,'LFA_Findings&amp;Recommendations_6'!$B$9:$B$108,0))="","",INDEX('LFA_Findings&amp;Recommendations_6'!I$9:I$108,MATCH('LFA_Findings&amp;Recom export'!$C26,'LFA_Findings&amp;Recommendations_6'!$B$9:$B$108,0))),"")</f>
        <v/>
      </c>
      <c r="K26" s="919" t="str">
        <f>IFERROR(IF(INDEX('LFA_Findings&amp;Recommendations_6'!J$9:J$108,MATCH('LFA_Findings&amp;Recom export'!$C26,'LFA_Findings&amp;Recommendations_6'!$B$9:$B$108,0))="","",INDEX('LFA_Findings&amp;Recommendations_6'!J$9:J$108,MATCH('LFA_Findings&amp;Recom export'!$C26,'LFA_Findings&amp;Recommendations_6'!$B$9:$B$108,0))),"")</f>
        <v/>
      </c>
      <c r="L26" s="919" t="str">
        <f>IFERROR(IF(INDEX('LFA_Findings&amp;Recommendations_6'!K$9:K$108,MATCH('LFA_Findings&amp;Recom export'!$C26,'LFA_Findings&amp;Recommendations_6'!$B$9:$B$108,0))="","",INDEX('LFA_Findings&amp;Recommendations_6'!K$9:K$108,MATCH('LFA_Findings&amp;Recom export'!$C26,'LFA_Findings&amp;Recommendations_6'!$B$9:$B$108,0))),"")</f>
        <v/>
      </c>
      <c r="M26" s="919" t="str">
        <f>IFERROR(IF(INDEX('LFA_Findings&amp;Recommendations_6'!L$9:L$108,MATCH('LFA_Findings&amp;Recom export'!$C26,'LFA_Findings&amp;Recommendations_6'!$B$9:$B$108,0))="","",INDEX('LFA_Findings&amp;Recommendations_6'!L$9:L$108,MATCH('LFA_Findings&amp;Recom export'!$C26,'LFA_Findings&amp;Recommendations_6'!$B$9:$B$108,0))),"")</f>
        <v/>
      </c>
      <c r="N26" s="919" t="b">
        <f t="shared" si="2"/>
        <v>1</v>
      </c>
      <c r="O26" s="926" t="b">
        <f t="shared" si="3"/>
        <v>0</v>
      </c>
      <c r="P26" s="926" t="b">
        <f>IFERROR(IF(INDEX('LFA_Findings&amp;Recommendations_6'!A$9:A$108,MATCH('LFA_Findings&amp;Recom export'!$C26,'LFA_Findings&amp;Recommendations_6'!$B$9:$B$108,0))="","",INDEX('LFA_Findings&amp;Recommendations_6'!A$9:A$108,MATCH('LFA_Findings&amp;Recom export'!$C26,'LFA_Findings&amp;Recommendations_6'!$B$9:$B$108,0))),"")</f>
        <v>0</v>
      </c>
      <c r="Q26" s="926" t="str">
        <f>IF(P26=TRUE,_xlfn.IFNA(VLOOKUP(D26,RiskData!$B$5:$D$11,3,FALSE), ""),"")</f>
        <v/>
      </c>
      <c r="R26" s="926" t="str">
        <f>IF(P26=TRUE,_xlfn.IFNA(VLOOKUP(E26,RiskData!$F$13:$I$36,4,FALSE), ""),"")</f>
        <v/>
      </c>
      <c r="S26" s="926" t="str">
        <f>IF(P26=TRUE,_xlfn.IFNA(INDEX(RiskData!$H$40:$H$290,MATCH(TRUE,INDEX(RIGHT(RiskData!$F$40:$F$290,255)=RIGHT(F26,255),0),0)), ""),"")</f>
        <v/>
      </c>
      <c r="T26" s="926" t="str">
        <f>IF(OR(P26=TRUE,ISBLANK(D26)),'Admin Sheet'!$B$44,"")</f>
        <v/>
      </c>
      <c r="U26" s="926" t="str">
        <f>IF(OR(ISBLANK(D26), P26=TRUE),'Admin Sheet'!$B$41,"")</f>
        <v/>
      </c>
      <c r="V26" s="927" t="str">
        <f t="shared" si="4"/>
        <v/>
      </c>
      <c r="W26" s="927" t="str">
        <f t="shared" si="5"/>
        <v/>
      </c>
      <c r="X26" s="927" t="str">
        <f t="shared" si="6"/>
        <v/>
      </c>
      <c r="Y26" s="928" t="str">
        <f t="shared" si="7"/>
        <v/>
      </c>
    </row>
    <row r="27" spans="1:25" ht="15" customHeight="1" x14ac:dyDescent="0.2">
      <c r="A27" s="918"/>
      <c r="B27" s="924">
        <f t="shared" si="0"/>
        <v>24</v>
      </c>
      <c r="C27" s="925" t="str">
        <f t="shared" si="1"/>
        <v>Finding24</v>
      </c>
      <c r="D27" s="919" t="str">
        <f>IFERROR(IF(INDEX('LFA_Findings&amp;Recommendations_6'!C$9:C$108,MATCH('LFA_Findings&amp;Recom export'!$C27,'LFA_Findings&amp;Recommendations_6'!$B$9:$B$108,0))="","",INDEX('LFA_Findings&amp;Recommendations_6'!C$9:C$108,MATCH('LFA_Findings&amp;Recom export'!$C27,'LFA_Findings&amp;Recommendations_6'!$B$9:$B$108,0))),"")</f>
        <v/>
      </c>
      <c r="E27" s="919" t="str">
        <f>IFERROR(IF(INDEX('LFA_Findings&amp;Recommendations_6'!D$9:D$108,MATCH('LFA_Findings&amp;Recom export'!$C27,'LFA_Findings&amp;Recommendations_6'!$B$9:$B$108,0))="","",INDEX('LFA_Findings&amp;Recommendations_6'!D$9:D$108,MATCH('LFA_Findings&amp;Recom export'!$C27,'LFA_Findings&amp;Recommendations_6'!$B$9:$B$108,0))),"")</f>
        <v/>
      </c>
      <c r="F27" s="919" t="str">
        <f>IFERROR(IF(INDEX('LFA_Findings&amp;Recommendations_6'!E$9:E$108,MATCH('LFA_Findings&amp;Recom export'!$C27,'LFA_Findings&amp;Recommendations_6'!$B$9:$B$108,0))="","",INDEX('LFA_Findings&amp;Recommendations_6'!E$9:E$108,MATCH('LFA_Findings&amp;Recom export'!$C27,'LFA_Findings&amp;Recommendations_6'!$B$9:$B$108,0))),"")</f>
        <v/>
      </c>
      <c r="G27" s="919" t="str">
        <f>IFERROR(IF(INDEX('LFA_Findings&amp;Recommendations_6'!F$9:F$108,MATCH('LFA_Findings&amp;Recom export'!$C27,'LFA_Findings&amp;Recommendations_6'!$B$9:$B$108,0))="","",INDEX('LFA_Findings&amp;Recommendations_6'!F$9:F$108,MATCH('LFA_Findings&amp;Recom export'!$C27,'LFA_Findings&amp;Recommendations_6'!$B$9:$B$108,0))),"")</f>
        <v/>
      </c>
      <c r="H27" s="919" t="str">
        <f>IFERROR(IF(INDEX('LFA_Findings&amp;Recommendations_6'!G$9:G$108,MATCH('LFA_Findings&amp;Recom export'!$C27,'LFA_Findings&amp;Recommendations_6'!$B$9:$B$108,0))="","",INDEX('LFA_Findings&amp;Recommendations_6'!G$9:G$108,MATCH('LFA_Findings&amp;Recom export'!$C27,'LFA_Findings&amp;Recommendations_6'!$B$9:$B$108,0))),"")</f>
        <v/>
      </c>
      <c r="I27" s="919" t="str">
        <f>IFERROR(IF(INDEX('LFA_Findings&amp;Recommendations_6'!H$9:H$108,MATCH('LFA_Findings&amp;Recom export'!$C27,'LFA_Findings&amp;Recommendations_6'!$B$9:$B$108,0))="","",INDEX('LFA_Findings&amp;Recommendations_6'!H$9:H$108,MATCH('LFA_Findings&amp;Recom export'!$C27,'LFA_Findings&amp;Recommendations_6'!$B$9:$B$108,0))),"")</f>
        <v/>
      </c>
      <c r="J27" s="919" t="str">
        <f>IFERROR(IF(INDEX('LFA_Findings&amp;Recommendations_6'!I$9:I$108,MATCH('LFA_Findings&amp;Recom export'!$C27,'LFA_Findings&amp;Recommendations_6'!$B$9:$B$108,0))="","",INDEX('LFA_Findings&amp;Recommendations_6'!I$9:I$108,MATCH('LFA_Findings&amp;Recom export'!$C27,'LFA_Findings&amp;Recommendations_6'!$B$9:$B$108,0))),"")</f>
        <v/>
      </c>
      <c r="K27" s="919" t="str">
        <f>IFERROR(IF(INDEX('LFA_Findings&amp;Recommendations_6'!J$9:J$108,MATCH('LFA_Findings&amp;Recom export'!$C27,'LFA_Findings&amp;Recommendations_6'!$B$9:$B$108,0))="","",INDEX('LFA_Findings&amp;Recommendations_6'!J$9:J$108,MATCH('LFA_Findings&amp;Recom export'!$C27,'LFA_Findings&amp;Recommendations_6'!$B$9:$B$108,0))),"")</f>
        <v/>
      </c>
      <c r="L27" s="919" t="str">
        <f>IFERROR(IF(INDEX('LFA_Findings&amp;Recommendations_6'!K$9:K$108,MATCH('LFA_Findings&amp;Recom export'!$C27,'LFA_Findings&amp;Recommendations_6'!$B$9:$B$108,0))="","",INDEX('LFA_Findings&amp;Recommendations_6'!K$9:K$108,MATCH('LFA_Findings&amp;Recom export'!$C27,'LFA_Findings&amp;Recommendations_6'!$B$9:$B$108,0))),"")</f>
        <v/>
      </c>
      <c r="M27" s="919" t="str">
        <f>IFERROR(IF(INDEX('LFA_Findings&amp;Recommendations_6'!L$9:L$108,MATCH('LFA_Findings&amp;Recom export'!$C27,'LFA_Findings&amp;Recommendations_6'!$B$9:$B$108,0))="","",INDEX('LFA_Findings&amp;Recommendations_6'!L$9:L$108,MATCH('LFA_Findings&amp;Recom export'!$C27,'LFA_Findings&amp;Recommendations_6'!$B$9:$B$108,0))),"")</f>
        <v/>
      </c>
      <c r="N27" s="919" t="b">
        <f t="shared" si="2"/>
        <v>1</v>
      </c>
      <c r="O27" s="926" t="b">
        <f t="shared" si="3"/>
        <v>0</v>
      </c>
      <c r="P27" s="926" t="b">
        <f>IFERROR(IF(INDEX('LFA_Findings&amp;Recommendations_6'!A$9:A$108,MATCH('LFA_Findings&amp;Recom export'!$C27,'LFA_Findings&amp;Recommendations_6'!$B$9:$B$108,0))="","",INDEX('LFA_Findings&amp;Recommendations_6'!A$9:A$108,MATCH('LFA_Findings&amp;Recom export'!$C27,'LFA_Findings&amp;Recommendations_6'!$B$9:$B$108,0))),"")</f>
        <v>0</v>
      </c>
      <c r="Q27" s="926" t="str">
        <f>IF(P27=TRUE,_xlfn.IFNA(VLOOKUP(D27,RiskData!$B$5:$D$11,3,FALSE), ""),"")</f>
        <v/>
      </c>
      <c r="R27" s="926" t="str">
        <f>IF(P27=TRUE,_xlfn.IFNA(VLOOKUP(E27,RiskData!$F$13:$I$36,4,FALSE), ""),"")</f>
        <v/>
      </c>
      <c r="S27" s="926" t="str">
        <f>IF(P27=TRUE,_xlfn.IFNA(INDEX(RiskData!$H$40:$H$290,MATCH(TRUE,INDEX(RIGHT(RiskData!$F$40:$F$290,255)=RIGHT(F27,255),0),0)), ""),"")</f>
        <v/>
      </c>
      <c r="T27" s="926" t="str">
        <f>IF(OR(P27=TRUE,ISBLANK(D27)),'Admin Sheet'!$B$44,"")</f>
        <v/>
      </c>
      <c r="U27" s="926" t="str">
        <f>IF(OR(ISBLANK(D27), P27=TRUE),'Admin Sheet'!$B$41,"")</f>
        <v/>
      </c>
      <c r="V27" s="927" t="str">
        <f t="shared" si="4"/>
        <v/>
      </c>
      <c r="W27" s="927" t="str">
        <f t="shared" si="5"/>
        <v/>
      </c>
      <c r="X27" s="927" t="str">
        <f t="shared" si="6"/>
        <v/>
      </c>
      <c r="Y27" s="928" t="str">
        <f t="shared" si="7"/>
        <v/>
      </c>
    </row>
    <row r="28" spans="1:25" ht="15" customHeight="1" x14ac:dyDescent="0.2">
      <c r="A28" s="918"/>
      <c r="B28" s="924">
        <f t="shared" si="0"/>
        <v>25</v>
      </c>
      <c r="C28" s="925" t="str">
        <f t="shared" si="1"/>
        <v>Finding25</v>
      </c>
      <c r="D28" s="919" t="str">
        <f>IFERROR(IF(INDEX('LFA_Findings&amp;Recommendations_6'!C$9:C$108,MATCH('LFA_Findings&amp;Recom export'!$C28,'LFA_Findings&amp;Recommendations_6'!$B$9:$B$108,0))="","",INDEX('LFA_Findings&amp;Recommendations_6'!C$9:C$108,MATCH('LFA_Findings&amp;Recom export'!$C28,'LFA_Findings&amp;Recommendations_6'!$B$9:$B$108,0))),"")</f>
        <v/>
      </c>
      <c r="E28" s="919" t="str">
        <f>IFERROR(IF(INDEX('LFA_Findings&amp;Recommendations_6'!D$9:D$108,MATCH('LFA_Findings&amp;Recom export'!$C28,'LFA_Findings&amp;Recommendations_6'!$B$9:$B$108,0))="","",INDEX('LFA_Findings&amp;Recommendations_6'!D$9:D$108,MATCH('LFA_Findings&amp;Recom export'!$C28,'LFA_Findings&amp;Recommendations_6'!$B$9:$B$108,0))),"")</f>
        <v/>
      </c>
      <c r="F28" s="919" t="str">
        <f>IFERROR(IF(INDEX('LFA_Findings&amp;Recommendations_6'!E$9:E$108,MATCH('LFA_Findings&amp;Recom export'!$C28,'LFA_Findings&amp;Recommendations_6'!$B$9:$B$108,0))="","",INDEX('LFA_Findings&amp;Recommendations_6'!E$9:E$108,MATCH('LFA_Findings&amp;Recom export'!$C28,'LFA_Findings&amp;Recommendations_6'!$B$9:$B$108,0))),"")</f>
        <v/>
      </c>
      <c r="G28" s="919" t="str">
        <f>IFERROR(IF(INDEX('LFA_Findings&amp;Recommendations_6'!F$9:F$108,MATCH('LFA_Findings&amp;Recom export'!$C28,'LFA_Findings&amp;Recommendations_6'!$B$9:$B$108,0))="","",INDEX('LFA_Findings&amp;Recommendations_6'!F$9:F$108,MATCH('LFA_Findings&amp;Recom export'!$C28,'LFA_Findings&amp;Recommendations_6'!$B$9:$B$108,0))),"")</f>
        <v/>
      </c>
      <c r="H28" s="919" t="str">
        <f>IFERROR(IF(INDEX('LFA_Findings&amp;Recommendations_6'!G$9:G$108,MATCH('LFA_Findings&amp;Recom export'!$C28,'LFA_Findings&amp;Recommendations_6'!$B$9:$B$108,0))="","",INDEX('LFA_Findings&amp;Recommendations_6'!G$9:G$108,MATCH('LFA_Findings&amp;Recom export'!$C28,'LFA_Findings&amp;Recommendations_6'!$B$9:$B$108,0))),"")</f>
        <v/>
      </c>
      <c r="I28" s="919" t="str">
        <f>IFERROR(IF(INDEX('LFA_Findings&amp;Recommendations_6'!H$9:H$108,MATCH('LFA_Findings&amp;Recom export'!$C28,'LFA_Findings&amp;Recommendations_6'!$B$9:$B$108,0))="","",INDEX('LFA_Findings&amp;Recommendations_6'!H$9:H$108,MATCH('LFA_Findings&amp;Recom export'!$C28,'LFA_Findings&amp;Recommendations_6'!$B$9:$B$108,0))),"")</f>
        <v/>
      </c>
      <c r="J28" s="919" t="str">
        <f>IFERROR(IF(INDEX('LFA_Findings&amp;Recommendations_6'!I$9:I$108,MATCH('LFA_Findings&amp;Recom export'!$C28,'LFA_Findings&amp;Recommendations_6'!$B$9:$B$108,0))="","",INDEX('LFA_Findings&amp;Recommendations_6'!I$9:I$108,MATCH('LFA_Findings&amp;Recom export'!$C28,'LFA_Findings&amp;Recommendations_6'!$B$9:$B$108,0))),"")</f>
        <v/>
      </c>
      <c r="K28" s="919" t="str">
        <f>IFERROR(IF(INDEX('LFA_Findings&amp;Recommendations_6'!J$9:J$108,MATCH('LFA_Findings&amp;Recom export'!$C28,'LFA_Findings&amp;Recommendations_6'!$B$9:$B$108,0))="","",INDEX('LFA_Findings&amp;Recommendations_6'!J$9:J$108,MATCH('LFA_Findings&amp;Recom export'!$C28,'LFA_Findings&amp;Recommendations_6'!$B$9:$B$108,0))),"")</f>
        <v/>
      </c>
      <c r="L28" s="919" t="str">
        <f>IFERROR(IF(INDEX('LFA_Findings&amp;Recommendations_6'!K$9:K$108,MATCH('LFA_Findings&amp;Recom export'!$C28,'LFA_Findings&amp;Recommendations_6'!$B$9:$B$108,0))="","",INDEX('LFA_Findings&amp;Recommendations_6'!K$9:K$108,MATCH('LFA_Findings&amp;Recom export'!$C28,'LFA_Findings&amp;Recommendations_6'!$B$9:$B$108,0))),"")</f>
        <v/>
      </c>
      <c r="M28" s="919" t="str">
        <f>IFERROR(IF(INDEX('LFA_Findings&amp;Recommendations_6'!L$9:L$108,MATCH('LFA_Findings&amp;Recom export'!$C28,'LFA_Findings&amp;Recommendations_6'!$B$9:$B$108,0))="","",INDEX('LFA_Findings&amp;Recommendations_6'!L$9:L$108,MATCH('LFA_Findings&amp;Recom export'!$C28,'LFA_Findings&amp;Recommendations_6'!$B$9:$B$108,0))),"")</f>
        <v/>
      </c>
      <c r="N28" s="919" t="b">
        <f t="shared" si="2"/>
        <v>1</v>
      </c>
      <c r="O28" s="926" t="b">
        <f t="shared" si="3"/>
        <v>0</v>
      </c>
      <c r="P28" s="926" t="b">
        <f>IFERROR(IF(INDEX('LFA_Findings&amp;Recommendations_6'!A$9:A$108,MATCH('LFA_Findings&amp;Recom export'!$C28,'LFA_Findings&amp;Recommendations_6'!$B$9:$B$108,0))="","",INDEX('LFA_Findings&amp;Recommendations_6'!A$9:A$108,MATCH('LFA_Findings&amp;Recom export'!$C28,'LFA_Findings&amp;Recommendations_6'!$B$9:$B$108,0))),"")</f>
        <v>0</v>
      </c>
      <c r="Q28" s="926" t="str">
        <f>IF(P28=TRUE,_xlfn.IFNA(VLOOKUP(D28,RiskData!$B$5:$D$11,3,FALSE), ""),"")</f>
        <v/>
      </c>
      <c r="R28" s="926" t="str">
        <f>IF(P28=TRUE,_xlfn.IFNA(VLOOKUP(E28,RiskData!$F$13:$I$36,4,FALSE), ""),"")</f>
        <v/>
      </c>
      <c r="S28" s="926" t="str">
        <f>IF(P28=TRUE,_xlfn.IFNA(INDEX(RiskData!$H$40:$H$290,MATCH(TRUE,INDEX(RIGHT(RiskData!$F$40:$F$290,255)=RIGHT(F28,255),0),0)), ""),"")</f>
        <v/>
      </c>
      <c r="T28" s="926" t="str">
        <f>IF(OR(P28=TRUE,ISBLANK(D28)),'Admin Sheet'!$B$44,"")</f>
        <v/>
      </c>
      <c r="U28" s="926" t="str">
        <f>IF(OR(ISBLANK(D28), P28=TRUE),'Admin Sheet'!$B$41,"")</f>
        <v/>
      </c>
      <c r="V28" s="927" t="str">
        <f t="shared" si="4"/>
        <v/>
      </c>
      <c r="W28" s="927" t="str">
        <f t="shared" si="5"/>
        <v/>
      </c>
      <c r="X28" s="927" t="str">
        <f t="shared" si="6"/>
        <v/>
      </c>
      <c r="Y28" s="928" t="str">
        <f t="shared" si="7"/>
        <v/>
      </c>
    </row>
    <row r="29" spans="1:25" ht="15" customHeight="1" x14ac:dyDescent="0.2">
      <c r="A29" s="918"/>
      <c r="B29" s="924">
        <f t="shared" si="0"/>
        <v>26</v>
      </c>
      <c r="C29" s="925" t="str">
        <f t="shared" si="1"/>
        <v>Finding26</v>
      </c>
      <c r="D29" s="919" t="str">
        <f>IFERROR(IF(INDEX('LFA_Findings&amp;Recommendations_6'!C$9:C$108,MATCH('LFA_Findings&amp;Recom export'!$C29,'LFA_Findings&amp;Recommendations_6'!$B$9:$B$108,0))="","",INDEX('LFA_Findings&amp;Recommendations_6'!C$9:C$108,MATCH('LFA_Findings&amp;Recom export'!$C29,'LFA_Findings&amp;Recommendations_6'!$B$9:$B$108,0))),"")</f>
        <v/>
      </c>
      <c r="E29" s="919" t="str">
        <f>IFERROR(IF(INDEX('LFA_Findings&amp;Recommendations_6'!D$9:D$108,MATCH('LFA_Findings&amp;Recom export'!$C29,'LFA_Findings&amp;Recommendations_6'!$B$9:$B$108,0))="","",INDEX('LFA_Findings&amp;Recommendations_6'!D$9:D$108,MATCH('LFA_Findings&amp;Recom export'!$C29,'LFA_Findings&amp;Recommendations_6'!$B$9:$B$108,0))),"")</f>
        <v/>
      </c>
      <c r="F29" s="919" t="str">
        <f>IFERROR(IF(INDEX('LFA_Findings&amp;Recommendations_6'!E$9:E$108,MATCH('LFA_Findings&amp;Recom export'!$C29,'LFA_Findings&amp;Recommendations_6'!$B$9:$B$108,0))="","",INDEX('LFA_Findings&amp;Recommendations_6'!E$9:E$108,MATCH('LFA_Findings&amp;Recom export'!$C29,'LFA_Findings&amp;Recommendations_6'!$B$9:$B$108,0))),"")</f>
        <v/>
      </c>
      <c r="G29" s="919" t="str">
        <f>IFERROR(IF(INDEX('LFA_Findings&amp;Recommendations_6'!F$9:F$108,MATCH('LFA_Findings&amp;Recom export'!$C29,'LFA_Findings&amp;Recommendations_6'!$B$9:$B$108,0))="","",INDEX('LFA_Findings&amp;Recommendations_6'!F$9:F$108,MATCH('LFA_Findings&amp;Recom export'!$C29,'LFA_Findings&amp;Recommendations_6'!$B$9:$B$108,0))),"")</f>
        <v/>
      </c>
      <c r="H29" s="919" t="str">
        <f>IFERROR(IF(INDEX('LFA_Findings&amp;Recommendations_6'!G$9:G$108,MATCH('LFA_Findings&amp;Recom export'!$C29,'LFA_Findings&amp;Recommendations_6'!$B$9:$B$108,0))="","",INDEX('LFA_Findings&amp;Recommendations_6'!G$9:G$108,MATCH('LFA_Findings&amp;Recom export'!$C29,'LFA_Findings&amp;Recommendations_6'!$B$9:$B$108,0))),"")</f>
        <v/>
      </c>
      <c r="I29" s="919" t="str">
        <f>IFERROR(IF(INDEX('LFA_Findings&amp;Recommendations_6'!H$9:H$108,MATCH('LFA_Findings&amp;Recom export'!$C29,'LFA_Findings&amp;Recommendations_6'!$B$9:$B$108,0))="","",INDEX('LFA_Findings&amp;Recommendations_6'!H$9:H$108,MATCH('LFA_Findings&amp;Recom export'!$C29,'LFA_Findings&amp;Recommendations_6'!$B$9:$B$108,0))),"")</f>
        <v/>
      </c>
      <c r="J29" s="919" t="str">
        <f>IFERROR(IF(INDEX('LFA_Findings&amp;Recommendations_6'!I$9:I$108,MATCH('LFA_Findings&amp;Recom export'!$C29,'LFA_Findings&amp;Recommendations_6'!$B$9:$B$108,0))="","",INDEX('LFA_Findings&amp;Recommendations_6'!I$9:I$108,MATCH('LFA_Findings&amp;Recom export'!$C29,'LFA_Findings&amp;Recommendations_6'!$B$9:$B$108,0))),"")</f>
        <v/>
      </c>
      <c r="K29" s="919" t="str">
        <f>IFERROR(IF(INDEX('LFA_Findings&amp;Recommendations_6'!J$9:J$108,MATCH('LFA_Findings&amp;Recom export'!$C29,'LFA_Findings&amp;Recommendations_6'!$B$9:$B$108,0))="","",INDEX('LFA_Findings&amp;Recommendations_6'!J$9:J$108,MATCH('LFA_Findings&amp;Recom export'!$C29,'LFA_Findings&amp;Recommendations_6'!$B$9:$B$108,0))),"")</f>
        <v/>
      </c>
      <c r="L29" s="919" t="str">
        <f>IFERROR(IF(INDEX('LFA_Findings&amp;Recommendations_6'!K$9:K$108,MATCH('LFA_Findings&amp;Recom export'!$C29,'LFA_Findings&amp;Recommendations_6'!$B$9:$B$108,0))="","",INDEX('LFA_Findings&amp;Recommendations_6'!K$9:K$108,MATCH('LFA_Findings&amp;Recom export'!$C29,'LFA_Findings&amp;Recommendations_6'!$B$9:$B$108,0))),"")</f>
        <v/>
      </c>
      <c r="M29" s="919" t="str">
        <f>IFERROR(IF(INDEX('LFA_Findings&amp;Recommendations_6'!L$9:L$108,MATCH('LFA_Findings&amp;Recom export'!$C29,'LFA_Findings&amp;Recommendations_6'!$B$9:$B$108,0))="","",INDEX('LFA_Findings&amp;Recommendations_6'!L$9:L$108,MATCH('LFA_Findings&amp;Recom export'!$C29,'LFA_Findings&amp;Recommendations_6'!$B$9:$B$108,0))),"")</f>
        <v/>
      </c>
      <c r="N29" s="919" t="b">
        <f t="shared" si="2"/>
        <v>1</v>
      </c>
      <c r="O29" s="926" t="b">
        <f t="shared" si="3"/>
        <v>0</v>
      </c>
      <c r="P29" s="926" t="b">
        <f>IFERROR(IF(INDEX('LFA_Findings&amp;Recommendations_6'!A$9:A$108,MATCH('LFA_Findings&amp;Recom export'!$C29,'LFA_Findings&amp;Recommendations_6'!$B$9:$B$108,0))="","",INDEX('LFA_Findings&amp;Recommendations_6'!A$9:A$108,MATCH('LFA_Findings&amp;Recom export'!$C29,'LFA_Findings&amp;Recommendations_6'!$B$9:$B$108,0))),"")</f>
        <v>0</v>
      </c>
      <c r="Q29" s="926" t="str">
        <f>IF(P29=TRUE,_xlfn.IFNA(VLOOKUP(D29,RiskData!$B$5:$D$11,3,FALSE), ""),"")</f>
        <v/>
      </c>
      <c r="R29" s="926" t="str">
        <f>IF(P29=TRUE,_xlfn.IFNA(VLOOKUP(E29,RiskData!$F$13:$I$36,4,FALSE), ""),"")</f>
        <v/>
      </c>
      <c r="S29" s="926" t="str">
        <f>IF(P29=TRUE,_xlfn.IFNA(INDEX(RiskData!$H$40:$H$290,MATCH(TRUE,INDEX(RIGHT(RiskData!$F$40:$F$290,255)=RIGHT(F29,255),0),0)), ""),"")</f>
        <v/>
      </c>
      <c r="T29" s="926" t="str">
        <f>IF(OR(P29=TRUE,ISBLANK(D29)),'Admin Sheet'!$B$44,"")</f>
        <v/>
      </c>
      <c r="U29" s="926" t="str">
        <f>IF(OR(ISBLANK(D29), P29=TRUE),'Admin Sheet'!$B$41,"")</f>
        <v/>
      </c>
      <c r="V29" s="927" t="str">
        <f t="shared" si="4"/>
        <v/>
      </c>
      <c r="W29" s="927" t="str">
        <f t="shared" si="5"/>
        <v/>
      </c>
      <c r="X29" s="927" t="str">
        <f t="shared" si="6"/>
        <v/>
      </c>
      <c r="Y29" s="928" t="str">
        <f t="shared" si="7"/>
        <v/>
      </c>
    </row>
    <row r="30" spans="1:25" ht="15" customHeight="1" x14ac:dyDescent="0.2">
      <c r="A30" s="918"/>
      <c r="B30" s="924">
        <f t="shared" si="0"/>
        <v>27</v>
      </c>
      <c r="C30" s="925" t="str">
        <f t="shared" si="1"/>
        <v>Finding27</v>
      </c>
      <c r="D30" s="919" t="str">
        <f>IFERROR(IF(INDEX('LFA_Findings&amp;Recommendations_6'!C$9:C$108,MATCH('LFA_Findings&amp;Recom export'!$C30,'LFA_Findings&amp;Recommendations_6'!$B$9:$B$108,0))="","",INDEX('LFA_Findings&amp;Recommendations_6'!C$9:C$108,MATCH('LFA_Findings&amp;Recom export'!$C30,'LFA_Findings&amp;Recommendations_6'!$B$9:$B$108,0))),"")</f>
        <v/>
      </c>
      <c r="E30" s="919" t="str">
        <f>IFERROR(IF(INDEX('LFA_Findings&amp;Recommendations_6'!D$9:D$108,MATCH('LFA_Findings&amp;Recom export'!$C30,'LFA_Findings&amp;Recommendations_6'!$B$9:$B$108,0))="","",INDEX('LFA_Findings&amp;Recommendations_6'!D$9:D$108,MATCH('LFA_Findings&amp;Recom export'!$C30,'LFA_Findings&amp;Recommendations_6'!$B$9:$B$108,0))),"")</f>
        <v/>
      </c>
      <c r="F30" s="919" t="str">
        <f>IFERROR(IF(INDEX('LFA_Findings&amp;Recommendations_6'!E$9:E$108,MATCH('LFA_Findings&amp;Recom export'!$C30,'LFA_Findings&amp;Recommendations_6'!$B$9:$B$108,0))="","",INDEX('LFA_Findings&amp;Recommendations_6'!E$9:E$108,MATCH('LFA_Findings&amp;Recom export'!$C30,'LFA_Findings&amp;Recommendations_6'!$B$9:$B$108,0))),"")</f>
        <v/>
      </c>
      <c r="G30" s="919" t="str">
        <f>IFERROR(IF(INDEX('LFA_Findings&amp;Recommendations_6'!F$9:F$108,MATCH('LFA_Findings&amp;Recom export'!$C30,'LFA_Findings&amp;Recommendations_6'!$B$9:$B$108,0))="","",INDEX('LFA_Findings&amp;Recommendations_6'!F$9:F$108,MATCH('LFA_Findings&amp;Recom export'!$C30,'LFA_Findings&amp;Recommendations_6'!$B$9:$B$108,0))),"")</f>
        <v/>
      </c>
      <c r="H30" s="919" t="str">
        <f>IFERROR(IF(INDEX('LFA_Findings&amp;Recommendations_6'!G$9:G$108,MATCH('LFA_Findings&amp;Recom export'!$C30,'LFA_Findings&amp;Recommendations_6'!$B$9:$B$108,0))="","",INDEX('LFA_Findings&amp;Recommendations_6'!G$9:G$108,MATCH('LFA_Findings&amp;Recom export'!$C30,'LFA_Findings&amp;Recommendations_6'!$B$9:$B$108,0))),"")</f>
        <v/>
      </c>
      <c r="I30" s="919" t="str">
        <f>IFERROR(IF(INDEX('LFA_Findings&amp;Recommendations_6'!H$9:H$108,MATCH('LFA_Findings&amp;Recom export'!$C30,'LFA_Findings&amp;Recommendations_6'!$B$9:$B$108,0))="","",INDEX('LFA_Findings&amp;Recommendations_6'!H$9:H$108,MATCH('LFA_Findings&amp;Recom export'!$C30,'LFA_Findings&amp;Recommendations_6'!$B$9:$B$108,0))),"")</f>
        <v/>
      </c>
      <c r="J30" s="919" t="str">
        <f>IFERROR(IF(INDEX('LFA_Findings&amp;Recommendations_6'!I$9:I$108,MATCH('LFA_Findings&amp;Recom export'!$C30,'LFA_Findings&amp;Recommendations_6'!$B$9:$B$108,0))="","",INDEX('LFA_Findings&amp;Recommendations_6'!I$9:I$108,MATCH('LFA_Findings&amp;Recom export'!$C30,'LFA_Findings&amp;Recommendations_6'!$B$9:$B$108,0))),"")</f>
        <v/>
      </c>
      <c r="K30" s="919" t="str">
        <f>IFERROR(IF(INDEX('LFA_Findings&amp;Recommendations_6'!J$9:J$108,MATCH('LFA_Findings&amp;Recom export'!$C30,'LFA_Findings&amp;Recommendations_6'!$B$9:$B$108,0))="","",INDEX('LFA_Findings&amp;Recommendations_6'!J$9:J$108,MATCH('LFA_Findings&amp;Recom export'!$C30,'LFA_Findings&amp;Recommendations_6'!$B$9:$B$108,0))),"")</f>
        <v/>
      </c>
      <c r="L30" s="919" t="str">
        <f>IFERROR(IF(INDEX('LFA_Findings&amp;Recommendations_6'!K$9:K$108,MATCH('LFA_Findings&amp;Recom export'!$C30,'LFA_Findings&amp;Recommendations_6'!$B$9:$B$108,0))="","",INDEX('LFA_Findings&amp;Recommendations_6'!K$9:K$108,MATCH('LFA_Findings&amp;Recom export'!$C30,'LFA_Findings&amp;Recommendations_6'!$B$9:$B$108,0))),"")</f>
        <v/>
      </c>
      <c r="M30" s="919" t="str">
        <f>IFERROR(IF(INDEX('LFA_Findings&amp;Recommendations_6'!L$9:L$108,MATCH('LFA_Findings&amp;Recom export'!$C30,'LFA_Findings&amp;Recommendations_6'!$B$9:$B$108,0))="","",INDEX('LFA_Findings&amp;Recommendations_6'!L$9:L$108,MATCH('LFA_Findings&amp;Recom export'!$C30,'LFA_Findings&amp;Recommendations_6'!$B$9:$B$108,0))),"")</f>
        <v/>
      </c>
      <c r="N30" s="919" t="b">
        <f t="shared" si="2"/>
        <v>1</v>
      </c>
      <c r="O30" s="926" t="b">
        <f t="shared" si="3"/>
        <v>0</v>
      </c>
      <c r="P30" s="926" t="b">
        <f>IFERROR(IF(INDEX('LFA_Findings&amp;Recommendations_6'!A$9:A$108,MATCH('LFA_Findings&amp;Recom export'!$C30,'LFA_Findings&amp;Recommendations_6'!$B$9:$B$108,0))="","",INDEX('LFA_Findings&amp;Recommendations_6'!A$9:A$108,MATCH('LFA_Findings&amp;Recom export'!$C30,'LFA_Findings&amp;Recommendations_6'!$B$9:$B$108,0))),"")</f>
        <v>0</v>
      </c>
      <c r="Q30" s="926" t="str">
        <f>IF(P30=TRUE,_xlfn.IFNA(VLOOKUP(D30,RiskData!$B$5:$D$11,3,FALSE), ""),"")</f>
        <v/>
      </c>
      <c r="R30" s="926" t="str">
        <f>IF(P30=TRUE,_xlfn.IFNA(VLOOKUP(E30,RiskData!$F$13:$I$36,4,FALSE), ""),"")</f>
        <v/>
      </c>
      <c r="S30" s="926" t="str">
        <f>IF(P30=TRUE,_xlfn.IFNA(INDEX(RiskData!$H$40:$H$290,MATCH(TRUE,INDEX(RIGHT(RiskData!$F$40:$F$290,255)=RIGHT(F30,255),0),0)), ""),"")</f>
        <v/>
      </c>
      <c r="T30" s="926" t="str">
        <f>IF(OR(P30=TRUE,ISBLANK(D30)),'Admin Sheet'!$B$44,"")</f>
        <v/>
      </c>
      <c r="U30" s="926" t="str">
        <f>IF(OR(ISBLANK(D30), P30=TRUE),'Admin Sheet'!$B$41,"")</f>
        <v/>
      </c>
      <c r="V30" s="927" t="str">
        <f t="shared" si="4"/>
        <v/>
      </c>
      <c r="W30" s="927" t="str">
        <f t="shared" si="5"/>
        <v/>
      </c>
      <c r="X30" s="927" t="str">
        <f t="shared" si="6"/>
        <v/>
      </c>
      <c r="Y30" s="928" t="str">
        <f t="shared" si="7"/>
        <v/>
      </c>
    </row>
    <row r="31" spans="1:25" ht="15" customHeight="1" x14ac:dyDescent="0.2">
      <c r="A31" s="918"/>
      <c r="B31" s="924">
        <f t="shared" si="0"/>
        <v>28</v>
      </c>
      <c r="C31" s="925" t="str">
        <f t="shared" si="1"/>
        <v>Finding28</v>
      </c>
      <c r="D31" s="919" t="str">
        <f>IFERROR(IF(INDEX('LFA_Findings&amp;Recommendations_6'!C$9:C$108,MATCH('LFA_Findings&amp;Recom export'!$C31,'LFA_Findings&amp;Recommendations_6'!$B$9:$B$108,0))="","",INDEX('LFA_Findings&amp;Recommendations_6'!C$9:C$108,MATCH('LFA_Findings&amp;Recom export'!$C31,'LFA_Findings&amp;Recommendations_6'!$B$9:$B$108,0))),"")</f>
        <v/>
      </c>
      <c r="E31" s="919" t="str">
        <f>IFERROR(IF(INDEX('LFA_Findings&amp;Recommendations_6'!D$9:D$108,MATCH('LFA_Findings&amp;Recom export'!$C31,'LFA_Findings&amp;Recommendations_6'!$B$9:$B$108,0))="","",INDEX('LFA_Findings&amp;Recommendations_6'!D$9:D$108,MATCH('LFA_Findings&amp;Recom export'!$C31,'LFA_Findings&amp;Recommendations_6'!$B$9:$B$108,0))),"")</f>
        <v/>
      </c>
      <c r="F31" s="919" t="str">
        <f>IFERROR(IF(INDEX('LFA_Findings&amp;Recommendations_6'!E$9:E$108,MATCH('LFA_Findings&amp;Recom export'!$C31,'LFA_Findings&amp;Recommendations_6'!$B$9:$B$108,0))="","",INDEX('LFA_Findings&amp;Recommendations_6'!E$9:E$108,MATCH('LFA_Findings&amp;Recom export'!$C31,'LFA_Findings&amp;Recommendations_6'!$B$9:$B$108,0))),"")</f>
        <v/>
      </c>
      <c r="G31" s="919" t="str">
        <f>IFERROR(IF(INDEX('LFA_Findings&amp;Recommendations_6'!F$9:F$108,MATCH('LFA_Findings&amp;Recom export'!$C31,'LFA_Findings&amp;Recommendations_6'!$B$9:$B$108,0))="","",INDEX('LFA_Findings&amp;Recommendations_6'!F$9:F$108,MATCH('LFA_Findings&amp;Recom export'!$C31,'LFA_Findings&amp;Recommendations_6'!$B$9:$B$108,0))),"")</f>
        <v/>
      </c>
      <c r="H31" s="919" t="str">
        <f>IFERROR(IF(INDEX('LFA_Findings&amp;Recommendations_6'!G$9:G$108,MATCH('LFA_Findings&amp;Recom export'!$C31,'LFA_Findings&amp;Recommendations_6'!$B$9:$B$108,0))="","",INDEX('LFA_Findings&amp;Recommendations_6'!G$9:G$108,MATCH('LFA_Findings&amp;Recom export'!$C31,'LFA_Findings&amp;Recommendations_6'!$B$9:$B$108,0))),"")</f>
        <v/>
      </c>
      <c r="I31" s="919" t="str">
        <f>IFERROR(IF(INDEX('LFA_Findings&amp;Recommendations_6'!H$9:H$108,MATCH('LFA_Findings&amp;Recom export'!$C31,'LFA_Findings&amp;Recommendations_6'!$B$9:$B$108,0))="","",INDEX('LFA_Findings&amp;Recommendations_6'!H$9:H$108,MATCH('LFA_Findings&amp;Recom export'!$C31,'LFA_Findings&amp;Recommendations_6'!$B$9:$B$108,0))),"")</f>
        <v/>
      </c>
      <c r="J31" s="919" t="str">
        <f>IFERROR(IF(INDEX('LFA_Findings&amp;Recommendations_6'!I$9:I$108,MATCH('LFA_Findings&amp;Recom export'!$C31,'LFA_Findings&amp;Recommendations_6'!$B$9:$B$108,0))="","",INDEX('LFA_Findings&amp;Recommendations_6'!I$9:I$108,MATCH('LFA_Findings&amp;Recom export'!$C31,'LFA_Findings&amp;Recommendations_6'!$B$9:$B$108,0))),"")</f>
        <v/>
      </c>
      <c r="K31" s="919" t="str">
        <f>IFERROR(IF(INDEX('LFA_Findings&amp;Recommendations_6'!J$9:J$108,MATCH('LFA_Findings&amp;Recom export'!$C31,'LFA_Findings&amp;Recommendations_6'!$B$9:$B$108,0))="","",INDEX('LFA_Findings&amp;Recommendations_6'!J$9:J$108,MATCH('LFA_Findings&amp;Recom export'!$C31,'LFA_Findings&amp;Recommendations_6'!$B$9:$B$108,0))),"")</f>
        <v/>
      </c>
      <c r="L31" s="919" t="str">
        <f>IFERROR(IF(INDEX('LFA_Findings&amp;Recommendations_6'!K$9:K$108,MATCH('LFA_Findings&amp;Recom export'!$C31,'LFA_Findings&amp;Recommendations_6'!$B$9:$B$108,0))="","",INDEX('LFA_Findings&amp;Recommendations_6'!K$9:K$108,MATCH('LFA_Findings&amp;Recom export'!$C31,'LFA_Findings&amp;Recommendations_6'!$B$9:$B$108,0))),"")</f>
        <v/>
      </c>
      <c r="M31" s="919" t="str">
        <f>IFERROR(IF(INDEX('LFA_Findings&amp;Recommendations_6'!L$9:L$108,MATCH('LFA_Findings&amp;Recom export'!$C31,'LFA_Findings&amp;Recommendations_6'!$B$9:$B$108,0))="","",INDEX('LFA_Findings&amp;Recommendations_6'!L$9:L$108,MATCH('LFA_Findings&amp;Recom export'!$C31,'LFA_Findings&amp;Recommendations_6'!$B$9:$B$108,0))),"")</f>
        <v/>
      </c>
      <c r="N31" s="919" t="b">
        <f t="shared" si="2"/>
        <v>1</v>
      </c>
      <c r="O31" s="926" t="b">
        <f t="shared" si="3"/>
        <v>0</v>
      </c>
      <c r="P31" s="926" t="b">
        <f>IFERROR(IF(INDEX('LFA_Findings&amp;Recommendations_6'!A$9:A$108,MATCH('LFA_Findings&amp;Recom export'!$C31,'LFA_Findings&amp;Recommendations_6'!$B$9:$B$108,0))="","",INDEX('LFA_Findings&amp;Recommendations_6'!A$9:A$108,MATCH('LFA_Findings&amp;Recom export'!$C31,'LFA_Findings&amp;Recommendations_6'!$B$9:$B$108,0))),"")</f>
        <v>0</v>
      </c>
      <c r="Q31" s="926" t="str">
        <f>IF(P31=TRUE,_xlfn.IFNA(VLOOKUP(D31,RiskData!$B$5:$D$11,3,FALSE), ""),"")</f>
        <v/>
      </c>
      <c r="R31" s="926" t="str">
        <f>IF(P31=TRUE,_xlfn.IFNA(VLOOKUP(E31,RiskData!$F$13:$I$36,4,FALSE), ""),"")</f>
        <v/>
      </c>
      <c r="S31" s="926" t="str">
        <f>IF(P31=TRUE,_xlfn.IFNA(INDEX(RiskData!$H$40:$H$290,MATCH(TRUE,INDEX(RIGHT(RiskData!$F$40:$F$290,255)=RIGHT(F31,255),0),0)), ""),"")</f>
        <v/>
      </c>
      <c r="T31" s="926" t="str">
        <f>IF(OR(P31=TRUE,ISBLANK(D31)),'Admin Sheet'!$B$44,"")</f>
        <v/>
      </c>
      <c r="U31" s="926" t="str">
        <f>IF(OR(ISBLANK(D31), P31=TRUE),'Admin Sheet'!$B$41,"")</f>
        <v/>
      </c>
      <c r="V31" s="927" t="str">
        <f t="shared" si="4"/>
        <v/>
      </c>
      <c r="W31" s="927" t="str">
        <f t="shared" si="5"/>
        <v/>
      </c>
      <c r="X31" s="927" t="str">
        <f t="shared" si="6"/>
        <v/>
      </c>
      <c r="Y31" s="928" t="str">
        <f t="shared" si="7"/>
        <v/>
      </c>
    </row>
    <row r="32" spans="1:25" ht="15" customHeight="1" x14ac:dyDescent="0.2">
      <c r="A32" s="918"/>
      <c r="B32" s="924">
        <f t="shared" si="0"/>
        <v>29</v>
      </c>
      <c r="C32" s="925" t="str">
        <f t="shared" si="1"/>
        <v>Finding29</v>
      </c>
      <c r="D32" s="919" t="str">
        <f>IFERROR(IF(INDEX('LFA_Findings&amp;Recommendations_6'!C$9:C$108,MATCH('LFA_Findings&amp;Recom export'!$C32,'LFA_Findings&amp;Recommendations_6'!$B$9:$B$108,0))="","",INDEX('LFA_Findings&amp;Recommendations_6'!C$9:C$108,MATCH('LFA_Findings&amp;Recom export'!$C32,'LFA_Findings&amp;Recommendations_6'!$B$9:$B$108,0))),"")</f>
        <v/>
      </c>
      <c r="E32" s="919" t="str">
        <f>IFERROR(IF(INDEX('LFA_Findings&amp;Recommendations_6'!D$9:D$108,MATCH('LFA_Findings&amp;Recom export'!$C32,'LFA_Findings&amp;Recommendations_6'!$B$9:$B$108,0))="","",INDEX('LFA_Findings&amp;Recommendations_6'!D$9:D$108,MATCH('LFA_Findings&amp;Recom export'!$C32,'LFA_Findings&amp;Recommendations_6'!$B$9:$B$108,0))),"")</f>
        <v/>
      </c>
      <c r="F32" s="919" t="str">
        <f>IFERROR(IF(INDEX('LFA_Findings&amp;Recommendations_6'!E$9:E$108,MATCH('LFA_Findings&amp;Recom export'!$C32,'LFA_Findings&amp;Recommendations_6'!$B$9:$B$108,0))="","",INDEX('LFA_Findings&amp;Recommendations_6'!E$9:E$108,MATCH('LFA_Findings&amp;Recom export'!$C32,'LFA_Findings&amp;Recommendations_6'!$B$9:$B$108,0))),"")</f>
        <v/>
      </c>
      <c r="G32" s="919" t="str">
        <f>IFERROR(IF(INDEX('LFA_Findings&amp;Recommendations_6'!F$9:F$108,MATCH('LFA_Findings&amp;Recom export'!$C32,'LFA_Findings&amp;Recommendations_6'!$B$9:$B$108,0))="","",INDEX('LFA_Findings&amp;Recommendations_6'!F$9:F$108,MATCH('LFA_Findings&amp;Recom export'!$C32,'LFA_Findings&amp;Recommendations_6'!$B$9:$B$108,0))),"")</f>
        <v/>
      </c>
      <c r="H32" s="919" t="str">
        <f>IFERROR(IF(INDEX('LFA_Findings&amp;Recommendations_6'!G$9:G$108,MATCH('LFA_Findings&amp;Recom export'!$C32,'LFA_Findings&amp;Recommendations_6'!$B$9:$B$108,0))="","",INDEX('LFA_Findings&amp;Recommendations_6'!G$9:G$108,MATCH('LFA_Findings&amp;Recom export'!$C32,'LFA_Findings&amp;Recommendations_6'!$B$9:$B$108,0))),"")</f>
        <v/>
      </c>
      <c r="I32" s="919" t="str">
        <f>IFERROR(IF(INDEX('LFA_Findings&amp;Recommendations_6'!H$9:H$108,MATCH('LFA_Findings&amp;Recom export'!$C32,'LFA_Findings&amp;Recommendations_6'!$B$9:$B$108,0))="","",INDEX('LFA_Findings&amp;Recommendations_6'!H$9:H$108,MATCH('LFA_Findings&amp;Recom export'!$C32,'LFA_Findings&amp;Recommendations_6'!$B$9:$B$108,0))),"")</f>
        <v/>
      </c>
      <c r="J32" s="919" t="str">
        <f>IFERROR(IF(INDEX('LFA_Findings&amp;Recommendations_6'!I$9:I$108,MATCH('LFA_Findings&amp;Recom export'!$C32,'LFA_Findings&amp;Recommendations_6'!$B$9:$B$108,0))="","",INDEX('LFA_Findings&amp;Recommendations_6'!I$9:I$108,MATCH('LFA_Findings&amp;Recom export'!$C32,'LFA_Findings&amp;Recommendations_6'!$B$9:$B$108,0))),"")</f>
        <v/>
      </c>
      <c r="K32" s="919" t="str">
        <f>IFERROR(IF(INDEX('LFA_Findings&amp;Recommendations_6'!J$9:J$108,MATCH('LFA_Findings&amp;Recom export'!$C32,'LFA_Findings&amp;Recommendations_6'!$B$9:$B$108,0))="","",INDEX('LFA_Findings&amp;Recommendations_6'!J$9:J$108,MATCH('LFA_Findings&amp;Recom export'!$C32,'LFA_Findings&amp;Recommendations_6'!$B$9:$B$108,0))),"")</f>
        <v/>
      </c>
      <c r="L32" s="919" t="str">
        <f>IFERROR(IF(INDEX('LFA_Findings&amp;Recommendations_6'!K$9:K$108,MATCH('LFA_Findings&amp;Recom export'!$C32,'LFA_Findings&amp;Recommendations_6'!$B$9:$B$108,0))="","",INDEX('LFA_Findings&amp;Recommendations_6'!K$9:K$108,MATCH('LFA_Findings&amp;Recom export'!$C32,'LFA_Findings&amp;Recommendations_6'!$B$9:$B$108,0))),"")</f>
        <v/>
      </c>
      <c r="M32" s="919" t="str">
        <f>IFERROR(IF(INDEX('LFA_Findings&amp;Recommendations_6'!L$9:L$108,MATCH('LFA_Findings&amp;Recom export'!$C32,'LFA_Findings&amp;Recommendations_6'!$B$9:$B$108,0))="","",INDEX('LFA_Findings&amp;Recommendations_6'!L$9:L$108,MATCH('LFA_Findings&amp;Recom export'!$C32,'LFA_Findings&amp;Recommendations_6'!$B$9:$B$108,0))),"")</f>
        <v/>
      </c>
      <c r="N32" s="919" t="b">
        <f t="shared" si="2"/>
        <v>1</v>
      </c>
      <c r="O32" s="926" t="b">
        <f t="shared" si="3"/>
        <v>0</v>
      </c>
      <c r="P32" s="926" t="b">
        <f>IFERROR(IF(INDEX('LFA_Findings&amp;Recommendations_6'!A$9:A$108,MATCH('LFA_Findings&amp;Recom export'!$C32,'LFA_Findings&amp;Recommendations_6'!$B$9:$B$108,0))="","",INDEX('LFA_Findings&amp;Recommendations_6'!A$9:A$108,MATCH('LFA_Findings&amp;Recom export'!$C32,'LFA_Findings&amp;Recommendations_6'!$B$9:$B$108,0))),"")</f>
        <v>0</v>
      </c>
      <c r="Q32" s="926" t="str">
        <f>IF(P32=TRUE,_xlfn.IFNA(VLOOKUP(D32,RiskData!$B$5:$D$11,3,FALSE), ""),"")</f>
        <v/>
      </c>
      <c r="R32" s="926" t="str">
        <f>IF(P32=TRUE,_xlfn.IFNA(VLOOKUP(E32,RiskData!$F$13:$I$36,4,FALSE), ""),"")</f>
        <v/>
      </c>
      <c r="S32" s="926" t="str">
        <f>IF(P32=TRUE,_xlfn.IFNA(INDEX(RiskData!$H$40:$H$290,MATCH(TRUE,INDEX(RIGHT(RiskData!$F$40:$F$290,255)=RIGHT(F32,255),0),0)), ""),"")</f>
        <v/>
      </c>
      <c r="T32" s="926" t="str">
        <f>IF(OR(P32=TRUE,ISBLANK(D32)),'Admin Sheet'!$B$44,"")</f>
        <v/>
      </c>
      <c r="U32" s="926" t="str">
        <f>IF(OR(ISBLANK(D32), P32=TRUE),'Admin Sheet'!$B$41,"")</f>
        <v/>
      </c>
      <c r="V32" s="927" t="str">
        <f t="shared" si="4"/>
        <v/>
      </c>
      <c r="W32" s="927" t="str">
        <f t="shared" si="5"/>
        <v/>
      </c>
      <c r="X32" s="927" t="str">
        <f t="shared" si="6"/>
        <v/>
      </c>
      <c r="Y32" s="928" t="str">
        <f t="shared" si="7"/>
        <v/>
      </c>
    </row>
    <row r="33" spans="1:58" ht="15" customHeight="1" x14ac:dyDescent="0.2">
      <c r="A33" s="918"/>
      <c r="B33" s="924">
        <f t="shared" si="0"/>
        <v>30</v>
      </c>
      <c r="C33" s="925" t="str">
        <f t="shared" si="1"/>
        <v>Finding30</v>
      </c>
      <c r="D33" s="919" t="str">
        <f>IFERROR(IF(INDEX('LFA_Findings&amp;Recommendations_6'!C$9:C$108,MATCH('LFA_Findings&amp;Recom export'!$C33,'LFA_Findings&amp;Recommendations_6'!$B$9:$B$108,0))="","",INDEX('LFA_Findings&amp;Recommendations_6'!C$9:C$108,MATCH('LFA_Findings&amp;Recom export'!$C33,'LFA_Findings&amp;Recommendations_6'!$B$9:$B$108,0))),"")</f>
        <v/>
      </c>
      <c r="E33" s="919" t="str">
        <f>IFERROR(IF(INDEX('LFA_Findings&amp;Recommendations_6'!D$9:D$108,MATCH('LFA_Findings&amp;Recom export'!$C33,'LFA_Findings&amp;Recommendations_6'!$B$9:$B$108,0))="","",INDEX('LFA_Findings&amp;Recommendations_6'!D$9:D$108,MATCH('LFA_Findings&amp;Recom export'!$C33,'LFA_Findings&amp;Recommendations_6'!$B$9:$B$108,0))),"")</f>
        <v/>
      </c>
      <c r="F33" s="919" t="str">
        <f>IFERROR(IF(INDEX('LFA_Findings&amp;Recommendations_6'!E$9:E$108,MATCH('LFA_Findings&amp;Recom export'!$C33,'LFA_Findings&amp;Recommendations_6'!$B$9:$B$108,0))="","",INDEX('LFA_Findings&amp;Recommendations_6'!E$9:E$108,MATCH('LFA_Findings&amp;Recom export'!$C33,'LFA_Findings&amp;Recommendations_6'!$B$9:$B$108,0))),"")</f>
        <v/>
      </c>
      <c r="G33" s="919" t="str">
        <f>IFERROR(IF(INDEX('LFA_Findings&amp;Recommendations_6'!F$9:F$108,MATCH('LFA_Findings&amp;Recom export'!$C33,'LFA_Findings&amp;Recommendations_6'!$B$9:$B$108,0))="","",INDEX('LFA_Findings&amp;Recommendations_6'!F$9:F$108,MATCH('LFA_Findings&amp;Recom export'!$C33,'LFA_Findings&amp;Recommendations_6'!$B$9:$B$108,0))),"")</f>
        <v/>
      </c>
      <c r="H33" s="919" t="str">
        <f>IFERROR(IF(INDEX('LFA_Findings&amp;Recommendations_6'!G$9:G$108,MATCH('LFA_Findings&amp;Recom export'!$C33,'LFA_Findings&amp;Recommendations_6'!$B$9:$B$108,0))="","",INDEX('LFA_Findings&amp;Recommendations_6'!G$9:G$108,MATCH('LFA_Findings&amp;Recom export'!$C33,'LFA_Findings&amp;Recommendations_6'!$B$9:$B$108,0))),"")</f>
        <v/>
      </c>
      <c r="I33" s="919" t="str">
        <f>IFERROR(IF(INDEX('LFA_Findings&amp;Recommendations_6'!H$9:H$108,MATCH('LFA_Findings&amp;Recom export'!$C33,'LFA_Findings&amp;Recommendations_6'!$B$9:$B$108,0))="","",INDEX('LFA_Findings&amp;Recommendations_6'!H$9:H$108,MATCH('LFA_Findings&amp;Recom export'!$C33,'LFA_Findings&amp;Recommendations_6'!$B$9:$B$108,0))),"")</f>
        <v/>
      </c>
      <c r="J33" s="919" t="str">
        <f>IFERROR(IF(INDEX('LFA_Findings&amp;Recommendations_6'!I$9:I$108,MATCH('LFA_Findings&amp;Recom export'!$C33,'LFA_Findings&amp;Recommendations_6'!$B$9:$B$108,0))="","",INDEX('LFA_Findings&amp;Recommendations_6'!I$9:I$108,MATCH('LFA_Findings&amp;Recom export'!$C33,'LFA_Findings&amp;Recommendations_6'!$B$9:$B$108,0))),"")</f>
        <v/>
      </c>
      <c r="K33" s="919" t="str">
        <f>IFERROR(IF(INDEX('LFA_Findings&amp;Recommendations_6'!J$9:J$108,MATCH('LFA_Findings&amp;Recom export'!$C33,'LFA_Findings&amp;Recommendations_6'!$B$9:$B$108,0))="","",INDEX('LFA_Findings&amp;Recommendations_6'!J$9:J$108,MATCH('LFA_Findings&amp;Recom export'!$C33,'LFA_Findings&amp;Recommendations_6'!$B$9:$B$108,0))),"")</f>
        <v/>
      </c>
      <c r="L33" s="919" t="str">
        <f>IFERROR(IF(INDEX('LFA_Findings&amp;Recommendations_6'!K$9:K$108,MATCH('LFA_Findings&amp;Recom export'!$C33,'LFA_Findings&amp;Recommendations_6'!$B$9:$B$108,0))="","",INDEX('LFA_Findings&amp;Recommendations_6'!K$9:K$108,MATCH('LFA_Findings&amp;Recom export'!$C33,'LFA_Findings&amp;Recommendations_6'!$B$9:$B$108,0))),"")</f>
        <v/>
      </c>
      <c r="M33" s="919" t="str">
        <f>IFERROR(IF(INDEX('LFA_Findings&amp;Recommendations_6'!L$9:L$108,MATCH('LFA_Findings&amp;Recom export'!$C33,'LFA_Findings&amp;Recommendations_6'!$B$9:$B$108,0))="","",INDEX('LFA_Findings&amp;Recommendations_6'!L$9:L$108,MATCH('LFA_Findings&amp;Recom export'!$C33,'LFA_Findings&amp;Recommendations_6'!$B$9:$B$108,0))),"")</f>
        <v/>
      </c>
      <c r="N33" s="919" t="b">
        <f t="shared" si="2"/>
        <v>1</v>
      </c>
      <c r="O33" s="926" t="b">
        <f t="shared" si="3"/>
        <v>0</v>
      </c>
      <c r="P33" s="926" t="b">
        <f>IFERROR(IF(INDEX('LFA_Findings&amp;Recommendations_6'!A$9:A$108,MATCH('LFA_Findings&amp;Recom export'!$C33,'LFA_Findings&amp;Recommendations_6'!$B$9:$B$108,0))="","",INDEX('LFA_Findings&amp;Recommendations_6'!A$9:A$108,MATCH('LFA_Findings&amp;Recom export'!$C33,'LFA_Findings&amp;Recommendations_6'!$B$9:$B$108,0))),"")</f>
        <v>0</v>
      </c>
      <c r="Q33" s="926" t="str">
        <f>IF(P33=TRUE,_xlfn.IFNA(VLOOKUP(D33,RiskData!$B$5:$D$11,3,FALSE), ""),"")</f>
        <v/>
      </c>
      <c r="R33" s="926" t="str">
        <f>IF(P33=TRUE,_xlfn.IFNA(VLOOKUP(E33,RiskData!$F$13:$I$36,4,FALSE), ""),"")</f>
        <v/>
      </c>
      <c r="S33" s="926" t="str">
        <f>IF(P33=TRUE,_xlfn.IFNA(INDEX(RiskData!$H$40:$H$290,MATCH(TRUE,INDEX(RIGHT(RiskData!$F$40:$F$290,255)=RIGHT(F33,255),0),0)), ""),"")</f>
        <v/>
      </c>
      <c r="T33" s="926" t="str">
        <f>IF(OR(P33=TRUE,ISBLANK(D33)),'Admin Sheet'!$B$44,"")</f>
        <v/>
      </c>
      <c r="U33" s="926" t="str">
        <f>IF(OR(ISBLANK(D33), P33=TRUE),'Admin Sheet'!$B$41,"")</f>
        <v/>
      </c>
      <c r="V33" s="927" t="str">
        <f t="shared" si="4"/>
        <v/>
      </c>
      <c r="W33" s="927" t="str">
        <f t="shared" si="5"/>
        <v/>
      </c>
      <c r="X33" s="927" t="str">
        <f t="shared" si="6"/>
        <v/>
      </c>
      <c r="Y33" s="928" t="str">
        <f t="shared" si="7"/>
        <v/>
      </c>
    </row>
    <row r="34" spans="1:58" ht="15" x14ac:dyDescent="0.2">
      <c r="B34" s="929"/>
      <c r="C34" s="930"/>
      <c r="D34" s="506"/>
      <c r="E34" s="506"/>
      <c r="F34" s="506"/>
      <c r="G34" s="506"/>
      <c r="H34" s="506"/>
      <c r="I34" s="506"/>
      <c r="J34" s="506"/>
      <c r="K34" s="506"/>
      <c r="L34" s="506"/>
      <c r="M34" s="506"/>
      <c r="N34" s="635"/>
      <c r="P34" s="931"/>
      <c r="Q34" s="931"/>
    </row>
    <row r="35" spans="1:58" ht="15" x14ac:dyDescent="0.25">
      <c r="B35" s="932"/>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2"/>
      <c r="AG35" s="932"/>
      <c r="AH35" s="932"/>
      <c r="AI35" s="932"/>
      <c r="AJ35" s="932"/>
      <c r="AK35" s="932"/>
      <c r="AL35" s="932"/>
      <c r="AM35" s="932"/>
      <c r="AN35" s="932"/>
      <c r="AO35" s="932"/>
      <c r="AP35" s="932"/>
      <c r="AQ35" s="932"/>
      <c r="AR35" s="932"/>
      <c r="AS35" s="932"/>
      <c r="AT35" s="932"/>
      <c r="AU35" s="932"/>
      <c r="AV35" s="932"/>
      <c r="AW35" s="932"/>
      <c r="AX35" s="932"/>
      <c r="AY35" s="932"/>
      <c r="AZ35" s="932"/>
      <c r="BA35" s="932"/>
      <c r="BB35" s="932"/>
      <c r="BC35" s="932"/>
      <c r="BD35" s="932"/>
      <c r="BE35" s="932"/>
      <c r="BF35" s="932"/>
    </row>
    <row r="36" spans="1:58" ht="15" x14ac:dyDescent="0.25">
      <c r="B36" s="932"/>
      <c r="C36" s="932"/>
      <c r="D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2"/>
      <c r="AY36" s="932"/>
      <c r="AZ36" s="932"/>
      <c r="BA36" s="932"/>
      <c r="BB36" s="932"/>
      <c r="BC36" s="932"/>
      <c r="BD36" s="932"/>
      <c r="BE36" s="932"/>
      <c r="BF36" s="932"/>
    </row>
    <row r="37" spans="1:58" ht="15" x14ac:dyDescent="0.25">
      <c r="B37" s="932"/>
      <c r="C37" s="932"/>
      <c r="D37" s="932"/>
      <c r="E37" s="932"/>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32"/>
      <c r="AO37" s="932"/>
      <c r="AP37" s="932"/>
      <c r="AQ37" s="932"/>
      <c r="AR37" s="932"/>
      <c r="AS37" s="932"/>
      <c r="AT37" s="932"/>
      <c r="AU37" s="932"/>
      <c r="AV37" s="932"/>
      <c r="AW37" s="932"/>
      <c r="AX37" s="932"/>
      <c r="AY37" s="932"/>
      <c r="AZ37" s="932"/>
      <c r="BA37" s="932"/>
      <c r="BB37" s="932"/>
      <c r="BC37" s="932"/>
      <c r="BD37" s="932"/>
      <c r="BE37" s="932"/>
      <c r="BF37" s="932"/>
    </row>
    <row r="38" spans="1:58" ht="15" x14ac:dyDescent="0.25">
      <c r="B38" s="932"/>
      <c r="C38" s="932"/>
      <c r="D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2"/>
      <c r="AY38" s="932"/>
      <c r="AZ38" s="932"/>
      <c r="BA38" s="932"/>
      <c r="BB38" s="932"/>
      <c r="BC38" s="932"/>
      <c r="BD38" s="932"/>
      <c r="BE38" s="932"/>
      <c r="BF38" s="932"/>
    </row>
    <row r="39" spans="1:58" ht="15" x14ac:dyDescent="0.25">
      <c r="B39" s="932"/>
      <c r="C39" s="932"/>
      <c r="D39" s="932"/>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32"/>
      <c r="AO39" s="932"/>
      <c r="AP39" s="932"/>
      <c r="AQ39" s="932"/>
      <c r="AR39" s="932"/>
      <c r="AS39" s="932"/>
      <c r="AT39" s="932"/>
      <c r="AU39" s="932"/>
      <c r="AV39" s="932"/>
      <c r="AW39" s="932"/>
      <c r="AX39" s="932"/>
      <c r="AY39" s="932"/>
      <c r="AZ39" s="932"/>
      <c r="BA39" s="932"/>
      <c r="BB39" s="932"/>
      <c r="BC39" s="932"/>
      <c r="BD39" s="932"/>
      <c r="BE39" s="932"/>
      <c r="BF39" s="932"/>
    </row>
    <row r="40" spans="1:58" ht="15" x14ac:dyDescent="0.25">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row>
    <row r="41" spans="1:58" ht="15" x14ac:dyDescent="0.25">
      <c r="B41" s="932"/>
      <c r="C41" s="932"/>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32"/>
      <c r="AO41" s="932"/>
      <c r="AP41" s="932"/>
      <c r="AQ41" s="932"/>
      <c r="AR41" s="932"/>
      <c r="AS41" s="932"/>
      <c r="AT41" s="932"/>
      <c r="AU41" s="932"/>
      <c r="AV41" s="932"/>
      <c r="AW41" s="932"/>
      <c r="AX41" s="932"/>
      <c r="AY41" s="932"/>
      <c r="AZ41" s="932"/>
      <c r="BA41" s="932"/>
      <c r="BB41" s="932"/>
      <c r="BC41" s="932"/>
      <c r="BD41" s="932"/>
      <c r="BE41" s="932"/>
      <c r="BF41" s="932"/>
    </row>
    <row r="42" spans="1:58" ht="15" x14ac:dyDescent="0.25">
      <c r="B42" s="932"/>
      <c r="C42" s="932"/>
      <c r="D42" s="932"/>
      <c r="E42" s="932"/>
      <c r="F42" s="932"/>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32"/>
      <c r="AO42" s="932"/>
      <c r="AP42" s="932"/>
      <c r="AQ42" s="932"/>
      <c r="AR42" s="932"/>
      <c r="AS42" s="932"/>
      <c r="AT42" s="932"/>
      <c r="AU42" s="932"/>
      <c r="AV42" s="932"/>
      <c r="AW42" s="932"/>
      <c r="AX42" s="932"/>
      <c r="AY42" s="932"/>
      <c r="AZ42" s="932"/>
      <c r="BA42" s="932"/>
      <c r="BB42" s="932"/>
      <c r="BC42" s="932"/>
      <c r="BD42" s="932"/>
      <c r="BE42" s="932"/>
      <c r="BF42" s="932"/>
    </row>
    <row r="43" spans="1:58" ht="15" x14ac:dyDescent="0.2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32"/>
      <c r="AO43" s="932"/>
      <c r="AP43" s="932"/>
      <c r="AQ43" s="932"/>
      <c r="AR43" s="932"/>
      <c r="AS43" s="932"/>
      <c r="AT43" s="932"/>
      <c r="AU43" s="932"/>
      <c r="AV43" s="932"/>
      <c r="AW43" s="932"/>
      <c r="AX43" s="932"/>
      <c r="AY43" s="932"/>
      <c r="AZ43" s="932"/>
      <c r="BA43" s="932"/>
      <c r="BB43" s="932"/>
      <c r="BC43" s="932"/>
      <c r="BD43" s="932"/>
      <c r="BE43" s="932"/>
      <c r="BF43" s="932"/>
    </row>
    <row r="44" spans="1:58" ht="15" x14ac:dyDescent="0.25">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32"/>
      <c r="AO44" s="932"/>
      <c r="AP44" s="932"/>
      <c r="AQ44" s="932"/>
      <c r="AR44" s="932"/>
      <c r="AS44" s="932"/>
      <c r="AT44" s="932"/>
      <c r="AU44" s="932"/>
      <c r="AV44" s="932"/>
      <c r="AW44" s="932"/>
      <c r="AX44" s="932"/>
      <c r="AY44" s="932"/>
      <c r="AZ44" s="932"/>
      <c r="BA44" s="932"/>
      <c r="BB44" s="932"/>
      <c r="BC44" s="932"/>
      <c r="BD44" s="932"/>
      <c r="BE44" s="932"/>
      <c r="BF44" s="932"/>
    </row>
    <row r="45" spans="1:58" ht="15" x14ac:dyDescent="0.25">
      <c r="B45" s="932"/>
      <c r="C45" s="932"/>
      <c r="D45" s="932"/>
      <c r="E45" s="932"/>
      <c r="F45" s="932"/>
      <c r="G45" s="932"/>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32"/>
      <c r="AO45" s="932"/>
      <c r="AP45" s="932"/>
      <c r="AQ45" s="932"/>
      <c r="AR45" s="932"/>
      <c r="AS45" s="932"/>
      <c r="AT45" s="932"/>
      <c r="AU45" s="932"/>
      <c r="AV45" s="932"/>
      <c r="AW45" s="932"/>
      <c r="AX45" s="932"/>
      <c r="AY45" s="932"/>
      <c r="AZ45" s="932"/>
      <c r="BA45" s="932"/>
      <c r="BB45" s="932"/>
      <c r="BC45" s="932"/>
      <c r="BD45" s="932"/>
      <c r="BE45" s="932"/>
      <c r="BF45" s="932"/>
    </row>
    <row r="46" spans="1:58" ht="15" x14ac:dyDescent="0.25">
      <c r="B46" s="932"/>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32"/>
      <c r="AO46" s="932"/>
      <c r="AP46" s="932"/>
      <c r="AQ46" s="932"/>
      <c r="AR46" s="932"/>
      <c r="AS46" s="932"/>
      <c r="AT46" s="932"/>
      <c r="AU46" s="932"/>
      <c r="AV46" s="932"/>
      <c r="AW46" s="932"/>
      <c r="AX46" s="932"/>
      <c r="AY46" s="932"/>
      <c r="AZ46" s="932"/>
      <c r="BA46" s="932"/>
      <c r="BB46" s="932"/>
      <c r="BC46" s="932"/>
      <c r="BD46" s="932"/>
      <c r="BE46" s="932"/>
      <c r="BF46" s="932"/>
    </row>
    <row r="47" spans="1:58" ht="15" x14ac:dyDescent="0.25">
      <c r="B47" s="932"/>
      <c r="C47" s="932"/>
      <c r="D47" s="932"/>
      <c r="E47" s="932"/>
      <c r="F47" s="932"/>
      <c r="G47" s="932"/>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32"/>
      <c r="AO47" s="932"/>
      <c r="AP47" s="932"/>
      <c r="AQ47" s="932"/>
      <c r="AR47" s="932"/>
      <c r="AS47" s="932"/>
      <c r="AT47" s="932"/>
      <c r="AU47" s="932"/>
      <c r="AV47" s="932"/>
      <c r="AW47" s="932"/>
      <c r="AX47" s="932"/>
      <c r="AY47" s="932"/>
      <c r="AZ47" s="932"/>
      <c r="BA47" s="932"/>
      <c r="BB47" s="932"/>
      <c r="BC47" s="932"/>
      <c r="BD47" s="932"/>
      <c r="BE47" s="932"/>
      <c r="BF47" s="932"/>
    </row>
    <row r="48" spans="1:58" ht="15" x14ac:dyDescent="0.25">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32"/>
      <c r="AO48" s="932"/>
      <c r="AP48" s="932"/>
      <c r="AQ48" s="932"/>
      <c r="AR48" s="932"/>
      <c r="AS48" s="932"/>
      <c r="AT48" s="932"/>
      <c r="AU48" s="932"/>
      <c r="AV48" s="932"/>
      <c r="AW48" s="932"/>
      <c r="AX48" s="932"/>
      <c r="AY48" s="932"/>
      <c r="AZ48" s="932"/>
      <c r="BA48" s="932"/>
      <c r="BB48" s="932"/>
      <c r="BC48" s="932"/>
      <c r="BD48" s="932"/>
      <c r="BE48" s="932"/>
      <c r="BF48" s="932"/>
    </row>
    <row r="49" spans="2:58" ht="15" x14ac:dyDescent="0.25">
      <c r="B49" s="932"/>
      <c r="C49" s="932"/>
      <c r="D49" s="932"/>
      <c r="E49" s="932"/>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32"/>
      <c r="AO49" s="932"/>
      <c r="AP49" s="932"/>
      <c r="AQ49" s="932"/>
      <c r="AR49" s="932"/>
      <c r="AS49" s="932"/>
      <c r="AT49" s="932"/>
      <c r="AU49" s="932"/>
      <c r="AV49" s="932"/>
      <c r="AW49" s="932"/>
      <c r="AX49" s="932"/>
      <c r="AY49" s="932"/>
      <c r="AZ49" s="932"/>
      <c r="BA49" s="932"/>
      <c r="BB49" s="932"/>
      <c r="BC49" s="932"/>
      <c r="BD49" s="932"/>
      <c r="BE49" s="932"/>
      <c r="BF49" s="932"/>
    </row>
    <row r="50" spans="2:58" ht="15" x14ac:dyDescent="0.25">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32"/>
      <c r="AO50" s="932"/>
      <c r="AP50" s="932"/>
      <c r="AQ50" s="932"/>
      <c r="AR50" s="932"/>
      <c r="AS50" s="932"/>
      <c r="AT50" s="932"/>
      <c r="AU50" s="932"/>
      <c r="AV50" s="932"/>
      <c r="AW50" s="932"/>
      <c r="AX50" s="932"/>
      <c r="AY50" s="932"/>
      <c r="AZ50" s="932"/>
      <c r="BA50" s="932"/>
      <c r="BB50" s="932"/>
      <c r="BC50" s="932"/>
      <c r="BD50" s="932"/>
      <c r="BE50" s="932"/>
      <c r="BF50" s="932"/>
    </row>
    <row r="51" spans="2:58" ht="15" x14ac:dyDescent="0.25">
      <c r="B51" s="932"/>
      <c r="C51" s="932"/>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c r="AL51" s="932"/>
      <c r="AM51" s="932"/>
      <c r="AN51" s="932"/>
      <c r="AO51" s="932"/>
      <c r="AP51" s="932"/>
      <c r="AQ51" s="932"/>
      <c r="AR51" s="932"/>
      <c r="AS51" s="932"/>
      <c r="AT51" s="932"/>
      <c r="AU51" s="932"/>
      <c r="AV51" s="932"/>
      <c r="AW51" s="932"/>
      <c r="AX51" s="932"/>
      <c r="AY51" s="932"/>
      <c r="AZ51" s="932"/>
      <c r="BA51" s="932"/>
      <c r="BB51" s="932"/>
      <c r="BC51" s="932"/>
      <c r="BD51" s="932"/>
      <c r="BE51" s="932"/>
      <c r="BF51" s="932"/>
    </row>
    <row r="52" spans="2:58" ht="15" x14ac:dyDescent="0.25">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c r="AU52" s="932"/>
      <c r="AV52" s="932"/>
      <c r="AW52" s="932"/>
      <c r="AX52" s="932"/>
      <c r="AY52" s="932"/>
      <c r="AZ52" s="932"/>
      <c r="BA52" s="932"/>
      <c r="BB52" s="932"/>
      <c r="BC52" s="932"/>
      <c r="BD52" s="932"/>
      <c r="BE52" s="932"/>
      <c r="BF52" s="932"/>
    </row>
    <row r="53" spans="2:58" ht="15" x14ac:dyDescent="0.25">
      <c r="B53" s="932"/>
      <c r="C53" s="932"/>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c r="AL53" s="932"/>
      <c r="AM53" s="932"/>
      <c r="AN53" s="932"/>
      <c r="AO53" s="932"/>
      <c r="AP53" s="932"/>
      <c r="AQ53" s="932"/>
      <c r="AR53" s="932"/>
      <c r="AS53" s="932"/>
      <c r="AT53" s="932"/>
      <c r="AU53" s="932"/>
      <c r="AV53" s="932"/>
      <c r="AW53" s="932"/>
      <c r="AX53" s="932"/>
      <c r="AY53" s="932"/>
      <c r="AZ53" s="932"/>
      <c r="BA53" s="932"/>
      <c r="BB53" s="932"/>
      <c r="BC53" s="932"/>
      <c r="BD53" s="932"/>
      <c r="BE53" s="932"/>
      <c r="BF53" s="932"/>
    </row>
    <row r="54" spans="2:58" ht="15" x14ac:dyDescent="0.25">
      <c r="B54" s="932"/>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c r="AO54" s="932"/>
      <c r="AP54" s="932"/>
      <c r="AQ54" s="932"/>
      <c r="AR54" s="932"/>
      <c r="AS54" s="932"/>
      <c r="AT54" s="932"/>
      <c r="AU54" s="932"/>
      <c r="AV54" s="932"/>
      <c r="AW54" s="932"/>
      <c r="AX54" s="932"/>
      <c r="AY54" s="932"/>
      <c r="AZ54" s="932"/>
      <c r="BA54" s="932"/>
      <c r="BB54" s="932"/>
      <c r="BC54" s="932"/>
      <c r="BD54" s="932"/>
      <c r="BE54" s="932"/>
      <c r="BF54" s="932"/>
    </row>
    <row r="55" spans="2:58" ht="15" x14ac:dyDescent="0.25">
      <c r="B55" s="932"/>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2"/>
      <c r="AF55" s="932"/>
      <c r="AG55" s="932"/>
      <c r="AH55" s="932"/>
      <c r="AI55" s="932"/>
      <c r="AJ55" s="932"/>
      <c r="AK55" s="932"/>
      <c r="AL55" s="932"/>
      <c r="AM55" s="932"/>
      <c r="AN55" s="932"/>
      <c r="AO55" s="932"/>
      <c r="AP55" s="932"/>
      <c r="AQ55" s="932"/>
      <c r="AR55" s="932"/>
      <c r="AS55" s="932"/>
      <c r="AT55" s="932"/>
      <c r="AU55" s="932"/>
      <c r="AV55" s="932"/>
      <c r="AW55" s="932"/>
      <c r="AX55" s="932"/>
      <c r="AY55" s="932"/>
      <c r="AZ55" s="932"/>
      <c r="BA55" s="932"/>
      <c r="BB55" s="932"/>
      <c r="BC55" s="932"/>
      <c r="BD55" s="932"/>
      <c r="BE55" s="932"/>
      <c r="BF55" s="932"/>
    </row>
    <row r="56" spans="2:58" ht="15" x14ac:dyDescent="0.25">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2"/>
      <c r="AF56" s="932"/>
      <c r="AG56" s="932"/>
      <c r="AH56" s="932"/>
      <c r="AI56" s="932"/>
      <c r="AJ56" s="932"/>
      <c r="AK56" s="932"/>
      <c r="AL56" s="932"/>
      <c r="AM56" s="932"/>
      <c r="AN56" s="932"/>
      <c r="AO56" s="932"/>
      <c r="AP56" s="932"/>
      <c r="AQ56" s="932"/>
      <c r="AR56" s="932"/>
      <c r="AS56" s="932"/>
      <c r="AT56" s="932"/>
      <c r="AU56" s="932"/>
      <c r="AV56" s="932"/>
      <c r="AW56" s="932"/>
      <c r="AX56" s="932"/>
      <c r="AY56" s="932"/>
      <c r="AZ56" s="932"/>
      <c r="BA56" s="932"/>
      <c r="BB56" s="932"/>
      <c r="BC56" s="932"/>
      <c r="BD56" s="932"/>
      <c r="BE56" s="932"/>
      <c r="BF56" s="932"/>
    </row>
    <row r="57" spans="2:58" ht="15" x14ac:dyDescent="0.25">
      <c r="B57" s="932"/>
      <c r="C57" s="932"/>
      <c r="D57" s="932"/>
      <c r="E57" s="932"/>
      <c r="F57" s="932"/>
      <c r="G57" s="932"/>
      <c r="H57" s="932"/>
      <c r="I57" s="932"/>
      <c r="J57" s="932"/>
      <c r="K57" s="932"/>
      <c r="L57" s="932"/>
      <c r="M57" s="932"/>
      <c r="N57" s="932"/>
      <c r="O57" s="932"/>
      <c r="P57" s="932"/>
      <c r="Q57" s="932"/>
      <c r="R57" s="932"/>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2"/>
      <c r="BA57" s="932"/>
      <c r="BB57" s="932"/>
      <c r="BC57" s="932"/>
      <c r="BD57" s="932"/>
      <c r="BE57" s="932"/>
      <c r="BF57" s="932"/>
    </row>
    <row r="58" spans="2:58" ht="15" x14ac:dyDescent="0.25">
      <c r="B58" s="932"/>
      <c r="C58" s="932"/>
      <c r="D58" s="932"/>
      <c r="E58" s="932"/>
      <c r="F58" s="932"/>
      <c r="G58" s="932"/>
      <c r="H58" s="932"/>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2"/>
      <c r="BA58" s="932"/>
      <c r="BB58" s="932"/>
      <c r="BC58" s="932"/>
      <c r="BD58" s="932"/>
      <c r="BE58" s="932"/>
      <c r="BF58" s="932"/>
    </row>
    <row r="59" spans="2:58" ht="15" x14ac:dyDescent="0.25">
      <c r="B59" s="932"/>
      <c r="C59" s="932"/>
      <c r="D59" s="932"/>
      <c r="E59" s="932"/>
      <c r="F59" s="932"/>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2"/>
      <c r="AN59" s="932"/>
      <c r="AO59" s="932"/>
      <c r="AP59" s="932"/>
      <c r="AQ59" s="932"/>
      <c r="AR59" s="932"/>
      <c r="AS59" s="932"/>
      <c r="AT59" s="932"/>
      <c r="AU59" s="932"/>
      <c r="AV59" s="932"/>
      <c r="AW59" s="932"/>
      <c r="AX59" s="932"/>
      <c r="AY59" s="932"/>
      <c r="AZ59" s="932"/>
      <c r="BA59" s="932"/>
      <c r="BB59" s="932"/>
      <c r="BC59" s="932"/>
      <c r="BD59" s="932"/>
      <c r="BE59" s="932"/>
      <c r="BF59" s="932"/>
    </row>
    <row r="60" spans="2:58" ht="15" x14ac:dyDescent="0.25">
      <c r="B60" s="932"/>
      <c r="C60" s="932"/>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932"/>
      <c r="AP60" s="932"/>
      <c r="AQ60" s="932"/>
      <c r="AR60" s="932"/>
      <c r="AS60" s="932"/>
      <c r="AT60" s="932"/>
      <c r="AU60" s="932"/>
      <c r="AV60" s="932"/>
      <c r="AW60" s="932"/>
      <c r="AX60" s="932"/>
      <c r="AY60" s="932"/>
      <c r="AZ60" s="932"/>
      <c r="BA60" s="932"/>
      <c r="BB60" s="932"/>
      <c r="BC60" s="932"/>
      <c r="BD60" s="932"/>
      <c r="BE60" s="932"/>
      <c r="BF60" s="932"/>
    </row>
    <row r="61" spans="2:58" ht="15" x14ac:dyDescent="0.25">
      <c r="B61" s="932"/>
      <c r="C61" s="932"/>
      <c r="D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c r="AL61" s="932"/>
      <c r="AM61" s="932"/>
      <c r="AN61" s="932"/>
      <c r="AO61" s="932"/>
      <c r="AP61" s="932"/>
      <c r="AQ61" s="932"/>
      <c r="AR61" s="932"/>
      <c r="AS61" s="932"/>
      <c r="AT61" s="932"/>
      <c r="AU61" s="932"/>
      <c r="AV61" s="932"/>
      <c r="AW61" s="932"/>
      <c r="AX61" s="932"/>
      <c r="AY61" s="932"/>
      <c r="AZ61" s="932"/>
      <c r="BA61" s="932"/>
      <c r="BB61" s="932"/>
      <c r="BC61" s="932"/>
      <c r="BD61" s="932"/>
      <c r="BE61" s="932"/>
      <c r="BF61" s="932"/>
    </row>
    <row r="62" spans="2:58" ht="15" x14ac:dyDescent="0.25">
      <c r="B62" s="932"/>
      <c r="C62" s="932"/>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row>
    <row r="63" spans="2:58" ht="15" x14ac:dyDescent="0.25">
      <c r="B63" s="932"/>
      <c r="C63" s="932"/>
      <c r="D63" s="932"/>
      <c r="E63" s="932"/>
      <c r="F63" s="932"/>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2"/>
      <c r="AY63" s="932"/>
      <c r="AZ63" s="932"/>
      <c r="BA63" s="932"/>
      <c r="BB63" s="932"/>
      <c r="BC63" s="932"/>
      <c r="BD63" s="932"/>
      <c r="BE63" s="932"/>
      <c r="BF63" s="932"/>
    </row>
    <row r="64" spans="2:58" ht="15" x14ac:dyDescent="0.25">
      <c r="B64" s="932"/>
      <c r="C64" s="932"/>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932"/>
      <c r="AM64" s="932"/>
      <c r="AN64" s="932"/>
      <c r="AO64" s="932"/>
      <c r="AP64" s="932"/>
      <c r="AQ64" s="932"/>
      <c r="AR64" s="932"/>
      <c r="AS64" s="932"/>
      <c r="AT64" s="932"/>
      <c r="AU64" s="932"/>
      <c r="AV64" s="932"/>
      <c r="AW64" s="932"/>
      <c r="AX64" s="932"/>
      <c r="AY64" s="932"/>
      <c r="AZ64" s="932"/>
      <c r="BA64" s="932"/>
      <c r="BB64" s="932"/>
      <c r="BC64" s="932"/>
      <c r="BD64" s="932"/>
      <c r="BE64" s="932"/>
      <c r="BF64" s="932"/>
    </row>
    <row r="65" spans="2:58" ht="15" x14ac:dyDescent="0.25">
      <c r="B65" s="932"/>
      <c r="C65" s="932"/>
      <c r="D65" s="932"/>
      <c r="E65" s="932"/>
      <c r="F65" s="932"/>
      <c r="G65" s="932"/>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c r="AL65" s="932"/>
      <c r="AM65" s="932"/>
      <c r="AN65" s="932"/>
      <c r="AO65" s="932"/>
      <c r="AP65" s="932"/>
      <c r="AQ65" s="932"/>
      <c r="AR65" s="932"/>
      <c r="AS65" s="932"/>
      <c r="AT65" s="932"/>
      <c r="AU65" s="932"/>
      <c r="AV65" s="932"/>
      <c r="AW65" s="932"/>
      <c r="AX65" s="932"/>
      <c r="AY65" s="932"/>
      <c r="AZ65" s="932"/>
      <c r="BA65" s="932"/>
      <c r="BB65" s="932"/>
      <c r="BC65" s="932"/>
      <c r="BD65" s="932"/>
      <c r="BE65" s="932"/>
      <c r="BF65" s="932"/>
    </row>
    <row r="66" spans="2:58" ht="15" x14ac:dyDescent="0.25">
      <c r="B66" s="932"/>
      <c r="C66" s="932"/>
      <c r="D66" s="932"/>
      <c r="E66" s="932"/>
      <c r="F66" s="932"/>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c r="AL66" s="932"/>
      <c r="AM66" s="932"/>
      <c r="AN66" s="932"/>
      <c r="AO66" s="932"/>
      <c r="AP66" s="932"/>
      <c r="AQ66" s="932"/>
      <c r="AR66" s="932"/>
      <c r="AS66" s="932"/>
      <c r="AT66" s="932"/>
      <c r="AU66" s="932"/>
      <c r="AV66" s="932"/>
      <c r="AW66" s="932"/>
      <c r="AX66" s="932"/>
      <c r="AY66" s="932"/>
      <c r="AZ66" s="932"/>
      <c r="BA66" s="932"/>
      <c r="BB66" s="932"/>
      <c r="BC66" s="932"/>
      <c r="BD66" s="932"/>
      <c r="BE66" s="932"/>
      <c r="BF66" s="932"/>
    </row>
    <row r="67" spans="2:58" ht="15" x14ac:dyDescent="0.25">
      <c r="B67" s="932"/>
      <c r="C67" s="932"/>
      <c r="D67" s="932"/>
      <c r="E67" s="932"/>
      <c r="F67" s="932"/>
      <c r="G67" s="932"/>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c r="AL67" s="932"/>
      <c r="AM67" s="932"/>
      <c r="AN67" s="932"/>
      <c r="AO67" s="932"/>
      <c r="AP67" s="932"/>
      <c r="AQ67" s="932"/>
      <c r="AR67" s="932"/>
      <c r="AS67" s="932"/>
      <c r="AT67" s="932"/>
      <c r="AU67" s="932"/>
      <c r="AV67" s="932"/>
      <c r="AW67" s="932"/>
      <c r="AX67" s="932"/>
      <c r="AY67" s="932"/>
      <c r="AZ67" s="932"/>
      <c r="BA67" s="932"/>
      <c r="BB67" s="932"/>
      <c r="BC67" s="932"/>
      <c r="BD67" s="932"/>
      <c r="BE67" s="932"/>
      <c r="BF67" s="932"/>
    </row>
    <row r="68" spans="2:58" ht="15" x14ac:dyDescent="0.25">
      <c r="B68" s="932"/>
      <c r="C68" s="932"/>
      <c r="D68" s="932"/>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c r="AL68" s="932"/>
      <c r="AM68" s="932"/>
      <c r="AN68" s="932"/>
      <c r="AO68" s="932"/>
      <c r="AP68" s="932"/>
      <c r="AQ68" s="932"/>
      <c r="AR68" s="932"/>
      <c r="AS68" s="932"/>
      <c r="AT68" s="932"/>
      <c r="AU68" s="932"/>
      <c r="AV68" s="932"/>
      <c r="AW68" s="932"/>
      <c r="AX68" s="932"/>
      <c r="AY68" s="932"/>
      <c r="AZ68" s="932"/>
      <c r="BA68" s="932"/>
      <c r="BB68" s="932"/>
      <c r="BC68" s="932"/>
      <c r="BD68" s="932"/>
      <c r="BE68" s="932"/>
      <c r="BF68" s="932"/>
    </row>
    <row r="69" spans="2:58" ht="15" x14ac:dyDescent="0.25">
      <c r="B69" s="932"/>
      <c r="C69" s="932"/>
      <c r="D69" s="932"/>
      <c r="E69" s="932"/>
      <c r="F69" s="932"/>
      <c r="G69" s="932"/>
      <c r="H69" s="932"/>
      <c r="I69" s="932"/>
      <c r="J69" s="932"/>
      <c r="K69" s="932"/>
      <c r="L69" s="932"/>
      <c r="M69" s="932"/>
      <c r="N69" s="932"/>
      <c r="O69" s="932"/>
      <c r="P69" s="932"/>
      <c r="Q69" s="932"/>
      <c r="R69" s="932"/>
      <c r="S69" s="932"/>
      <c r="T69" s="932"/>
      <c r="U69" s="932"/>
      <c r="V69" s="932"/>
      <c r="W69" s="932"/>
      <c r="X69" s="932"/>
      <c r="Y69" s="932"/>
      <c r="Z69" s="932"/>
      <c r="AA69" s="932"/>
      <c r="AB69" s="932"/>
      <c r="AC69" s="932"/>
      <c r="AD69" s="932"/>
      <c r="AE69" s="932"/>
      <c r="AF69" s="932"/>
      <c r="AG69" s="932"/>
      <c r="AH69" s="932"/>
      <c r="AI69" s="932"/>
      <c r="AJ69" s="932"/>
      <c r="AK69" s="932"/>
      <c r="AL69" s="932"/>
      <c r="AM69" s="932"/>
      <c r="AN69" s="932"/>
      <c r="AO69" s="932"/>
      <c r="AP69" s="932"/>
      <c r="AQ69" s="932"/>
      <c r="AR69" s="932"/>
      <c r="AS69" s="932"/>
      <c r="AT69" s="932"/>
      <c r="AU69" s="932"/>
      <c r="AV69" s="932"/>
      <c r="AW69" s="932"/>
      <c r="AX69" s="932"/>
      <c r="AY69" s="932"/>
      <c r="AZ69" s="932"/>
      <c r="BA69" s="932"/>
      <c r="BB69" s="932"/>
      <c r="BC69" s="932"/>
      <c r="BD69" s="932"/>
      <c r="BE69" s="932"/>
      <c r="BF69" s="932"/>
    </row>
    <row r="70" spans="2:58" ht="15" x14ac:dyDescent="0.25">
      <c r="B70" s="932"/>
      <c r="C70" s="932"/>
      <c r="D70" s="932"/>
      <c r="E70" s="932"/>
      <c r="F70" s="932"/>
      <c r="G70" s="932"/>
      <c r="H70" s="932"/>
      <c r="I70" s="932"/>
      <c r="J70" s="932"/>
      <c r="K70" s="932"/>
      <c r="L70" s="932"/>
      <c r="M70" s="932"/>
      <c r="N70" s="932"/>
      <c r="O70" s="932"/>
      <c r="P70" s="932"/>
      <c r="Q70" s="932"/>
      <c r="R70" s="932"/>
      <c r="S70" s="932"/>
      <c r="T70" s="932"/>
      <c r="U70" s="932"/>
      <c r="V70" s="932"/>
      <c r="W70" s="932"/>
      <c r="X70" s="932"/>
      <c r="Y70" s="932"/>
      <c r="Z70" s="932"/>
      <c r="AA70" s="932"/>
      <c r="AB70" s="932"/>
      <c r="AC70" s="932"/>
      <c r="AD70" s="932"/>
      <c r="AE70" s="932"/>
      <c r="AF70" s="932"/>
      <c r="AG70" s="932"/>
      <c r="AH70" s="932"/>
      <c r="AI70" s="932"/>
      <c r="AJ70" s="932"/>
      <c r="AK70" s="932"/>
      <c r="AL70" s="932"/>
      <c r="AM70" s="932"/>
      <c r="AN70" s="932"/>
      <c r="AO70" s="932"/>
      <c r="AP70" s="932"/>
      <c r="AQ70" s="932"/>
      <c r="AR70" s="932"/>
      <c r="AS70" s="932"/>
      <c r="AT70" s="932"/>
      <c r="AU70" s="932"/>
      <c r="AV70" s="932"/>
      <c r="AW70" s="932"/>
      <c r="AX70" s="932"/>
      <c r="AY70" s="932"/>
      <c r="AZ70" s="932"/>
      <c r="BA70" s="932"/>
      <c r="BB70" s="932"/>
      <c r="BC70" s="932"/>
      <c r="BD70" s="932"/>
      <c r="BE70" s="932"/>
      <c r="BF70" s="932"/>
    </row>
    <row r="71" spans="2:58" ht="15" x14ac:dyDescent="0.25">
      <c r="B71" s="932"/>
      <c r="C71" s="932"/>
      <c r="D71" s="93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2"/>
      <c r="AL71" s="932"/>
      <c r="AM71" s="932"/>
      <c r="AN71" s="932"/>
      <c r="AO71" s="932"/>
      <c r="AP71" s="932"/>
      <c r="AQ71" s="932"/>
      <c r="AR71" s="932"/>
      <c r="AS71" s="932"/>
      <c r="AT71" s="932"/>
      <c r="AU71" s="932"/>
      <c r="AV71" s="932"/>
      <c r="AW71" s="932"/>
      <c r="AX71" s="932"/>
      <c r="AY71" s="932"/>
      <c r="AZ71" s="932"/>
      <c r="BA71" s="932"/>
      <c r="BB71" s="932"/>
      <c r="BC71" s="932"/>
      <c r="BD71" s="932"/>
      <c r="BE71" s="932"/>
      <c r="BF71" s="932"/>
    </row>
    <row r="72" spans="2:58" ht="15" x14ac:dyDescent="0.25">
      <c r="B72" s="932"/>
      <c r="C72" s="932"/>
      <c r="D72" s="932"/>
      <c r="E72" s="932"/>
      <c r="F72" s="932"/>
      <c r="G72" s="932"/>
      <c r="H72" s="932"/>
      <c r="I72" s="932"/>
      <c r="J72" s="932"/>
      <c r="K72" s="932"/>
      <c r="L72" s="932"/>
      <c r="M72" s="932"/>
      <c r="N72" s="932"/>
      <c r="O72" s="932"/>
      <c r="P72" s="932"/>
      <c r="Q72" s="932"/>
      <c r="R72" s="932"/>
      <c r="S72" s="932"/>
      <c r="T72" s="932"/>
      <c r="U72" s="932"/>
      <c r="V72" s="932"/>
      <c r="W72" s="932"/>
      <c r="X72" s="932"/>
      <c r="Y72" s="932"/>
      <c r="Z72" s="932"/>
      <c r="AA72" s="932"/>
      <c r="AB72" s="932"/>
      <c r="AC72" s="932"/>
      <c r="AD72" s="932"/>
      <c r="AE72" s="932"/>
      <c r="AF72" s="932"/>
      <c r="AG72" s="932"/>
      <c r="AH72" s="932"/>
      <c r="AI72" s="932"/>
      <c r="AJ72" s="932"/>
      <c r="AK72" s="932"/>
      <c r="AL72" s="932"/>
      <c r="AM72" s="932"/>
      <c r="AN72" s="932"/>
      <c r="AO72" s="932"/>
      <c r="AP72" s="932"/>
      <c r="AQ72" s="932"/>
      <c r="AR72" s="932"/>
      <c r="AS72" s="932"/>
      <c r="AT72" s="932"/>
      <c r="AU72" s="932"/>
      <c r="AV72" s="932"/>
      <c r="AW72" s="932"/>
      <c r="AX72" s="932"/>
      <c r="AY72" s="932"/>
      <c r="AZ72" s="932"/>
      <c r="BA72" s="932"/>
      <c r="BB72" s="932"/>
      <c r="BC72" s="932"/>
      <c r="BD72" s="932"/>
      <c r="BE72" s="932"/>
      <c r="BF72" s="932"/>
    </row>
    <row r="73" spans="2:58" ht="15" x14ac:dyDescent="0.25">
      <c r="B73" s="932"/>
      <c r="C73" s="932"/>
      <c r="D73" s="932"/>
      <c r="E73" s="932"/>
      <c r="F73" s="932"/>
      <c r="G73" s="932"/>
      <c r="H73" s="932"/>
      <c r="I73" s="932"/>
      <c r="J73" s="932"/>
      <c r="K73" s="932"/>
      <c r="L73" s="932"/>
      <c r="M73" s="932"/>
      <c r="N73" s="932"/>
      <c r="O73" s="932"/>
      <c r="P73" s="932"/>
      <c r="Q73" s="932"/>
      <c r="R73" s="932"/>
      <c r="S73" s="932"/>
      <c r="T73" s="932"/>
      <c r="U73" s="932"/>
      <c r="V73" s="932"/>
      <c r="W73" s="932"/>
      <c r="X73" s="932"/>
      <c r="Y73" s="932"/>
      <c r="Z73" s="932"/>
      <c r="AA73" s="932"/>
      <c r="AB73" s="932"/>
      <c r="AC73" s="932"/>
      <c r="AD73" s="932"/>
      <c r="AE73" s="932"/>
      <c r="AF73" s="932"/>
      <c r="AG73" s="932"/>
      <c r="AH73" s="932"/>
      <c r="AI73" s="932"/>
      <c r="AJ73" s="932"/>
      <c r="AK73" s="932"/>
      <c r="AL73" s="932"/>
      <c r="AM73" s="932"/>
      <c r="AN73" s="932"/>
      <c r="AO73" s="932"/>
      <c r="AP73" s="932"/>
      <c r="AQ73" s="932"/>
      <c r="AR73" s="932"/>
      <c r="AS73" s="932"/>
      <c r="AT73" s="932"/>
      <c r="AU73" s="932"/>
      <c r="AV73" s="932"/>
      <c r="AW73" s="932"/>
      <c r="AX73" s="932"/>
      <c r="AY73" s="932"/>
      <c r="AZ73" s="932"/>
      <c r="BA73" s="932"/>
      <c r="BB73" s="932"/>
      <c r="BC73" s="932"/>
      <c r="BD73" s="932"/>
      <c r="BE73" s="932"/>
      <c r="BF73" s="932"/>
    </row>
    <row r="74" spans="2:58" ht="15" x14ac:dyDescent="0.25">
      <c r="B74" s="932"/>
      <c r="C74" s="932"/>
      <c r="D74" s="932"/>
      <c r="E74" s="932"/>
      <c r="F74" s="932"/>
      <c r="G74" s="932"/>
      <c r="H74" s="932"/>
      <c r="I74" s="932"/>
      <c r="J74" s="932"/>
      <c r="K74" s="932"/>
      <c r="L74" s="932"/>
      <c r="M74" s="932"/>
      <c r="N74" s="932"/>
      <c r="O74" s="932"/>
      <c r="P74" s="932"/>
      <c r="Q74" s="932"/>
      <c r="R74" s="932"/>
      <c r="S74" s="932"/>
      <c r="T74" s="932"/>
      <c r="U74" s="932"/>
      <c r="V74" s="932"/>
      <c r="W74" s="932"/>
      <c r="X74" s="932"/>
      <c r="Y74" s="932"/>
      <c r="Z74" s="932"/>
      <c r="AA74" s="932"/>
      <c r="AB74" s="932"/>
      <c r="AC74" s="932"/>
      <c r="AD74" s="932"/>
      <c r="AE74" s="932"/>
      <c r="AF74" s="932"/>
      <c r="AG74" s="932"/>
      <c r="AH74" s="932"/>
      <c r="AI74" s="932"/>
      <c r="AJ74" s="932"/>
      <c r="AK74" s="932"/>
      <c r="AL74" s="932"/>
      <c r="AM74" s="932"/>
      <c r="AN74" s="932"/>
      <c r="AO74" s="932"/>
      <c r="AP74" s="932"/>
      <c r="AQ74" s="932"/>
      <c r="AR74" s="932"/>
      <c r="AS74" s="932"/>
      <c r="AT74" s="932"/>
      <c r="AU74" s="932"/>
      <c r="AV74" s="932"/>
      <c r="AW74" s="932"/>
      <c r="AX74" s="932"/>
      <c r="AY74" s="932"/>
      <c r="AZ74" s="932"/>
      <c r="BA74" s="932"/>
      <c r="BB74" s="932"/>
      <c r="BC74" s="932"/>
      <c r="BD74" s="932"/>
      <c r="BE74" s="932"/>
      <c r="BF74" s="932"/>
    </row>
    <row r="75" spans="2:58" ht="15" x14ac:dyDescent="0.25">
      <c r="B75" s="932"/>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932"/>
      <c r="AI75" s="932"/>
      <c r="AJ75" s="932"/>
      <c r="AK75" s="932"/>
      <c r="AL75" s="932"/>
      <c r="AM75" s="932"/>
      <c r="AN75" s="932"/>
      <c r="AO75" s="932"/>
      <c r="AP75" s="932"/>
      <c r="AQ75" s="932"/>
      <c r="AR75" s="932"/>
      <c r="AS75" s="932"/>
      <c r="AT75" s="932"/>
      <c r="AU75" s="932"/>
      <c r="AV75" s="932"/>
      <c r="AW75" s="932"/>
      <c r="AX75" s="932"/>
      <c r="AY75" s="932"/>
      <c r="AZ75" s="932"/>
      <c r="BA75" s="932"/>
      <c r="BB75" s="932"/>
      <c r="BC75" s="932"/>
      <c r="BD75" s="932"/>
      <c r="BE75" s="932"/>
      <c r="BF75" s="932"/>
    </row>
    <row r="76" spans="2:58" ht="15" x14ac:dyDescent="0.25">
      <c r="B76" s="932"/>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c r="AL76" s="932"/>
      <c r="AM76" s="932"/>
      <c r="AN76" s="932"/>
      <c r="AO76" s="932"/>
      <c r="AP76" s="932"/>
      <c r="AQ76" s="932"/>
      <c r="AR76" s="932"/>
      <c r="AS76" s="932"/>
      <c r="AT76" s="932"/>
      <c r="AU76" s="932"/>
      <c r="AV76" s="932"/>
      <c r="AW76" s="932"/>
      <c r="AX76" s="932"/>
      <c r="AY76" s="932"/>
      <c r="AZ76" s="932"/>
      <c r="BA76" s="932"/>
      <c r="BB76" s="932"/>
      <c r="BC76" s="932"/>
      <c r="BD76" s="932"/>
      <c r="BE76" s="932"/>
      <c r="BF76" s="932"/>
    </row>
    <row r="77" spans="2:58" ht="15" x14ac:dyDescent="0.25">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c r="AL77" s="932"/>
      <c r="AM77" s="932"/>
      <c r="AN77" s="932"/>
      <c r="AO77" s="932"/>
      <c r="AP77" s="932"/>
      <c r="AQ77" s="932"/>
      <c r="AR77" s="932"/>
      <c r="AS77" s="932"/>
      <c r="AT77" s="932"/>
      <c r="AU77" s="932"/>
      <c r="AV77" s="932"/>
      <c r="AW77" s="932"/>
      <c r="AX77" s="932"/>
      <c r="AY77" s="932"/>
      <c r="AZ77" s="932"/>
      <c r="BA77" s="932"/>
      <c r="BB77" s="932"/>
      <c r="BC77" s="932"/>
      <c r="BD77" s="932"/>
      <c r="BE77" s="932"/>
      <c r="BF77" s="932"/>
    </row>
    <row r="78" spans="2:58" ht="15" x14ac:dyDescent="0.25">
      <c r="B78" s="932"/>
      <c r="C78" s="932"/>
      <c r="D78" s="932"/>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c r="AC78" s="932"/>
      <c r="AD78" s="932"/>
      <c r="AE78" s="932"/>
      <c r="AF78" s="932"/>
      <c r="AG78" s="932"/>
      <c r="AH78" s="932"/>
      <c r="AI78" s="932"/>
      <c r="AJ78" s="932"/>
      <c r="AK78" s="932"/>
      <c r="AL78" s="932"/>
      <c r="AM78" s="932"/>
      <c r="AN78" s="932"/>
      <c r="AO78" s="932"/>
      <c r="AP78" s="932"/>
      <c r="AQ78" s="932"/>
      <c r="AR78" s="932"/>
      <c r="AS78" s="932"/>
      <c r="AT78" s="932"/>
      <c r="AU78" s="932"/>
      <c r="AV78" s="932"/>
      <c r="AW78" s="932"/>
      <c r="AX78" s="932"/>
      <c r="AY78" s="932"/>
      <c r="AZ78" s="932"/>
      <c r="BA78" s="932"/>
      <c r="BB78" s="932"/>
      <c r="BC78" s="932"/>
      <c r="BD78" s="932"/>
      <c r="BE78" s="932"/>
      <c r="BF78" s="932"/>
    </row>
    <row r="79" spans="2:58" ht="15" x14ac:dyDescent="0.25">
      <c r="B79" s="932"/>
      <c r="C79" s="932"/>
      <c r="D79" s="932"/>
      <c r="E79" s="932"/>
      <c r="F79" s="932"/>
      <c r="G79" s="932"/>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c r="AL79" s="932"/>
      <c r="AM79" s="932"/>
      <c r="AN79" s="932"/>
      <c r="AO79" s="932"/>
      <c r="AP79" s="932"/>
      <c r="AQ79" s="932"/>
      <c r="AR79" s="932"/>
      <c r="AS79" s="932"/>
      <c r="AT79" s="932"/>
      <c r="AU79" s="932"/>
      <c r="AV79" s="932"/>
      <c r="AW79" s="932"/>
      <c r="AX79" s="932"/>
      <c r="AY79" s="932"/>
      <c r="AZ79" s="932"/>
      <c r="BA79" s="932"/>
      <c r="BB79" s="932"/>
      <c r="BC79" s="932"/>
      <c r="BD79" s="932"/>
      <c r="BE79" s="932"/>
      <c r="BF79" s="932"/>
    </row>
    <row r="80" spans="2:58" ht="15" x14ac:dyDescent="0.25">
      <c r="B80" s="932"/>
      <c r="C80" s="932"/>
      <c r="D80" s="932"/>
      <c r="E80" s="932"/>
      <c r="F80" s="932"/>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c r="AG80" s="932"/>
      <c r="AH80" s="932"/>
      <c r="AI80" s="932"/>
      <c r="AJ80" s="932"/>
      <c r="AK80" s="932"/>
      <c r="AL80" s="932"/>
      <c r="AM80" s="932"/>
      <c r="AN80" s="932"/>
      <c r="AO80" s="932"/>
      <c r="AP80" s="932"/>
      <c r="AQ80" s="932"/>
      <c r="AR80" s="932"/>
      <c r="AS80" s="932"/>
      <c r="AT80" s="932"/>
      <c r="AU80" s="932"/>
      <c r="AV80" s="932"/>
      <c r="AW80" s="932"/>
      <c r="AX80" s="932"/>
      <c r="AY80" s="932"/>
      <c r="AZ80" s="932"/>
      <c r="BA80" s="932"/>
      <c r="BB80" s="932"/>
      <c r="BC80" s="932"/>
      <c r="BD80" s="932"/>
      <c r="BE80" s="932"/>
      <c r="BF80" s="932"/>
    </row>
    <row r="81" spans="2:58" ht="15" x14ac:dyDescent="0.25">
      <c r="B81" s="932"/>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c r="AL81" s="932"/>
      <c r="AM81" s="932"/>
      <c r="AN81" s="932"/>
      <c r="AO81" s="932"/>
      <c r="AP81" s="932"/>
      <c r="AQ81" s="932"/>
      <c r="AR81" s="932"/>
      <c r="AS81" s="932"/>
      <c r="AT81" s="932"/>
      <c r="AU81" s="932"/>
      <c r="AV81" s="932"/>
      <c r="AW81" s="932"/>
      <c r="AX81" s="932"/>
      <c r="AY81" s="932"/>
      <c r="AZ81" s="932"/>
      <c r="BA81" s="932"/>
      <c r="BB81" s="932"/>
      <c r="BC81" s="932"/>
      <c r="BD81" s="932"/>
      <c r="BE81" s="932"/>
      <c r="BF81" s="932"/>
    </row>
    <row r="82" spans="2:58" ht="15" x14ac:dyDescent="0.25">
      <c r="B82" s="932"/>
      <c r="C82" s="932"/>
      <c r="D82" s="932"/>
      <c r="E82" s="932"/>
      <c r="F82" s="932"/>
      <c r="G82" s="932"/>
      <c r="H82" s="932"/>
      <c r="I82" s="932"/>
      <c r="J82" s="932"/>
      <c r="K82" s="932"/>
      <c r="L82" s="932"/>
      <c r="M82" s="932"/>
      <c r="N82" s="932"/>
      <c r="O82" s="932"/>
      <c r="P82" s="932"/>
      <c r="Q82" s="932"/>
      <c r="R82" s="932"/>
      <c r="S82" s="932"/>
      <c r="T82" s="932"/>
      <c r="U82" s="932"/>
      <c r="V82" s="932"/>
      <c r="W82" s="932"/>
      <c r="X82" s="932"/>
      <c r="Y82" s="932"/>
      <c r="Z82" s="932"/>
      <c r="AA82" s="932"/>
      <c r="AB82" s="932"/>
      <c r="AC82" s="932"/>
      <c r="AD82" s="932"/>
      <c r="AE82" s="932"/>
      <c r="AF82" s="932"/>
      <c r="AG82" s="932"/>
      <c r="AH82" s="932"/>
      <c r="AI82" s="932"/>
      <c r="AJ82" s="932"/>
      <c r="AK82" s="932"/>
      <c r="AL82" s="932"/>
      <c r="AM82" s="932"/>
      <c r="AN82" s="932"/>
      <c r="AO82" s="932"/>
      <c r="AP82" s="932"/>
      <c r="AQ82" s="932"/>
      <c r="AR82" s="932"/>
      <c r="AS82" s="932"/>
      <c r="AT82" s="932"/>
      <c r="AU82" s="932"/>
      <c r="AV82" s="932"/>
      <c r="AW82" s="932"/>
      <c r="AX82" s="932"/>
      <c r="AY82" s="932"/>
      <c r="AZ82" s="932"/>
      <c r="BA82" s="932"/>
      <c r="BB82" s="932"/>
      <c r="BC82" s="932"/>
      <c r="BD82" s="932"/>
      <c r="BE82" s="932"/>
      <c r="BF82" s="932"/>
    </row>
    <row r="83" spans="2:58" ht="15" x14ac:dyDescent="0.25">
      <c r="B83" s="932"/>
      <c r="C83" s="932"/>
      <c r="D83" s="932"/>
      <c r="E83" s="932"/>
      <c r="F83" s="932"/>
      <c r="G83" s="932"/>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c r="AL83" s="932"/>
      <c r="AM83" s="932"/>
      <c r="AN83" s="932"/>
      <c r="AO83" s="932"/>
      <c r="AP83" s="932"/>
      <c r="AQ83" s="932"/>
      <c r="AR83" s="932"/>
      <c r="AS83" s="932"/>
      <c r="AT83" s="932"/>
      <c r="AU83" s="932"/>
      <c r="AV83" s="932"/>
      <c r="AW83" s="932"/>
      <c r="AX83" s="932"/>
      <c r="AY83" s="932"/>
      <c r="AZ83" s="932"/>
      <c r="BA83" s="932"/>
      <c r="BB83" s="932"/>
      <c r="BC83" s="932"/>
      <c r="BD83" s="932"/>
      <c r="BE83" s="932"/>
      <c r="BF83" s="932"/>
    </row>
    <row r="84" spans="2:58" ht="15" x14ac:dyDescent="0.25">
      <c r="B84" s="932"/>
      <c r="C84" s="932"/>
      <c r="D84" s="932"/>
      <c r="E84" s="932"/>
      <c r="F84" s="932"/>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c r="AL84" s="932"/>
      <c r="AM84" s="932"/>
      <c r="AN84" s="932"/>
      <c r="AO84" s="932"/>
      <c r="AP84" s="932"/>
      <c r="AQ84" s="932"/>
      <c r="AR84" s="932"/>
      <c r="AS84" s="932"/>
      <c r="AT84" s="932"/>
      <c r="AU84" s="932"/>
      <c r="AV84" s="932"/>
      <c r="AW84" s="932"/>
      <c r="AX84" s="932"/>
      <c r="AY84" s="932"/>
      <c r="AZ84" s="932"/>
      <c r="BA84" s="932"/>
      <c r="BB84" s="932"/>
      <c r="BC84" s="932"/>
      <c r="BD84" s="932"/>
      <c r="BE84" s="932"/>
      <c r="BF84" s="932"/>
    </row>
    <row r="85" spans="2:58" ht="15" x14ac:dyDescent="0.25">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2"/>
      <c r="AF85" s="932"/>
      <c r="AG85" s="932"/>
      <c r="AH85" s="932"/>
      <c r="AI85" s="932"/>
      <c r="AJ85" s="932"/>
      <c r="AK85" s="932"/>
      <c r="AL85" s="932"/>
      <c r="AM85" s="932"/>
      <c r="AN85" s="932"/>
      <c r="AO85" s="932"/>
      <c r="AP85" s="932"/>
      <c r="AQ85" s="932"/>
      <c r="AR85" s="932"/>
      <c r="AS85" s="932"/>
      <c r="AT85" s="932"/>
      <c r="AU85" s="932"/>
      <c r="AV85" s="932"/>
      <c r="AW85" s="932"/>
      <c r="AX85" s="932"/>
      <c r="AY85" s="932"/>
      <c r="AZ85" s="932"/>
      <c r="BA85" s="932"/>
      <c r="BB85" s="932"/>
      <c r="BC85" s="932"/>
      <c r="BD85" s="932"/>
      <c r="BE85" s="932"/>
      <c r="BF85" s="932"/>
    </row>
    <row r="86" spans="2:58" ht="15" x14ac:dyDescent="0.25">
      <c r="B86" s="932"/>
      <c r="C86" s="932"/>
      <c r="D86" s="932"/>
      <c r="E86" s="932"/>
      <c r="F86" s="932"/>
      <c r="G86" s="932"/>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c r="AL86" s="932"/>
      <c r="AM86" s="932"/>
      <c r="AN86" s="932"/>
      <c r="AO86" s="932"/>
      <c r="AP86" s="932"/>
      <c r="AQ86" s="932"/>
      <c r="AR86" s="932"/>
      <c r="AS86" s="932"/>
      <c r="AT86" s="932"/>
      <c r="AU86" s="932"/>
      <c r="AV86" s="932"/>
      <c r="AW86" s="932"/>
      <c r="AX86" s="932"/>
      <c r="AY86" s="932"/>
      <c r="AZ86" s="932"/>
      <c r="BA86" s="932"/>
      <c r="BB86" s="932"/>
      <c r="BC86" s="932"/>
      <c r="BD86" s="932"/>
      <c r="BE86" s="932"/>
      <c r="BF86" s="932"/>
    </row>
    <row r="87" spans="2:58" ht="15" x14ac:dyDescent="0.25">
      <c r="B87" s="932"/>
      <c r="C87" s="932"/>
      <c r="D87" s="932"/>
      <c r="E87" s="932"/>
      <c r="F87" s="932"/>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c r="AL87" s="932"/>
      <c r="AM87" s="932"/>
      <c r="AN87" s="932"/>
      <c r="AO87" s="932"/>
      <c r="AP87" s="932"/>
      <c r="AQ87" s="932"/>
      <c r="AR87" s="932"/>
      <c r="AS87" s="932"/>
      <c r="AT87" s="932"/>
      <c r="AU87" s="932"/>
      <c r="AV87" s="932"/>
      <c r="AW87" s="932"/>
      <c r="AX87" s="932"/>
      <c r="AY87" s="932"/>
      <c r="AZ87" s="932"/>
      <c r="BA87" s="932"/>
      <c r="BB87" s="932"/>
      <c r="BC87" s="932"/>
      <c r="BD87" s="932"/>
      <c r="BE87" s="932"/>
      <c r="BF87" s="932"/>
    </row>
    <row r="88" spans="2:58" ht="15" x14ac:dyDescent="0.25">
      <c r="B88" s="932"/>
      <c r="C88" s="932"/>
      <c r="D88" s="932"/>
      <c r="E88" s="932"/>
      <c r="F88" s="932"/>
      <c r="G88" s="932"/>
      <c r="H88" s="932"/>
      <c r="I88" s="932"/>
      <c r="J88" s="932"/>
      <c r="K88" s="932"/>
      <c r="L88" s="932"/>
      <c r="M88" s="932"/>
      <c r="N88" s="932"/>
      <c r="O88" s="932"/>
      <c r="P88" s="932"/>
      <c r="Q88" s="932"/>
      <c r="R88" s="932"/>
      <c r="S88" s="932"/>
      <c r="T88" s="932"/>
      <c r="U88" s="932"/>
      <c r="V88" s="932"/>
      <c r="W88" s="932"/>
      <c r="X88" s="932"/>
      <c r="Y88" s="932"/>
      <c r="Z88" s="932"/>
      <c r="AA88" s="932"/>
      <c r="AB88" s="932"/>
      <c r="AC88" s="932"/>
      <c r="AD88" s="932"/>
      <c r="AE88" s="932"/>
      <c r="AF88" s="932"/>
      <c r="AG88" s="932"/>
      <c r="AH88" s="932"/>
      <c r="AI88" s="932"/>
      <c r="AJ88" s="932"/>
      <c r="AK88" s="932"/>
      <c r="AL88" s="932"/>
      <c r="AM88" s="932"/>
      <c r="AN88" s="932"/>
      <c r="AO88" s="932"/>
      <c r="AP88" s="932"/>
      <c r="AQ88" s="932"/>
      <c r="AR88" s="932"/>
      <c r="AS88" s="932"/>
      <c r="AT88" s="932"/>
      <c r="AU88" s="932"/>
      <c r="AV88" s="932"/>
      <c r="AW88" s="932"/>
      <c r="AX88" s="932"/>
      <c r="AY88" s="932"/>
      <c r="AZ88" s="932"/>
      <c r="BA88" s="932"/>
      <c r="BB88" s="932"/>
      <c r="BC88" s="932"/>
      <c r="BD88" s="932"/>
      <c r="BE88" s="932"/>
      <c r="BF88" s="932"/>
    </row>
    <row r="89" spans="2:58" ht="15" x14ac:dyDescent="0.25">
      <c r="B89" s="932"/>
      <c r="C89" s="932"/>
      <c r="D89" s="932"/>
      <c r="E89" s="932"/>
      <c r="F89" s="932"/>
      <c r="G89" s="932"/>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c r="AL89" s="932"/>
      <c r="AM89" s="932"/>
      <c r="AN89" s="932"/>
      <c r="AO89" s="932"/>
      <c r="AP89" s="932"/>
      <c r="AQ89" s="932"/>
      <c r="AR89" s="932"/>
      <c r="AS89" s="932"/>
      <c r="AT89" s="932"/>
      <c r="AU89" s="932"/>
      <c r="AV89" s="932"/>
      <c r="AW89" s="932"/>
      <c r="AX89" s="932"/>
      <c r="AY89" s="932"/>
      <c r="AZ89" s="932"/>
      <c r="BA89" s="932"/>
      <c r="BB89" s="932"/>
      <c r="BC89" s="932"/>
      <c r="BD89" s="932"/>
      <c r="BE89" s="932"/>
      <c r="BF89" s="932"/>
    </row>
    <row r="90" spans="2:58" ht="15" x14ac:dyDescent="0.25">
      <c r="B90" s="932"/>
      <c r="C90" s="932"/>
      <c r="D90" s="932"/>
      <c r="E90" s="932"/>
      <c r="F90" s="932"/>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c r="AL90" s="932"/>
      <c r="AM90" s="932"/>
      <c r="AN90" s="932"/>
      <c r="AO90" s="932"/>
      <c r="AP90" s="932"/>
      <c r="AQ90" s="932"/>
      <c r="AR90" s="932"/>
      <c r="AS90" s="932"/>
      <c r="AT90" s="932"/>
      <c r="AU90" s="932"/>
      <c r="AV90" s="932"/>
      <c r="AW90" s="932"/>
      <c r="AX90" s="932"/>
      <c r="AY90" s="932"/>
      <c r="AZ90" s="932"/>
      <c r="BA90" s="932"/>
      <c r="BB90" s="932"/>
      <c r="BC90" s="932"/>
      <c r="BD90" s="932"/>
      <c r="BE90" s="932"/>
      <c r="BF90" s="932"/>
    </row>
    <row r="91" spans="2:58" ht="15" x14ac:dyDescent="0.25">
      <c r="B91" s="932"/>
      <c r="C91" s="932"/>
      <c r="D91" s="932"/>
      <c r="E91" s="932"/>
      <c r="F91" s="932"/>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c r="AL91" s="932"/>
      <c r="AM91" s="932"/>
      <c r="AN91" s="932"/>
      <c r="AO91" s="932"/>
      <c r="AP91" s="932"/>
      <c r="AQ91" s="932"/>
      <c r="AR91" s="932"/>
      <c r="AS91" s="932"/>
      <c r="AT91" s="932"/>
      <c r="AU91" s="932"/>
      <c r="AV91" s="932"/>
      <c r="AW91" s="932"/>
      <c r="AX91" s="932"/>
      <c r="AY91" s="932"/>
      <c r="AZ91" s="932"/>
      <c r="BA91" s="932"/>
      <c r="BB91" s="932"/>
      <c r="BC91" s="932"/>
      <c r="BD91" s="932"/>
      <c r="BE91" s="932"/>
      <c r="BF91" s="932"/>
    </row>
    <row r="92" spans="2:58" ht="15" x14ac:dyDescent="0.25">
      <c r="B92" s="932"/>
      <c r="C92" s="932"/>
      <c r="D92" s="932"/>
      <c r="E92" s="932"/>
      <c r="F92" s="932"/>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c r="AG92" s="932"/>
      <c r="AH92" s="932"/>
      <c r="AI92" s="932"/>
      <c r="AJ92" s="932"/>
      <c r="AK92" s="932"/>
      <c r="AL92" s="932"/>
      <c r="AM92" s="932"/>
      <c r="AN92" s="932"/>
      <c r="AO92" s="932"/>
      <c r="AP92" s="932"/>
      <c r="AQ92" s="932"/>
      <c r="AR92" s="932"/>
      <c r="AS92" s="932"/>
      <c r="AT92" s="932"/>
      <c r="AU92" s="932"/>
      <c r="AV92" s="932"/>
      <c r="AW92" s="932"/>
      <c r="AX92" s="932"/>
      <c r="AY92" s="932"/>
      <c r="AZ92" s="932"/>
      <c r="BA92" s="932"/>
      <c r="BB92" s="932"/>
      <c r="BC92" s="932"/>
      <c r="BD92" s="932"/>
      <c r="BE92" s="932"/>
      <c r="BF92" s="932"/>
    </row>
    <row r="93" spans="2:58" ht="15" x14ac:dyDescent="0.25">
      <c r="B93" s="932"/>
      <c r="C93" s="932"/>
      <c r="D93" s="932"/>
      <c r="E93" s="932"/>
      <c r="F93" s="932"/>
      <c r="G93" s="932"/>
      <c r="H93" s="932"/>
      <c r="I93" s="932"/>
      <c r="J93" s="932"/>
      <c r="K93" s="932"/>
      <c r="L93" s="932"/>
      <c r="M93" s="932"/>
      <c r="N93" s="932"/>
      <c r="O93" s="932"/>
      <c r="P93" s="932"/>
      <c r="Q93" s="932"/>
      <c r="R93" s="932"/>
      <c r="S93" s="932"/>
      <c r="T93" s="932"/>
      <c r="U93" s="932"/>
      <c r="V93" s="932"/>
      <c r="W93" s="932"/>
      <c r="X93" s="932"/>
      <c r="Y93" s="932"/>
      <c r="Z93" s="932"/>
      <c r="AA93" s="932"/>
      <c r="AB93" s="932"/>
      <c r="AC93" s="932"/>
      <c r="AD93" s="932"/>
      <c r="AE93" s="932"/>
      <c r="AF93" s="932"/>
      <c r="AG93" s="932"/>
      <c r="AH93" s="932"/>
      <c r="AI93" s="932"/>
      <c r="AJ93" s="932"/>
      <c r="AK93" s="932"/>
      <c r="AL93" s="932"/>
      <c r="AM93" s="932"/>
      <c r="AN93" s="932"/>
      <c r="AO93" s="932"/>
      <c r="AP93" s="932"/>
      <c r="AQ93" s="932"/>
      <c r="AR93" s="932"/>
      <c r="AS93" s="932"/>
      <c r="AT93" s="932"/>
      <c r="AU93" s="932"/>
      <c r="AV93" s="932"/>
      <c r="AW93" s="932"/>
      <c r="AX93" s="932"/>
      <c r="AY93" s="932"/>
      <c r="AZ93" s="932"/>
      <c r="BA93" s="932"/>
      <c r="BB93" s="932"/>
      <c r="BC93" s="932"/>
      <c r="BD93" s="932"/>
      <c r="BE93" s="932"/>
      <c r="BF93" s="932"/>
    </row>
    <row r="94" spans="2:58" ht="15" x14ac:dyDescent="0.25">
      <c r="B94" s="932"/>
      <c r="C94" s="932"/>
      <c r="D94" s="932"/>
      <c r="E94" s="932"/>
      <c r="F94" s="932"/>
      <c r="G94" s="932"/>
      <c r="H94" s="932"/>
      <c r="I94" s="932"/>
      <c r="J94" s="932"/>
      <c r="K94" s="932"/>
      <c r="L94" s="932"/>
      <c r="M94" s="932"/>
      <c r="N94" s="932"/>
      <c r="O94" s="932"/>
      <c r="P94" s="932"/>
      <c r="Q94" s="932"/>
      <c r="R94" s="932"/>
      <c r="S94" s="932"/>
      <c r="T94" s="932"/>
      <c r="U94" s="932"/>
      <c r="V94" s="932"/>
      <c r="W94" s="932"/>
      <c r="X94" s="932"/>
      <c r="Y94" s="932"/>
      <c r="Z94" s="932"/>
      <c r="AA94" s="932"/>
      <c r="AB94" s="932"/>
      <c r="AC94" s="932"/>
      <c r="AD94" s="932"/>
      <c r="AE94" s="932"/>
      <c r="AF94" s="932"/>
      <c r="AG94" s="932"/>
      <c r="AH94" s="932"/>
      <c r="AI94" s="932"/>
      <c r="AJ94" s="932"/>
      <c r="AK94" s="932"/>
      <c r="AL94" s="932"/>
      <c r="AM94" s="932"/>
      <c r="AN94" s="932"/>
      <c r="AO94" s="932"/>
      <c r="AP94" s="932"/>
      <c r="AQ94" s="932"/>
      <c r="AR94" s="932"/>
      <c r="AS94" s="932"/>
      <c r="AT94" s="932"/>
      <c r="AU94" s="932"/>
      <c r="AV94" s="932"/>
      <c r="AW94" s="932"/>
      <c r="AX94" s="932"/>
      <c r="AY94" s="932"/>
      <c r="AZ94" s="932"/>
      <c r="BA94" s="932"/>
      <c r="BB94" s="932"/>
      <c r="BC94" s="932"/>
      <c r="BD94" s="932"/>
      <c r="BE94" s="932"/>
      <c r="BF94" s="932"/>
    </row>
    <row r="95" spans="2:58" ht="15" x14ac:dyDescent="0.25">
      <c r="B95" s="932"/>
      <c r="C95" s="932"/>
      <c r="D95" s="932"/>
      <c r="E95" s="932"/>
      <c r="F95" s="932"/>
      <c r="G95" s="932"/>
      <c r="H95" s="932"/>
      <c r="I95" s="932"/>
      <c r="J95" s="932"/>
      <c r="K95" s="932"/>
      <c r="L95" s="932"/>
      <c r="M95" s="932"/>
      <c r="N95" s="932"/>
      <c r="O95" s="932"/>
      <c r="P95" s="932"/>
      <c r="Q95" s="932"/>
      <c r="R95" s="932"/>
      <c r="S95" s="932"/>
      <c r="T95" s="932"/>
      <c r="U95" s="932"/>
      <c r="V95" s="932"/>
      <c r="W95" s="932"/>
      <c r="X95" s="932"/>
      <c r="Y95" s="932"/>
      <c r="Z95" s="932"/>
      <c r="AA95" s="932"/>
      <c r="AB95" s="932"/>
      <c r="AC95" s="932"/>
      <c r="AD95" s="932"/>
      <c r="AE95" s="932"/>
      <c r="AF95" s="932"/>
      <c r="AG95" s="932"/>
      <c r="AH95" s="932"/>
      <c r="AI95" s="932"/>
      <c r="AJ95" s="932"/>
      <c r="AK95" s="932"/>
      <c r="AL95" s="932"/>
      <c r="AM95" s="932"/>
      <c r="AN95" s="932"/>
      <c r="AO95" s="932"/>
      <c r="AP95" s="932"/>
      <c r="AQ95" s="932"/>
      <c r="AR95" s="932"/>
      <c r="AS95" s="932"/>
      <c r="AT95" s="932"/>
      <c r="AU95" s="932"/>
      <c r="AV95" s="932"/>
      <c r="AW95" s="932"/>
      <c r="AX95" s="932"/>
      <c r="AY95" s="932"/>
      <c r="AZ95" s="932"/>
      <c r="BA95" s="932"/>
      <c r="BB95" s="932"/>
      <c r="BC95" s="932"/>
      <c r="BD95" s="932"/>
      <c r="BE95" s="932"/>
      <c r="BF95" s="932"/>
    </row>
    <row r="96" spans="2:58" ht="15" x14ac:dyDescent="0.25">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2"/>
      <c r="AF96" s="932"/>
      <c r="AG96" s="932"/>
      <c r="AH96" s="932"/>
      <c r="AI96" s="932"/>
      <c r="AJ96" s="932"/>
      <c r="AK96" s="932"/>
      <c r="AL96" s="932"/>
      <c r="AM96" s="932"/>
      <c r="AN96" s="932"/>
      <c r="AO96" s="932"/>
      <c r="AP96" s="932"/>
      <c r="AQ96" s="932"/>
      <c r="AR96" s="932"/>
      <c r="AS96" s="932"/>
      <c r="AT96" s="932"/>
      <c r="AU96" s="932"/>
      <c r="AV96" s="932"/>
      <c r="AW96" s="932"/>
      <c r="AX96" s="932"/>
      <c r="AY96" s="932"/>
      <c r="AZ96" s="932"/>
      <c r="BA96" s="932"/>
      <c r="BB96" s="932"/>
      <c r="BC96" s="932"/>
      <c r="BD96" s="932"/>
      <c r="BE96" s="932"/>
      <c r="BF96" s="932"/>
    </row>
    <row r="97" spans="2:58" ht="15" x14ac:dyDescent="0.25">
      <c r="B97" s="932"/>
      <c r="C97" s="932"/>
      <c r="D97" s="932"/>
      <c r="E97" s="932"/>
      <c r="F97" s="932"/>
      <c r="G97" s="932"/>
      <c r="H97" s="932"/>
      <c r="I97" s="932"/>
      <c r="J97" s="932"/>
      <c r="K97" s="932"/>
      <c r="L97" s="932"/>
      <c r="M97" s="932"/>
      <c r="N97" s="932"/>
      <c r="O97" s="932"/>
      <c r="P97" s="932"/>
      <c r="Q97" s="932"/>
      <c r="R97" s="932"/>
      <c r="S97" s="932"/>
      <c r="T97" s="932"/>
      <c r="U97" s="932"/>
      <c r="V97" s="932"/>
      <c r="W97" s="932"/>
      <c r="X97" s="932"/>
      <c r="Y97" s="932"/>
      <c r="Z97" s="932"/>
      <c r="AA97" s="932"/>
      <c r="AB97" s="932"/>
      <c r="AC97" s="932"/>
      <c r="AD97" s="932"/>
      <c r="AE97" s="932"/>
      <c r="AF97" s="932"/>
      <c r="AG97" s="932"/>
      <c r="AH97" s="932"/>
      <c r="AI97" s="932"/>
      <c r="AJ97" s="932"/>
      <c r="AK97" s="932"/>
      <c r="AL97" s="932"/>
      <c r="AM97" s="932"/>
      <c r="AN97" s="932"/>
      <c r="AO97" s="932"/>
      <c r="AP97" s="932"/>
      <c r="AQ97" s="932"/>
      <c r="AR97" s="932"/>
      <c r="AS97" s="932"/>
      <c r="AT97" s="932"/>
      <c r="AU97" s="932"/>
      <c r="AV97" s="932"/>
      <c r="AW97" s="932"/>
      <c r="AX97" s="932"/>
      <c r="AY97" s="932"/>
      <c r="AZ97" s="932"/>
      <c r="BA97" s="932"/>
      <c r="BB97" s="932"/>
      <c r="BC97" s="932"/>
      <c r="BD97" s="932"/>
      <c r="BE97" s="932"/>
      <c r="BF97" s="932"/>
    </row>
    <row r="98" spans="2:58" ht="15" x14ac:dyDescent="0.25">
      <c r="B98" s="932"/>
      <c r="C98" s="932"/>
      <c r="D98" s="932"/>
      <c r="E98" s="932"/>
      <c r="F98" s="932"/>
      <c r="G98" s="932"/>
      <c r="H98" s="932"/>
      <c r="I98" s="932"/>
      <c r="J98" s="932"/>
      <c r="K98" s="932"/>
      <c r="L98" s="932"/>
      <c r="M98" s="932"/>
      <c r="N98" s="932"/>
      <c r="O98" s="932"/>
      <c r="P98" s="932"/>
      <c r="Q98" s="932"/>
      <c r="R98" s="932"/>
      <c r="S98" s="932"/>
      <c r="T98" s="932"/>
      <c r="U98" s="932"/>
      <c r="V98" s="932"/>
      <c r="W98" s="932"/>
      <c r="X98" s="932"/>
      <c r="Y98" s="932"/>
      <c r="Z98" s="932"/>
      <c r="AA98" s="932"/>
      <c r="AB98" s="932"/>
      <c r="AC98" s="932"/>
      <c r="AD98" s="932"/>
      <c r="AE98" s="932"/>
      <c r="AF98" s="932"/>
      <c r="AG98" s="932"/>
      <c r="AH98" s="932"/>
      <c r="AI98" s="932"/>
      <c r="AJ98" s="932"/>
      <c r="AK98" s="932"/>
      <c r="AL98" s="932"/>
      <c r="AM98" s="932"/>
      <c r="AN98" s="932"/>
      <c r="AO98" s="932"/>
      <c r="AP98" s="932"/>
      <c r="AQ98" s="932"/>
      <c r="AR98" s="932"/>
      <c r="AS98" s="932"/>
      <c r="AT98" s="932"/>
      <c r="AU98" s="932"/>
      <c r="AV98" s="932"/>
      <c r="AW98" s="932"/>
      <c r="AX98" s="932"/>
      <c r="AY98" s="932"/>
      <c r="AZ98" s="932"/>
      <c r="BA98" s="932"/>
      <c r="BB98" s="932"/>
      <c r="BC98" s="932"/>
      <c r="BD98" s="932"/>
      <c r="BE98" s="932"/>
      <c r="BF98" s="932"/>
    </row>
    <row r="99" spans="2:58" ht="15" x14ac:dyDescent="0.25">
      <c r="B99" s="932"/>
      <c r="C99" s="932"/>
      <c r="D99" s="932"/>
      <c r="E99" s="932"/>
      <c r="F99" s="932"/>
      <c r="G99" s="932"/>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c r="AG99" s="932"/>
      <c r="AH99" s="932"/>
      <c r="AI99" s="932"/>
      <c r="AJ99" s="932"/>
      <c r="AK99" s="932"/>
      <c r="AL99" s="932"/>
      <c r="AM99" s="932"/>
      <c r="AN99" s="932"/>
      <c r="AO99" s="932"/>
      <c r="AP99" s="932"/>
      <c r="AQ99" s="932"/>
      <c r="AR99" s="932"/>
      <c r="AS99" s="932"/>
      <c r="AT99" s="932"/>
      <c r="AU99" s="932"/>
      <c r="AV99" s="932"/>
      <c r="AW99" s="932"/>
      <c r="AX99" s="932"/>
      <c r="AY99" s="932"/>
      <c r="AZ99" s="932"/>
      <c r="BA99" s="932"/>
      <c r="BB99" s="932"/>
      <c r="BC99" s="932"/>
      <c r="BD99" s="932"/>
      <c r="BE99" s="932"/>
      <c r="BF99" s="932"/>
    </row>
    <row r="100" spans="2:58" ht="15" x14ac:dyDescent="0.25">
      <c r="B100" s="932"/>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c r="AL100" s="932"/>
      <c r="AM100" s="932"/>
      <c r="AN100" s="932"/>
      <c r="AO100" s="932"/>
      <c r="AP100" s="932"/>
      <c r="AQ100" s="932"/>
      <c r="AR100" s="932"/>
      <c r="AS100" s="932"/>
      <c r="AT100" s="932"/>
      <c r="AU100" s="932"/>
      <c r="AV100" s="932"/>
      <c r="AW100" s="932"/>
      <c r="AX100" s="932"/>
      <c r="AY100" s="932"/>
      <c r="AZ100" s="932"/>
      <c r="BA100" s="932"/>
      <c r="BB100" s="932"/>
      <c r="BC100" s="932"/>
      <c r="BD100" s="932"/>
      <c r="BE100" s="932"/>
      <c r="BF100" s="932"/>
    </row>
    <row r="101" spans="2:58" ht="15" x14ac:dyDescent="0.25">
      <c r="B101" s="932"/>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932"/>
      <c r="AF101" s="932"/>
      <c r="AG101" s="932"/>
      <c r="AH101" s="932"/>
      <c r="AI101" s="932"/>
      <c r="AJ101" s="932"/>
      <c r="AK101" s="932"/>
      <c r="AL101" s="932"/>
      <c r="AM101" s="932"/>
      <c r="AN101" s="932"/>
      <c r="AO101" s="932"/>
      <c r="AP101" s="932"/>
      <c r="AQ101" s="932"/>
      <c r="AR101" s="932"/>
      <c r="AS101" s="932"/>
      <c r="AT101" s="932"/>
      <c r="AU101" s="932"/>
      <c r="AV101" s="932"/>
      <c r="AW101" s="932"/>
      <c r="AX101" s="932"/>
      <c r="AY101" s="932"/>
      <c r="AZ101" s="932"/>
      <c r="BA101" s="932"/>
      <c r="BB101" s="932"/>
      <c r="BC101" s="932"/>
      <c r="BD101" s="932"/>
      <c r="BE101" s="932"/>
      <c r="BF101" s="932"/>
    </row>
    <row r="102" spans="2:58" ht="15" x14ac:dyDescent="0.25">
      <c r="B102" s="932"/>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c r="AL102" s="932"/>
      <c r="AM102" s="932"/>
      <c r="AN102" s="932"/>
      <c r="AO102" s="932"/>
      <c r="AP102" s="932"/>
      <c r="AQ102" s="932"/>
      <c r="AR102" s="932"/>
      <c r="AS102" s="932"/>
      <c r="AT102" s="932"/>
      <c r="AU102" s="932"/>
      <c r="AV102" s="932"/>
      <c r="AW102" s="932"/>
      <c r="AX102" s="932"/>
      <c r="AY102" s="932"/>
      <c r="AZ102" s="932"/>
      <c r="BA102" s="932"/>
      <c r="BB102" s="932"/>
      <c r="BC102" s="932"/>
      <c r="BD102" s="932"/>
      <c r="BE102" s="932"/>
      <c r="BF102" s="932"/>
    </row>
    <row r="103" spans="2:58" ht="15" x14ac:dyDescent="0.25">
      <c r="B103" s="932"/>
      <c r="C103" s="932"/>
      <c r="D103" s="932"/>
      <c r="E103" s="932"/>
      <c r="F103" s="932"/>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c r="AL103" s="932"/>
      <c r="AM103" s="932"/>
      <c r="AN103" s="932"/>
      <c r="AO103" s="932"/>
      <c r="AP103" s="932"/>
      <c r="AQ103" s="932"/>
      <c r="AR103" s="932"/>
      <c r="AS103" s="932"/>
      <c r="AT103" s="932"/>
      <c r="AU103" s="932"/>
      <c r="AV103" s="932"/>
      <c r="AW103" s="932"/>
      <c r="AX103" s="932"/>
      <c r="AY103" s="932"/>
      <c r="AZ103" s="932"/>
      <c r="BA103" s="932"/>
      <c r="BB103" s="932"/>
      <c r="BC103" s="932"/>
      <c r="BD103" s="932"/>
      <c r="BE103" s="932"/>
      <c r="BF103" s="932"/>
    </row>
    <row r="104" spans="2:58" ht="15" x14ac:dyDescent="0.25">
      <c r="B104" s="932"/>
      <c r="C104" s="932"/>
      <c r="D104" s="932"/>
      <c r="E104" s="932"/>
      <c r="F104" s="932"/>
      <c r="G104" s="932"/>
      <c r="H104" s="932"/>
      <c r="I104" s="932"/>
      <c r="J104" s="932"/>
      <c r="K104" s="932"/>
      <c r="L104" s="932"/>
      <c r="M104" s="932"/>
      <c r="N104" s="932"/>
      <c r="O104" s="932"/>
      <c r="P104" s="932"/>
      <c r="Q104" s="932"/>
      <c r="R104" s="932"/>
      <c r="S104" s="932"/>
      <c r="T104" s="932"/>
      <c r="U104" s="932"/>
      <c r="V104" s="932"/>
      <c r="W104" s="932"/>
      <c r="X104" s="932"/>
      <c r="Y104" s="932"/>
      <c r="Z104" s="932"/>
      <c r="AA104" s="932"/>
      <c r="AB104" s="932"/>
      <c r="AC104" s="932"/>
      <c r="AD104" s="932"/>
      <c r="AE104" s="932"/>
      <c r="AF104" s="932"/>
      <c r="AG104" s="932"/>
      <c r="AH104" s="932"/>
      <c r="AI104" s="932"/>
      <c r="AJ104" s="932"/>
      <c r="AK104" s="932"/>
      <c r="AL104" s="932"/>
      <c r="AM104" s="932"/>
      <c r="AN104" s="932"/>
      <c r="AO104" s="932"/>
      <c r="AP104" s="932"/>
      <c r="AQ104" s="932"/>
      <c r="AR104" s="932"/>
      <c r="AS104" s="932"/>
      <c r="AT104" s="932"/>
      <c r="AU104" s="932"/>
      <c r="AV104" s="932"/>
      <c r="AW104" s="932"/>
      <c r="AX104" s="932"/>
      <c r="AY104" s="932"/>
      <c r="AZ104" s="932"/>
      <c r="BA104" s="932"/>
      <c r="BB104" s="932"/>
      <c r="BC104" s="932"/>
      <c r="BD104" s="932"/>
      <c r="BE104" s="932"/>
      <c r="BF104" s="932"/>
    </row>
    <row r="105" spans="2:58" ht="15" x14ac:dyDescent="0.25">
      <c r="B105" s="932"/>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c r="AL105" s="932"/>
      <c r="AM105" s="932"/>
      <c r="AN105" s="932"/>
      <c r="AO105" s="932"/>
      <c r="AP105" s="932"/>
      <c r="AQ105" s="932"/>
      <c r="AR105" s="932"/>
      <c r="AS105" s="932"/>
      <c r="AT105" s="932"/>
      <c r="AU105" s="932"/>
      <c r="AV105" s="932"/>
      <c r="AW105" s="932"/>
      <c r="AX105" s="932"/>
      <c r="AY105" s="932"/>
      <c r="AZ105" s="932"/>
      <c r="BA105" s="932"/>
      <c r="BB105" s="932"/>
      <c r="BC105" s="932"/>
      <c r="BD105" s="932"/>
      <c r="BE105" s="932"/>
      <c r="BF105" s="932"/>
    </row>
    <row r="106" spans="2:58" ht="15" x14ac:dyDescent="0.25">
      <c r="B106" s="932"/>
      <c r="C106" s="932"/>
      <c r="D106" s="932"/>
      <c r="E106" s="932"/>
      <c r="F106" s="932"/>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c r="AL106" s="932"/>
      <c r="AM106" s="932"/>
      <c r="AN106" s="932"/>
      <c r="AO106" s="932"/>
      <c r="AP106" s="932"/>
      <c r="AQ106" s="932"/>
      <c r="AR106" s="932"/>
      <c r="AS106" s="932"/>
      <c r="AT106" s="932"/>
      <c r="AU106" s="932"/>
      <c r="AV106" s="932"/>
      <c r="AW106" s="932"/>
      <c r="AX106" s="932"/>
      <c r="AY106" s="932"/>
      <c r="AZ106" s="932"/>
      <c r="BA106" s="932"/>
      <c r="BB106" s="932"/>
      <c r="BC106" s="932"/>
      <c r="BD106" s="932"/>
      <c r="BE106" s="932"/>
      <c r="BF106" s="932"/>
    </row>
    <row r="107" spans="2:58" ht="15" x14ac:dyDescent="0.25">
      <c r="B107" s="932"/>
      <c r="C107" s="932"/>
      <c r="D107" s="932"/>
      <c r="E107" s="932"/>
      <c r="F107" s="932"/>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c r="AJ107" s="932"/>
      <c r="AK107" s="932"/>
      <c r="AL107" s="932"/>
      <c r="AM107" s="932"/>
      <c r="AN107" s="932"/>
      <c r="AO107" s="932"/>
      <c r="AP107" s="932"/>
      <c r="AQ107" s="932"/>
      <c r="AR107" s="932"/>
      <c r="AS107" s="932"/>
      <c r="AT107" s="932"/>
      <c r="AU107" s="932"/>
      <c r="AV107" s="932"/>
      <c r="AW107" s="932"/>
      <c r="AX107" s="932"/>
      <c r="AY107" s="932"/>
      <c r="AZ107" s="932"/>
      <c r="BA107" s="932"/>
      <c r="BB107" s="932"/>
      <c r="BC107" s="932"/>
      <c r="BD107" s="932"/>
      <c r="BE107" s="932"/>
      <c r="BF107" s="932"/>
    </row>
    <row r="108" spans="2:58" ht="15" x14ac:dyDescent="0.25">
      <c r="B108" s="932"/>
      <c r="C108" s="932"/>
      <c r="D108" s="932"/>
      <c r="E108" s="932"/>
      <c r="F108" s="932"/>
      <c r="G108" s="932"/>
      <c r="H108" s="932"/>
      <c r="I108" s="932"/>
      <c r="J108" s="932"/>
      <c r="K108" s="932"/>
      <c r="L108" s="932"/>
      <c r="M108" s="932"/>
      <c r="N108" s="932"/>
      <c r="O108" s="932"/>
      <c r="P108" s="932"/>
      <c r="Q108" s="932"/>
      <c r="R108" s="932"/>
      <c r="S108" s="932"/>
      <c r="T108" s="932"/>
      <c r="U108" s="932"/>
      <c r="V108" s="932"/>
      <c r="W108" s="932"/>
      <c r="X108" s="932"/>
      <c r="Y108" s="932"/>
      <c r="Z108" s="932"/>
      <c r="AA108" s="932"/>
      <c r="AB108" s="932"/>
      <c r="AC108" s="932"/>
      <c r="AD108" s="932"/>
      <c r="AE108" s="932"/>
      <c r="AF108" s="932"/>
      <c r="AG108" s="932"/>
      <c r="AH108" s="932"/>
      <c r="AI108" s="932"/>
      <c r="AJ108" s="932"/>
      <c r="AK108" s="932"/>
      <c r="AL108" s="932"/>
      <c r="AM108" s="932"/>
      <c r="AN108" s="932"/>
      <c r="AO108" s="932"/>
      <c r="AP108" s="932"/>
      <c r="AQ108" s="932"/>
      <c r="AR108" s="932"/>
      <c r="AS108" s="932"/>
      <c r="AT108" s="932"/>
      <c r="AU108" s="932"/>
      <c r="AV108" s="932"/>
      <c r="AW108" s="932"/>
      <c r="AX108" s="932"/>
      <c r="AY108" s="932"/>
      <c r="AZ108" s="932"/>
      <c r="BA108" s="932"/>
      <c r="BB108" s="932"/>
      <c r="BC108" s="932"/>
      <c r="BD108" s="932"/>
      <c r="BE108" s="932"/>
      <c r="BF108" s="932"/>
    </row>
    <row r="109" spans="2:58" ht="15" x14ac:dyDescent="0.25">
      <c r="B109" s="932"/>
      <c r="C109" s="932"/>
      <c r="D109" s="932"/>
      <c r="E109" s="932"/>
      <c r="F109" s="932"/>
      <c r="G109" s="932"/>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c r="AG109" s="932"/>
      <c r="AH109" s="932"/>
      <c r="AI109" s="932"/>
      <c r="AJ109" s="932"/>
      <c r="AK109" s="932"/>
      <c r="AL109" s="932"/>
      <c r="AM109" s="932"/>
      <c r="AN109" s="932"/>
      <c r="AO109" s="932"/>
      <c r="AP109" s="932"/>
      <c r="AQ109" s="932"/>
      <c r="AR109" s="932"/>
      <c r="AS109" s="932"/>
      <c r="AT109" s="932"/>
      <c r="AU109" s="932"/>
      <c r="AV109" s="932"/>
      <c r="AW109" s="932"/>
      <c r="AX109" s="932"/>
      <c r="AY109" s="932"/>
      <c r="AZ109" s="932"/>
      <c r="BA109" s="932"/>
      <c r="BB109" s="932"/>
      <c r="BC109" s="932"/>
      <c r="BD109" s="932"/>
      <c r="BE109" s="932"/>
      <c r="BF109" s="932"/>
    </row>
    <row r="110" spans="2:58" ht="15" x14ac:dyDescent="0.25">
      <c r="B110" s="932"/>
      <c r="C110" s="932"/>
      <c r="D110" s="932"/>
      <c r="E110" s="932"/>
      <c r="F110" s="932"/>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c r="AL110" s="932"/>
      <c r="AM110" s="932"/>
      <c r="AN110" s="932"/>
      <c r="AO110" s="932"/>
      <c r="AP110" s="932"/>
      <c r="AQ110" s="932"/>
      <c r="AR110" s="932"/>
      <c r="AS110" s="932"/>
      <c r="AT110" s="932"/>
      <c r="AU110" s="932"/>
      <c r="AV110" s="932"/>
      <c r="AW110" s="932"/>
      <c r="AX110" s="932"/>
      <c r="AY110" s="932"/>
      <c r="AZ110" s="932"/>
      <c r="BA110" s="932"/>
      <c r="BB110" s="932"/>
      <c r="BC110" s="932"/>
      <c r="BD110" s="932"/>
      <c r="BE110" s="932"/>
      <c r="BF110" s="932"/>
    </row>
    <row r="111" spans="2:58" ht="15" x14ac:dyDescent="0.25">
      <c r="B111" s="932"/>
      <c r="C111" s="932"/>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c r="AC111" s="932"/>
      <c r="AD111" s="932"/>
      <c r="AE111" s="932"/>
      <c r="AF111" s="932"/>
      <c r="AG111" s="932"/>
      <c r="AH111" s="932"/>
      <c r="AI111" s="932"/>
      <c r="AJ111" s="932"/>
      <c r="AK111" s="932"/>
      <c r="AL111" s="932"/>
      <c r="AM111" s="932"/>
      <c r="AN111" s="932"/>
      <c r="AO111" s="932"/>
      <c r="AP111" s="932"/>
      <c r="AQ111" s="932"/>
      <c r="AR111" s="932"/>
      <c r="AS111" s="932"/>
      <c r="AT111" s="932"/>
      <c r="AU111" s="932"/>
      <c r="AV111" s="932"/>
      <c r="AW111" s="932"/>
      <c r="AX111" s="932"/>
      <c r="AY111" s="932"/>
      <c r="AZ111" s="932"/>
      <c r="BA111" s="932"/>
      <c r="BB111" s="932"/>
      <c r="BC111" s="932"/>
      <c r="BD111" s="932"/>
      <c r="BE111" s="932"/>
      <c r="BF111" s="932"/>
    </row>
    <row r="112" spans="2:58" ht="15" x14ac:dyDescent="0.25">
      <c r="B112" s="932"/>
      <c r="C112" s="932"/>
      <c r="D112" s="932"/>
      <c r="E112" s="932"/>
      <c r="F112" s="932"/>
      <c r="G112" s="932"/>
      <c r="H112" s="932"/>
      <c r="I112" s="932"/>
      <c r="J112" s="932"/>
      <c r="K112" s="932"/>
      <c r="L112" s="932"/>
      <c r="M112" s="932"/>
      <c r="N112" s="932"/>
      <c r="O112" s="932"/>
      <c r="P112" s="932"/>
      <c r="Q112" s="932"/>
      <c r="R112" s="932"/>
      <c r="S112" s="932"/>
      <c r="T112" s="932"/>
      <c r="U112" s="932"/>
      <c r="V112" s="932"/>
      <c r="W112" s="932"/>
      <c r="X112" s="932"/>
      <c r="Y112" s="932"/>
      <c r="Z112" s="932"/>
      <c r="AA112" s="932"/>
      <c r="AB112" s="932"/>
      <c r="AC112" s="932"/>
      <c r="AD112" s="932"/>
      <c r="AE112" s="932"/>
      <c r="AF112" s="932"/>
      <c r="AG112" s="932"/>
      <c r="AH112" s="932"/>
      <c r="AI112" s="932"/>
      <c r="AJ112" s="932"/>
      <c r="AK112" s="932"/>
      <c r="AL112" s="932"/>
      <c r="AM112" s="932"/>
      <c r="AN112" s="932"/>
      <c r="AO112" s="932"/>
      <c r="AP112" s="932"/>
      <c r="AQ112" s="932"/>
      <c r="AR112" s="932"/>
      <c r="AS112" s="932"/>
      <c r="AT112" s="932"/>
      <c r="AU112" s="932"/>
      <c r="AV112" s="932"/>
      <c r="AW112" s="932"/>
      <c r="AX112" s="932"/>
      <c r="AY112" s="932"/>
      <c r="AZ112" s="932"/>
      <c r="BA112" s="932"/>
      <c r="BB112" s="932"/>
      <c r="BC112" s="932"/>
      <c r="BD112" s="932"/>
      <c r="BE112" s="932"/>
      <c r="BF112" s="932"/>
    </row>
    <row r="113" spans="2:58" ht="15" x14ac:dyDescent="0.25">
      <c r="B113" s="932"/>
      <c r="C113" s="932"/>
      <c r="D113" s="932"/>
      <c r="E113" s="932"/>
      <c r="F113" s="932"/>
      <c r="G113" s="932"/>
      <c r="H113" s="932"/>
      <c r="I113" s="932"/>
      <c r="J113" s="932"/>
      <c r="K113" s="932"/>
      <c r="L113" s="932"/>
      <c r="M113" s="932"/>
      <c r="N113" s="932"/>
      <c r="O113" s="932"/>
      <c r="P113" s="932"/>
      <c r="Q113" s="932"/>
      <c r="R113" s="932"/>
      <c r="S113" s="932"/>
      <c r="T113" s="932"/>
      <c r="U113" s="932"/>
      <c r="V113" s="932"/>
      <c r="W113" s="932"/>
      <c r="X113" s="932"/>
      <c r="Y113" s="932"/>
      <c r="Z113" s="932"/>
      <c r="AA113" s="932"/>
      <c r="AB113" s="932"/>
      <c r="AC113" s="932"/>
      <c r="AD113" s="932"/>
      <c r="AE113" s="932"/>
      <c r="AF113" s="932"/>
      <c r="AG113" s="932"/>
      <c r="AH113" s="932"/>
      <c r="AI113" s="932"/>
      <c r="AJ113" s="932"/>
      <c r="AK113" s="932"/>
      <c r="AL113" s="932"/>
      <c r="AM113" s="932"/>
      <c r="AN113" s="932"/>
      <c r="AO113" s="932"/>
      <c r="AP113" s="932"/>
      <c r="AQ113" s="932"/>
      <c r="AR113" s="932"/>
      <c r="AS113" s="932"/>
      <c r="AT113" s="932"/>
      <c r="AU113" s="932"/>
      <c r="AV113" s="932"/>
      <c r="AW113" s="932"/>
      <c r="AX113" s="932"/>
      <c r="AY113" s="932"/>
      <c r="AZ113" s="932"/>
      <c r="BA113" s="932"/>
      <c r="BB113" s="932"/>
      <c r="BC113" s="932"/>
      <c r="BD113" s="932"/>
      <c r="BE113" s="932"/>
      <c r="BF113" s="932"/>
    </row>
    <row r="114" spans="2:58" ht="15" x14ac:dyDescent="0.25">
      <c r="B114" s="932"/>
      <c r="C114" s="932"/>
      <c r="D114" s="932"/>
      <c r="E114" s="932"/>
      <c r="F114" s="932"/>
      <c r="G114" s="932"/>
      <c r="H114" s="932"/>
      <c r="I114" s="932"/>
      <c r="J114" s="932"/>
      <c r="K114" s="932"/>
      <c r="L114" s="932"/>
      <c r="M114" s="932"/>
      <c r="N114" s="932"/>
      <c r="O114" s="932"/>
      <c r="P114" s="932"/>
      <c r="Q114" s="932"/>
      <c r="R114" s="932"/>
      <c r="S114" s="932"/>
      <c r="T114" s="932"/>
      <c r="U114" s="932"/>
      <c r="V114" s="932"/>
      <c r="W114" s="932"/>
      <c r="X114" s="932"/>
      <c r="Y114" s="932"/>
      <c r="Z114" s="932"/>
      <c r="AA114" s="932"/>
      <c r="AB114" s="932"/>
      <c r="AC114" s="932"/>
      <c r="AD114" s="932"/>
      <c r="AE114" s="932"/>
      <c r="AF114" s="932"/>
      <c r="AG114" s="932"/>
      <c r="AH114" s="932"/>
      <c r="AI114" s="932"/>
      <c r="AJ114" s="932"/>
      <c r="AK114" s="932"/>
      <c r="AL114" s="932"/>
      <c r="AM114" s="932"/>
      <c r="AN114" s="932"/>
      <c r="AO114" s="932"/>
      <c r="AP114" s="932"/>
      <c r="AQ114" s="932"/>
      <c r="AR114" s="932"/>
      <c r="AS114" s="932"/>
      <c r="AT114" s="932"/>
      <c r="AU114" s="932"/>
      <c r="AV114" s="932"/>
      <c r="AW114" s="932"/>
      <c r="AX114" s="932"/>
      <c r="AY114" s="932"/>
      <c r="AZ114" s="932"/>
      <c r="BA114" s="932"/>
      <c r="BB114" s="932"/>
      <c r="BC114" s="932"/>
      <c r="BD114" s="932"/>
      <c r="BE114" s="932"/>
      <c r="BF114" s="932"/>
    </row>
    <row r="115" spans="2:58" ht="15" x14ac:dyDescent="0.25">
      <c r="B115" s="932"/>
      <c r="C115" s="932"/>
      <c r="D115" s="932"/>
      <c r="E115" s="932"/>
      <c r="F115" s="932"/>
      <c r="G115" s="932"/>
      <c r="H115" s="932"/>
      <c r="I115" s="932"/>
      <c r="J115" s="932"/>
      <c r="K115" s="932"/>
      <c r="L115" s="932"/>
      <c r="M115" s="932"/>
      <c r="N115" s="932"/>
      <c r="O115" s="932"/>
      <c r="P115" s="932"/>
      <c r="Q115" s="932"/>
      <c r="R115" s="932"/>
      <c r="S115" s="932"/>
      <c r="T115" s="932"/>
      <c r="U115" s="932"/>
      <c r="V115" s="932"/>
      <c r="W115" s="932"/>
      <c r="X115" s="932"/>
      <c r="Y115" s="932"/>
      <c r="Z115" s="932"/>
      <c r="AA115" s="932"/>
      <c r="AB115" s="932"/>
      <c r="AC115" s="932"/>
      <c r="AD115" s="932"/>
      <c r="AE115" s="932"/>
      <c r="AF115" s="932"/>
      <c r="AG115" s="932"/>
      <c r="AH115" s="932"/>
      <c r="AI115" s="932"/>
      <c r="AJ115" s="932"/>
      <c r="AK115" s="932"/>
      <c r="AL115" s="932"/>
      <c r="AM115" s="932"/>
      <c r="AN115" s="932"/>
      <c r="AO115" s="932"/>
      <c r="AP115" s="932"/>
      <c r="AQ115" s="932"/>
      <c r="AR115" s="932"/>
      <c r="AS115" s="932"/>
      <c r="AT115" s="932"/>
      <c r="AU115" s="932"/>
      <c r="AV115" s="932"/>
      <c r="AW115" s="932"/>
      <c r="AX115" s="932"/>
      <c r="AY115" s="932"/>
      <c r="AZ115" s="932"/>
      <c r="BA115" s="932"/>
      <c r="BB115" s="932"/>
      <c r="BC115" s="932"/>
      <c r="BD115" s="932"/>
      <c r="BE115" s="932"/>
      <c r="BF115" s="932"/>
    </row>
    <row r="116" spans="2:58" ht="15" x14ac:dyDescent="0.25">
      <c r="B116" s="932"/>
      <c r="C116" s="932"/>
      <c r="D116" s="932"/>
      <c r="E116" s="932"/>
      <c r="F116" s="932"/>
      <c r="G116" s="932"/>
      <c r="H116" s="932"/>
      <c r="I116" s="932"/>
      <c r="J116" s="932"/>
      <c r="K116" s="932"/>
      <c r="L116" s="932"/>
      <c r="M116" s="932"/>
      <c r="N116" s="932"/>
      <c r="O116" s="932"/>
      <c r="P116" s="932"/>
      <c r="Q116" s="932"/>
      <c r="R116" s="932"/>
      <c r="S116" s="932"/>
      <c r="T116" s="932"/>
      <c r="U116" s="932"/>
      <c r="V116" s="932"/>
      <c r="W116" s="932"/>
      <c r="X116" s="932"/>
      <c r="Y116" s="932"/>
      <c r="Z116" s="932"/>
      <c r="AA116" s="932"/>
      <c r="AB116" s="932"/>
      <c r="AC116" s="932"/>
      <c r="AD116" s="932"/>
      <c r="AE116" s="932"/>
      <c r="AF116" s="932"/>
      <c r="AG116" s="932"/>
      <c r="AH116" s="932"/>
      <c r="AI116" s="932"/>
      <c r="AJ116" s="932"/>
      <c r="AK116" s="932"/>
      <c r="AL116" s="932"/>
      <c r="AM116" s="932"/>
      <c r="AN116" s="932"/>
      <c r="AO116" s="932"/>
      <c r="AP116" s="932"/>
      <c r="AQ116" s="932"/>
      <c r="AR116" s="932"/>
      <c r="AS116" s="932"/>
      <c r="AT116" s="932"/>
      <c r="AU116" s="932"/>
      <c r="AV116" s="932"/>
      <c r="AW116" s="932"/>
      <c r="AX116" s="932"/>
      <c r="AY116" s="932"/>
      <c r="AZ116" s="932"/>
      <c r="BA116" s="932"/>
      <c r="BB116" s="932"/>
      <c r="BC116" s="932"/>
      <c r="BD116" s="932"/>
      <c r="BE116" s="932"/>
      <c r="BF116" s="932"/>
    </row>
    <row r="117" spans="2:58" ht="15" x14ac:dyDescent="0.25">
      <c r="B117" s="932"/>
      <c r="C117" s="932"/>
      <c r="D117" s="932"/>
      <c r="E117" s="932"/>
      <c r="F117" s="932"/>
      <c r="G117" s="932"/>
      <c r="H117" s="932"/>
      <c r="I117" s="932"/>
      <c r="J117" s="932"/>
      <c r="K117" s="932"/>
      <c r="L117" s="932"/>
      <c r="M117" s="932"/>
      <c r="N117" s="932"/>
      <c r="O117" s="932"/>
      <c r="P117" s="932"/>
      <c r="Q117" s="932"/>
      <c r="R117" s="932"/>
      <c r="S117" s="932"/>
      <c r="T117" s="932"/>
      <c r="U117" s="932"/>
      <c r="V117" s="932"/>
      <c r="W117" s="932"/>
      <c r="X117" s="932"/>
      <c r="Y117" s="932"/>
      <c r="Z117" s="932"/>
      <c r="AA117" s="932"/>
      <c r="AB117" s="932"/>
      <c r="AC117" s="932"/>
      <c r="AD117" s="932"/>
      <c r="AE117" s="932"/>
      <c r="AF117" s="932"/>
      <c r="AG117" s="932"/>
      <c r="AH117" s="932"/>
      <c r="AI117" s="932"/>
      <c r="AJ117" s="932"/>
      <c r="AK117" s="932"/>
      <c r="AL117" s="932"/>
      <c r="AM117" s="932"/>
      <c r="AN117" s="932"/>
      <c r="AO117" s="932"/>
      <c r="AP117" s="932"/>
      <c r="AQ117" s="932"/>
      <c r="AR117" s="932"/>
      <c r="AS117" s="932"/>
      <c r="AT117" s="932"/>
      <c r="AU117" s="932"/>
      <c r="AV117" s="932"/>
      <c r="AW117" s="932"/>
      <c r="AX117" s="932"/>
      <c r="AY117" s="932"/>
      <c r="AZ117" s="932"/>
      <c r="BA117" s="932"/>
      <c r="BB117" s="932"/>
      <c r="BC117" s="932"/>
      <c r="BD117" s="932"/>
      <c r="BE117" s="932"/>
      <c r="BF117" s="932"/>
    </row>
    <row r="118" spans="2:58" ht="15" x14ac:dyDescent="0.25">
      <c r="B118" s="932"/>
      <c r="C118" s="932"/>
      <c r="D118" s="932"/>
      <c r="E118" s="932"/>
      <c r="F118" s="932"/>
      <c r="G118" s="932"/>
      <c r="H118" s="932"/>
      <c r="I118" s="932"/>
      <c r="J118" s="932"/>
      <c r="K118" s="932"/>
      <c r="L118" s="932"/>
      <c r="M118" s="932"/>
      <c r="N118" s="932"/>
      <c r="O118" s="932"/>
      <c r="P118" s="932"/>
      <c r="Q118" s="932"/>
      <c r="R118" s="932"/>
      <c r="S118" s="932"/>
      <c r="T118" s="932"/>
      <c r="U118" s="932"/>
      <c r="V118" s="932"/>
      <c r="W118" s="932"/>
      <c r="X118" s="932"/>
      <c r="Y118" s="932"/>
      <c r="Z118" s="932"/>
      <c r="AA118" s="932"/>
      <c r="AB118" s="932"/>
      <c r="AC118" s="932"/>
      <c r="AD118" s="932"/>
      <c r="AE118" s="932"/>
      <c r="AF118" s="932"/>
      <c r="AG118" s="932"/>
      <c r="AH118" s="932"/>
      <c r="AI118" s="932"/>
      <c r="AJ118" s="932"/>
      <c r="AK118" s="932"/>
      <c r="AL118" s="932"/>
      <c r="AM118" s="932"/>
      <c r="AN118" s="932"/>
      <c r="AO118" s="932"/>
      <c r="AP118" s="932"/>
      <c r="AQ118" s="932"/>
      <c r="AR118" s="932"/>
      <c r="AS118" s="932"/>
      <c r="AT118" s="932"/>
      <c r="AU118" s="932"/>
      <c r="AV118" s="932"/>
      <c r="AW118" s="932"/>
      <c r="AX118" s="932"/>
      <c r="AY118" s="932"/>
      <c r="AZ118" s="932"/>
      <c r="BA118" s="932"/>
      <c r="BB118" s="932"/>
      <c r="BC118" s="932"/>
      <c r="BD118" s="932"/>
      <c r="BE118" s="932"/>
      <c r="BF118" s="932"/>
    </row>
    <row r="119" spans="2:58" ht="15" x14ac:dyDescent="0.25">
      <c r="B119" s="932"/>
      <c r="C119" s="932"/>
      <c r="D119" s="932"/>
      <c r="E119" s="932"/>
      <c r="F119" s="932"/>
      <c r="G119" s="932"/>
      <c r="H119" s="932"/>
      <c r="I119" s="932"/>
      <c r="J119" s="932"/>
      <c r="K119" s="932"/>
      <c r="L119" s="932"/>
      <c r="M119" s="932"/>
      <c r="N119" s="932"/>
      <c r="O119" s="932"/>
      <c r="P119" s="932"/>
      <c r="Q119" s="932"/>
      <c r="R119" s="932"/>
      <c r="S119" s="932"/>
      <c r="T119" s="932"/>
      <c r="U119" s="932"/>
      <c r="V119" s="932"/>
      <c r="W119" s="932"/>
      <c r="X119" s="932"/>
      <c r="Y119" s="932"/>
      <c r="Z119" s="932"/>
      <c r="AA119" s="932"/>
      <c r="AB119" s="932"/>
      <c r="AC119" s="932"/>
      <c r="AD119" s="932"/>
      <c r="AE119" s="932"/>
      <c r="AF119" s="932"/>
      <c r="AG119" s="932"/>
      <c r="AH119" s="932"/>
      <c r="AI119" s="932"/>
      <c r="AJ119" s="932"/>
      <c r="AK119" s="932"/>
      <c r="AL119" s="932"/>
      <c r="AM119" s="932"/>
      <c r="AN119" s="932"/>
      <c r="AO119" s="932"/>
      <c r="AP119" s="932"/>
      <c r="AQ119" s="932"/>
      <c r="AR119" s="932"/>
      <c r="AS119" s="932"/>
      <c r="AT119" s="932"/>
      <c r="AU119" s="932"/>
      <c r="AV119" s="932"/>
      <c r="AW119" s="932"/>
      <c r="AX119" s="932"/>
      <c r="AY119" s="932"/>
      <c r="AZ119" s="932"/>
      <c r="BA119" s="932"/>
      <c r="BB119" s="932"/>
      <c r="BC119" s="932"/>
      <c r="BD119" s="932"/>
      <c r="BE119" s="932"/>
      <c r="BF119" s="932"/>
    </row>
    <row r="120" spans="2:58" ht="15" x14ac:dyDescent="0.25">
      <c r="B120" s="932"/>
      <c r="C120" s="932"/>
      <c r="D120" s="932"/>
      <c r="E120" s="932"/>
      <c r="F120" s="932"/>
      <c r="G120" s="932"/>
      <c r="H120" s="932"/>
      <c r="I120" s="932"/>
      <c r="J120" s="932"/>
      <c r="K120" s="932"/>
      <c r="L120" s="932"/>
      <c r="M120" s="932"/>
      <c r="N120" s="932"/>
      <c r="O120" s="932"/>
      <c r="P120" s="932"/>
      <c r="Q120" s="932"/>
      <c r="R120" s="932"/>
      <c r="S120" s="932"/>
      <c r="T120" s="932"/>
      <c r="U120" s="932"/>
      <c r="V120" s="932"/>
      <c r="W120" s="932"/>
      <c r="X120" s="932"/>
      <c r="Y120" s="932"/>
      <c r="Z120" s="932"/>
      <c r="AA120" s="932"/>
      <c r="AB120" s="932"/>
      <c r="AC120" s="932"/>
      <c r="AD120" s="932"/>
      <c r="AE120" s="932"/>
      <c r="AF120" s="932"/>
      <c r="AG120" s="932"/>
      <c r="AH120" s="932"/>
      <c r="AI120" s="932"/>
      <c r="AJ120" s="932"/>
      <c r="AK120" s="932"/>
      <c r="AL120" s="932"/>
      <c r="AM120" s="932"/>
      <c r="AN120" s="932"/>
      <c r="AO120" s="932"/>
      <c r="AP120" s="932"/>
      <c r="AQ120" s="932"/>
      <c r="AR120" s="932"/>
      <c r="AS120" s="932"/>
      <c r="AT120" s="932"/>
      <c r="AU120" s="932"/>
      <c r="AV120" s="932"/>
      <c r="AW120" s="932"/>
      <c r="AX120" s="932"/>
      <c r="AY120" s="932"/>
      <c r="AZ120" s="932"/>
      <c r="BA120" s="932"/>
      <c r="BB120" s="932"/>
      <c r="BC120" s="932"/>
      <c r="BD120" s="932"/>
      <c r="BE120" s="932"/>
      <c r="BF120" s="932"/>
    </row>
    <row r="121" spans="2:58" ht="15" x14ac:dyDescent="0.25">
      <c r="B121" s="932"/>
      <c r="C121" s="932"/>
      <c r="D121" s="932"/>
      <c r="E121" s="932"/>
      <c r="F121" s="932"/>
      <c r="G121" s="932"/>
      <c r="H121" s="932"/>
      <c r="I121" s="932"/>
      <c r="J121" s="932"/>
      <c r="K121" s="932"/>
      <c r="L121" s="932"/>
      <c r="M121" s="932"/>
      <c r="N121" s="932"/>
      <c r="O121" s="932"/>
      <c r="P121" s="932"/>
      <c r="Q121" s="932"/>
      <c r="R121" s="932"/>
      <c r="S121" s="932"/>
      <c r="T121" s="932"/>
      <c r="U121" s="932"/>
      <c r="V121" s="932"/>
      <c r="W121" s="932"/>
      <c r="X121" s="932"/>
      <c r="Y121" s="932"/>
      <c r="Z121" s="932"/>
      <c r="AA121" s="932"/>
      <c r="AB121" s="932"/>
      <c r="AC121" s="932"/>
      <c r="AD121" s="932"/>
      <c r="AE121" s="932"/>
      <c r="AF121" s="932"/>
      <c r="AG121" s="932"/>
      <c r="AH121" s="932"/>
      <c r="AI121" s="932"/>
      <c r="AJ121" s="932"/>
      <c r="AK121" s="932"/>
      <c r="AL121" s="932"/>
      <c r="AM121" s="932"/>
      <c r="AN121" s="932"/>
      <c r="AO121" s="932"/>
      <c r="AP121" s="932"/>
      <c r="AQ121" s="932"/>
      <c r="AR121" s="932"/>
      <c r="AS121" s="932"/>
      <c r="AT121" s="932"/>
      <c r="AU121" s="932"/>
      <c r="AV121" s="932"/>
      <c r="AW121" s="932"/>
      <c r="AX121" s="932"/>
      <c r="AY121" s="932"/>
      <c r="AZ121" s="932"/>
      <c r="BA121" s="932"/>
      <c r="BB121" s="932"/>
      <c r="BC121" s="932"/>
      <c r="BD121" s="932"/>
      <c r="BE121" s="932"/>
      <c r="BF121" s="932"/>
    </row>
    <row r="122" spans="2:58" ht="15" x14ac:dyDescent="0.25">
      <c r="B122" s="932"/>
      <c r="C122" s="932"/>
      <c r="D122" s="932"/>
      <c r="E122" s="932"/>
      <c r="F122" s="932"/>
      <c r="G122" s="932"/>
      <c r="H122" s="932"/>
      <c r="I122" s="932"/>
      <c r="J122" s="932"/>
      <c r="K122" s="932"/>
      <c r="L122" s="932"/>
      <c r="M122" s="932"/>
      <c r="N122" s="932"/>
      <c r="O122" s="932"/>
      <c r="P122" s="932"/>
      <c r="Q122" s="932"/>
      <c r="R122" s="932"/>
      <c r="S122" s="932"/>
      <c r="T122" s="932"/>
      <c r="U122" s="932"/>
      <c r="V122" s="932"/>
      <c r="W122" s="932"/>
      <c r="X122" s="932"/>
      <c r="Y122" s="932"/>
      <c r="Z122" s="932"/>
      <c r="AA122" s="932"/>
      <c r="AB122" s="932"/>
      <c r="AC122" s="932"/>
      <c r="AD122" s="932"/>
      <c r="AE122" s="932"/>
      <c r="AF122" s="932"/>
      <c r="AG122" s="932"/>
      <c r="AH122" s="932"/>
      <c r="AI122" s="932"/>
      <c r="AJ122" s="932"/>
      <c r="AK122" s="932"/>
      <c r="AL122" s="932"/>
      <c r="AM122" s="932"/>
      <c r="AN122" s="932"/>
      <c r="AO122" s="932"/>
      <c r="AP122" s="932"/>
      <c r="AQ122" s="932"/>
      <c r="AR122" s="932"/>
      <c r="AS122" s="932"/>
      <c r="AT122" s="932"/>
      <c r="AU122" s="932"/>
      <c r="AV122" s="932"/>
      <c r="AW122" s="932"/>
      <c r="AX122" s="932"/>
      <c r="AY122" s="932"/>
      <c r="AZ122" s="932"/>
      <c r="BA122" s="932"/>
      <c r="BB122" s="932"/>
      <c r="BC122" s="932"/>
      <c r="BD122" s="932"/>
      <c r="BE122" s="932"/>
      <c r="BF122" s="932"/>
    </row>
    <row r="123" spans="2:58" ht="15" x14ac:dyDescent="0.25">
      <c r="B123" s="932"/>
      <c r="C123" s="932"/>
      <c r="D123" s="932"/>
      <c r="E123" s="932"/>
      <c r="F123" s="932"/>
      <c r="G123" s="932"/>
      <c r="H123" s="932"/>
      <c r="I123" s="932"/>
      <c r="J123" s="932"/>
      <c r="K123" s="932"/>
      <c r="L123" s="932"/>
      <c r="M123" s="932"/>
      <c r="N123" s="932"/>
      <c r="O123" s="932"/>
      <c r="P123" s="932"/>
      <c r="Q123" s="932"/>
      <c r="R123" s="932"/>
      <c r="S123" s="932"/>
      <c r="T123" s="932"/>
      <c r="U123" s="932"/>
      <c r="V123" s="932"/>
      <c r="W123" s="932"/>
      <c r="X123" s="932"/>
      <c r="Y123" s="932"/>
      <c r="Z123" s="932"/>
      <c r="AA123" s="932"/>
      <c r="AB123" s="932"/>
      <c r="AC123" s="932"/>
      <c r="AD123" s="932"/>
      <c r="AE123" s="932"/>
      <c r="AF123" s="932"/>
      <c r="AG123" s="932"/>
      <c r="AH123" s="932"/>
      <c r="AI123" s="932"/>
      <c r="AJ123" s="932"/>
      <c r="AK123" s="932"/>
      <c r="AL123" s="932"/>
      <c r="AM123" s="932"/>
      <c r="AN123" s="932"/>
      <c r="AO123" s="932"/>
      <c r="AP123" s="932"/>
      <c r="AQ123" s="932"/>
      <c r="AR123" s="932"/>
      <c r="AS123" s="932"/>
      <c r="AT123" s="932"/>
      <c r="AU123" s="932"/>
      <c r="AV123" s="932"/>
      <c r="AW123" s="932"/>
      <c r="AX123" s="932"/>
      <c r="AY123" s="932"/>
      <c r="AZ123" s="932"/>
      <c r="BA123" s="932"/>
      <c r="BB123" s="932"/>
      <c r="BC123" s="932"/>
      <c r="BD123" s="932"/>
      <c r="BE123" s="932"/>
      <c r="BF123" s="932"/>
    </row>
    <row r="124" spans="2:58" ht="15" x14ac:dyDescent="0.25">
      <c r="B124" s="932"/>
      <c r="C124" s="932"/>
      <c r="D124" s="932"/>
      <c r="E124" s="932"/>
      <c r="F124" s="932"/>
      <c r="G124" s="932"/>
      <c r="H124" s="932"/>
      <c r="I124" s="932"/>
      <c r="J124" s="932"/>
      <c r="K124" s="932"/>
      <c r="L124" s="932"/>
      <c r="M124" s="932"/>
      <c r="N124" s="932"/>
      <c r="O124" s="932"/>
      <c r="P124" s="932"/>
      <c r="Q124" s="932"/>
      <c r="R124" s="932"/>
      <c r="S124" s="932"/>
      <c r="T124" s="932"/>
      <c r="U124" s="932"/>
      <c r="V124" s="932"/>
      <c r="W124" s="932"/>
      <c r="X124" s="932"/>
      <c r="Y124" s="932"/>
      <c r="Z124" s="932"/>
      <c r="AA124" s="932"/>
      <c r="AB124" s="932"/>
      <c r="AC124" s="932"/>
      <c r="AD124" s="932"/>
      <c r="AE124" s="932"/>
      <c r="AF124" s="932"/>
      <c r="AG124" s="932"/>
      <c r="AH124" s="932"/>
      <c r="AI124" s="932"/>
      <c r="AJ124" s="932"/>
      <c r="AK124" s="932"/>
      <c r="AL124" s="932"/>
      <c r="AM124" s="932"/>
      <c r="AN124" s="932"/>
      <c r="AO124" s="932"/>
      <c r="AP124" s="932"/>
      <c r="AQ124" s="932"/>
      <c r="AR124" s="932"/>
      <c r="AS124" s="932"/>
      <c r="AT124" s="932"/>
      <c r="AU124" s="932"/>
      <c r="AV124" s="932"/>
      <c r="AW124" s="932"/>
      <c r="AX124" s="932"/>
      <c r="AY124" s="932"/>
      <c r="AZ124" s="932"/>
      <c r="BA124" s="932"/>
      <c r="BB124" s="932"/>
      <c r="BC124" s="932"/>
      <c r="BD124" s="932"/>
      <c r="BE124" s="932"/>
      <c r="BF124" s="932"/>
    </row>
    <row r="125" spans="2:58" ht="15" x14ac:dyDescent="0.25">
      <c r="B125" s="932"/>
      <c r="C125" s="932"/>
      <c r="D125" s="932"/>
      <c r="E125" s="932"/>
      <c r="F125" s="932"/>
      <c r="G125" s="932"/>
      <c r="H125" s="932"/>
      <c r="I125" s="932"/>
      <c r="J125" s="932"/>
      <c r="K125" s="932"/>
      <c r="L125" s="932"/>
      <c r="M125" s="932"/>
      <c r="N125" s="932"/>
      <c r="O125" s="932"/>
      <c r="P125" s="932"/>
      <c r="Q125" s="932"/>
      <c r="R125" s="932"/>
      <c r="S125" s="932"/>
      <c r="T125" s="932"/>
      <c r="U125" s="932"/>
      <c r="V125" s="932"/>
      <c r="W125" s="932"/>
      <c r="X125" s="932"/>
      <c r="Y125" s="932"/>
      <c r="Z125" s="932"/>
      <c r="AA125" s="932"/>
      <c r="AB125" s="932"/>
      <c r="AC125" s="932"/>
      <c r="AD125" s="932"/>
      <c r="AE125" s="932"/>
      <c r="AF125" s="932"/>
      <c r="AG125" s="932"/>
      <c r="AH125" s="932"/>
      <c r="AI125" s="932"/>
      <c r="AJ125" s="932"/>
      <c r="AK125" s="932"/>
      <c r="AL125" s="932"/>
      <c r="AM125" s="932"/>
      <c r="AN125" s="932"/>
      <c r="AO125" s="932"/>
      <c r="AP125" s="932"/>
      <c r="AQ125" s="932"/>
      <c r="AR125" s="932"/>
      <c r="AS125" s="932"/>
      <c r="AT125" s="932"/>
      <c r="AU125" s="932"/>
      <c r="AV125" s="932"/>
      <c r="AW125" s="932"/>
      <c r="AX125" s="932"/>
      <c r="AY125" s="932"/>
      <c r="AZ125" s="932"/>
      <c r="BA125" s="932"/>
      <c r="BB125" s="932"/>
      <c r="BC125" s="932"/>
      <c r="BD125" s="932"/>
      <c r="BE125" s="932"/>
      <c r="BF125" s="932"/>
    </row>
    <row r="126" spans="2:58" ht="15" x14ac:dyDescent="0.25">
      <c r="B126" s="932"/>
      <c r="C126" s="932"/>
      <c r="D126" s="932"/>
      <c r="E126" s="932"/>
      <c r="F126" s="932"/>
      <c r="G126" s="932"/>
      <c r="H126" s="932"/>
      <c r="I126" s="932"/>
      <c r="J126" s="932"/>
      <c r="K126" s="932"/>
      <c r="L126" s="932"/>
      <c r="M126" s="932"/>
      <c r="N126" s="932"/>
      <c r="O126" s="932"/>
      <c r="P126" s="932"/>
      <c r="Q126" s="932"/>
      <c r="R126" s="932"/>
      <c r="S126" s="932"/>
      <c r="T126" s="932"/>
      <c r="U126" s="932"/>
      <c r="V126" s="932"/>
      <c r="W126" s="932"/>
      <c r="X126" s="932"/>
      <c r="Y126" s="932"/>
      <c r="Z126" s="932"/>
      <c r="AA126" s="932"/>
      <c r="AB126" s="932"/>
      <c r="AC126" s="932"/>
      <c r="AD126" s="932"/>
      <c r="AE126" s="932"/>
      <c r="AF126" s="932"/>
      <c r="AG126" s="932"/>
      <c r="AH126" s="932"/>
      <c r="AI126" s="932"/>
      <c r="AJ126" s="932"/>
      <c r="AK126" s="932"/>
      <c r="AL126" s="932"/>
      <c r="AM126" s="932"/>
      <c r="AN126" s="932"/>
      <c r="AO126" s="932"/>
      <c r="AP126" s="932"/>
      <c r="AQ126" s="932"/>
      <c r="AR126" s="932"/>
      <c r="AS126" s="932"/>
      <c r="AT126" s="932"/>
      <c r="AU126" s="932"/>
      <c r="AV126" s="932"/>
      <c r="AW126" s="932"/>
      <c r="AX126" s="932"/>
      <c r="AY126" s="932"/>
      <c r="AZ126" s="932"/>
      <c r="BA126" s="932"/>
      <c r="BB126" s="932"/>
      <c r="BC126" s="932"/>
      <c r="BD126" s="932"/>
      <c r="BE126" s="932"/>
      <c r="BF126" s="932"/>
    </row>
    <row r="127" spans="2:58" ht="15" x14ac:dyDescent="0.25">
      <c r="B127" s="932"/>
      <c r="C127" s="932"/>
      <c r="D127" s="932"/>
      <c r="E127" s="932"/>
      <c r="F127" s="932"/>
      <c r="G127" s="932"/>
      <c r="H127" s="932"/>
      <c r="I127" s="932"/>
      <c r="J127" s="932"/>
      <c r="K127" s="932"/>
      <c r="L127" s="932"/>
      <c r="M127" s="932"/>
      <c r="N127" s="932"/>
      <c r="O127" s="932"/>
      <c r="P127" s="932"/>
      <c r="Q127" s="932"/>
      <c r="R127" s="932"/>
      <c r="S127" s="932"/>
      <c r="T127" s="932"/>
      <c r="U127" s="932"/>
      <c r="V127" s="932"/>
      <c r="W127" s="932"/>
      <c r="X127" s="932"/>
      <c r="Y127" s="932"/>
      <c r="Z127" s="932"/>
      <c r="AA127" s="932"/>
      <c r="AB127" s="932"/>
      <c r="AC127" s="932"/>
      <c r="AD127" s="932"/>
      <c r="AE127" s="932"/>
      <c r="AF127" s="932"/>
      <c r="AG127" s="932"/>
      <c r="AH127" s="932"/>
      <c r="AI127" s="932"/>
      <c r="AJ127" s="932"/>
      <c r="AK127" s="932"/>
      <c r="AL127" s="932"/>
      <c r="AM127" s="932"/>
      <c r="AN127" s="932"/>
      <c r="AO127" s="932"/>
      <c r="AP127" s="932"/>
      <c r="AQ127" s="932"/>
      <c r="AR127" s="932"/>
      <c r="AS127" s="932"/>
      <c r="AT127" s="932"/>
      <c r="AU127" s="932"/>
      <c r="AV127" s="932"/>
      <c r="AW127" s="932"/>
      <c r="AX127" s="932"/>
      <c r="AY127" s="932"/>
      <c r="AZ127" s="932"/>
      <c r="BA127" s="932"/>
      <c r="BB127" s="932"/>
      <c r="BC127" s="932"/>
      <c r="BD127" s="932"/>
      <c r="BE127" s="932"/>
      <c r="BF127" s="932"/>
    </row>
    <row r="128" spans="2:58" ht="15" x14ac:dyDescent="0.25">
      <c r="B128" s="932"/>
      <c r="C128" s="932"/>
      <c r="D128" s="932"/>
      <c r="E128" s="932"/>
      <c r="F128" s="932"/>
      <c r="G128" s="932"/>
      <c r="H128" s="932"/>
      <c r="I128" s="932"/>
      <c r="J128" s="932"/>
      <c r="K128" s="932"/>
      <c r="L128" s="932"/>
      <c r="M128" s="932"/>
      <c r="N128" s="932"/>
      <c r="O128" s="932"/>
      <c r="P128" s="932"/>
      <c r="Q128" s="932"/>
      <c r="R128" s="932"/>
      <c r="S128" s="932"/>
      <c r="T128" s="932"/>
      <c r="U128" s="932"/>
      <c r="V128" s="932"/>
      <c r="W128" s="932"/>
      <c r="X128" s="932"/>
      <c r="Y128" s="932"/>
      <c r="Z128" s="932"/>
      <c r="AA128" s="932"/>
      <c r="AB128" s="932"/>
      <c r="AC128" s="932"/>
      <c r="AD128" s="932"/>
      <c r="AE128" s="932"/>
      <c r="AF128" s="932"/>
      <c r="AG128" s="932"/>
      <c r="AH128" s="932"/>
      <c r="AI128" s="932"/>
      <c r="AJ128" s="932"/>
      <c r="AK128" s="932"/>
      <c r="AL128" s="932"/>
      <c r="AM128" s="932"/>
      <c r="AN128" s="932"/>
      <c r="AO128" s="932"/>
      <c r="AP128" s="932"/>
      <c r="AQ128" s="932"/>
      <c r="AR128" s="932"/>
      <c r="AS128" s="932"/>
      <c r="AT128" s="932"/>
      <c r="AU128" s="932"/>
      <c r="AV128" s="932"/>
      <c r="AW128" s="932"/>
      <c r="AX128" s="932"/>
      <c r="AY128" s="932"/>
      <c r="AZ128" s="932"/>
      <c r="BA128" s="932"/>
      <c r="BB128" s="932"/>
      <c r="BC128" s="932"/>
      <c r="BD128" s="932"/>
      <c r="BE128" s="932"/>
      <c r="BF128" s="932"/>
    </row>
    <row r="129" spans="2:58" ht="15" x14ac:dyDescent="0.25">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32"/>
      <c r="AO129" s="932"/>
      <c r="AP129" s="932"/>
      <c r="AQ129" s="932"/>
      <c r="AR129" s="932"/>
      <c r="AS129" s="932"/>
      <c r="AT129" s="932"/>
      <c r="AU129" s="932"/>
      <c r="AV129" s="932"/>
      <c r="AW129" s="932"/>
      <c r="AX129" s="932"/>
      <c r="AY129" s="932"/>
      <c r="AZ129" s="932"/>
      <c r="BA129" s="932"/>
      <c r="BB129" s="932"/>
      <c r="BC129" s="932"/>
      <c r="BD129" s="932"/>
      <c r="BE129" s="932"/>
      <c r="BF129" s="932"/>
    </row>
    <row r="130" spans="2:58" ht="15" x14ac:dyDescent="0.25">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32"/>
      <c r="AO130" s="932"/>
      <c r="AP130" s="932"/>
      <c r="AQ130" s="932"/>
      <c r="AR130" s="932"/>
      <c r="AS130" s="932"/>
      <c r="AT130" s="932"/>
      <c r="AU130" s="932"/>
      <c r="AV130" s="932"/>
      <c r="AW130" s="932"/>
      <c r="AX130" s="932"/>
      <c r="AY130" s="932"/>
      <c r="AZ130" s="932"/>
      <c r="BA130" s="932"/>
      <c r="BB130" s="932"/>
      <c r="BC130" s="932"/>
      <c r="BD130" s="932"/>
      <c r="BE130" s="932"/>
      <c r="BF130" s="932"/>
    </row>
    <row r="131" spans="2:58" ht="15" x14ac:dyDescent="0.25">
      <c r="B131" s="932"/>
      <c r="C131" s="932"/>
      <c r="D131" s="932"/>
      <c r="E131" s="932"/>
      <c r="F131" s="932"/>
      <c r="G131" s="932"/>
      <c r="H131" s="932"/>
      <c r="I131" s="932"/>
      <c r="J131" s="932"/>
      <c r="K131" s="932"/>
      <c r="L131" s="932"/>
      <c r="M131" s="932"/>
      <c r="N131" s="932"/>
      <c r="O131" s="932"/>
      <c r="P131" s="932"/>
      <c r="Q131" s="932"/>
      <c r="R131" s="932"/>
      <c r="S131" s="932"/>
      <c r="T131" s="932"/>
      <c r="U131" s="932"/>
      <c r="V131" s="932"/>
      <c r="W131" s="932"/>
      <c r="X131" s="932"/>
      <c r="Y131" s="932"/>
      <c r="Z131" s="932"/>
      <c r="AA131" s="932"/>
      <c r="AB131" s="932"/>
      <c r="AC131" s="932"/>
      <c r="AD131" s="932"/>
      <c r="AE131" s="932"/>
      <c r="AF131" s="932"/>
      <c r="AG131" s="932"/>
      <c r="AH131" s="932"/>
      <c r="AI131" s="932"/>
      <c r="AJ131" s="932"/>
      <c r="AK131" s="932"/>
      <c r="AL131" s="932"/>
      <c r="AM131" s="932"/>
      <c r="AN131" s="932"/>
      <c r="AO131" s="932"/>
      <c r="AP131" s="932"/>
      <c r="AQ131" s="932"/>
      <c r="AR131" s="932"/>
      <c r="AS131" s="932"/>
      <c r="AT131" s="932"/>
      <c r="AU131" s="932"/>
      <c r="AV131" s="932"/>
      <c r="AW131" s="932"/>
      <c r="AX131" s="932"/>
      <c r="AY131" s="932"/>
      <c r="AZ131" s="932"/>
      <c r="BA131" s="932"/>
      <c r="BB131" s="932"/>
      <c r="BC131" s="932"/>
      <c r="BD131" s="932"/>
      <c r="BE131" s="932"/>
      <c r="BF131" s="932"/>
    </row>
    <row r="132" spans="2:58" ht="15" x14ac:dyDescent="0.25">
      <c r="B132" s="932"/>
      <c r="C132" s="932"/>
      <c r="D132" s="932"/>
      <c r="E132" s="932"/>
      <c r="F132" s="932"/>
      <c r="G132" s="932"/>
      <c r="H132" s="932"/>
      <c r="I132" s="932"/>
      <c r="J132" s="932"/>
      <c r="K132" s="932"/>
      <c r="L132" s="932"/>
      <c r="M132" s="932"/>
      <c r="N132" s="932"/>
      <c r="O132" s="932"/>
      <c r="P132" s="932"/>
      <c r="Q132" s="932"/>
      <c r="R132" s="932"/>
      <c r="S132" s="932"/>
      <c r="T132" s="932"/>
      <c r="U132" s="932"/>
      <c r="V132" s="932"/>
      <c r="W132" s="932"/>
      <c r="X132" s="932"/>
      <c r="Y132" s="932"/>
      <c r="Z132" s="932"/>
      <c r="AA132" s="932"/>
      <c r="AB132" s="932"/>
      <c r="AC132" s="932"/>
      <c r="AD132" s="932"/>
      <c r="AE132" s="932"/>
      <c r="AF132" s="932"/>
      <c r="AG132" s="932"/>
      <c r="AH132" s="932"/>
      <c r="AI132" s="932"/>
      <c r="AJ132" s="932"/>
      <c r="AK132" s="932"/>
      <c r="AL132" s="932"/>
      <c r="AM132" s="932"/>
      <c r="AN132" s="932"/>
      <c r="AO132" s="932"/>
      <c r="AP132" s="932"/>
      <c r="AQ132" s="932"/>
      <c r="AR132" s="932"/>
      <c r="AS132" s="932"/>
      <c r="AT132" s="932"/>
      <c r="AU132" s="932"/>
      <c r="AV132" s="932"/>
      <c r="AW132" s="932"/>
      <c r="AX132" s="932"/>
      <c r="AY132" s="932"/>
      <c r="AZ132" s="932"/>
      <c r="BA132" s="932"/>
      <c r="BB132" s="932"/>
      <c r="BC132" s="932"/>
      <c r="BD132" s="932"/>
      <c r="BE132" s="932"/>
      <c r="BF132" s="932"/>
    </row>
    <row r="133" spans="2:58" ht="15" x14ac:dyDescent="0.25">
      <c r="B133" s="932"/>
      <c r="C133" s="932"/>
      <c r="D133" s="932"/>
      <c r="E133" s="932"/>
      <c r="F133" s="932"/>
      <c r="G133" s="932"/>
      <c r="H133" s="932"/>
      <c r="I133" s="932"/>
      <c r="J133" s="932"/>
      <c r="K133" s="932"/>
      <c r="L133" s="932"/>
      <c r="M133" s="932"/>
      <c r="N133" s="932"/>
      <c r="O133" s="932"/>
      <c r="P133" s="932"/>
      <c r="Q133" s="932"/>
      <c r="R133" s="932"/>
      <c r="S133" s="932"/>
      <c r="T133" s="932"/>
      <c r="U133" s="932"/>
      <c r="V133" s="932"/>
      <c r="W133" s="932"/>
      <c r="X133" s="932"/>
      <c r="Y133" s="932"/>
      <c r="Z133" s="932"/>
      <c r="AA133" s="932"/>
      <c r="AB133" s="932"/>
      <c r="AC133" s="932"/>
      <c r="AD133" s="932"/>
      <c r="AE133" s="932"/>
      <c r="AF133" s="932"/>
      <c r="AG133" s="932"/>
      <c r="AH133" s="932"/>
      <c r="AI133" s="932"/>
      <c r="AJ133" s="932"/>
      <c r="AK133" s="932"/>
      <c r="AL133" s="932"/>
      <c r="AM133" s="932"/>
      <c r="AN133" s="932"/>
      <c r="AO133" s="932"/>
      <c r="AP133" s="932"/>
      <c r="AQ133" s="932"/>
      <c r="AR133" s="932"/>
      <c r="AS133" s="932"/>
      <c r="AT133" s="932"/>
      <c r="AU133" s="932"/>
      <c r="AV133" s="932"/>
      <c r="AW133" s="932"/>
      <c r="AX133" s="932"/>
      <c r="AY133" s="932"/>
      <c r="AZ133" s="932"/>
      <c r="BA133" s="932"/>
      <c r="BB133" s="932"/>
      <c r="BC133" s="932"/>
      <c r="BD133" s="932"/>
      <c r="BE133" s="932"/>
      <c r="BF133" s="932"/>
    </row>
    <row r="134" spans="2:58" ht="15" x14ac:dyDescent="0.25">
      <c r="B134" s="932"/>
      <c r="C134" s="932"/>
      <c r="D134" s="932"/>
      <c r="E134" s="932"/>
      <c r="F134" s="932"/>
      <c r="G134" s="932"/>
      <c r="H134" s="932"/>
      <c r="I134" s="932"/>
      <c r="J134" s="932"/>
      <c r="K134" s="932"/>
      <c r="L134" s="932"/>
      <c r="M134" s="932"/>
      <c r="N134" s="932"/>
      <c r="O134" s="932"/>
      <c r="P134" s="932"/>
      <c r="Q134" s="932"/>
      <c r="R134" s="932"/>
      <c r="S134" s="932"/>
      <c r="T134" s="932"/>
      <c r="U134" s="932"/>
      <c r="V134" s="932"/>
      <c r="W134" s="932"/>
      <c r="X134" s="932"/>
      <c r="Y134" s="932"/>
      <c r="Z134" s="932"/>
      <c r="AA134" s="932"/>
      <c r="AB134" s="932"/>
      <c r="AC134" s="932"/>
      <c r="AD134" s="932"/>
      <c r="AE134" s="932"/>
      <c r="AF134" s="932"/>
      <c r="AG134" s="932"/>
      <c r="AH134" s="932"/>
      <c r="AI134" s="932"/>
      <c r="AJ134" s="932"/>
      <c r="AK134" s="932"/>
      <c r="AL134" s="932"/>
      <c r="AM134" s="932"/>
      <c r="AN134" s="932"/>
      <c r="AO134" s="932"/>
      <c r="AP134" s="932"/>
      <c r="AQ134" s="932"/>
      <c r="AR134" s="932"/>
      <c r="AS134" s="932"/>
      <c r="AT134" s="932"/>
      <c r="AU134" s="932"/>
      <c r="AV134" s="932"/>
      <c r="AW134" s="932"/>
      <c r="AX134" s="932"/>
      <c r="AY134" s="932"/>
      <c r="AZ134" s="932"/>
      <c r="BA134" s="932"/>
      <c r="BB134" s="932"/>
      <c r="BC134" s="932"/>
      <c r="BD134" s="932"/>
      <c r="BE134" s="932"/>
      <c r="BF134" s="932"/>
    </row>
    <row r="135" spans="2:58" ht="15" x14ac:dyDescent="0.25">
      <c r="B135" s="932"/>
      <c r="C135" s="932"/>
      <c r="D135" s="932"/>
      <c r="E135" s="932"/>
      <c r="F135" s="932"/>
      <c r="G135" s="932"/>
      <c r="H135" s="932"/>
      <c r="I135" s="932"/>
      <c r="J135" s="932"/>
      <c r="K135" s="932"/>
      <c r="L135" s="932"/>
      <c r="M135" s="932"/>
      <c r="N135" s="932"/>
      <c r="O135" s="932"/>
      <c r="P135" s="932"/>
      <c r="Q135" s="932"/>
      <c r="R135" s="932"/>
      <c r="S135" s="932"/>
      <c r="T135" s="932"/>
      <c r="U135" s="932"/>
      <c r="V135" s="932"/>
      <c r="W135" s="932"/>
      <c r="X135" s="932"/>
      <c r="Y135" s="932"/>
      <c r="Z135" s="932"/>
      <c r="AA135" s="932"/>
      <c r="AB135" s="932"/>
      <c r="AC135" s="932"/>
      <c r="AD135" s="932"/>
      <c r="AE135" s="932"/>
      <c r="AF135" s="932"/>
      <c r="AG135" s="932"/>
      <c r="AH135" s="932"/>
      <c r="AI135" s="932"/>
      <c r="AJ135" s="932"/>
      <c r="AK135" s="932"/>
      <c r="AL135" s="932"/>
      <c r="AM135" s="932"/>
      <c r="AN135" s="932"/>
      <c r="AO135" s="932"/>
      <c r="AP135" s="932"/>
      <c r="AQ135" s="932"/>
      <c r="AR135" s="932"/>
      <c r="AS135" s="932"/>
      <c r="AT135" s="932"/>
      <c r="AU135" s="932"/>
      <c r="AV135" s="932"/>
      <c r="AW135" s="932"/>
      <c r="AX135" s="932"/>
      <c r="AY135" s="932"/>
      <c r="AZ135" s="932"/>
      <c r="BA135" s="932"/>
      <c r="BB135" s="932"/>
      <c r="BC135" s="932"/>
      <c r="BD135" s="932"/>
      <c r="BE135" s="932"/>
      <c r="BF135" s="932"/>
    </row>
    <row r="136" spans="2:58" ht="15" x14ac:dyDescent="0.25">
      <c r="B136" s="932"/>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E136" s="932"/>
      <c r="AF136" s="932"/>
      <c r="AG136" s="932"/>
      <c r="AH136" s="932"/>
      <c r="AI136" s="932"/>
      <c r="AJ136" s="932"/>
      <c r="AK136" s="932"/>
      <c r="AL136" s="932"/>
      <c r="AM136" s="932"/>
      <c r="AN136" s="932"/>
      <c r="AO136" s="932"/>
      <c r="AP136" s="932"/>
      <c r="AQ136" s="932"/>
      <c r="AR136" s="932"/>
      <c r="AS136" s="932"/>
      <c r="AT136" s="932"/>
      <c r="AU136" s="932"/>
      <c r="AV136" s="932"/>
      <c r="AW136" s="932"/>
      <c r="AX136" s="932"/>
      <c r="AY136" s="932"/>
      <c r="AZ136" s="932"/>
      <c r="BA136" s="932"/>
      <c r="BB136" s="932"/>
      <c r="BC136" s="932"/>
      <c r="BD136" s="932"/>
      <c r="BE136" s="932"/>
      <c r="BF136" s="932"/>
    </row>
    <row r="137" spans="2:58" ht="15" x14ac:dyDescent="0.25">
      <c r="B137" s="932"/>
      <c r="C137" s="932"/>
      <c r="D137" s="932"/>
      <c r="E137" s="932"/>
      <c r="F137" s="932"/>
      <c r="G137" s="932"/>
      <c r="H137" s="932"/>
      <c r="I137" s="932"/>
      <c r="J137" s="932"/>
      <c r="K137" s="932"/>
      <c r="L137" s="932"/>
      <c r="M137" s="932"/>
      <c r="N137" s="932"/>
      <c r="O137" s="932"/>
      <c r="P137" s="932"/>
      <c r="Q137" s="932"/>
      <c r="R137" s="932"/>
      <c r="S137" s="932"/>
      <c r="T137" s="932"/>
      <c r="U137" s="932"/>
      <c r="V137" s="932"/>
      <c r="W137" s="932"/>
      <c r="X137" s="932"/>
      <c r="Y137" s="932"/>
      <c r="Z137" s="932"/>
      <c r="AA137" s="932"/>
      <c r="AB137" s="932"/>
      <c r="AC137" s="932"/>
      <c r="AD137" s="932"/>
      <c r="AE137" s="932"/>
      <c r="AF137" s="932"/>
      <c r="AG137" s="932"/>
      <c r="AH137" s="932"/>
      <c r="AI137" s="932"/>
      <c r="AJ137" s="932"/>
      <c r="AK137" s="932"/>
      <c r="AL137" s="932"/>
      <c r="AM137" s="932"/>
      <c r="AN137" s="932"/>
      <c r="AO137" s="932"/>
      <c r="AP137" s="932"/>
      <c r="AQ137" s="932"/>
      <c r="AR137" s="932"/>
      <c r="AS137" s="932"/>
      <c r="AT137" s="932"/>
      <c r="AU137" s="932"/>
      <c r="AV137" s="932"/>
      <c r="AW137" s="932"/>
      <c r="AX137" s="932"/>
      <c r="AY137" s="932"/>
      <c r="AZ137" s="932"/>
      <c r="BA137" s="932"/>
      <c r="BB137" s="932"/>
      <c r="BC137" s="932"/>
      <c r="BD137" s="932"/>
      <c r="BE137" s="932"/>
      <c r="BF137" s="932"/>
    </row>
    <row r="138" spans="2:58" ht="15" x14ac:dyDescent="0.25">
      <c r="B138" s="932"/>
      <c r="C138" s="932"/>
      <c r="D138" s="932"/>
      <c r="E138" s="932"/>
      <c r="F138" s="932"/>
      <c r="G138" s="932"/>
      <c r="H138" s="932"/>
      <c r="I138" s="932"/>
      <c r="J138" s="932"/>
      <c r="K138" s="932"/>
      <c r="L138" s="932"/>
      <c r="M138" s="932"/>
      <c r="N138" s="932"/>
      <c r="O138" s="932"/>
      <c r="P138" s="932"/>
      <c r="Q138" s="932"/>
      <c r="R138" s="932"/>
      <c r="S138" s="932"/>
      <c r="T138" s="932"/>
      <c r="U138" s="932"/>
      <c r="V138" s="932"/>
      <c r="W138" s="932"/>
      <c r="X138" s="932"/>
      <c r="Y138" s="932"/>
      <c r="Z138" s="932"/>
      <c r="AA138" s="932"/>
      <c r="AB138" s="932"/>
      <c r="AC138" s="932"/>
      <c r="AD138" s="932"/>
      <c r="AE138" s="932"/>
      <c r="AF138" s="932"/>
      <c r="AG138" s="932"/>
      <c r="AH138" s="932"/>
      <c r="AI138" s="932"/>
      <c r="AJ138" s="932"/>
      <c r="AK138" s="932"/>
      <c r="AL138" s="932"/>
      <c r="AM138" s="932"/>
      <c r="AN138" s="932"/>
      <c r="AO138" s="932"/>
      <c r="AP138" s="932"/>
      <c r="AQ138" s="932"/>
      <c r="AR138" s="932"/>
      <c r="AS138" s="932"/>
      <c r="AT138" s="932"/>
      <c r="AU138" s="932"/>
      <c r="AV138" s="932"/>
      <c r="AW138" s="932"/>
      <c r="AX138" s="932"/>
      <c r="AY138" s="932"/>
      <c r="AZ138" s="932"/>
      <c r="BA138" s="932"/>
      <c r="BB138" s="932"/>
      <c r="BC138" s="932"/>
      <c r="BD138" s="932"/>
      <c r="BE138" s="932"/>
      <c r="BF138" s="932"/>
    </row>
    <row r="139" spans="2:58" ht="15" x14ac:dyDescent="0.25">
      <c r="B139" s="932"/>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932"/>
      <c r="AF139" s="932"/>
      <c r="AG139" s="932"/>
      <c r="AH139" s="932"/>
      <c r="AI139" s="932"/>
      <c r="AJ139" s="932"/>
      <c r="AK139" s="932"/>
      <c r="AL139" s="932"/>
      <c r="AM139" s="932"/>
      <c r="AN139" s="932"/>
      <c r="AO139" s="932"/>
      <c r="AP139" s="932"/>
      <c r="AQ139" s="932"/>
      <c r="AR139" s="932"/>
      <c r="AS139" s="932"/>
      <c r="AT139" s="932"/>
      <c r="AU139" s="932"/>
      <c r="AV139" s="932"/>
      <c r="AW139" s="932"/>
      <c r="AX139" s="932"/>
      <c r="AY139" s="932"/>
      <c r="AZ139" s="932"/>
      <c r="BA139" s="932"/>
      <c r="BB139" s="932"/>
      <c r="BC139" s="932"/>
      <c r="BD139" s="932"/>
      <c r="BE139" s="932"/>
      <c r="BF139" s="932"/>
    </row>
    <row r="140" spans="2:58" ht="15" x14ac:dyDescent="0.25">
      <c r="B140" s="932"/>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32"/>
      <c r="AN140" s="932"/>
      <c r="AO140" s="932"/>
      <c r="AP140" s="932"/>
      <c r="AQ140" s="932"/>
      <c r="AR140" s="932"/>
      <c r="AS140" s="932"/>
      <c r="AT140" s="932"/>
      <c r="AU140" s="932"/>
      <c r="AV140" s="932"/>
      <c r="AW140" s="932"/>
      <c r="AX140" s="932"/>
      <c r="AY140" s="932"/>
      <c r="AZ140" s="932"/>
      <c r="BA140" s="932"/>
      <c r="BB140" s="932"/>
      <c r="BC140" s="932"/>
      <c r="BD140" s="932"/>
      <c r="BE140" s="932"/>
      <c r="BF140" s="932"/>
    </row>
    <row r="141" spans="2:58" ht="15" x14ac:dyDescent="0.25">
      <c r="B141" s="932"/>
      <c r="C141" s="932"/>
      <c r="D141" s="932"/>
      <c r="E141" s="932"/>
      <c r="F141" s="932"/>
      <c r="G141" s="932"/>
      <c r="H141" s="932"/>
      <c r="I141" s="932"/>
      <c r="J141" s="932"/>
      <c r="K141" s="932"/>
      <c r="L141" s="932"/>
      <c r="M141" s="932"/>
      <c r="N141" s="932"/>
      <c r="O141" s="932"/>
      <c r="P141" s="932"/>
      <c r="Q141" s="932"/>
      <c r="R141" s="932"/>
      <c r="S141" s="932"/>
      <c r="T141" s="932"/>
      <c r="U141" s="932"/>
      <c r="V141" s="932"/>
      <c r="W141" s="932"/>
      <c r="X141" s="932"/>
      <c r="Y141" s="932"/>
      <c r="Z141" s="932"/>
      <c r="AA141" s="932"/>
      <c r="AB141" s="932"/>
      <c r="AC141" s="932"/>
      <c r="AD141" s="932"/>
      <c r="AE141" s="932"/>
      <c r="AF141" s="932"/>
      <c r="AG141" s="932"/>
      <c r="AH141" s="932"/>
      <c r="AI141" s="932"/>
      <c r="AJ141" s="932"/>
      <c r="AK141" s="932"/>
      <c r="AL141" s="932"/>
      <c r="AM141" s="932"/>
      <c r="AN141" s="932"/>
      <c r="AO141" s="932"/>
      <c r="AP141" s="932"/>
      <c r="AQ141" s="932"/>
      <c r="AR141" s="932"/>
      <c r="AS141" s="932"/>
      <c r="AT141" s="932"/>
      <c r="AU141" s="932"/>
      <c r="AV141" s="932"/>
      <c r="AW141" s="932"/>
      <c r="AX141" s="932"/>
      <c r="AY141" s="932"/>
      <c r="AZ141" s="932"/>
      <c r="BA141" s="932"/>
      <c r="BB141" s="932"/>
      <c r="BC141" s="932"/>
      <c r="BD141" s="932"/>
      <c r="BE141" s="932"/>
      <c r="BF141" s="932"/>
    </row>
    <row r="142" spans="2:58" ht="15" x14ac:dyDescent="0.25">
      <c r="B142" s="932"/>
      <c r="C142" s="932"/>
      <c r="D142" s="932"/>
      <c r="E142" s="932"/>
      <c r="F142" s="932"/>
      <c r="G142" s="932"/>
      <c r="H142" s="932"/>
      <c r="I142" s="932"/>
      <c r="J142" s="932"/>
      <c r="K142" s="932"/>
      <c r="L142" s="932"/>
      <c r="M142" s="932"/>
      <c r="N142" s="932"/>
      <c r="O142" s="932"/>
      <c r="P142" s="932"/>
      <c r="Q142" s="932"/>
      <c r="R142" s="932"/>
      <c r="S142" s="932"/>
      <c r="T142" s="932"/>
      <c r="U142" s="932"/>
      <c r="V142" s="932"/>
      <c r="W142" s="932"/>
      <c r="X142" s="932"/>
      <c r="Y142" s="932"/>
      <c r="Z142" s="932"/>
      <c r="AA142" s="932"/>
      <c r="AB142" s="932"/>
      <c r="AC142" s="932"/>
      <c r="AD142" s="932"/>
      <c r="AE142" s="932"/>
      <c r="AF142" s="932"/>
      <c r="AG142" s="932"/>
      <c r="AH142" s="932"/>
      <c r="AI142" s="932"/>
      <c r="AJ142" s="932"/>
      <c r="AK142" s="932"/>
      <c r="AL142" s="932"/>
      <c r="AM142" s="932"/>
      <c r="AN142" s="932"/>
      <c r="AO142" s="932"/>
      <c r="AP142" s="932"/>
      <c r="AQ142" s="932"/>
      <c r="AR142" s="932"/>
      <c r="AS142" s="932"/>
      <c r="AT142" s="932"/>
      <c r="AU142" s="932"/>
      <c r="AV142" s="932"/>
      <c r="AW142" s="932"/>
      <c r="AX142" s="932"/>
      <c r="AY142" s="932"/>
      <c r="AZ142" s="932"/>
      <c r="BA142" s="932"/>
      <c r="BB142" s="932"/>
      <c r="BC142" s="932"/>
      <c r="BD142" s="932"/>
      <c r="BE142" s="932"/>
      <c r="BF142" s="932"/>
    </row>
    <row r="143" spans="2:58" ht="15" x14ac:dyDescent="0.25">
      <c r="B143" s="932"/>
      <c r="C143" s="932"/>
      <c r="D143" s="932"/>
      <c r="E143" s="932"/>
      <c r="F143" s="932"/>
      <c r="G143" s="932"/>
      <c r="H143" s="932"/>
      <c r="I143" s="932"/>
      <c r="J143" s="932"/>
      <c r="K143" s="932"/>
      <c r="L143" s="932"/>
      <c r="M143" s="932"/>
      <c r="N143" s="932"/>
      <c r="O143" s="932"/>
      <c r="P143" s="932"/>
      <c r="Q143" s="932"/>
      <c r="R143" s="932"/>
      <c r="S143" s="932"/>
      <c r="T143" s="932"/>
      <c r="U143" s="932"/>
      <c r="V143" s="932"/>
      <c r="W143" s="932"/>
      <c r="X143" s="932"/>
      <c r="Y143" s="932"/>
      <c r="Z143" s="932"/>
      <c r="AA143" s="932"/>
      <c r="AB143" s="932"/>
      <c r="AC143" s="932"/>
      <c r="AD143" s="932"/>
      <c r="AE143" s="932"/>
      <c r="AF143" s="932"/>
      <c r="AG143" s="932"/>
      <c r="AH143" s="932"/>
      <c r="AI143" s="932"/>
      <c r="AJ143" s="932"/>
      <c r="AK143" s="932"/>
      <c r="AL143" s="932"/>
      <c r="AM143" s="932"/>
      <c r="AN143" s="932"/>
      <c r="AO143" s="932"/>
      <c r="AP143" s="932"/>
      <c r="AQ143" s="932"/>
      <c r="AR143" s="932"/>
      <c r="AS143" s="932"/>
      <c r="AT143" s="932"/>
      <c r="AU143" s="932"/>
      <c r="AV143" s="932"/>
      <c r="AW143" s="932"/>
      <c r="AX143" s="932"/>
      <c r="AY143" s="932"/>
      <c r="AZ143" s="932"/>
      <c r="BA143" s="932"/>
      <c r="BB143" s="932"/>
      <c r="BC143" s="932"/>
      <c r="BD143" s="932"/>
      <c r="BE143" s="932"/>
      <c r="BF143" s="932"/>
    </row>
    <row r="144" spans="2:58" ht="15" x14ac:dyDescent="0.25">
      <c r="B144" s="932"/>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c r="AG144" s="932"/>
      <c r="AH144" s="932"/>
      <c r="AI144" s="932"/>
      <c r="AJ144" s="932"/>
      <c r="AK144" s="932"/>
      <c r="AL144" s="932"/>
      <c r="AM144" s="932"/>
      <c r="AN144" s="932"/>
      <c r="AO144" s="932"/>
      <c r="AP144" s="932"/>
      <c r="AQ144" s="932"/>
      <c r="AR144" s="932"/>
      <c r="AS144" s="932"/>
      <c r="AT144" s="932"/>
      <c r="AU144" s="932"/>
      <c r="AV144" s="932"/>
      <c r="AW144" s="932"/>
      <c r="AX144" s="932"/>
      <c r="AY144" s="932"/>
      <c r="AZ144" s="932"/>
      <c r="BA144" s="932"/>
      <c r="BB144" s="932"/>
      <c r="BC144" s="932"/>
      <c r="BD144" s="932"/>
      <c r="BE144" s="932"/>
      <c r="BF144" s="932"/>
    </row>
    <row r="145" spans="2:58" ht="15" x14ac:dyDescent="0.25">
      <c r="B145" s="932"/>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c r="AJ145" s="932"/>
      <c r="AK145" s="932"/>
      <c r="AL145" s="932"/>
      <c r="AM145" s="932"/>
      <c r="AN145" s="932"/>
      <c r="AO145" s="932"/>
      <c r="AP145" s="932"/>
      <c r="AQ145" s="932"/>
      <c r="AR145" s="932"/>
      <c r="AS145" s="932"/>
      <c r="AT145" s="932"/>
      <c r="AU145" s="932"/>
      <c r="AV145" s="932"/>
      <c r="AW145" s="932"/>
      <c r="AX145" s="932"/>
      <c r="AY145" s="932"/>
      <c r="AZ145" s="932"/>
      <c r="BA145" s="932"/>
      <c r="BB145" s="932"/>
      <c r="BC145" s="932"/>
      <c r="BD145" s="932"/>
      <c r="BE145" s="932"/>
      <c r="BF145" s="932"/>
    </row>
    <row r="146" spans="2:58" ht="15" x14ac:dyDescent="0.25">
      <c r="B146" s="932"/>
      <c r="C146" s="932"/>
      <c r="D146" s="932"/>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c r="AL146" s="932"/>
      <c r="AM146" s="932"/>
      <c r="AN146" s="932"/>
      <c r="AO146" s="932"/>
      <c r="AP146" s="932"/>
      <c r="AQ146" s="932"/>
      <c r="AR146" s="932"/>
      <c r="AS146" s="932"/>
      <c r="AT146" s="932"/>
      <c r="AU146" s="932"/>
      <c r="AV146" s="932"/>
      <c r="AW146" s="932"/>
      <c r="AX146" s="932"/>
      <c r="AY146" s="932"/>
      <c r="AZ146" s="932"/>
      <c r="BA146" s="932"/>
      <c r="BB146" s="932"/>
      <c r="BC146" s="932"/>
      <c r="BD146" s="932"/>
      <c r="BE146" s="932"/>
      <c r="BF146" s="932"/>
    </row>
    <row r="147" spans="2:58" ht="15" x14ac:dyDescent="0.25">
      <c r="B147" s="932"/>
      <c r="C147" s="932"/>
      <c r="D147" s="932"/>
      <c r="E147" s="932"/>
      <c r="F147" s="932"/>
      <c r="G147" s="932"/>
      <c r="H147" s="932"/>
      <c r="I147" s="932"/>
      <c r="J147" s="932"/>
      <c r="K147" s="932"/>
      <c r="L147" s="932"/>
      <c r="M147" s="932"/>
      <c r="N147" s="932"/>
      <c r="O147" s="932"/>
      <c r="P147" s="932"/>
      <c r="Q147" s="932"/>
      <c r="R147" s="932"/>
      <c r="S147" s="932"/>
      <c r="T147" s="932"/>
      <c r="U147" s="932"/>
      <c r="V147" s="932"/>
      <c r="W147" s="932"/>
      <c r="X147" s="932"/>
      <c r="Y147" s="932"/>
      <c r="Z147" s="932"/>
      <c r="AA147" s="932"/>
      <c r="AB147" s="932"/>
      <c r="AC147" s="932"/>
      <c r="AD147" s="932"/>
      <c r="AE147" s="932"/>
      <c r="AF147" s="932"/>
      <c r="AG147" s="932"/>
      <c r="AH147" s="932"/>
      <c r="AI147" s="932"/>
      <c r="AJ147" s="932"/>
      <c r="AK147" s="932"/>
      <c r="AL147" s="932"/>
      <c r="AM147" s="932"/>
      <c r="AN147" s="932"/>
      <c r="AO147" s="932"/>
      <c r="AP147" s="932"/>
      <c r="AQ147" s="932"/>
      <c r="AR147" s="932"/>
      <c r="AS147" s="932"/>
      <c r="AT147" s="932"/>
      <c r="AU147" s="932"/>
      <c r="AV147" s="932"/>
      <c r="AW147" s="932"/>
      <c r="AX147" s="932"/>
      <c r="AY147" s="932"/>
      <c r="AZ147" s="932"/>
      <c r="BA147" s="932"/>
      <c r="BB147" s="932"/>
      <c r="BC147" s="932"/>
      <c r="BD147" s="932"/>
      <c r="BE147" s="932"/>
      <c r="BF147" s="932"/>
    </row>
    <row r="148" spans="2:58" ht="15" x14ac:dyDescent="0.25">
      <c r="B148" s="932"/>
      <c r="C148" s="932"/>
      <c r="D148" s="932"/>
      <c r="E148" s="932"/>
      <c r="F148" s="932"/>
      <c r="G148" s="932"/>
      <c r="H148" s="932"/>
      <c r="I148" s="932"/>
      <c r="J148" s="932"/>
      <c r="K148" s="932"/>
      <c r="L148" s="932"/>
      <c r="M148" s="932"/>
      <c r="N148" s="932"/>
      <c r="O148" s="932"/>
      <c r="P148" s="932"/>
      <c r="Q148" s="932"/>
      <c r="R148" s="932"/>
      <c r="S148" s="932"/>
      <c r="T148" s="932"/>
      <c r="U148" s="932"/>
      <c r="V148" s="932"/>
      <c r="W148" s="932"/>
      <c r="X148" s="932"/>
      <c r="Y148" s="932"/>
      <c r="Z148" s="932"/>
      <c r="AA148" s="932"/>
      <c r="AB148" s="932"/>
      <c r="AC148" s="932"/>
      <c r="AD148" s="932"/>
      <c r="AE148" s="932"/>
      <c r="AF148" s="932"/>
      <c r="AG148" s="932"/>
      <c r="AH148" s="932"/>
      <c r="AI148" s="932"/>
      <c r="AJ148" s="932"/>
      <c r="AK148" s="932"/>
      <c r="AL148" s="932"/>
      <c r="AM148" s="932"/>
      <c r="AN148" s="932"/>
      <c r="AO148" s="932"/>
      <c r="AP148" s="932"/>
      <c r="AQ148" s="932"/>
      <c r="AR148" s="932"/>
      <c r="AS148" s="932"/>
      <c r="AT148" s="932"/>
      <c r="AU148" s="932"/>
      <c r="AV148" s="932"/>
      <c r="AW148" s="932"/>
      <c r="AX148" s="932"/>
      <c r="AY148" s="932"/>
      <c r="AZ148" s="932"/>
      <c r="BA148" s="932"/>
      <c r="BB148" s="932"/>
      <c r="BC148" s="932"/>
      <c r="BD148" s="932"/>
      <c r="BE148" s="932"/>
      <c r="BF148" s="932"/>
    </row>
    <row r="149" spans="2:58" ht="15" x14ac:dyDescent="0.25">
      <c r="B149" s="932"/>
      <c r="C149" s="932"/>
      <c r="D149" s="932"/>
      <c r="E149" s="932"/>
      <c r="F149" s="932"/>
      <c r="G149" s="932"/>
      <c r="H149" s="932"/>
      <c r="I149" s="932"/>
      <c r="J149" s="932"/>
      <c r="K149" s="932"/>
      <c r="L149" s="932"/>
      <c r="M149" s="932"/>
      <c r="N149" s="932"/>
      <c r="O149" s="932"/>
      <c r="P149" s="932"/>
      <c r="Q149" s="932"/>
      <c r="R149" s="932"/>
      <c r="S149" s="932"/>
      <c r="T149" s="932"/>
      <c r="U149" s="932"/>
      <c r="V149" s="932"/>
      <c r="W149" s="932"/>
      <c r="X149" s="932"/>
      <c r="Y149" s="932"/>
      <c r="Z149" s="932"/>
      <c r="AA149" s="932"/>
      <c r="AB149" s="932"/>
      <c r="AC149" s="932"/>
      <c r="AD149" s="932"/>
      <c r="AE149" s="932"/>
      <c r="AF149" s="932"/>
      <c r="AG149" s="932"/>
      <c r="AH149" s="932"/>
      <c r="AI149" s="932"/>
      <c r="AJ149" s="932"/>
      <c r="AK149" s="932"/>
      <c r="AL149" s="932"/>
      <c r="AM149" s="932"/>
      <c r="AN149" s="932"/>
      <c r="AO149" s="932"/>
      <c r="AP149" s="932"/>
      <c r="AQ149" s="932"/>
      <c r="AR149" s="932"/>
      <c r="AS149" s="932"/>
      <c r="AT149" s="932"/>
      <c r="AU149" s="932"/>
      <c r="AV149" s="932"/>
      <c r="AW149" s="932"/>
      <c r="AX149" s="932"/>
      <c r="AY149" s="932"/>
      <c r="AZ149" s="932"/>
      <c r="BA149" s="932"/>
      <c r="BB149" s="932"/>
      <c r="BC149" s="932"/>
      <c r="BD149" s="932"/>
      <c r="BE149" s="932"/>
      <c r="BF149" s="932"/>
    </row>
    <row r="150" spans="2:58" ht="15" x14ac:dyDescent="0.25">
      <c r="B150" s="932"/>
      <c r="C150" s="932"/>
      <c r="D150" s="932"/>
      <c r="E150" s="932"/>
      <c r="F150" s="932"/>
      <c r="G150" s="932"/>
      <c r="H150" s="932"/>
      <c r="I150" s="932"/>
      <c r="J150" s="932"/>
      <c r="K150" s="932"/>
      <c r="L150" s="932"/>
      <c r="M150" s="932"/>
      <c r="N150" s="932"/>
      <c r="O150" s="932"/>
      <c r="P150" s="932"/>
      <c r="Q150" s="932"/>
      <c r="R150" s="932"/>
      <c r="S150" s="932"/>
      <c r="T150" s="932"/>
      <c r="U150" s="932"/>
      <c r="V150" s="932"/>
      <c r="W150" s="932"/>
      <c r="X150" s="932"/>
      <c r="Y150" s="932"/>
      <c r="Z150" s="932"/>
      <c r="AA150" s="932"/>
      <c r="AB150" s="932"/>
      <c r="AC150" s="932"/>
      <c r="AD150" s="932"/>
      <c r="AE150" s="932"/>
      <c r="AF150" s="932"/>
      <c r="AG150" s="932"/>
      <c r="AH150" s="932"/>
      <c r="AI150" s="932"/>
      <c r="AJ150" s="932"/>
      <c r="AK150" s="932"/>
      <c r="AL150" s="932"/>
      <c r="AM150" s="932"/>
      <c r="AN150" s="932"/>
      <c r="AO150" s="932"/>
      <c r="AP150" s="932"/>
      <c r="AQ150" s="932"/>
      <c r="AR150" s="932"/>
      <c r="AS150" s="932"/>
      <c r="AT150" s="932"/>
      <c r="AU150" s="932"/>
      <c r="AV150" s="932"/>
      <c r="AW150" s="932"/>
      <c r="AX150" s="932"/>
      <c r="AY150" s="932"/>
      <c r="AZ150" s="932"/>
      <c r="BA150" s="932"/>
      <c r="BB150" s="932"/>
      <c r="BC150" s="932"/>
      <c r="BD150" s="932"/>
      <c r="BE150" s="932"/>
      <c r="BF150" s="932"/>
    </row>
    <row r="151" spans="2:58" ht="15" x14ac:dyDescent="0.25">
      <c r="B151" s="932"/>
      <c r="C151" s="932"/>
      <c r="D151" s="932"/>
      <c r="E151" s="932"/>
      <c r="F151" s="932"/>
      <c r="G151" s="932"/>
      <c r="H151" s="932"/>
      <c r="I151" s="932"/>
      <c r="J151" s="932"/>
      <c r="K151" s="932"/>
      <c r="L151" s="932"/>
      <c r="M151" s="932"/>
      <c r="N151" s="932"/>
      <c r="O151" s="932"/>
      <c r="P151" s="932"/>
      <c r="Q151" s="932"/>
      <c r="R151" s="932"/>
      <c r="S151" s="932"/>
      <c r="T151" s="932"/>
      <c r="U151" s="932"/>
      <c r="V151" s="932"/>
      <c r="W151" s="932"/>
      <c r="X151" s="932"/>
      <c r="Y151" s="932"/>
      <c r="Z151" s="932"/>
      <c r="AA151" s="932"/>
      <c r="AB151" s="932"/>
      <c r="AC151" s="932"/>
      <c r="AD151" s="932"/>
      <c r="AE151" s="932"/>
      <c r="AF151" s="932"/>
      <c r="AG151" s="932"/>
      <c r="AH151" s="932"/>
      <c r="AI151" s="932"/>
      <c r="AJ151" s="932"/>
      <c r="AK151" s="932"/>
      <c r="AL151" s="932"/>
      <c r="AM151" s="932"/>
      <c r="AN151" s="932"/>
      <c r="AO151" s="932"/>
      <c r="AP151" s="932"/>
      <c r="AQ151" s="932"/>
      <c r="AR151" s="932"/>
      <c r="AS151" s="932"/>
      <c r="AT151" s="932"/>
      <c r="AU151" s="932"/>
      <c r="AV151" s="932"/>
      <c r="AW151" s="932"/>
      <c r="AX151" s="932"/>
      <c r="AY151" s="932"/>
      <c r="AZ151" s="932"/>
      <c r="BA151" s="932"/>
      <c r="BB151" s="932"/>
      <c r="BC151" s="932"/>
      <c r="BD151" s="932"/>
      <c r="BE151" s="932"/>
      <c r="BF151" s="932"/>
    </row>
    <row r="152" spans="2:58" ht="15" x14ac:dyDescent="0.25">
      <c r="B152" s="932"/>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2"/>
      <c r="AB152" s="932"/>
      <c r="AC152" s="932"/>
      <c r="AD152" s="932"/>
      <c r="AE152" s="932"/>
      <c r="AF152" s="932"/>
      <c r="AG152" s="932"/>
      <c r="AH152" s="932"/>
      <c r="AI152" s="932"/>
      <c r="AJ152" s="932"/>
      <c r="AK152" s="932"/>
      <c r="AL152" s="932"/>
      <c r="AM152" s="932"/>
      <c r="AN152" s="932"/>
      <c r="AO152" s="932"/>
      <c r="AP152" s="932"/>
      <c r="AQ152" s="932"/>
      <c r="AR152" s="932"/>
      <c r="AS152" s="932"/>
      <c r="AT152" s="932"/>
      <c r="AU152" s="932"/>
      <c r="AV152" s="932"/>
      <c r="AW152" s="932"/>
      <c r="AX152" s="932"/>
      <c r="AY152" s="932"/>
      <c r="AZ152" s="932"/>
      <c r="BA152" s="932"/>
      <c r="BB152" s="932"/>
      <c r="BC152" s="932"/>
      <c r="BD152" s="932"/>
      <c r="BE152" s="932"/>
      <c r="BF152" s="932"/>
    </row>
    <row r="153" spans="2:58" ht="15" x14ac:dyDescent="0.25">
      <c r="B153" s="932"/>
      <c r="C153" s="932"/>
      <c r="D153" s="932"/>
      <c r="E153" s="932"/>
      <c r="F153" s="932"/>
      <c r="G153" s="932"/>
      <c r="H153" s="932"/>
      <c r="I153" s="932"/>
      <c r="J153" s="932"/>
      <c r="K153" s="932"/>
      <c r="L153" s="932"/>
      <c r="M153" s="932"/>
      <c r="N153" s="932"/>
      <c r="O153" s="932"/>
      <c r="P153" s="932"/>
      <c r="Q153" s="932"/>
      <c r="R153" s="932"/>
      <c r="S153" s="932"/>
      <c r="T153" s="932"/>
      <c r="U153" s="932"/>
      <c r="V153" s="932"/>
      <c r="W153" s="932"/>
      <c r="X153" s="932"/>
      <c r="Y153" s="932"/>
      <c r="Z153" s="932"/>
      <c r="AA153" s="932"/>
      <c r="AB153" s="932"/>
      <c r="AC153" s="932"/>
      <c r="AD153" s="932"/>
      <c r="AE153" s="932"/>
      <c r="AF153" s="932"/>
      <c r="AG153" s="932"/>
      <c r="AH153" s="932"/>
      <c r="AI153" s="932"/>
      <c r="AJ153" s="932"/>
      <c r="AK153" s="932"/>
      <c r="AL153" s="932"/>
      <c r="AM153" s="932"/>
      <c r="AN153" s="932"/>
      <c r="AO153" s="932"/>
      <c r="AP153" s="932"/>
      <c r="AQ153" s="932"/>
      <c r="AR153" s="932"/>
      <c r="AS153" s="932"/>
      <c r="AT153" s="932"/>
      <c r="AU153" s="932"/>
      <c r="AV153" s="932"/>
      <c r="AW153" s="932"/>
      <c r="AX153" s="932"/>
      <c r="AY153" s="932"/>
      <c r="AZ153" s="932"/>
      <c r="BA153" s="932"/>
      <c r="BB153" s="932"/>
      <c r="BC153" s="932"/>
      <c r="BD153" s="932"/>
      <c r="BE153" s="932"/>
      <c r="BF153" s="932"/>
    </row>
    <row r="154" spans="2:58" ht="15" x14ac:dyDescent="0.25">
      <c r="B154" s="932"/>
      <c r="C154" s="932"/>
      <c r="D154" s="932"/>
      <c r="E154" s="932"/>
      <c r="F154" s="932"/>
      <c r="G154" s="932"/>
      <c r="H154" s="932"/>
      <c r="I154" s="932"/>
      <c r="J154" s="932"/>
      <c r="K154" s="932"/>
      <c r="L154" s="932"/>
      <c r="M154" s="932"/>
      <c r="N154" s="932"/>
      <c r="O154" s="932"/>
      <c r="P154" s="932"/>
      <c r="Q154" s="932"/>
      <c r="R154" s="932"/>
      <c r="S154" s="932"/>
      <c r="T154" s="932"/>
      <c r="U154" s="932"/>
      <c r="V154" s="932"/>
      <c r="W154" s="932"/>
      <c r="X154" s="932"/>
      <c r="Y154" s="932"/>
      <c r="Z154" s="932"/>
      <c r="AA154" s="932"/>
      <c r="AB154" s="932"/>
      <c r="AC154" s="932"/>
      <c r="AD154" s="932"/>
      <c r="AE154" s="932"/>
      <c r="AF154" s="932"/>
      <c r="AG154" s="932"/>
      <c r="AH154" s="932"/>
      <c r="AI154" s="932"/>
      <c r="AJ154" s="932"/>
      <c r="AK154" s="932"/>
      <c r="AL154" s="932"/>
      <c r="AM154" s="932"/>
      <c r="AN154" s="932"/>
      <c r="AO154" s="932"/>
      <c r="AP154" s="932"/>
      <c r="AQ154" s="932"/>
      <c r="AR154" s="932"/>
      <c r="AS154" s="932"/>
      <c r="AT154" s="932"/>
      <c r="AU154" s="932"/>
      <c r="AV154" s="932"/>
      <c r="AW154" s="932"/>
      <c r="AX154" s="932"/>
      <c r="AY154" s="932"/>
      <c r="AZ154" s="932"/>
      <c r="BA154" s="932"/>
      <c r="BB154" s="932"/>
      <c r="BC154" s="932"/>
      <c r="BD154" s="932"/>
      <c r="BE154" s="932"/>
      <c r="BF154" s="932"/>
    </row>
    <row r="155" spans="2:58" ht="15" x14ac:dyDescent="0.25">
      <c r="B155" s="932"/>
      <c r="C155" s="932"/>
      <c r="D155" s="932"/>
      <c r="E155" s="932"/>
      <c r="F155" s="932"/>
      <c r="G155" s="932"/>
      <c r="H155" s="932"/>
      <c r="I155" s="932"/>
      <c r="J155" s="932"/>
      <c r="K155" s="932"/>
      <c r="L155" s="932"/>
      <c r="M155" s="932"/>
      <c r="N155" s="932"/>
      <c r="O155" s="932"/>
      <c r="P155" s="932"/>
      <c r="Q155" s="932"/>
      <c r="R155" s="932"/>
      <c r="S155" s="932"/>
      <c r="T155" s="932"/>
      <c r="U155" s="932"/>
      <c r="V155" s="932"/>
      <c r="W155" s="932"/>
      <c r="X155" s="932"/>
      <c r="Y155" s="932"/>
      <c r="Z155" s="932"/>
      <c r="AA155" s="932"/>
      <c r="AB155" s="932"/>
      <c r="AC155" s="932"/>
      <c r="AD155" s="932"/>
      <c r="AE155" s="932"/>
      <c r="AF155" s="932"/>
      <c r="AG155" s="932"/>
      <c r="AH155" s="932"/>
      <c r="AI155" s="932"/>
      <c r="AJ155" s="932"/>
      <c r="AK155" s="932"/>
      <c r="AL155" s="932"/>
      <c r="AM155" s="932"/>
      <c r="AN155" s="932"/>
      <c r="AO155" s="932"/>
      <c r="AP155" s="932"/>
      <c r="AQ155" s="932"/>
      <c r="AR155" s="932"/>
      <c r="AS155" s="932"/>
      <c r="AT155" s="932"/>
      <c r="AU155" s="932"/>
      <c r="AV155" s="932"/>
      <c r="AW155" s="932"/>
      <c r="AX155" s="932"/>
      <c r="AY155" s="932"/>
      <c r="AZ155" s="932"/>
      <c r="BA155" s="932"/>
      <c r="BB155" s="932"/>
      <c r="BC155" s="932"/>
      <c r="BD155" s="932"/>
      <c r="BE155" s="932"/>
      <c r="BF155" s="932"/>
    </row>
    <row r="156" spans="2:58" ht="15" x14ac:dyDescent="0.25">
      <c r="B156" s="932"/>
      <c r="C156" s="932"/>
      <c r="D156" s="932"/>
      <c r="E156" s="932"/>
      <c r="F156" s="932"/>
      <c r="G156" s="932"/>
      <c r="H156" s="932"/>
      <c r="I156" s="932"/>
      <c r="J156" s="932"/>
      <c r="K156" s="932"/>
      <c r="L156" s="932"/>
      <c r="M156" s="932"/>
      <c r="N156" s="932"/>
      <c r="O156" s="932"/>
      <c r="P156" s="932"/>
      <c r="Q156" s="932"/>
      <c r="R156" s="932"/>
      <c r="S156" s="932"/>
      <c r="T156" s="932"/>
      <c r="U156" s="932"/>
      <c r="V156" s="932"/>
      <c r="W156" s="932"/>
      <c r="X156" s="932"/>
      <c r="Y156" s="932"/>
      <c r="Z156" s="932"/>
      <c r="AA156" s="932"/>
      <c r="AB156" s="932"/>
      <c r="AC156" s="932"/>
      <c r="AD156" s="932"/>
      <c r="AE156" s="932"/>
      <c r="AF156" s="932"/>
      <c r="AG156" s="932"/>
      <c r="AH156" s="932"/>
      <c r="AI156" s="932"/>
      <c r="AJ156" s="932"/>
      <c r="AK156" s="932"/>
      <c r="AL156" s="932"/>
      <c r="AM156" s="932"/>
      <c r="AN156" s="932"/>
      <c r="AO156" s="932"/>
      <c r="AP156" s="932"/>
      <c r="AQ156" s="932"/>
      <c r="AR156" s="932"/>
      <c r="AS156" s="932"/>
      <c r="AT156" s="932"/>
      <c r="AU156" s="932"/>
      <c r="AV156" s="932"/>
      <c r="AW156" s="932"/>
      <c r="AX156" s="932"/>
      <c r="AY156" s="932"/>
      <c r="AZ156" s="932"/>
      <c r="BA156" s="932"/>
      <c r="BB156" s="932"/>
      <c r="BC156" s="932"/>
      <c r="BD156" s="932"/>
      <c r="BE156" s="932"/>
      <c r="BF156" s="932"/>
    </row>
    <row r="157" spans="2:58" ht="15" x14ac:dyDescent="0.25">
      <c r="B157" s="932"/>
      <c r="C157" s="932"/>
      <c r="D157" s="932"/>
      <c r="E157" s="932"/>
      <c r="F157" s="932"/>
      <c r="G157" s="932"/>
      <c r="H157" s="932"/>
      <c r="I157" s="932"/>
      <c r="J157" s="932"/>
      <c r="K157" s="932"/>
      <c r="L157" s="932"/>
      <c r="M157" s="932"/>
      <c r="N157" s="932"/>
      <c r="O157" s="932"/>
      <c r="P157" s="932"/>
      <c r="Q157" s="932"/>
      <c r="R157" s="932"/>
      <c r="S157" s="932"/>
      <c r="T157" s="932"/>
      <c r="U157" s="932"/>
      <c r="V157" s="932"/>
      <c r="W157" s="932"/>
      <c r="X157" s="932"/>
      <c r="Y157" s="932"/>
      <c r="Z157" s="932"/>
      <c r="AA157" s="932"/>
      <c r="AB157" s="932"/>
      <c r="AC157" s="932"/>
      <c r="AD157" s="932"/>
      <c r="AE157" s="932"/>
      <c r="AF157" s="932"/>
      <c r="AG157" s="932"/>
      <c r="AH157" s="932"/>
      <c r="AI157" s="932"/>
      <c r="AJ157" s="932"/>
      <c r="AK157" s="932"/>
      <c r="AL157" s="932"/>
      <c r="AM157" s="932"/>
      <c r="AN157" s="932"/>
      <c r="AO157" s="932"/>
      <c r="AP157" s="932"/>
      <c r="AQ157" s="932"/>
      <c r="AR157" s="932"/>
      <c r="AS157" s="932"/>
      <c r="AT157" s="932"/>
      <c r="AU157" s="932"/>
      <c r="AV157" s="932"/>
      <c r="AW157" s="932"/>
      <c r="AX157" s="932"/>
      <c r="AY157" s="932"/>
      <c r="AZ157" s="932"/>
      <c r="BA157" s="932"/>
      <c r="BB157" s="932"/>
      <c r="BC157" s="932"/>
      <c r="BD157" s="932"/>
      <c r="BE157" s="932"/>
      <c r="BF157" s="932"/>
    </row>
    <row r="158" spans="2:58" ht="15" x14ac:dyDescent="0.25">
      <c r="B158" s="932"/>
      <c r="C158" s="932"/>
      <c r="D158" s="932"/>
      <c r="E158" s="932"/>
      <c r="F158" s="932"/>
      <c r="G158" s="932"/>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c r="AG158" s="932"/>
      <c r="AH158" s="932"/>
      <c r="AI158" s="932"/>
      <c r="AJ158" s="932"/>
      <c r="AK158" s="932"/>
      <c r="AL158" s="932"/>
      <c r="AM158" s="932"/>
      <c r="AN158" s="932"/>
      <c r="AO158" s="932"/>
      <c r="AP158" s="932"/>
      <c r="AQ158" s="932"/>
      <c r="AR158" s="932"/>
      <c r="AS158" s="932"/>
      <c r="AT158" s="932"/>
      <c r="AU158" s="932"/>
      <c r="AV158" s="932"/>
      <c r="AW158" s="932"/>
      <c r="AX158" s="932"/>
      <c r="AY158" s="932"/>
      <c r="AZ158" s="932"/>
      <c r="BA158" s="932"/>
      <c r="BB158" s="932"/>
      <c r="BC158" s="932"/>
      <c r="BD158" s="932"/>
      <c r="BE158" s="932"/>
      <c r="BF158" s="932"/>
    </row>
    <row r="159" spans="2:58" ht="15" x14ac:dyDescent="0.25">
      <c r="B159" s="932"/>
      <c r="C159" s="932"/>
      <c r="D159" s="932"/>
      <c r="E159" s="932"/>
      <c r="F159" s="932"/>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932"/>
      <c r="AL159" s="932"/>
      <c r="AM159" s="932"/>
      <c r="AN159" s="932"/>
      <c r="AO159" s="932"/>
      <c r="AP159" s="932"/>
      <c r="AQ159" s="932"/>
      <c r="AR159" s="932"/>
      <c r="AS159" s="932"/>
      <c r="AT159" s="932"/>
      <c r="AU159" s="932"/>
      <c r="AV159" s="932"/>
      <c r="AW159" s="932"/>
      <c r="AX159" s="932"/>
      <c r="AY159" s="932"/>
      <c r="AZ159" s="932"/>
      <c r="BA159" s="932"/>
      <c r="BB159" s="932"/>
      <c r="BC159" s="932"/>
      <c r="BD159" s="932"/>
      <c r="BE159" s="932"/>
      <c r="BF159" s="932"/>
    </row>
    <row r="160" spans="2:58" ht="15" x14ac:dyDescent="0.25">
      <c r="B160" s="932"/>
      <c r="C160" s="932"/>
      <c r="D160" s="932"/>
      <c r="E160" s="932"/>
      <c r="F160" s="932"/>
      <c r="G160" s="932"/>
      <c r="H160" s="932"/>
      <c r="I160" s="932"/>
      <c r="J160" s="932"/>
      <c r="K160" s="932"/>
      <c r="L160" s="932"/>
      <c r="M160" s="932"/>
      <c r="N160" s="932"/>
      <c r="O160" s="932"/>
      <c r="P160" s="932"/>
      <c r="Q160" s="932"/>
      <c r="R160" s="932"/>
      <c r="S160" s="932"/>
      <c r="T160" s="932"/>
      <c r="U160" s="932"/>
      <c r="V160" s="932"/>
      <c r="W160" s="932"/>
      <c r="X160" s="932"/>
      <c r="Y160" s="932"/>
      <c r="Z160" s="932"/>
      <c r="AA160" s="932"/>
      <c r="AB160" s="932"/>
      <c r="AC160" s="932"/>
      <c r="AD160" s="932"/>
      <c r="AE160" s="932"/>
      <c r="AF160" s="932"/>
      <c r="AG160" s="932"/>
      <c r="AH160" s="932"/>
      <c r="AI160" s="932"/>
      <c r="AJ160" s="932"/>
      <c r="AK160" s="932"/>
      <c r="AL160" s="932"/>
      <c r="AM160" s="932"/>
      <c r="AN160" s="932"/>
      <c r="AO160" s="932"/>
      <c r="AP160" s="932"/>
      <c r="AQ160" s="932"/>
      <c r="AR160" s="932"/>
      <c r="AS160" s="932"/>
      <c r="AT160" s="932"/>
      <c r="AU160" s="932"/>
      <c r="AV160" s="932"/>
      <c r="AW160" s="932"/>
      <c r="AX160" s="932"/>
      <c r="AY160" s="932"/>
      <c r="AZ160" s="932"/>
      <c r="BA160" s="932"/>
      <c r="BB160" s="932"/>
      <c r="BC160" s="932"/>
      <c r="BD160" s="932"/>
      <c r="BE160" s="932"/>
      <c r="BF160" s="932"/>
    </row>
    <row r="161" spans="2:58" ht="15" x14ac:dyDescent="0.25">
      <c r="B161" s="932"/>
      <c r="C161" s="932"/>
      <c r="D161" s="932"/>
      <c r="E161" s="932"/>
      <c r="F161" s="932"/>
      <c r="G161" s="932"/>
      <c r="H161" s="932"/>
      <c r="I161" s="932"/>
      <c r="J161" s="932"/>
      <c r="K161" s="932"/>
      <c r="L161" s="932"/>
      <c r="M161" s="932"/>
      <c r="N161" s="932"/>
      <c r="O161" s="932"/>
      <c r="P161" s="932"/>
      <c r="Q161" s="932"/>
      <c r="R161" s="932"/>
      <c r="S161" s="932"/>
      <c r="T161" s="932"/>
      <c r="U161" s="932"/>
      <c r="V161" s="932"/>
      <c r="W161" s="932"/>
      <c r="X161" s="932"/>
      <c r="Y161" s="932"/>
      <c r="Z161" s="932"/>
      <c r="AA161" s="932"/>
      <c r="AB161" s="932"/>
      <c r="AC161" s="932"/>
      <c r="AD161" s="932"/>
      <c r="AE161" s="932"/>
      <c r="AF161" s="932"/>
      <c r="AG161" s="932"/>
      <c r="AH161" s="932"/>
      <c r="AI161" s="932"/>
      <c r="AJ161" s="932"/>
      <c r="AK161" s="932"/>
      <c r="AL161" s="932"/>
      <c r="AM161" s="932"/>
      <c r="AN161" s="932"/>
      <c r="AO161" s="932"/>
      <c r="AP161" s="932"/>
      <c r="AQ161" s="932"/>
      <c r="AR161" s="932"/>
      <c r="AS161" s="932"/>
      <c r="AT161" s="932"/>
      <c r="AU161" s="932"/>
      <c r="AV161" s="932"/>
      <c r="AW161" s="932"/>
      <c r="AX161" s="932"/>
      <c r="AY161" s="932"/>
      <c r="AZ161" s="932"/>
      <c r="BA161" s="932"/>
      <c r="BB161" s="932"/>
      <c r="BC161" s="932"/>
      <c r="BD161" s="932"/>
      <c r="BE161" s="932"/>
      <c r="BF161" s="932"/>
    </row>
    <row r="162" spans="2:58" ht="15" x14ac:dyDescent="0.25">
      <c r="B162" s="932"/>
      <c r="C162" s="932"/>
      <c r="D162" s="932"/>
      <c r="E162" s="932"/>
      <c r="F162" s="932"/>
      <c r="G162" s="932"/>
      <c r="H162" s="932"/>
      <c r="I162" s="932"/>
      <c r="J162" s="932"/>
      <c r="K162" s="932"/>
      <c r="L162" s="932"/>
      <c r="M162" s="932"/>
      <c r="N162" s="932"/>
      <c r="O162" s="932"/>
      <c r="P162" s="932"/>
      <c r="Q162" s="932"/>
      <c r="R162" s="932"/>
      <c r="S162" s="932"/>
      <c r="T162" s="932"/>
      <c r="U162" s="932"/>
      <c r="V162" s="932"/>
      <c r="W162" s="932"/>
      <c r="X162" s="932"/>
      <c r="Y162" s="932"/>
      <c r="Z162" s="932"/>
      <c r="AA162" s="932"/>
      <c r="AB162" s="932"/>
      <c r="AC162" s="932"/>
      <c r="AD162" s="932"/>
      <c r="AE162" s="932"/>
      <c r="AF162" s="932"/>
      <c r="AG162" s="932"/>
      <c r="AH162" s="932"/>
      <c r="AI162" s="932"/>
      <c r="AJ162" s="932"/>
      <c r="AK162" s="932"/>
      <c r="AL162" s="932"/>
      <c r="AM162" s="932"/>
      <c r="AN162" s="932"/>
      <c r="AO162" s="932"/>
      <c r="AP162" s="932"/>
      <c r="AQ162" s="932"/>
      <c r="AR162" s="932"/>
      <c r="AS162" s="932"/>
      <c r="AT162" s="932"/>
      <c r="AU162" s="932"/>
      <c r="AV162" s="932"/>
      <c r="AW162" s="932"/>
      <c r="AX162" s="932"/>
      <c r="AY162" s="932"/>
      <c r="AZ162" s="932"/>
      <c r="BA162" s="932"/>
      <c r="BB162" s="932"/>
      <c r="BC162" s="932"/>
      <c r="BD162" s="932"/>
      <c r="BE162" s="932"/>
      <c r="BF162" s="932"/>
    </row>
    <row r="163" spans="2:58" ht="15" x14ac:dyDescent="0.25">
      <c r="B163" s="932"/>
      <c r="C163" s="932"/>
      <c r="D163" s="932"/>
      <c r="E163" s="932"/>
      <c r="F163" s="932"/>
      <c r="G163" s="932"/>
      <c r="H163" s="932"/>
      <c r="I163" s="932"/>
      <c r="J163" s="932"/>
      <c r="K163" s="932"/>
      <c r="L163" s="932"/>
      <c r="M163" s="932"/>
      <c r="N163" s="932"/>
      <c r="O163" s="932"/>
      <c r="P163" s="932"/>
      <c r="Q163" s="932"/>
      <c r="R163" s="932"/>
      <c r="S163" s="932"/>
      <c r="T163" s="932"/>
      <c r="U163" s="932"/>
      <c r="V163" s="932"/>
      <c r="W163" s="932"/>
      <c r="X163" s="932"/>
      <c r="Y163" s="932"/>
      <c r="Z163" s="932"/>
      <c r="AA163" s="932"/>
      <c r="AB163" s="932"/>
      <c r="AC163" s="932"/>
      <c r="AD163" s="932"/>
      <c r="AE163" s="932"/>
      <c r="AF163" s="932"/>
      <c r="AG163" s="932"/>
      <c r="AH163" s="932"/>
      <c r="AI163" s="932"/>
      <c r="AJ163" s="932"/>
      <c r="AK163" s="932"/>
      <c r="AL163" s="932"/>
      <c r="AM163" s="932"/>
      <c r="AN163" s="932"/>
      <c r="AO163" s="932"/>
      <c r="AP163" s="932"/>
      <c r="AQ163" s="932"/>
      <c r="AR163" s="932"/>
      <c r="AS163" s="932"/>
      <c r="AT163" s="932"/>
      <c r="AU163" s="932"/>
      <c r="AV163" s="932"/>
      <c r="AW163" s="932"/>
      <c r="AX163" s="932"/>
      <c r="AY163" s="932"/>
      <c r="AZ163" s="932"/>
      <c r="BA163" s="932"/>
      <c r="BB163" s="932"/>
      <c r="BC163" s="932"/>
      <c r="BD163" s="932"/>
      <c r="BE163" s="932"/>
      <c r="BF163" s="932"/>
    </row>
    <row r="164" spans="2:58" ht="15" x14ac:dyDescent="0.25">
      <c r="B164" s="932"/>
      <c r="C164" s="932"/>
      <c r="D164" s="932"/>
      <c r="E164" s="932"/>
      <c r="F164" s="932"/>
      <c r="G164" s="932"/>
      <c r="H164" s="932"/>
      <c r="I164" s="932"/>
      <c r="J164" s="932"/>
      <c r="K164" s="932"/>
      <c r="L164" s="932"/>
      <c r="M164" s="932"/>
      <c r="N164" s="932"/>
      <c r="O164" s="932"/>
      <c r="P164" s="932"/>
      <c r="Q164" s="932"/>
      <c r="R164" s="932"/>
      <c r="S164" s="932"/>
      <c r="T164" s="932"/>
      <c r="U164" s="932"/>
      <c r="V164" s="932"/>
      <c r="W164" s="932"/>
      <c r="X164" s="932"/>
      <c r="Y164" s="932"/>
      <c r="Z164" s="932"/>
      <c r="AA164" s="932"/>
      <c r="AB164" s="932"/>
      <c r="AC164" s="932"/>
      <c r="AD164" s="932"/>
      <c r="AE164" s="932"/>
      <c r="AF164" s="932"/>
      <c r="AG164" s="932"/>
      <c r="AH164" s="932"/>
      <c r="AI164" s="932"/>
      <c r="AJ164" s="932"/>
      <c r="AK164" s="932"/>
      <c r="AL164" s="932"/>
      <c r="AM164" s="932"/>
      <c r="AN164" s="932"/>
      <c r="AO164" s="932"/>
      <c r="AP164" s="932"/>
      <c r="AQ164" s="932"/>
      <c r="AR164" s="932"/>
      <c r="AS164" s="932"/>
      <c r="AT164" s="932"/>
      <c r="AU164" s="932"/>
      <c r="AV164" s="932"/>
      <c r="AW164" s="932"/>
      <c r="AX164" s="932"/>
      <c r="AY164" s="932"/>
      <c r="AZ164" s="932"/>
      <c r="BA164" s="932"/>
      <c r="BB164" s="932"/>
      <c r="BC164" s="932"/>
      <c r="BD164" s="932"/>
      <c r="BE164" s="932"/>
      <c r="BF164" s="932"/>
    </row>
    <row r="165" spans="2:58" ht="15" x14ac:dyDescent="0.25">
      <c r="B165" s="932"/>
      <c r="C165" s="932"/>
      <c r="D165" s="932"/>
      <c r="E165" s="932"/>
      <c r="F165" s="932"/>
      <c r="G165" s="932"/>
      <c r="H165" s="932"/>
      <c r="I165" s="932"/>
      <c r="J165" s="932"/>
      <c r="K165" s="932"/>
      <c r="L165" s="932"/>
      <c r="M165" s="932"/>
      <c r="N165" s="932"/>
      <c r="O165" s="932"/>
      <c r="P165" s="932"/>
      <c r="Q165" s="932"/>
      <c r="R165" s="932"/>
      <c r="S165" s="932"/>
      <c r="T165" s="932"/>
      <c r="U165" s="932"/>
      <c r="V165" s="932"/>
      <c r="W165" s="932"/>
      <c r="X165" s="932"/>
      <c r="Y165" s="932"/>
      <c r="Z165" s="932"/>
      <c r="AA165" s="932"/>
      <c r="AB165" s="932"/>
      <c r="AC165" s="932"/>
      <c r="AD165" s="932"/>
      <c r="AE165" s="932"/>
      <c r="AF165" s="932"/>
      <c r="AG165" s="932"/>
      <c r="AH165" s="932"/>
      <c r="AI165" s="932"/>
      <c r="AJ165" s="932"/>
      <c r="AK165" s="932"/>
      <c r="AL165" s="932"/>
      <c r="AM165" s="932"/>
      <c r="AN165" s="932"/>
      <c r="AO165" s="932"/>
      <c r="AP165" s="932"/>
      <c r="AQ165" s="932"/>
      <c r="AR165" s="932"/>
      <c r="AS165" s="932"/>
      <c r="AT165" s="932"/>
      <c r="AU165" s="932"/>
      <c r="AV165" s="932"/>
      <c r="AW165" s="932"/>
      <c r="AX165" s="932"/>
      <c r="AY165" s="932"/>
      <c r="AZ165" s="932"/>
      <c r="BA165" s="932"/>
      <c r="BB165" s="932"/>
      <c r="BC165" s="932"/>
      <c r="BD165" s="932"/>
      <c r="BE165" s="932"/>
      <c r="BF165" s="932"/>
    </row>
    <row r="166" spans="2:58" ht="15" x14ac:dyDescent="0.25">
      <c r="B166" s="932"/>
      <c r="C166" s="932"/>
      <c r="D166" s="932"/>
      <c r="E166" s="932"/>
      <c r="F166" s="932"/>
      <c r="G166" s="932"/>
      <c r="H166" s="932"/>
      <c r="I166" s="932"/>
      <c r="J166" s="932"/>
      <c r="K166" s="932"/>
      <c r="L166" s="932"/>
      <c r="M166" s="932"/>
      <c r="N166" s="932"/>
      <c r="O166" s="932"/>
      <c r="P166" s="932"/>
      <c r="Q166" s="932"/>
      <c r="R166" s="932"/>
      <c r="S166" s="932"/>
      <c r="T166" s="932"/>
      <c r="U166" s="932"/>
      <c r="V166" s="932"/>
      <c r="W166" s="932"/>
      <c r="X166" s="932"/>
      <c r="Y166" s="932"/>
      <c r="Z166" s="932"/>
      <c r="AA166" s="932"/>
      <c r="AB166" s="932"/>
      <c r="AC166" s="932"/>
      <c r="AD166" s="932"/>
      <c r="AE166" s="932"/>
      <c r="AF166" s="932"/>
      <c r="AG166" s="932"/>
      <c r="AH166" s="932"/>
      <c r="AI166" s="932"/>
      <c r="AJ166" s="932"/>
      <c r="AK166" s="932"/>
      <c r="AL166" s="932"/>
      <c r="AM166" s="932"/>
      <c r="AN166" s="932"/>
      <c r="AO166" s="932"/>
      <c r="AP166" s="932"/>
      <c r="AQ166" s="932"/>
      <c r="AR166" s="932"/>
      <c r="AS166" s="932"/>
      <c r="AT166" s="932"/>
      <c r="AU166" s="932"/>
      <c r="AV166" s="932"/>
      <c r="AW166" s="932"/>
      <c r="AX166" s="932"/>
      <c r="AY166" s="932"/>
      <c r="AZ166" s="932"/>
      <c r="BA166" s="932"/>
      <c r="BB166" s="932"/>
      <c r="BC166" s="932"/>
      <c r="BD166" s="932"/>
      <c r="BE166" s="932"/>
      <c r="BF166" s="932"/>
    </row>
    <row r="167" spans="2:58" ht="15" x14ac:dyDescent="0.25">
      <c r="B167" s="932"/>
      <c r="C167" s="932"/>
      <c r="D167" s="932"/>
      <c r="E167" s="932"/>
      <c r="F167" s="932"/>
      <c r="G167" s="932"/>
      <c r="H167" s="932"/>
      <c r="I167" s="932"/>
      <c r="J167" s="932"/>
      <c r="K167" s="932"/>
      <c r="L167" s="932"/>
      <c r="M167" s="932"/>
      <c r="N167" s="932"/>
      <c r="O167" s="932"/>
      <c r="P167" s="932"/>
      <c r="Q167" s="932"/>
      <c r="R167" s="932"/>
      <c r="S167" s="932"/>
      <c r="T167" s="932"/>
      <c r="U167" s="932"/>
      <c r="V167" s="932"/>
      <c r="W167" s="932"/>
      <c r="X167" s="932"/>
      <c r="Y167" s="932"/>
      <c r="Z167" s="932"/>
      <c r="AA167" s="932"/>
      <c r="AB167" s="932"/>
      <c r="AC167" s="932"/>
      <c r="AD167" s="932"/>
      <c r="AE167" s="932"/>
      <c r="AF167" s="932"/>
      <c r="AG167" s="932"/>
      <c r="AH167" s="932"/>
      <c r="AI167" s="932"/>
      <c r="AJ167" s="932"/>
      <c r="AK167" s="932"/>
      <c r="AL167" s="932"/>
      <c r="AM167" s="932"/>
      <c r="AN167" s="932"/>
      <c r="AO167" s="932"/>
      <c r="AP167" s="932"/>
      <c r="AQ167" s="932"/>
      <c r="AR167" s="932"/>
      <c r="AS167" s="932"/>
      <c r="AT167" s="932"/>
      <c r="AU167" s="932"/>
      <c r="AV167" s="932"/>
      <c r="AW167" s="932"/>
      <c r="AX167" s="932"/>
      <c r="AY167" s="932"/>
      <c r="AZ167" s="932"/>
      <c r="BA167" s="932"/>
      <c r="BB167" s="932"/>
      <c r="BC167" s="932"/>
      <c r="BD167" s="932"/>
      <c r="BE167" s="932"/>
      <c r="BF167" s="932"/>
    </row>
    <row r="168" spans="2:58" ht="15" x14ac:dyDescent="0.25">
      <c r="B168" s="932"/>
      <c r="C168" s="932"/>
      <c r="D168" s="932"/>
      <c r="E168" s="932"/>
      <c r="F168" s="932"/>
      <c r="G168" s="932"/>
      <c r="H168" s="932"/>
      <c r="I168" s="932"/>
      <c r="J168" s="932"/>
      <c r="K168" s="932"/>
      <c r="L168" s="932"/>
      <c r="M168" s="932"/>
      <c r="N168" s="932"/>
      <c r="O168" s="932"/>
      <c r="P168" s="932"/>
      <c r="Q168" s="932"/>
      <c r="R168" s="932"/>
      <c r="S168" s="932"/>
      <c r="T168" s="932"/>
      <c r="U168" s="932"/>
      <c r="V168" s="932"/>
      <c r="W168" s="932"/>
      <c r="X168" s="932"/>
      <c r="Y168" s="932"/>
      <c r="Z168" s="932"/>
      <c r="AA168" s="932"/>
      <c r="AB168" s="932"/>
      <c r="AC168" s="932"/>
      <c r="AD168" s="932"/>
      <c r="AE168" s="932"/>
      <c r="AF168" s="932"/>
      <c r="AG168" s="932"/>
      <c r="AH168" s="932"/>
      <c r="AI168" s="932"/>
      <c r="AJ168" s="932"/>
      <c r="AK168" s="932"/>
      <c r="AL168" s="932"/>
      <c r="AM168" s="932"/>
      <c r="AN168" s="932"/>
      <c r="AO168" s="932"/>
      <c r="AP168" s="932"/>
      <c r="AQ168" s="932"/>
      <c r="AR168" s="932"/>
      <c r="AS168" s="932"/>
      <c r="AT168" s="932"/>
      <c r="AU168" s="932"/>
      <c r="AV168" s="932"/>
      <c r="AW168" s="932"/>
      <c r="AX168" s="932"/>
      <c r="AY168" s="932"/>
      <c r="AZ168" s="932"/>
      <c r="BA168" s="932"/>
      <c r="BB168" s="932"/>
      <c r="BC168" s="932"/>
      <c r="BD168" s="932"/>
      <c r="BE168" s="932"/>
      <c r="BF168" s="932"/>
    </row>
    <row r="169" spans="2:58" ht="15" x14ac:dyDescent="0.25">
      <c r="B169" s="932"/>
      <c r="C169" s="932"/>
      <c r="D169" s="932"/>
      <c r="E169" s="932"/>
      <c r="F169" s="932"/>
      <c r="G169" s="932"/>
      <c r="H169" s="932"/>
      <c r="I169" s="932"/>
      <c r="J169" s="932"/>
      <c r="K169" s="932"/>
      <c r="L169" s="932"/>
      <c r="M169" s="932"/>
      <c r="N169" s="932"/>
      <c r="O169" s="932"/>
      <c r="P169" s="932"/>
      <c r="Q169" s="932"/>
      <c r="R169" s="932"/>
      <c r="S169" s="932"/>
      <c r="T169" s="932"/>
      <c r="U169" s="932"/>
      <c r="V169" s="932"/>
      <c r="W169" s="932"/>
      <c r="X169" s="932"/>
      <c r="Y169" s="932"/>
      <c r="Z169" s="932"/>
      <c r="AA169" s="932"/>
      <c r="AB169" s="932"/>
      <c r="AC169" s="932"/>
      <c r="AD169" s="932"/>
      <c r="AE169" s="932"/>
      <c r="AF169" s="932"/>
      <c r="AG169" s="932"/>
      <c r="AH169" s="932"/>
      <c r="AI169" s="932"/>
      <c r="AJ169" s="932"/>
      <c r="AK169" s="932"/>
      <c r="AL169" s="932"/>
      <c r="AM169" s="932"/>
      <c r="AN169" s="932"/>
      <c r="AO169" s="932"/>
      <c r="AP169" s="932"/>
      <c r="AQ169" s="932"/>
      <c r="AR169" s="932"/>
      <c r="AS169" s="932"/>
      <c r="AT169" s="932"/>
      <c r="AU169" s="932"/>
      <c r="AV169" s="932"/>
      <c r="AW169" s="932"/>
      <c r="AX169" s="932"/>
      <c r="AY169" s="932"/>
      <c r="AZ169" s="932"/>
      <c r="BA169" s="932"/>
      <c r="BB169" s="932"/>
      <c r="BC169" s="932"/>
      <c r="BD169" s="932"/>
      <c r="BE169" s="932"/>
      <c r="BF169" s="932"/>
    </row>
    <row r="170" spans="2:58" ht="15" x14ac:dyDescent="0.25">
      <c r="B170" s="932"/>
      <c r="C170" s="932"/>
      <c r="D170" s="932"/>
      <c r="E170" s="932"/>
      <c r="F170" s="932"/>
      <c r="G170" s="932"/>
      <c r="H170" s="932"/>
      <c r="I170" s="932"/>
      <c r="J170" s="932"/>
      <c r="K170" s="932"/>
      <c r="L170" s="932"/>
      <c r="M170" s="932"/>
      <c r="N170" s="932"/>
      <c r="O170" s="932"/>
      <c r="P170" s="932"/>
      <c r="Q170" s="932"/>
      <c r="R170" s="932"/>
      <c r="S170" s="932"/>
      <c r="T170" s="932"/>
      <c r="U170" s="932"/>
      <c r="V170" s="932"/>
      <c r="W170" s="932"/>
      <c r="X170" s="932"/>
      <c r="Y170" s="932"/>
      <c r="Z170" s="932"/>
      <c r="AA170" s="932"/>
      <c r="AB170" s="932"/>
      <c r="AC170" s="932"/>
      <c r="AD170" s="932"/>
      <c r="AE170" s="932"/>
      <c r="AF170" s="932"/>
      <c r="AG170" s="932"/>
      <c r="AH170" s="932"/>
      <c r="AI170" s="932"/>
      <c r="AJ170" s="932"/>
      <c r="AK170" s="932"/>
      <c r="AL170" s="932"/>
      <c r="AM170" s="932"/>
      <c r="AN170" s="932"/>
      <c r="AO170" s="932"/>
      <c r="AP170" s="932"/>
      <c r="AQ170" s="932"/>
      <c r="AR170" s="932"/>
      <c r="AS170" s="932"/>
      <c r="AT170" s="932"/>
      <c r="AU170" s="932"/>
      <c r="AV170" s="932"/>
      <c r="AW170" s="932"/>
      <c r="AX170" s="932"/>
      <c r="AY170" s="932"/>
      <c r="AZ170" s="932"/>
      <c r="BA170" s="932"/>
      <c r="BB170" s="932"/>
      <c r="BC170" s="932"/>
      <c r="BD170" s="932"/>
      <c r="BE170" s="932"/>
      <c r="BF170" s="932"/>
    </row>
    <row r="171" spans="2:58" ht="15" x14ac:dyDescent="0.25">
      <c r="B171" s="932"/>
      <c r="C171" s="932"/>
      <c r="D171" s="932"/>
      <c r="E171" s="932"/>
      <c r="F171" s="932"/>
      <c r="G171" s="932"/>
      <c r="H171" s="932"/>
      <c r="I171" s="932"/>
      <c r="J171" s="932"/>
      <c r="K171" s="932"/>
      <c r="L171" s="932"/>
      <c r="M171" s="932"/>
      <c r="N171" s="932"/>
      <c r="O171" s="932"/>
      <c r="P171" s="932"/>
      <c r="Q171" s="932"/>
      <c r="R171" s="932"/>
      <c r="S171" s="932"/>
      <c r="T171" s="932"/>
      <c r="U171" s="932"/>
      <c r="V171" s="932"/>
      <c r="W171" s="932"/>
      <c r="X171" s="932"/>
      <c r="Y171" s="932"/>
      <c r="Z171" s="932"/>
      <c r="AA171" s="932"/>
      <c r="AB171" s="932"/>
      <c r="AC171" s="932"/>
      <c r="AD171" s="932"/>
      <c r="AE171" s="932"/>
      <c r="AF171" s="932"/>
      <c r="AG171" s="932"/>
      <c r="AH171" s="932"/>
      <c r="AI171" s="932"/>
      <c r="AJ171" s="932"/>
      <c r="AK171" s="932"/>
      <c r="AL171" s="932"/>
      <c r="AM171" s="932"/>
      <c r="AN171" s="932"/>
      <c r="AO171" s="932"/>
      <c r="AP171" s="932"/>
      <c r="AQ171" s="932"/>
      <c r="AR171" s="932"/>
      <c r="AS171" s="932"/>
      <c r="AT171" s="932"/>
      <c r="AU171" s="932"/>
      <c r="AV171" s="932"/>
      <c r="AW171" s="932"/>
      <c r="AX171" s="932"/>
      <c r="AY171" s="932"/>
      <c r="AZ171" s="932"/>
      <c r="BA171" s="932"/>
      <c r="BB171" s="932"/>
      <c r="BC171" s="932"/>
      <c r="BD171" s="932"/>
      <c r="BE171" s="932"/>
      <c r="BF171" s="932"/>
    </row>
    <row r="172" spans="2:58" ht="15" x14ac:dyDescent="0.25">
      <c r="B172" s="932"/>
      <c r="C172" s="932"/>
      <c r="D172" s="932"/>
      <c r="E172" s="932"/>
      <c r="F172" s="932"/>
      <c r="G172" s="932"/>
      <c r="H172" s="932"/>
      <c r="I172" s="932"/>
      <c r="J172" s="932"/>
      <c r="K172" s="932"/>
      <c r="L172" s="932"/>
      <c r="M172" s="932"/>
      <c r="N172" s="932"/>
      <c r="O172" s="932"/>
      <c r="P172" s="932"/>
      <c r="Q172" s="932"/>
      <c r="R172" s="932"/>
      <c r="S172" s="932"/>
      <c r="T172" s="932"/>
      <c r="U172" s="932"/>
      <c r="V172" s="932"/>
      <c r="W172" s="932"/>
      <c r="X172" s="932"/>
      <c r="Y172" s="932"/>
      <c r="Z172" s="932"/>
      <c r="AA172" s="932"/>
      <c r="AB172" s="932"/>
      <c r="AC172" s="932"/>
      <c r="AD172" s="932"/>
      <c r="AE172" s="932"/>
      <c r="AF172" s="932"/>
      <c r="AG172" s="932"/>
      <c r="AH172" s="932"/>
      <c r="AI172" s="932"/>
      <c r="AJ172" s="932"/>
      <c r="AK172" s="932"/>
      <c r="AL172" s="932"/>
      <c r="AM172" s="932"/>
      <c r="AN172" s="932"/>
      <c r="AO172" s="932"/>
      <c r="AP172" s="932"/>
      <c r="AQ172" s="932"/>
      <c r="AR172" s="932"/>
      <c r="AS172" s="932"/>
      <c r="AT172" s="932"/>
      <c r="AU172" s="932"/>
      <c r="AV172" s="932"/>
      <c r="AW172" s="932"/>
      <c r="AX172" s="932"/>
      <c r="AY172" s="932"/>
      <c r="AZ172" s="932"/>
      <c r="BA172" s="932"/>
      <c r="BB172" s="932"/>
      <c r="BC172" s="932"/>
      <c r="BD172" s="932"/>
      <c r="BE172" s="932"/>
      <c r="BF172" s="932"/>
    </row>
    <row r="173" spans="2:58" ht="15" x14ac:dyDescent="0.25">
      <c r="B173" s="932"/>
      <c r="C173" s="932"/>
      <c r="D173" s="932"/>
      <c r="E173" s="932"/>
      <c r="F173" s="932"/>
      <c r="G173" s="932"/>
      <c r="H173" s="932"/>
      <c r="I173" s="932"/>
      <c r="J173" s="932"/>
      <c r="K173" s="932"/>
      <c r="L173" s="932"/>
      <c r="M173" s="932"/>
      <c r="N173" s="932"/>
      <c r="O173" s="932"/>
      <c r="P173" s="932"/>
      <c r="Q173" s="932"/>
      <c r="R173" s="932"/>
      <c r="S173" s="932"/>
      <c r="T173" s="932"/>
      <c r="U173" s="932"/>
      <c r="V173" s="932"/>
      <c r="W173" s="932"/>
      <c r="X173" s="932"/>
      <c r="Y173" s="932"/>
      <c r="Z173" s="932"/>
      <c r="AA173" s="932"/>
      <c r="AB173" s="932"/>
      <c r="AC173" s="932"/>
      <c r="AD173" s="932"/>
      <c r="AE173" s="932"/>
      <c r="AF173" s="932"/>
      <c r="AG173" s="932"/>
      <c r="AH173" s="932"/>
      <c r="AI173" s="932"/>
      <c r="AJ173" s="932"/>
      <c r="AK173" s="932"/>
      <c r="AL173" s="932"/>
      <c r="AM173" s="932"/>
      <c r="AN173" s="932"/>
      <c r="AO173" s="932"/>
      <c r="AP173" s="932"/>
      <c r="AQ173" s="932"/>
      <c r="AR173" s="932"/>
      <c r="AS173" s="932"/>
      <c r="AT173" s="932"/>
      <c r="AU173" s="932"/>
      <c r="AV173" s="932"/>
      <c r="AW173" s="932"/>
      <c r="AX173" s="932"/>
      <c r="AY173" s="932"/>
      <c r="AZ173" s="932"/>
      <c r="BA173" s="932"/>
      <c r="BB173" s="932"/>
      <c r="BC173" s="932"/>
      <c r="BD173" s="932"/>
      <c r="BE173" s="932"/>
      <c r="BF173" s="932"/>
    </row>
    <row r="174" spans="2:58" ht="15" x14ac:dyDescent="0.25">
      <c r="B174" s="932"/>
      <c r="C174" s="932"/>
      <c r="D174" s="932"/>
      <c r="E174" s="932"/>
      <c r="F174" s="932"/>
      <c r="G174" s="932"/>
      <c r="H174" s="932"/>
      <c r="I174" s="932"/>
      <c r="J174" s="932"/>
      <c r="K174" s="932"/>
      <c r="L174" s="932"/>
      <c r="M174" s="932"/>
      <c r="N174" s="932"/>
      <c r="O174" s="932"/>
      <c r="P174" s="932"/>
      <c r="Q174" s="932"/>
      <c r="R174" s="932"/>
      <c r="S174" s="932"/>
      <c r="T174" s="932"/>
      <c r="U174" s="932"/>
      <c r="V174" s="932"/>
      <c r="W174" s="932"/>
      <c r="X174" s="932"/>
      <c r="Y174" s="932"/>
      <c r="Z174" s="932"/>
      <c r="AA174" s="932"/>
      <c r="AB174" s="932"/>
      <c r="AC174" s="932"/>
      <c r="AD174" s="932"/>
      <c r="AE174" s="932"/>
      <c r="AF174" s="932"/>
      <c r="AG174" s="932"/>
      <c r="AH174" s="932"/>
      <c r="AI174" s="932"/>
      <c r="AJ174" s="932"/>
      <c r="AK174" s="932"/>
      <c r="AL174" s="932"/>
      <c r="AM174" s="932"/>
      <c r="AN174" s="932"/>
      <c r="AO174" s="932"/>
      <c r="AP174" s="932"/>
      <c r="AQ174" s="932"/>
      <c r="AR174" s="932"/>
      <c r="AS174" s="932"/>
      <c r="AT174" s="932"/>
      <c r="AU174" s="932"/>
      <c r="AV174" s="932"/>
      <c r="AW174" s="932"/>
      <c r="AX174" s="932"/>
      <c r="AY174" s="932"/>
      <c r="AZ174" s="932"/>
      <c r="BA174" s="932"/>
      <c r="BB174" s="932"/>
      <c r="BC174" s="932"/>
      <c r="BD174" s="932"/>
      <c r="BE174" s="932"/>
      <c r="BF174" s="932"/>
    </row>
    <row r="175" spans="2:58" ht="15" x14ac:dyDescent="0.25">
      <c r="B175" s="932"/>
      <c r="C175" s="932"/>
      <c r="D175" s="932"/>
      <c r="E175" s="932"/>
      <c r="F175" s="932"/>
      <c r="G175" s="932"/>
      <c r="H175" s="932"/>
      <c r="I175" s="932"/>
      <c r="J175" s="932"/>
      <c r="K175" s="932"/>
      <c r="L175" s="932"/>
      <c r="M175" s="932"/>
      <c r="N175" s="932"/>
      <c r="O175" s="932"/>
      <c r="P175" s="932"/>
      <c r="Q175" s="932"/>
      <c r="R175" s="932"/>
      <c r="S175" s="932"/>
      <c r="T175" s="932"/>
      <c r="U175" s="932"/>
      <c r="V175" s="932"/>
      <c r="W175" s="932"/>
      <c r="X175" s="932"/>
      <c r="Y175" s="932"/>
      <c r="Z175" s="932"/>
      <c r="AA175" s="932"/>
      <c r="AB175" s="932"/>
      <c r="AC175" s="932"/>
      <c r="AD175" s="932"/>
      <c r="AE175" s="932"/>
      <c r="AF175" s="932"/>
      <c r="AG175" s="932"/>
      <c r="AH175" s="932"/>
      <c r="AI175" s="932"/>
      <c r="AJ175" s="932"/>
      <c r="AK175" s="932"/>
      <c r="AL175" s="932"/>
      <c r="AM175" s="932"/>
      <c r="AN175" s="932"/>
      <c r="AO175" s="932"/>
      <c r="AP175" s="932"/>
      <c r="AQ175" s="932"/>
      <c r="AR175" s="932"/>
      <c r="AS175" s="932"/>
      <c r="AT175" s="932"/>
      <c r="AU175" s="932"/>
      <c r="AV175" s="932"/>
      <c r="AW175" s="932"/>
      <c r="AX175" s="932"/>
      <c r="AY175" s="932"/>
      <c r="AZ175" s="932"/>
      <c r="BA175" s="932"/>
      <c r="BB175" s="932"/>
      <c r="BC175" s="932"/>
      <c r="BD175" s="932"/>
      <c r="BE175" s="932"/>
      <c r="BF175" s="932"/>
    </row>
    <row r="176" spans="2:58" ht="15" x14ac:dyDescent="0.25">
      <c r="B176" s="932"/>
      <c r="C176" s="932"/>
      <c r="D176" s="932"/>
      <c r="E176" s="932"/>
      <c r="F176" s="932"/>
      <c r="G176" s="932"/>
      <c r="H176" s="932"/>
      <c r="I176" s="932"/>
      <c r="J176" s="932"/>
      <c r="K176" s="932"/>
      <c r="L176" s="932"/>
      <c r="M176" s="932"/>
      <c r="N176" s="932"/>
      <c r="O176" s="932"/>
      <c r="P176" s="932"/>
      <c r="Q176" s="932"/>
      <c r="R176" s="932"/>
      <c r="S176" s="932"/>
      <c r="T176" s="932"/>
      <c r="U176" s="932"/>
      <c r="V176" s="932"/>
      <c r="W176" s="932"/>
      <c r="X176" s="932"/>
      <c r="Y176" s="932"/>
      <c r="Z176" s="932"/>
      <c r="AA176" s="932"/>
      <c r="AB176" s="932"/>
      <c r="AC176" s="932"/>
      <c r="AD176" s="932"/>
      <c r="AE176" s="932"/>
      <c r="AF176" s="932"/>
      <c r="AG176" s="932"/>
      <c r="AH176" s="932"/>
      <c r="AI176" s="932"/>
      <c r="AJ176" s="932"/>
      <c r="AK176" s="932"/>
      <c r="AL176" s="932"/>
      <c r="AM176" s="932"/>
      <c r="AN176" s="932"/>
      <c r="AO176" s="932"/>
      <c r="AP176" s="932"/>
      <c r="AQ176" s="932"/>
      <c r="AR176" s="932"/>
      <c r="AS176" s="932"/>
      <c r="AT176" s="932"/>
      <c r="AU176" s="932"/>
      <c r="AV176" s="932"/>
      <c r="AW176" s="932"/>
      <c r="AX176" s="932"/>
      <c r="AY176" s="932"/>
      <c r="AZ176" s="932"/>
      <c r="BA176" s="932"/>
      <c r="BB176" s="932"/>
      <c r="BC176" s="932"/>
      <c r="BD176" s="932"/>
      <c r="BE176" s="932"/>
      <c r="BF176" s="932"/>
    </row>
    <row r="177" spans="2:58" ht="15" x14ac:dyDescent="0.25">
      <c r="B177" s="932"/>
      <c r="C177" s="932"/>
      <c r="D177" s="932"/>
      <c r="E177" s="932"/>
      <c r="F177" s="932"/>
      <c r="G177" s="932"/>
      <c r="H177" s="932"/>
      <c r="I177" s="932"/>
      <c r="J177" s="932"/>
      <c r="K177" s="932"/>
      <c r="L177" s="932"/>
      <c r="M177" s="932"/>
      <c r="N177" s="932"/>
      <c r="O177" s="932"/>
      <c r="P177" s="932"/>
      <c r="Q177" s="932"/>
      <c r="R177" s="932"/>
      <c r="S177" s="932"/>
      <c r="T177" s="932"/>
      <c r="U177" s="932"/>
      <c r="V177" s="932"/>
      <c r="W177" s="932"/>
      <c r="X177" s="932"/>
      <c r="Y177" s="932"/>
      <c r="Z177" s="932"/>
      <c r="AA177" s="932"/>
      <c r="AB177" s="932"/>
      <c r="AC177" s="932"/>
      <c r="AD177" s="932"/>
      <c r="AE177" s="932"/>
      <c r="AF177" s="932"/>
      <c r="AG177" s="932"/>
      <c r="AH177" s="932"/>
      <c r="AI177" s="932"/>
      <c r="AJ177" s="932"/>
      <c r="AK177" s="932"/>
      <c r="AL177" s="932"/>
      <c r="AM177" s="932"/>
      <c r="AN177" s="932"/>
      <c r="AO177" s="932"/>
      <c r="AP177" s="932"/>
      <c r="AQ177" s="932"/>
      <c r="AR177" s="932"/>
      <c r="AS177" s="932"/>
      <c r="AT177" s="932"/>
      <c r="AU177" s="932"/>
      <c r="AV177" s="932"/>
      <c r="AW177" s="932"/>
      <c r="AX177" s="932"/>
      <c r="AY177" s="932"/>
      <c r="AZ177" s="932"/>
      <c r="BA177" s="932"/>
      <c r="BB177" s="932"/>
      <c r="BC177" s="932"/>
      <c r="BD177" s="932"/>
      <c r="BE177" s="932"/>
      <c r="BF177" s="932"/>
    </row>
    <row r="178" spans="2:58" ht="15" x14ac:dyDescent="0.25">
      <c r="B178" s="932"/>
      <c r="C178" s="932"/>
      <c r="D178" s="932"/>
      <c r="E178" s="932"/>
      <c r="F178" s="932"/>
      <c r="G178" s="932"/>
      <c r="H178" s="932"/>
      <c r="I178" s="932"/>
      <c r="J178" s="932"/>
      <c r="K178" s="932"/>
      <c r="L178" s="932"/>
      <c r="M178" s="932"/>
      <c r="N178" s="932"/>
      <c r="O178" s="932"/>
      <c r="P178" s="932"/>
      <c r="Q178" s="932"/>
      <c r="R178" s="932"/>
      <c r="S178" s="932"/>
      <c r="T178" s="932"/>
      <c r="U178" s="932"/>
      <c r="V178" s="932"/>
      <c r="W178" s="932"/>
      <c r="X178" s="932"/>
      <c r="Y178" s="932"/>
      <c r="Z178" s="932"/>
      <c r="AA178" s="932"/>
      <c r="AB178" s="932"/>
      <c r="AC178" s="932"/>
      <c r="AD178" s="932"/>
      <c r="AE178" s="932"/>
      <c r="AF178" s="932"/>
      <c r="AG178" s="932"/>
      <c r="AH178" s="932"/>
      <c r="AI178" s="932"/>
      <c r="AJ178" s="932"/>
      <c r="AK178" s="932"/>
      <c r="AL178" s="932"/>
      <c r="AM178" s="932"/>
      <c r="AN178" s="932"/>
      <c r="AO178" s="932"/>
      <c r="AP178" s="932"/>
      <c r="AQ178" s="932"/>
      <c r="AR178" s="932"/>
      <c r="AS178" s="932"/>
      <c r="AT178" s="932"/>
      <c r="AU178" s="932"/>
      <c r="AV178" s="932"/>
      <c r="AW178" s="932"/>
      <c r="AX178" s="932"/>
      <c r="AY178" s="932"/>
      <c r="AZ178" s="932"/>
      <c r="BA178" s="932"/>
      <c r="BB178" s="932"/>
      <c r="BC178" s="932"/>
      <c r="BD178" s="932"/>
      <c r="BE178" s="932"/>
      <c r="BF178" s="932"/>
    </row>
    <row r="179" spans="2:58" ht="15" x14ac:dyDescent="0.25">
      <c r="B179" s="932"/>
      <c r="C179" s="932"/>
      <c r="D179" s="932"/>
      <c r="E179" s="932"/>
      <c r="F179" s="932"/>
      <c r="G179" s="932"/>
      <c r="H179" s="932"/>
      <c r="I179" s="932"/>
      <c r="J179" s="932"/>
      <c r="K179" s="932"/>
      <c r="L179" s="932"/>
      <c r="M179" s="932"/>
      <c r="N179" s="932"/>
      <c r="O179" s="932"/>
      <c r="P179" s="932"/>
      <c r="Q179" s="932"/>
      <c r="R179" s="932"/>
      <c r="S179" s="932"/>
      <c r="T179" s="932"/>
      <c r="U179" s="932"/>
      <c r="V179" s="932"/>
      <c r="W179" s="932"/>
      <c r="X179" s="932"/>
      <c r="Y179" s="932"/>
      <c r="Z179" s="932"/>
      <c r="AA179" s="932"/>
      <c r="AB179" s="932"/>
      <c r="AC179" s="932"/>
      <c r="AD179" s="932"/>
      <c r="AE179" s="932"/>
      <c r="AF179" s="932"/>
      <c r="AG179" s="932"/>
      <c r="AH179" s="932"/>
      <c r="AI179" s="932"/>
      <c r="AJ179" s="932"/>
      <c r="AK179" s="932"/>
      <c r="AL179" s="932"/>
      <c r="AM179" s="932"/>
      <c r="AN179" s="932"/>
      <c r="AO179" s="932"/>
      <c r="AP179" s="932"/>
      <c r="AQ179" s="932"/>
      <c r="AR179" s="932"/>
      <c r="AS179" s="932"/>
      <c r="AT179" s="932"/>
      <c r="AU179" s="932"/>
      <c r="AV179" s="932"/>
      <c r="AW179" s="932"/>
      <c r="AX179" s="932"/>
      <c r="AY179" s="932"/>
      <c r="AZ179" s="932"/>
      <c r="BA179" s="932"/>
      <c r="BB179" s="932"/>
      <c r="BC179" s="932"/>
      <c r="BD179" s="932"/>
      <c r="BE179" s="932"/>
      <c r="BF179" s="932"/>
    </row>
    <row r="180" spans="2:58" ht="15" x14ac:dyDescent="0.25">
      <c r="B180" s="932"/>
      <c r="C180" s="932"/>
      <c r="D180" s="932"/>
      <c r="E180" s="932"/>
      <c r="F180" s="932"/>
      <c r="G180" s="932"/>
      <c r="H180" s="932"/>
      <c r="I180" s="932"/>
      <c r="J180" s="932"/>
      <c r="K180" s="932"/>
      <c r="L180" s="932"/>
      <c r="M180" s="932"/>
      <c r="N180" s="932"/>
      <c r="O180" s="932"/>
      <c r="P180" s="932"/>
      <c r="Q180" s="932"/>
      <c r="R180" s="932"/>
      <c r="S180" s="932"/>
      <c r="T180" s="932"/>
      <c r="U180" s="932"/>
      <c r="V180" s="932"/>
      <c r="W180" s="932"/>
      <c r="X180" s="932"/>
      <c r="Y180" s="932"/>
      <c r="Z180" s="932"/>
      <c r="AA180" s="932"/>
      <c r="AB180" s="932"/>
      <c r="AC180" s="932"/>
      <c r="AD180" s="932"/>
      <c r="AE180" s="932"/>
      <c r="AF180" s="932"/>
      <c r="AG180" s="932"/>
      <c r="AH180" s="932"/>
      <c r="AI180" s="932"/>
      <c r="AJ180" s="932"/>
      <c r="AK180" s="932"/>
      <c r="AL180" s="932"/>
      <c r="AM180" s="932"/>
      <c r="AN180" s="932"/>
      <c r="AO180" s="932"/>
      <c r="AP180" s="932"/>
      <c r="AQ180" s="932"/>
      <c r="AR180" s="932"/>
      <c r="AS180" s="932"/>
      <c r="AT180" s="932"/>
      <c r="AU180" s="932"/>
      <c r="AV180" s="932"/>
      <c r="AW180" s="932"/>
      <c r="AX180" s="932"/>
      <c r="AY180" s="932"/>
      <c r="AZ180" s="932"/>
      <c r="BA180" s="932"/>
      <c r="BB180" s="932"/>
      <c r="BC180" s="932"/>
      <c r="BD180" s="932"/>
      <c r="BE180" s="932"/>
      <c r="BF180" s="932"/>
    </row>
    <row r="181" spans="2:58" ht="15" x14ac:dyDescent="0.25">
      <c r="B181" s="932"/>
      <c r="C181" s="932"/>
      <c r="D181" s="932"/>
      <c r="E181" s="932"/>
      <c r="F181" s="932"/>
      <c r="G181" s="932"/>
      <c r="H181" s="932"/>
      <c r="I181" s="932"/>
      <c r="J181" s="932"/>
      <c r="K181" s="932"/>
      <c r="L181" s="932"/>
      <c r="M181" s="932"/>
      <c r="N181" s="932"/>
      <c r="O181" s="932"/>
      <c r="P181" s="932"/>
      <c r="Q181" s="932"/>
      <c r="R181" s="932"/>
      <c r="S181" s="932"/>
      <c r="T181" s="932"/>
      <c r="U181" s="932"/>
      <c r="V181" s="932"/>
      <c r="W181" s="932"/>
      <c r="X181" s="932"/>
      <c r="Y181" s="932"/>
      <c r="Z181" s="932"/>
      <c r="AA181" s="932"/>
      <c r="AB181" s="932"/>
      <c r="AC181" s="932"/>
      <c r="AD181" s="932"/>
      <c r="AE181" s="932"/>
      <c r="AF181" s="932"/>
      <c r="AG181" s="932"/>
      <c r="AH181" s="932"/>
      <c r="AI181" s="932"/>
      <c r="AJ181" s="932"/>
      <c r="AK181" s="932"/>
      <c r="AL181" s="932"/>
      <c r="AM181" s="932"/>
      <c r="AN181" s="932"/>
      <c r="AO181" s="932"/>
      <c r="AP181" s="932"/>
      <c r="AQ181" s="932"/>
      <c r="AR181" s="932"/>
      <c r="AS181" s="932"/>
      <c r="AT181" s="932"/>
      <c r="AU181" s="932"/>
      <c r="AV181" s="932"/>
      <c r="AW181" s="932"/>
      <c r="AX181" s="932"/>
      <c r="AY181" s="932"/>
      <c r="AZ181" s="932"/>
      <c r="BA181" s="932"/>
      <c r="BB181" s="932"/>
      <c r="BC181" s="932"/>
      <c r="BD181" s="932"/>
      <c r="BE181" s="932"/>
      <c r="BF181" s="932"/>
    </row>
    <row r="182" spans="2:58" ht="15" x14ac:dyDescent="0.25">
      <c r="B182" s="932"/>
      <c r="C182" s="932"/>
      <c r="D182" s="932"/>
      <c r="E182" s="932"/>
      <c r="F182" s="932"/>
      <c r="G182" s="932"/>
      <c r="H182" s="932"/>
      <c r="I182" s="932"/>
      <c r="J182" s="932"/>
      <c r="K182" s="932"/>
      <c r="L182" s="932"/>
      <c r="M182" s="932"/>
      <c r="N182" s="932"/>
      <c r="O182" s="932"/>
      <c r="P182" s="932"/>
      <c r="Q182" s="932"/>
      <c r="R182" s="932"/>
      <c r="S182" s="932"/>
      <c r="T182" s="932"/>
      <c r="U182" s="932"/>
      <c r="V182" s="932"/>
      <c r="W182" s="932"/>
      <c r="X182" s="932"/>
      <c r="Y182" s="932"/>
      <c r="Z182" s="932"/>
      <c r="AA182" s="932"/>
      <c r="AB182" s="932"/>
      <c r="AC182" s="932"/>
      <c r="AD182" s="932"/>
      <c r="AE182" s="932"/>
      <c r="AF182" s="932"/>
      <c r="AG182" s="932"/>
      <c r="AH182" s="932"/>
      <c r="AI182" s="932"/>
      <c r="AJ182" s="932"/>
      <c r="AK182" s="932"/>
      <c r="AL182" s="932"/>
      <c r="AM182" s="932"/>
      <c r="AN182" s="932"/>
      <c r="AO182" s="932"/>
      <c r="AP182" s="932"/>
      <c r="AQ182" s="932"/>
      <c r="AR182" s="932"/>
      <c r="AS182" s="932"/>
      <c r="AT182" s="932"/>
      <c r="AU182" s="932"/>
      <c r="AV182" s="932"/>
      <c r="AW182" s="932"/>
      <c r="AX182" s="932"/>
      <c r="AY182" s="932"/>
      <c r="AZ182" s="932"/>
      <c r="BA182" s="932"/>
      <c r="BB182" s="932"/>
      <c r="BC182" s="932"/>
      <c r="BD182" s="932"/>
      <c r="BE182" s="932"/>
      <c r="BF182" s="932"/>
    </row>
    <row r="183" spans="2:58" ht="15" x14ac:dyDescent="0.25">
      <c r="B183" s="932"/>
      <c r="C183" s="932"/>
      <c r="D183" s="932"/>
      <c r="E183" s="932"/>
      <c r="F183" s="932"/>
      <c r="G183" s="932"/>
      <c r="H183" s="932"/>
      <c r="I183" s="932"/>
      <c r="J183" s="932"/>
      <c r="K183" s="932"/>
      <c r="L183" s="932"/>
      <c r="M183" s="932"/>
      <c r="N183" s="932"/>
      <c r="O183" s="932"/>
      <c r="P183" s="932"/>
      <c r="Q183" s="932"/>
      <c r="R183" s="932"/>
      <c r="S183" s="932"/>
      <c r="T183" s="932"/>
      <c r="U183" s="932"/>
      <c r="V183" s="932"/>
      <c r="W183" s="932"/>
      <c r="X183" s="932"/>
      <c r="Y183" s="932"/>
      <c r="Z183" s="932"/>
      <c r="AA183" s="932"/>
      <c r="AB183" s="932"/>
      <c r="AC183" s="932"/>
      <c r="AD183" s="932"/>
      <c r="AE183" s="932"/>
      <c r="AF183" s="932"/>
      <c r="AG183" s="932"/>
      <c r="AH183" s="932"/>
      <c r="AI183" s="932"/>
      <c r="AJ183" s="932"/>
      <c r="AK183" s="932"/>
      <c r="AL183" s="932"/>
      <c r="AM183" s="932"/>
      <c r="AN183" s="932"/>
      <c r="AO183" s="932"/>
      <c r="AP183" s="932"/>
      <c r="AQ183" s="932"/>
      <c r="AR183" s="932"/>
      <c r="AS183" s="932"/>
      <c r="AT183" s="932"/>
      <c r="AU183" s="932"/>
      <c r="AV183" s="932"/>
      <c r="AW183" s="932"/>
      <c r="AX183" s="932"/>
      <c r="AY183" s="932"/>
      <c r="AZ183" s="932"/>
      <c r="BA183" s="932"/>
      <c r="BB183" s="932"/>
      <c r="BC183" s="932"/>
      <c r="BD183" s="932"/>
      <c r="BE183" s="932"/>
      <c r="BF183" s="932"/>
    </row>
    <row r="184" spans="2:58" ht="15" x14ac:dyDescent="0.25">
      <c r="B184" s="932"/>
      <c r="C184" s="932"/>
      <c r="D184" s="932"/>
      <c r="E184" s="932"/>
      <c r="F184" s="932"/>
      <c r="G184" s="932"/>
      <c r="H184" s="932"/>
      <c r="I184" s="932"/>
      <c r="J184" s="932"/>
      <c r="K184" s="932"/>
      <c r="L184" s="932"/>
      <c r="M184" s="932"/>
      <c r="N184" s="932"/>
      <c r="O184" s="932"/>
      <c r="P184" s="932"/>
      <c r="Q184" s="932"/>
      <c r="R184" s="932"/>
      <c r="S184" s="932"/>
      <c r="T184" s="932"/>
      <c r="U184" s="932"/>
      <c r="V184" s="932"/>
      <c r="W184" s="932"/>
      <c r="X184" s="932"/>
      <c r="Y184" s="932"/>
      <c r="Z184" s="932"/>
      <c r="AA184" s="932"/>
      <c r="AB184" s="932"/>
      <c r="AC184" s="932"/>
      <c r="AD184" s="932"/>
      <c r="AE184" s="932"/>
      <c r="AF184" s="932"/>
      <c r="AG184" s="932"/>
      <c r="AH184" s="932"/>
      <c r="AI184" s="932"/>
      <c r="AJ184" s="932"/>
      <c r="AK184" s="932"/>
      <c r="AL184" s="932"/>
      <c r="AM184" s="932"/>
      <c r="AN184" s="932"/>
      <c r="AO184" s="932"/>
      <c r="AP184" s="932"/>
      <c r="AQ184" s="932"/>
      <c r="AR184" s="932"/>
      <c r="AS184" s="932"/>
      <c r="AT184" s="932"/>
      <c r="AU184" s="932"/>
      <c r="AV184" s="932"/>
      <c r="AW184" s="932"/>
      <c r="AX184" s="932"/>
      <c r="AY184" s="932"/>
      <c r="AZ184" s="932"/>
      <c r="BA184" s="932"/>
      <c r="BB184" s="932"/>
      <c r="BC184" s="932"/>
      <c r="BD184" s="932"/>
      <c r="BE184" s="932"/>
      <c r="BF184" s="932"/>
    </row>
    <row r="185" spans="2:58" ht="15" x14ac:dyDescent="0.25">
      <c r="B185" s="932"/>
      <c r="C185" s="932"/>
      <c r="D185" s="932"/>
      <c r="E185" s="932"/>
      <c r="F185" s="932"/>
      <c r="G185" s="932"/>
      <c r="H185" s="932"/>
      <c r="I185" s="932"/>
      <c r="J185" s="932"/>
      <c r="K185" s="932"/>
      <c r="L185" s="932"/>
      <c r="M185" s="932"/>
      <c r="N185" s="932"/>
      <c r="O185" s="932"/>
      <c r="P185" s="932"/>
      <c r="Q185" s="932"/>
      <c r="R185" s="932"/>
      <c r="S185" s="932"/>
      <c r="T185" s="932"/>
      <c r="U185" s="932"/>
      <c r="V185" s="932"/>
      <c r="W185" s="932"/>
      <c r="X185" s="932"/>
      <c r="Y185" s="932"/>
      <c r="Z185" s="932"/>
      <c r="AA185" s="932"/>
      <c r="AB185" s="932"/>
      <c r="AC185" s="932"/>
      <c r="AD185" s="932"/>
      <c r="AE185" s="932"/>
      <c r="AF185" s="932"/>
      <c r="AG185" s="932"/>
      <c r="AH185" s="932"/>
      <c r="AI185" s="932"/>
      <c r="AJ185" s="932"/>
      <c r="AK185" s="932"/>
      <c r="AL185" s="932"/>
      <c r="AM185" s="932"/>
      <c r="AN185" s="932"/>
      <c r="AO185" s="932"/>
      <c r="AP185" s="932"/>
      <c r="AQ185" s="932"/>
      <c r="AR185" s="932"/>
      <c r="AS185" s="932"/>
      <c r="AT185" s="932"/>
      <c r="AU185" s="932"/>
      <c r="AV185" s="932"/>
      <c r="AW185" s="932"/>
      <c r="AX185" s="932"/>
      <c r="AY185" s="932"/>
      <c r="AZ185" s="932"/>
      <c r="BA185" s="932"/>
      <c r="BB185" s="932"/>
      <c r="BC185" s="932"/>
      <c r="BD185" s="932"/>
      <c r="BE185" s="932"/>
      <c r="BF185" s="932"/>
    </row>
    <row r="186" spans="2:58" ht="15" x14ac:dyDescent="0.25">
      <c r="B186" s="932"/>
      <c r="C186" s="932"/>
      <c r="D186" s="932"/>
      <c r="E186" s="932"/>
      <c r="F186" s="932"/>
      <c r="G186" s="932"/>
      <c r="H186" s="932"/>
      <c r="I186" s="932"/>
      <c r="J186" s="932"/>
      <c r="K186" s="932"/>
      <c r="L186" s="932"/>
      <c r="M186" s="932"/>
      <c r="N186" s="932"/>
      <c r="O186" s="932"/>
      <c r="P186" s="932"/>
      <c r="Q186" s="932"/>
      <c r="R186" s="932"/>
      <c r="S186" s="932"/>
      <c r="T186" s="932"/>
      <c r="U186" s="932"/>
      <c r="V186" s="932"/>
      <c r="W186" s="932"/>
      <c r="X186" s="932"/>
      <c r="Y186" s="932"/>
      <c r="Z186" s="932"/>
      <c r="AA186" s="932"/>
      <c r="AB186" s="932"/>
      <c r="AC186" s="932"/>
      <c r="AD186" s="932"/>
      <c r="AE186" s="932"/>
      <c r="AF186" s="932"/>
      <c r="AG186" s="932"/>
      <c r="AH186" s="932"/>
      <c r="AI186" s="932"/>
      <c r="AJ186" s="932"/>
      <c r="AK186" s="932"/>
      <c r="AL186" s="932"/>
      <c r="AM186" s="932"/>
      <c r="AN186" s="932"/>
      <c r="AO186" s="932"/>
      <c r="AP186" s="932"/>
      <c r="AQ186" s="932"/>
      <c r="AR186" s="932"/>
      <c r="AS186" s="932"/>
      <c r="AT186" s="932"/>
      <c r="AU186" s="932"/>
      <c r="AV186" s="932"/>
      <c r="AW186" s="932"/>
      <c r="AX186" s="932"/>
      <c r="AY186" s="932"/>
      <c r="AZ186" s="932"/>
      <c r="BA186" s="932"/>
      <c r="BB186" s="932"/>
      <c r="BC186" s="932"/>
      <c r="BD186" s="932"/>
      <c r="BE186" s="932"/>
      <c r="BF186" s="932"/>
    </row>
    <row r="187" spans="2:58" ht="15" x14ac:dyDescent="0.25">
      <c r="B187" s="932"/>
      <c r="C187" s="932"/>
      <c r="D187" s="932"/>
      <c r="E187" s="932"/>
      <c r="F187" s="932"/>
      <c r="G187" s="932"/>
      <c r="H187" s="932"/>
      <c r="I187" s="932"/>
      <c r="J187" s="932"/>
      <c r="K187" s="932"/>
      <c r="L187" s="932"/>
      <c r="M187" s="932"/>
      <c r="N187" s="932"/>
      <c r="O187" s="932"/>
      <c r="P187" s="932"/>
      <c r="Q187" s="932"/>
      <c r="R187" s="932"/>
      <c r="S187" s="932"/>
      <c r="T187" s="932"/>
      <c r="U187" s="932"/>
      <c r="V187" s="932"/>
      <c r="W187" s="932"/>
      <c r="X187" s="932"/>
      <c r="Y187" s="932"/>
      <c r="Z187" s="932"/>
      <c r="AA187" s="932"/>
      <c r="AB187" s="932"/>
      <c r="AC187" s="932"/>
      <c r="AD187" s="932"/>
      <c r="AE187" s="932"/>
      <c r="AF187" s="932"/>
      <c r="AG187" s="932"/>
      <c r="AH187" s="932"/>
      <c r="AI187" s="932"/>
      <c r="AJ187" s="932"/>
      <c r="AK187" s="932"/>
      <c r="AL187" s="932"/>
      <c r="AM187" s="932"/>
      <c r="AN187" s="932"/>
      <c r="AO187" s="932"/>
      <c r="AP187" s="932"/>
      <c r="AQ187" s="932"/>
      <c r="AR187" s="932"/>
      <c r="AS187" s="932"/>
      <c r="AT187" s="932"/>
      <c r="AU187" s="932"/>
      <c r="AV187" s="932"/>
      <c r="AW187" s="932"/>
      <c r="AX187" s="932"/>
      <c r="AY187" s="932"/>
      <c r="AZ187" s="932"/>
      <c r="BA187" s="932"/>
      <c r="BB187" s="932"/>
      <c r="BC187" s="932"/>
      <c r="BD187" s="932"/>
      <c r="BE187" s="932"/>
      <c r="BF187" s="932"/>
    </row>
    <row r="188" spans="2:58" ht="15" x14ac:dyDescent="0.25">
      <c r="B188" s="932"/>
      <c r="C188" s="932"/>
      <c r="D188" s="932"/>
      <c r="E188" s="932"/>
      <c r="F188" s="932"/>
      <c r="G188" s="932"/>
      <c r="H188" s="932"/>
      <c r="I188" s="932"/>
      <c r="J188" s="932"/>
      <c r="K188" s="932"/>
      <c r="L188" s="932"/>
      <c r="M188" s="932"/>
      <c r="N188" s="932"/>
      <c r="O188" s="932"/>
      <c r="P188" s="932"/>
      <c r="Q188" s="932"/>
      <c r="R188" s="932"/>
      <c r="S188" s="932"/>
      <c r="T188" s="932"/>
      <c r="U188" s="932"/>
      <c r="V188" s="932"/>
      <c r="W188" s="932"/>
      <c r="X188" s="932"/>
      <c r="Y188" s="932"/>
      <c r="Z188" s="932"/>
      <c r="AA188" s="932"/>
      <c r="AB188" s="932"/>
      <c r="AC188" s="932"/>
      <c r="AD188" s="932"/>
      <c r="AE188" s="932"/>
      <c r="AF188" s="932"/>
      <c r="AG188" s="932"/>
      <c r="AH188" s="932"/>
      <c r="AI188" s="932"/>
      <c r="AJ188" s="932"/>
      <c r="AK188" s="932"/>
      <c r="AL188" s="932"/>
      <c r="AM188" s="932"/>
      <c r="AN188" s="932"/>
      <c r="AO188" s="932"/>
      <c r="AP188" s="932"/>
      <c r="AQ188" s="932"/>
      <c r="AR188" s="932"/>
      <c r="AS188" s="932"/>
      <c r="AT188" s="932"/>
      <c r="AU188" s="932"/>
      <c r="AV188" s="932"/>
      <c r="AW188" s="932"/>
      <c r="AX188" s="932"/>
      <c r="AY188" s="932"/>
      <c r="AZ188" s="932"/>
      <c r="BA188" s="932"/>
      <c r="BB188" s="932"/>
      <c r="BC188" s="932"/>
      <c r="BD188" s="932"/>
      <c r="BE188" s="932"/>
      <c r="BF188" s="932"/>
    </row>
    <row r="189" spans="2:58" ht="15" x14ac:dyDescent="0.25">
      <c r="B189" s="932"/>
      <c r="C189" s="932"/>
      <c r="D189" s="932"/>
      <c r="E189" s="932"/>
      <c r="F189" s="932"/>
      <c r="G189" s="932"/>
      <c r="H189" s="932"/>
      <c r="I189" s="932"/>
      <c r="J189" s="932"/>
      <c r="K189" s="932"/>
      <c r="L189" s="932"/>
      <c r="M189" s="932"/>
      <c r="N189" s="932"/>
      <c r="O189" s="932"/>
      <c r="P189" s="932"/>
      <c r="Q189" s="932"/>
      <c r="R189" s="932"/>
      <c r="S189" s="932"/>
      <c r="T189" s="932"/>
      <c r="U189" s="932"/>
      <c r="V189" s="932"/>
      <c r="W189" s="932"/>
      <c r="X189" s="932"/>
      <c r="Y189" s="932"/>
      <c r="Z189" s="932"/>
      <c r="AA189" s="932"/>
      <c r="AB189" s="932"/>
      <c r="AC189" s="932"/>
      <c r="AD189" s="932"/>
      <c r="AE189" s="932"/>
      <c r="AF189" s="932"/>
      <c r="AG189" s="932"/>
      <c r="AH189" s="932"/>
      <c r="AI189" s="932"/>
      <c r="AJ189" s="932"/>
      <c r="AK189" s="932"/>
      <c r="AL189" s="932"/>
      <c r="AM189" s="932"/>
      <c r="AN189" s="932"/>
      <c r="AO189" s="932"/>
      <c r="AP189" s="932"/>
      <c r="AQ189" s="932"/>
      <c r="AR189" s="932"/>
      <c r="AS189" s="932"/>
      <c r="AT189" s="932"/>
      <c r="AU189" s="932"/>
      <c r="AV189" s="932"/>
      <c r="AW189" s="932"/>
      <c r="AX189" s="932"/>
      <c r="AY189" s="932"/>
      <c r="AZ189" s="932"/>
      <c r="BA189" s="932"/>
      <c r="BB189" s="932"/>
      <c r="BC189" s="932"/>
      <c r="BD189" s="932"/>
      <c r="BE189" s="932"/>
      <c r="BF189" s="932"/>
    </row>
    <row r="190" spans="2:58" ht="15" x14ac:dyDescent="0.25">
      <c r="B190" s="932"/>
      <c r="C190" s="932"/>
      <c r="D190" s="932"/>
      <c r="E190" s="932"/>
      <c r="F190" s="932"/>
      <c r="G190" s="932"/>
      <c r="H190" s="932"/>
      <c r="I190" s="932"/>
      <c r="J190" s="932"/>
      <c r="K190" s="932"/>
      <c r="L190" s="932"/>
      <c r="M190" s="932"/>
      <c r="N190" s="932"/>
      <c r="O190" s="932"/>
      <c r="P190" s="932"/>
      <c r="Q190" s="932"/>
      <c r="R190" s="932"/>
      <c r="S190" s="932"/>
      <c r="T190" s="932"/>
      <c r="U190" s="932"/>
      <c r="V190" s="932"/>
      <c r="W190" s="932"/>
      <c r="X190" s="932"/>
      <c r="Y190" s="932"/>
      <c r="Z190" s="932"/>
      <c r="AA190" s="932"/>
      <c r="AB190" s="932"/>
      <c r="AC190" s="932"/>
      <c r="AD190" s="932"/>
      <c r="AE190" s="932"/>
      <c r="AF190" s="932"/>
      <c r="AG190" s="932"/>
      <c r="AH190" s="932"/>
      <c r="AI190" s="932"/>
      <c r="AJ190" s="932"/>
      <c r="AK190" s="932"/>
      <c r="AL190" s="932"/>
      <c r="AM190" s="932"/>
      <c r="AN190" s="932"/>
      <c r="AO190" s="932"/>
      <c r="AP190" s="932"/>
      <c r="AQ190" s="932"/>
      <c r="AR190" s="932"/>
      <c r="AS190" s="932"/>
      <c r="AT190" s="932"/>
      <c r="AU190" s="932"/>
      <c r="AV190" s="932"/>
      <c r="AW190" s="932"/>
      <c r="AX190" s="932"/>
      <c r="AY190" s="932"/>
      <c r="AZ190" s="932"/>
      <c r="BA190" s="932"/>
      <c r="BB190" s="932"/>
      <c r="BC190" s="932"/>
      <c r="BD190" s="932"/>
      <c r="BE190" s="932"/>
      <c r="BF190" s="932"/>
    </row>
    <row r="191" spans="2:58" ht="15" x14ac:dyDescent="0.25">
      <c r="B191" s="932"/>
      <c r="C191" s="932"/>
      <c r="D191" s="932"/>
      <c r="E191" s="932"/>
      <c r="F191" s="932"/>
      <c r="G191" s="932"/>
      <c r="H191" s="932"/>
      <c r="I191" s="932"/>
      <c r="J191" s="932"/>
      <c r="K191" s="932"/>
      <c r="L191" s="932"/>
      <c r="M191" s="932"/>
      <c r="N191" s="932"/>
      <c r="O191" s="932"/>
      <c r="P191" s="932"/>
      <c r="Q191" s="932"/>
      <c r="R191" s="932"/>
      <c r="S191" s="932"/>
      <c r="T191" s="932"/>
      <c r="U191" s="932"/>
      <c r="V191" s="932"/>
      <c r="W191" s="932"/>
      <c r="X191" s="932"/>
      <c r="Y191" s="932"/>
      <c r="Z191" s="932"/>
      <c r="AA191" s="932"/>
      <c r="AB191" s="932"/>
      <c r="AC191" s="932"/>
      <c r="AD191" s="932"/>
      <c r="AE191" s="932"/>
      <c r="AF191" s="932"/>
      <c r="AG191" s="932"/>
      <c r="AH191" s="932"/>
      <c r="AI191" s="932"/>
      <c r="AJ191" s="932"/>
      <c r="AK191" s="932"/>
      <c r="AL191" s="932"/>
      <c r="AM191" s="932"/>
      <c r="AN191" s="932"/>
      <c r="AO191" s="932"/>
      <c r="AP191" s="932"/>
      <c r="AQ191" s="932"/>
      <c r="AR191" s="932"/>
      <c r="AS191" s="932"/>
      <c r="AT191" s="932"/>
      <c r="AU191" s="932"/>
      <c r="AV191" s="932"/>
      <c r="AW191" s="932"/>
      <c r="AX191" s="932"/>
      <c r="AY191" s="932"/>
      <c r="AZ191" s="932"/>
      <c r="BA191" s="932"/>
      <c r="BB191" s="932"/>
      <c r="BC191" s="932"/>
      <c r="BD191" s="932"/>
      <c r="BE191" s="932"/>
      <c r="BF191" s="932"/>
    </row>
    <row r="192" spans="2:58" ht="15" x14ac:dyDescent="0.25">
      <c r="B192" s="932"/>
      <c r="C192" s="932"/>
      <c r="D192" s="932"/>
      <c r="E192" s="932"/>
      <c r="F192" s="932"/>
      <c r="G192" s="932"/>
      <c r="H192" s="932"/>
      <c r="I192" s="932"/>
      <c r="J192" s="932"/>
      <c r="K192" s="932"/>
      <c r="L192" s="932"/>
      <c r="M192" s="932"/>
      <c r="N192" s="932"/>
      <c r="O192" s="932"/>
      <c r="P192" s="932"/>
      <c r="Q192" s="932"/>
      <c r="R192" s="932"/>
      <c r="S192" s="932"/>
      <c r="T192" s="932"/>
      <c r="U192" s="932"/>
      <c r="V192" s="932"/>
      <c r="W192" s="932"/>
      <c r="X192" s="932"/>
      <c r="Y192" s="932"/>
      <c r="Z192" s="932"/>
      <c r="AA192" s="932"/>
      <c r="AB192" s="932"/>
      <c r="AC192" s="932"/>
      <c r="AD192" s="932"/>
      <c r="AE192" s="932"/>
      <c r="AF192" s="932"/>
      <c r="AG192" s="932"/>
      <c r="AH192" s="932"/>
      <c r="AI192" s="932"/>
      <c r="AJ192" s="932"/>
      <c r="AK192" s="932"/>
      <c r="AL192" s="932"/>
      <c r="AM192" s="932"/>
      <c r="AN192" s="932"/>
      <c r="AO192" s="932"/>
      <c r="AP192" s="932"/>
      <c r="AQ192" s="932"/>
      <c r="AR192" s="932"/>
      <c r="AS192" s="932"/>
      <c r="AT192" s="932"/>
      <c r="AU192" s="932"/>
      <c r="AV192" s="932"/>
      <c r="AW192" s="932"/>
      <c r="AX192" s="932"/>
      <c r="AY192" s="932"/>
      <c r="AZ192" s="932"/>
      <c r="BA192" s="932"/>
      <c r="BB192" s="932"/>
      <c r="BC192" s="932"/>
      <c r="BD192" s="932"/>
      <c r="BE192" s="932"/>
      <c r="BF192" s="932"/>
    </row>
    <row r="193" spans="2:58" ht="15" x14ac:dyDescent="0.25">
      <c r="B193" s="932"/>
      <c r="C193" s="932"/>
      <c r="D193" s="932"/>
      <c r="E193" s="932"/>
      <c r="F193" s="932"/>
      <c r="G193" s="932"/>
      <c r="H193" s="932"/>
      <c r="I193" s="932"/>
      <c r="J193" s="932"/>
      <c r="K193" s="932"/>
      <c r="L193" s="932"/>
      <c r="M193" s="932"/>
      <c r="N193" s="932"/>
      <c r="O193" s="932"/>
      <c r="P193" s="932"/>
      <c r="Q193" s="932"/>
      <c r="R193" s="932"/>
      <c r="S193" s="932"/>
      <c r="T193" s="932"/>
      <c r="U193" s="932"/>
      <c r="V193" s="932"/>
      <c r="W193" s="932"/>
      <c r="X193" s="932"/>
      <c r="Y193" s="932"/>
      <c r="Z193" s="932"/>
      <c r="AA193" s="932"/>
      <c r="AB193" s="932"/>
      <c r="AC193" s="932"/>
      <c r="AD193" s="932"/>
      <c r="AE193" s="932"/>
      <c r="AF193" s="932"/>
      <c r="AG193" s="932"/>
      <c r="AH193" s="932"/>
      <c r="AI193" s="932"/>
      <c r="AJ193" s="932"/>
      <c r="AK193" s="932"/>
      <c r="AL193" s="932"/>
      <c r="AM193" s="932"/>
      <c r="AN193" s="932"/>
      <c r="AO193" s="932"/>
      <c r="AP193" s="932"/>
      <c r="AQ193" s="932"/>
      <c r="AR193" s="932"/>
      <c r="AS193" s="932"/>
      <c r="AT193" s="932"/>
      <c r="AU193" s="932"/>
      <c r="AV193" s="932"/>
      <c r="AW193" s="932"/>
      <c r="AX193" s="932"/>
      <c r="AY193" s="932"/>
      <c r="AZ193" s="932"/>
      <c r="BA193" s="932"/>
      <c r="BB193" s="932"/>
      <c r="BC193" s="932"/>
      <c r="BD193" s="932"/>
      <c r="BE193" s="932"/>
      <c r="BF193" s="932"/>
    </row>
    <row r="194" spans="2:58" ht="15" x14ac:dyDescent="0.25">
      <c r="B194" s="932"/>
      <c r="C194" s="932"/>
      <c r="D194" s="932"/>
      <c r="E194" s="932"/>
      <c r="F194" s="932"/>
      <c r="G194" s="932"/>
      <c r="H194" s="932"/>
      <c r="I194" s="932"/>
      <c r="J194" s="932"/>
      <c r="K194" s="932"/>
      <c r="L194" s="932"/>
      <c r="M194" s="932"/>
      <c r="N194" s="932"/>
      <c r="O194" s="932"/>
      <c r="P194" s="932"/>
      <c r="Q194" s="932"/>
      <c r="R194" s="932"/>
      <c r="S194" s="932"/>
      <c r="T194" s="932"/>
      <c r="U194" s="932"/>
      <c r="V194" s="932"/>
      <c r="W194" s="932"/>
      <c r="X194" s="932"/>
      <c r="Y194" s="932"/>
      <c r="Z194" s="932"/>
      <c r="AA194" s="932"/>
      <c r="AB194" s="932"/>
      <c r="AC194" s="932"/>
      <c r="AD194" s="932"/>
      <c r="AE194" s="932"/>
      <c r="AF194" s="932"/>
      <c r="AG194" s="932"/>
      <c r="AH194" s="932"/>
      <c r="AI194" s="932"/>
      <c r="AJ194" s="932"/>
      <c r="AK194" s="932"/>
      <c r="AL194" s="932"/>
      <c r="AM194" s="932"/>
      <c r="AN194" s="932"/>
      <c r="AO194" s="932"/>
      <c r="AP194" s="932"/>
      <c r="AQ194" s="932"/>
      <c r="AR194" s="932"/>
      <c r="AS194" s="932"/>
      <c r="AT194" s="932"/>
      <c r="AU194" s="932"/>
      <c r="AV194" s="932"/>
      <c r="AW194" s="932"/>
      <c r="AX194" s="932"/>
      <c r="AY194" s="932"/>
      <c r="AZ194" s="932"/>
      <c r="BA194" s="932"/>
      <c r="BB194" s="932"/>
      <c r="BC194" s="932"/>
      <c r="BD194" s="932"/>
      <c r="BE194" s="932"/>
      <c r="BF194" s="932"/>
    </row>
    <row r="195" spans="2:58" ht="15" x14ac:dyDescent="0.25">
      <c r="B195" s="932"/>
      <c r="C195" s="932"/>
      <c r="D195" s="932"/>
      <c r="E195" s="932"/>
      <c r="F195" s="932"/>
      <c r="G195" s="932"/>
      <c r="H195" s="932"/>
      <c r="I195" s="932"/>
      <c r="J195" s="932"/>
      <c r="K195" s="932"/>
      <c r="L195" s="932"/>
      <c r="M195" s="932"/>
      <c r="N195" s="932"/>
      <c r="O195" s="932"/>
      <c r="P195" s="932"/>
      <c r="Q195" s="932"/>
      <c r="R195" s="932"/>
      <c r="S195" s="932"/>
      <c r="T195" s="932"/>
      <c r="U195" s="932"/>
      <c r="V195" s="932"/>
      <c r="W195" s="932"/>
      <c r="X195" s="932"/>
      <c r="Y195" s="932"/>
      <c r="Z195" s="932"/>
      <c r="AA195" s="932"/>
      <c r="AB195" s="932"/>
      <c r="AC195" s="932"/>
      <c r="AD195" s="932"/>
      <c r="AE195" s="932"/>
      <c r="AF195" s="932"/>
      <c r="AG195" s="932"/>
      <c r="AH195" s="932"/>
      <c r="AI195" s="932"/>
      <c r="AJ195" s="932"/>
      <c r="AK195" s="932"/>
      <c r="AL195" s="932"/>
      <c r="AM195" s="932"/>
      <c r="AN195" s="932"/>
      <c r="AO195" s="932"/>
      <c r="AP195" s="932"/>
      <c r="AQ195" s="932"/>
      <c r="AR195" s="932"/>
      <c r="AS195" s="932"/>
      <c r="AT195" s="932"/>
      <c r="AU195" s="932"/>
      <c r="AV195" s="932"/>
      <c r="AW195" s="932"/>
      <c r="AX195" s="932"/>
      <c r="AY195" s="932"/>
      <c r="AZ195" s="932"/>
      <c r="BA195" s="932"/>
      <c r="BB195" s="932"/>
      <c r="BC195" s="932"/>
      <c r="BD195" s="932"/>
      <c r="BE195" s="932"/>
      <c r="BF195" s="932"/>
    </row>
    <row r="196" spans="2:58" ht="15" x14ac:dyDescent="0.25">
      <c r="B196" s="932"/>
      <c r="C196" s="932"/>
      <c r="D196" s="932"/>
      <c r="E196" s="932"/>
      <c r="F196" s="932"/>
      <c r="G196" s="932"/>
      <c r="H196" s="932"/>
      <c r="I196" s="932"/>
      <c r="J196" s="932"/>
      <c r="K196" s="932"/>
      <c r="L196" s="932"/>
      <c r="M196" s="932"/>
      <c r="N196" s="932"/>
      <c r="O196" s="932"/>
      <c r="P196" s="932"/>
      <c r="Q196" s="932"/>
      <c r="R196" s="932"/>
      <c r="S196" s="932"/>
      <c r="T196" s="932"/>
      <c r="U196" s="932"/>
      <c r="V196" s="932"/>
      <c r="W196" s="932"/>
      <c r="X196" s="932"/>
      <c r="Y196" s="932"/>
      <c r="Z196" s="932"/>
      <c r="AA196" s="932"/>
      <c r="AB196" s="932"/>
      <c r="AC196" s="932"/>
      <c r="AD196" s="932"/>
      <c r="AE196" s="932"/>
      <c r="AF196" s="932"/>
      <c r="AG196" s="932"/>
      <c r="AH196" s="932"/>
      <c r="AI196" s="932"/>
      <c r="AJ196" s="932"/>
      <c r="AK196" s="932"/>
      <c r="AL196" s="932"/>
      <c r="AM196" s="932"/>
      <c r="AN196" s="932"/>
      <c r="AO196" s="932"/>
      <c r="AP196" s="932"/>
      <c r="AQ196" s="932"/>
      <c r="AR196" s="932"/>
      <c r="AS196" s="932"/>
      <c r="AT196" s="932"/>
      <c r="AU196" s="932"/>
      <c r="AV196" s="932"/>
      <c r="AW196" s="932"/>
      <c r="AX196" s="932"/>
      <c r="AY196" s="932"/>
      <c r="AZ196" s="932"/>
      <c r="BA196" s="932"/>
      <c r="BB196" s="932"/>
      <c r="BC196" s="932"/>
      <c r="BD196" s="932"/>
      <c r="BE196" s="932"/>
      <c r="BF196" s="932"/>
    </row>
    <row r="197" spans="2:58" ht="15" x14ac:dyDescent="0.25">
      <c r="B197" s="932"/>
      <c r="C197" s="932"/>
      <c r="D197" s="932"/>
      <c r="E197" s="932"/>
      <c r="F197" s="932"/>
      <c r="G197" s="932"/>
      <c r="H197" s="932"/>
      <c r="I197" s="932"/>
      <c r="J197" s="932"/>
      <c r="K197" s="932"/>
      <c r="L197" s="932"/>
      <c r="M197" s="932"/>
      <c r="N197" s="932"/>
      <c r="O197" s="932"/>
      <c r="P197" s="932"/>
      <c r="Q197" s="932"/>
      <c r="R197" s="932"/>
      <c r="S197" s="932"/>
      <c r="T197" s="932"/>
      <c r="U197" s="932"/>
      <c r="V197" s="932"/>
      <c r="W197" s="932"/>
      <c r="X197" s="932"/>
      <c r="Y197" s="932"/>
      <c r="Z197" s="932"/>
      <c r="AA197" s="932"/>
      <c r="AB197" s="932"/>
      <c r="AC197" s="932"/>
      <c r="AD197" s="932"/>
      <c r="AE197" s="932"/>
      <c r="AF197" s="932"/>
      <c r="AG197" s="932"/>
      <c r="AH197" s="932"/>
      <c r="AI197" s="932"/>
      <c r="AJ197" s="932"/>
      <c r="AK197" s="932"/>
      <c r="AL197" s="932"/>
      <c r="AM197" s="932"/>
      <c r="AN197" s="932"/>
      <c r="AO197" s="932"/>
      <c r="AP197" s="932"/>
      <c r="AQ197" s="932"/>
      <c r="AR197" s="932"/>
      <c r="AS197" s="932"/>
      <c r="AT197" s="932"/>
      <c r="AU197" s="932"/>
      <c r="AV197" s="932"/>
      <c r="AW197" s="932"/>
      <c r="AX197" s="932"/>
      <c r="AY197" s="932"/>
      <c r="AZ197" s="932"/>
      <c r="BA197" s="932"/>
      <c r="BB197" s="932"/>
      <c r="BC197" s="932"/>
      <c r="BD197" s="932"/>
      <c r="BE197" s="932"/>
      <c r="BF197" s="932"/>
    </row>
    <row r="198" spans="2:58" ht="15" x14ac:dyDescent="0.25">
      <c r="B198" s="932"/>
      <c r="C198" s="932"/>
      <c r="D198" s="932"/>
      <c r="E198" s="932"/>
      <c r="F198" s="932"/>
      <c r="G198" s="932"/>
      <c r="H198" s="932"/>
      <c r="I198" s="932"/>
      <c r="J198" s="932"/>
      <c r="K198" s="932"/>
      <c r="L198" s="932"/>
      <c r="M198" s="932"/>
      <c r="N198" s="932"/>
      <c r="O198" s="932"/>
      <c r="P198" s="932"/>
      <c r="Q198" s="932"/>
      <c r="R198" s="932"/>
      <c r="S198" s="932"/>
      <c r="T198" s="932"/>
      <c r="U198" s="932"/>
      <c r="V198" s="932"/>
      <c r="W198" s="932"/>
      <c r="X198" s="932"/>
      <c r="Y198" s="932"/>
      <c r="Z198" s="932"/>
      <c r="AA198" s="932"/>
      <c r="AB198" s="932"/>
      <c r="AC198" s="932"/>
      <c r="AD198" s="932"/>
      <c r="AE198" s="932"/>
      <c r="AF198" s="932"/>
      <c r="AG198" s="932"/>
      <c r="AH198" s="932"/>
      <c r="AI198" s="932"/>
      <c r="AJ198" s="932"/>
      <c r="AK198" s="932"/>
      <c r="AL198" s="932"/>
      <c r="AM198" s="932"/>
      <c r="AN198" s="932"/>
      <c r="AO198" s="932"/>
      <c r="AP198" s="932"/>
      <c r="AQ198" s="932"/>
      <c r="AR198" s="932"/>
      <c r="AS198" s="932"/>
      <c r="AT198" s="932"/>
      <c r="AU198" s="932"/>
      <c r="AV198" s="932"/>
      <c r="AW198" s="932"/>
      <c r="AX198" s="932"/>
      <c r="AY198" s="932"/>
      <c r="AZ198" s="932"/>
      <c r="BA198" s="932"/>
      <c r="BB198" s="932"/>
      <c r="BC198" s="932"/>
      <c r="BD198" s="932"/>
      <c r="BE198" s="932"/>
      <c r="BF198" s="932"/>
    </row>
    <row r="199" spans="2:58" ht="15" x14ac:dyDescent="0.25">
      <c r="B199" s="932"/>
      <c r="C199" s="932"/>
      <c r="D199" s="932"/>
      <c r="E199" s="932"/>
      <c r="F199" s="932"/>
      <c r="G199" s="932"/>
      <c r="H199" s="932"/>
      <c r="I199" s="932"/>
      <c r="J199" s="932"/>
      <c r="K199" s="932"/>
      <c r="L199" s="932"/>
      <c r="M199" s="932"/>
      <c r="N199" s="932"/>
      <c r="O199" s="932"/>
      <c r="P199" s="932"/>
      <c r="Q199" s="932"/>
      <c r="R199" s="932"/>
      <c r="S199" s="932"/>
      <c r="T199" s="932"/>
      <c r="U199" s="932"/>
      <c r="V199" s="932"/>
      <c r="W199" s="932"/>
      <c r="X199" s="932"/>
      <c r="Y199" s="932"/>
      <c r="Z199" s="932"/>
      <c r="AA199" s="932"/>
      <c r="AB199" s="932"/>
      <c r="AC199" s="932"/>
      <c r="AD199" s="932"/>
      <c r="AE199" s="932"/>
      <c r="AF199" s="932"/>
      <c r="AG199" s="932"/>
      <c r="AH199" s="932"/>
      <c r="AI199" s="932"/>
      <c r="AJ199" s="932"/>
      <c r="AK199" s="932"/>
      <c r="AL199" s="932"/>
      <c r="AM199" s="932"/>
      <c r="AN199" s="932"/>
      <c r="AO199" s="932"/>
      <c r="AP199" s="932"/>
      <c r="AQ199" s="932"/>
      <c r="AR199" s="932"/>
      <c r="AS199" s="932"/>
      <c r="AT199" s="932"/>
      <c r="AU199" s="932"/>
      <c r="AV199" s="932"/>
      <c r="AW199" s="932"/>
      <c r="AX199" s="932"/>
      <c r="AY199" s="932"/>
      <c r="AZ199" s="932"/>
      <c r="BA199" s="932"/>
      <c r="BB199" s="932"/>
      <c r="BC199" s="932"/>
      <c r="BD199" s="932"/>
      <c r="BE199" s="932"/>
      <c r="BF199" s="932"/>
    </row>
    <row r="200" spans="2:58" ht="15" x14ac:dyDescent="0.25">
      <c r="B200" s="932"/>
      <c r="C200" s="932"/>
      <c r="D200" s="932"/>
      <c r="E200" s="932"/>
      <c r="F200" s="932"/>
      <c r="G200" s="932"/>
      <c r="H200" s="932"/>
      <c r="I200" s="932"/>
      <c r="J200" s="932"/>
      <c r="K200" s="932"/>
      <c r="L200" s="932"/>
      <c r="M200" s="932"/>
      <c r="N200" s="932"/>
      <c r="O200" s="932"/>
      <c r="P200" s="932"/>
      <c r="Q200" s="932"/>
      <c r="R200" s="932"/>
      <c r="S200" s="932"/>
      <c r="T200" s="932"/>
      <c r="U200" s="932"/>
      <c r="V200" s="932"/>
      <c r="W200" s="932"/>
      <c r="X200" s="932"/>
      <c r="Y200" s="932"/>
      <c r="Z200" s="932"/>
      <c r="AA200" s="932"/>
      <c r="AB200" s="932"/>
      <c r="AC200" s="932"/>
      <c r="AD200" s="932"/>
      <c r="AE200" s="932"/>
      <c r="AF200" s="932"/>
      <c r="AG200" s="932"/>
      <c r="AH200" s="932"/>
      <c r="AI200" s="932"/>
      <c r="AJ200" s="932"/>
      <c r="AK200" s="932"/>
      <c r="AL200" s="932"/>
      <c r="AM200" s="932"/>
      <c r="AN200" s="932"/>
      <c r="AO200" s="932"/>
      <c r="AP200" s="932"/>
      <c r="AQ200" s="932"/>
      <c r="AR200" s="932"/>
      <c r="AS200" s="932"/>
      <c r="AT200" s="932"/>
      <c r="AU200" s="932"/>
      <c r="AV200" s="932"/>
      <c r="AW200" s="932"/>
      <c r="AX200" s="932"/>
      <c r="AY200" s="932"/>
      <c r="AZ200" s="932"/>
      <c r="BA200" s="932"/>
      <c r="BB200" s="932"/>
      <c r="BC200" s="932"/>
      <c r="BD200" s="932"/>
      <c r="BE200" s="932"/>
      <c r="BF200" s="932"/>
    </row>
    <row r="201" spans="2:58" ht="15" x14ac:dyDescent="0.25">
      <c r="B201" s="932"/>
      <c r="C201" s="932"/>
      <c r="D201" s="932"/>
      <c r="E201" s="932"/>
      <c r="F201" s="932"/>
      <c r="G201" s="932"/>
      <c r="H201" s="932"/>
      <c r="I201" s="932"/>
      <c r="J201" s="932"/>
      <c r="K201" s="932"/>
      <c r="L201" s="932"/>
      <c r="M201" s="932"/>
      <c r="N201" s="932"/>
      <c r="O201" s="932"/>
      <c r="P201" s="932"/>
      <c r="Q201" s="932"/>
      <c r="R201" s="932"/>
      <c r="S201" s="932"/>
      <c r="T201" s="932"/>
      <c r="U201" s="932"/>
      <c r="V201" s="932"/>
      <c r="W201" s="932"/>
      <c r="X201" s="932"/>
      <c r="Y201" s="932"/>
      <c r="Z201" s="932"/>
      <c r="AA201" s="932"/>
      <c r="AB201" s="932"/>
      <c r="AC201" s="932"/>
      <c r="AD201" s="932"/>
      <c r="AE201" s="932"/>
      <c r="AF201" s="932"/>
      <c r="AG201" s="932"/>
      <c r="AH201" s="932"/>
      <c r="AI201" s="932"/>
      <c r="AJ201" s="932"/>
      <c r="AK201" s="932"/>
      <c r="AL201" s="932"/>
      <c r="AM201" s="932"/>
      <c r="AN201" s="932"/>
      <c r="AO201" s="932"/>
      <c r="AP201" s="932"/>
      <c r="AQ201" s="932"/>
      <c r="AR201" s="932"/>
      <c r="AS201" s="932"/>
      <c r="AT201" s="932"/>
      <c r="AU201" s="932"/>
      <c r="AV201" s="932"/>
      <c r="AW201" s="932"/>
      <c r="AX201" s="932"/>
      <c r="AY201" s="932"/>
      <c r="AZ201" s="932"/>
      <c r="BA201" s="932"/>
      <c r="BB201" s="932"/>
      <c r="BC201" s="932"/>
      <c r="BD201" s="932"/>
      <c r="BE201" s="932"/>
      <c r="BF201" s="932"/>
    </row>
    <row r="202" spans="2:58" ht="15" x14ac:dyDescent="0.25">
      <c r="B202" s="932"/>
      <c r="C202" s="932"/>
      <c r="D202" s="932"/>
      <c r="E202" s="932"/>
      <c r="F202" s="932"/>
      <c r="G202" s="932"/>
      <c r="H202" s="932"/>
      <c r="I202" s="932"/>
      <c r="J202" s="932"/>
      <c r="K202" s="932"/>
      <c r="L202" s="932"/>
      <c r="M202" s="932"/>
      <c r="N202" s="932"/>
      <c r="O202" s="932"/>
      <c r="P202" s="932"/>
      <c r="Q202" s="932"/>
      <c r="R202" s="932"/>
      <c r="S202" s="932"/>
      <c r="T202" s="932"/>
      <c r="U202" s="932"/>
      <c r="V202" s="932"/>
      <c r="W202" s="932"/>
      <c r="X202" s="932"/>
      <c r="Y202" s="932"/>
      <c r="Z202" s="932"/>
      <c r="AA202" s="932"/>
      <c r="AB202" s="932"/>
      <c r="AC202" s="932"/>
      <c r="AD202" s="932"/>
      <c r="AE202" s="932"/>
      <c r="AF202" s="932"/>
      <c r="AG202" s="932"/>
      <c r="AH202" s="932"/>
      <c r="AI202" s="932"/>
      <c r="AJ202" s="932"/>
      <c r="AK202" s="932"/>
      <c r="AL202" s="932"/>
      <c r="AM202" s="932"/>
      <c r="AN202" s="932"/>
      <c r="AO202" s="932"/>
      <c r="AP202" s="932"/>
      <c r="AQ202" s="932"/>
      <c r="AR202" s="932"/>
      <c r="AS202" s="932"/>
      <c r="AT202" s="932"/>
      <c r="AU202" s="932"/>
      <c r="AV202" s="932"/>
      <c r="AW202" s="932"/>
      <c r="AX202" s="932"/>
      <c r="AY202" s="932"/>
      <c r="AZ202" s="932"/>
      <c r="BA202" s="932"/>
      <c r="BB202" s="932"/>
      <c r="BC202" s="932"/>
      <c r="BD202" s="932"/>
      <c r="BE202" s="932"/>
      <c r="BF202" s="932"/>
    </row>
    <row r="203" spans="2:58" ht="15" x14ac:dyDescent="0.25">
      <c r="B203" s="932"/>
      <c r="C203" s="932"/>
      <c r="D203" s="932"/>
      <c r="E203" s="932"/>
      <c r="F203" s="932"/>
      <c r="G203" s="932"/>
      <c r="H203" s="932"/>
      <c r="I203" s="932"/>
      <c r="J203" s="932"/>
      <c r="K203" s="932"/>
      <c r="L203" s="932"/>
      <c r="M203" s="932"/>
      <c r="N203" s="932"/>
      <c r="O203" s="932"/>
      <c r="P203" s="932"/>
      <c r="Q203" s="932"/>
      <c r="R203" s="932"/>
      <c r="S203" s="932"/>
      <c r="T203" s="932"/>
      <c r="U203" s="932"/>
      <c r="V203" s="932"/>
      <c r="W203" s="932"/>
      <c r="X203" s="932"/>
      <c r="Y203" s="932"/>
      <c r="Z203" s="932"/>
      <c r="AA203" s="932"/>
      <c r="AB203" s="932"/>
      <c r="AC203" s="932"/>
      <c r="AD203" s="932"/>
      <c r="AE203" s="932"/>
      <c r="AF203" s="932"/>
      <c r="AG203" s="932"/>
      <c r="AH203" s="932"/>
      <c r="AI203" s="932"/>
      <c r="AJ203" s="932"/>
      <c r="AK203" s="932"/>
      <c r="AL203" s="932"/>
      <c r="AM203" s="932"/>
      <c r="AN203" s="932"/>
      <c r="AO203" s="932"/>
      <c r="AP203" s="932"/>
      <c r="AQ203" s="932"/>
      <c r="AR203" s="932"/>
      <c r="AS203" s="932"/>
      <c r="AT203" s="932"/>
      <c r="AU203" s="932"/>
      <c r="AV203" s="932"/>
      <c r="AW203" s="932"/>
      <c r="AX203" s="932"/>
      <c r="AY203" s="932"/>
      <c r="AZ203" s="932"/>
      <c r="BA203" s="932"/>
      <c r="BB203" s="932"/>
      <c r="BC203" s="932"/>
      <c r="BD203" s="932"/>
      <c r="BE203" s="932"/>
      <c r="BF203" s="932"/>
    </row>
    <row r="204" spans="2:58" ht="15" x14ac:dyDescent="0.25">
      <c r="B204" s="932"/>
      <c r="C204" s="932"/>
      <c r="D204" s="932"/>
      <c r="E204" s="932"/>
      <c r="F204" s="932"/>
      <c r="G204" s="932"/>
      <c r="H204" s="932"/>
      <c r="I204" s="932"/>
      <c r="J204" s="932"/>
      <c r="K204" s="932"/>
      <c r="L204" s="932"/>
      <c r="M204" s="932"/>
      <c r="N204" s="932"/>
      <c r="O204" s="932"/>
      <c r="P204" s="932"/>
      <c r="Q204" s="932"/>
      <c r="R204" s="932"/>
      <c r="S204" s="932"/>
      <c r="T204" s="932"/>
      <c r="U204" s="932"/>
      <c r="V204" s="932"/>
      <c r="W204" s="932"/>
      <c r="X204" s="932"/>
      <c r="Y204" s="932"/>
      <c r="Z204" s="932"/>
      <c r="AA204" s="932"/>
      <c r="AB204" s="932"/>
      <c r="AC204" s="932"/>
      <c r="AD204" s="932"/>
      <c r="AE204" s="932"/>
      <c r="AF204" s="932"/>
      <c r="AG204" s="932"/>
      <c r="AH204" s="932"/>
      <c r="AI204" s="932"/>
      <c r="AJ204" s="932"/>
      <c r="AK204" s="932"/>
      <c r="AL204" s="932"/>
      <c r="AM204" s="932"/>
      <c r="AN204" s="932"/>
      <c r="AO204" s="932"/>
      <c r="AP204" s="932"/>
      <c r="AQ204" s="932"/>
      <c r="AR204" s="932"/>
      <c r="AS204" s="932"/>
      <c r="AT204" s="932"/>
      <c r="AU204" s="932"/>
      <c r="AV204" s="932"/>
      <c r="AW204" s="932"/>
      <c r="AX204" s="932"/>
      <c r="AY204" s="932"/>
      <c r="AZ204" s="932"/>
      <c r="BA204" s="932"/>
      <c r="BB204" s="932"/>
      <c r="BC204" s="932"/>
      <c r="BD204" s="932"/>
      <c r="BE204" s="932"/>
      <c r="BF204" s="932"/>
    </row>
    <row r="205" spans="2:58" ht="15" x14ac:dyDescent="0.25">
      <c r="B205" s="932"/>
      <c r="C205" s="932"/>
      <c r="D205" s="932"/>
      <c r="E205" s="932"/>
      <c r="F205" s="932"/>
      <c r="G205" s="932"/>
      <c r="H205" s="932"/>
      <c r="I205" s="932"/>
      <c r="J205" s="932"/>
      <c r="K205" s="932"/>
      <c r="L205" s="932"/>
      <c r="M205" s="932"/>
      <c r="N205" s="932"/>
      <c r="O205" s="932"/>
      <c r="P205" s="932"/>
      <c r="Q205" s="932"/>
      <c r="R205" s="932"/>
      <c r="S205" s="932"/>
      <c r="T205" s="932"/>
      <c r="U205" s="932"/>
      <c r="V205" s="932"/>
      <c r="W205" s="932"/>
      <c r="X205" s="932"/>
      <c r="Y205" s="932"/>
      <c r="Z205" s="932"/>
      <c r="AA205" s="932"/>
      <c r="AB205" s="932"/>
      <c r="AC205" s="932"/>
      <c r="AD205" s="932"/>
      <c r="AE205" s="932"/>
      <c r="AF205" s="932"/>
      <c r="AG205" s="932"/>
      <c r="AH205" s="932"/>
      <c r="AI205" s="932"/>
      <c r="AJ205" s="932"/>
      <c r="AK205" s="932"/>
      <c r="AL205" s="932"/>
      <c r="AM205" s="932"/>
      <c r="AN205" s="932"/>
      <c r="AO205" s="932"/>
      <c r="AP205" s="932"/>
      <c r="AQ205" s="932"/>
      <c r="AR205" s="932"/>
      <c r="AS205" s="932"/>
      <c r="AT205" s="932"/>
      <c r="AU205" s="932"/>
      <c r="AV205" s="932"/>
      <c r="AW205" s="932"/>
      <c r="AX205" s="932"/>
      <c r="AY205" s="932"/>
      <c r="AZ205" s="932"/>
      <c r="BA205" s="932"/>
      <c r="BB205" s="932"/>
      <c r="BC205" s="932"/>
      <c r="BD205" s="932"/>
      <c r="BE205" s="932"/>
      <c r="BF205" s="932"/>
    </row>
    <row r="206" spans="2:58" ht="15" x14ac:dyDescent="0.25">
      <c r="B206" s="932"/>
      <c r="C206" s="932"/>
      <c r="D206" s="932"/>
      <c r="E206" s="932"/>
      <c r="F206" s="932"/>
      <c r="G206" s="932"/>
      <c r="H206" s="932"/>
      <c r="I206" s="932"/>
      <c r="J206" s="932"/>
      <c r="K206" s="932"/>
      <c r="L206" s="932"/>
      <c r="M206" s="932"/>
      <c r="N206" s="932"/>
      <c r="O206" s="932"/>
      <c r="P206" s="932"/>
      <c r="Q206" s="932"/>
      <c r="R206" s="932"/>
      <c r="S206" s="932"/>
      <c r="T206" s="932"/>
      <c r="U206" s="932"/>
      <c r="V206" s="932"/>
      <c r="W206" s="932"/>
      <c r="X206" s="932"/>
      <c r="Y206" s="932"/>
      <c r="Z206" s="932"/>
      <c r="AA206" s="932"/>
      <c r="AB206" s="932"/>
      <c r="AC206" s="932"/>
      <c r="AD206" s="932"/>
      <c r="AE206" s="932"/>
      <c r="AF206" s="932"/>
      <c r="AG206" s="932"/>
      <c r="AH206" s="932"/>
      <c r="AI206" s="932"/>
      <c r="AJ206" s="932"/>
      <c r="AK206" s="932"/>
      <c r="AL206" s="932"/>
      <c r="AM206" s="932"/>
      <c r="AN206" s="932"/>
      <c r="AO206" s="932"/>
      <c r="AP206" s="932"/>
      <c r="AQ206" s="932"/>
      <c r="AR206" s="932"/>
      <c r="AS206" s="932"/>
      <c r="AT206" s="932"/>
      <c r="AU206" s="932"/>
      <c r="AV206" s="932"/>
      <c r="AW206" s="932"/>
      <c r="AX206" s="932"/>
      <c r="AY206" s="932"/>
      <c r="AZ206" s="932"/>
      <c r="BA206" s="932"/>
      <c r="BB206" s="932"/>
      <c r="BC206" s="932"/>
      <c r="BD206" s="932"/>
      <c r="BE206" s="932"/>
      <c r="BF206" s="932"/>
    </row>
    <row r="207" spans="2:58" ht="15" x14ac:dyDescent="0.25">
      <c r="B207" s="932"/>
      <c r="C207" s="932"/>
      <c r="D207" s="932"/>
      <c r="E207" s="932"/>
      <c r="F207" s="932"/>
      <c r="G207" s="932"/>
      <c r="H207" s="932"/>
      <c r="I207" s="932"/>
      <c r="J207" s="932"/>
      <c r="K207" s="932"/>
      <c r="L207" s="932"/>
      <c r="M207" s="932"/>
      <c r="N207" s="932"/>
      <c r="O207" s="932"/>
      <c r="P207" s="932"/>
      <c r="Q207" s="932"/>
      <c r="R207" s="932"/>
      <c r="S207" s="932"/>
      <c r="T207" s="932"/>
      <c r="U207" s="932"/>
      <c r="V207" s="932"/>
      <c r="W207" s="932"/>
      <c r="X207" s="932"/>
      <c r="Y207" s="932"/>
      <c r="Z207" s="932"/>
      <c r="AA207" s="932"/>
      <c r="AB207" s="932"/>
      <c r="AC207" s="932"/>
      <c r="AD207" s="932"/>
      <c r="AE207" s="932"/>
      <c r="AF207" s="932"/>
      <c r="AG207" s="932"/>
      <c r="AH207" s="932"/>
      <c r="AI207" s="932"/>
      <c r="AJ207" s="932"/>
      <c r="AK207" s="932"/>
      <c r="AL207" s="932"/>
      <c r="AM207" s="932"/>
      <c r="AN207" s="932"/>
      <c r="AO207" s="932"/>
      <c r="AP207" s="932"/>
      <c r="AQ207" s="932"/>
      <c r="AR207" s="932"/>
      <c r="AS207" s="932"/>
      <c r="AT207" s="932"/>
      <c r="AU207" s="932"/>
      <c r="AV207" s="932"/>
      <c r="AW207" s="932"/>
      <c r="AX207" s="932"/>
      <c r="AY207" s="932"/>
      <c r="AZ207" s="932"/>
      <c r="BA207" s="932"/>
      <c r="BB207" s="932"/>
      <c r="BC207" s="932"/>
      <c r="BD207" s="932"/>
      <c r="BE207" s="932"/>
      <c r="BF207" s="932"/>
    </row>
    <row r="208" spans="2:58" ht="15" x14ac:dyDescent="0.25">
      <c r="B208" s="932"/>
      <c r="C208" s="932"/>
      <c r="D208" s="932"/>
      <c r="E208" s="932"/>
      <c r="F208" s="932"/>
      <c r="G208" s="932"/>
      <c r="H208" s="932"/>
      <c r="I208" s="932"/>
      <c r="J208" s="932"/>
      <c r="K208" s="932"/>
      <c r="L208" s="932"/>
      <c r="M208" s="932"/>
      <c r="N208" s="932"/>
      <c r="O208" s="932"/>
      <c r="P208" s="932"/>
      <c r="Q208" s="932"/>
      <c r="R208" s="932"/>
      <c r="S208" s="932"/>
      <c r="T208" s="932"/>
      <c r="U208" s="932"/>
      <c r="V208" s="932"/>
      <c r="W208" s="932"/>
      <c r="X208" s="932"/>
      <c r="Y208" s="932"/>
      <c r="Z208" s="932"/>
      <c r="AA208" s="932"/>
      <c r="AB208" s="932"/>
      <c r="AC208" s="932"/>
      <c r="AD208" s="932"/>
      <c r="AE208" s="932"/>
      <c r="AF208" s="932"/>
      <c r="AG208" s="932"/>
      <c r="AH208" s="932"/>
      <c r="AI208" s="932"/>
      <c r="AJ208" s="932"/>
      <c r="AK208" s="932"/>
      <c r="AL208" s="932"/>
      <c r="AM208" s="932"/>
      <c r="AN208" s="932"/>
      <c r="AO208" s="932"/>
      <c r="AP208" s="932"/>
      <c r="AQ208" s="932"/>
      <c r="AR208" s="932"/>
      <c r="AS208" s="932"/>
      <c r="AT208" s="932"/>
      <c r="AU208" s="932"/>
      <c r="AV208" s="932"/>
      <c r="AW208" s="932"/>
      <c r="AX208" s="932"/>
      <c r="AY208" s="932"/>
      <c r="AZ208" s="932"/>
      <c r="BA208" s="932"/>
      <c r="BB208" s="932"/>
      <c r="BC208" s="932"/>
      <c r="BD208" s="932"/>
      <c r="BE208" s="932"/>
      <c r="BF208" s="932"/>
    </row>
    <row r="209" spans="2:58" ht="15" x14ac:dyDescent="0.25">
      <c r="B209" s="932"/>
      <c r="C209" s="932"/>
      <c r="D209" s="932"/>
      <c r="E209" s="932"/>
      <c r="F209" s="932"/>
      <c r="G209" s="932"/>
      <c r="H209" s="932"/>
      <c r="I209" s="932"/>
      <c r="J209" s="932"/>
      <c r="K209" s="932"/>
      <c r="L209" s="932"/>
      <c r="M209" s="932"/>
      <c r="N209" s="932"/>
      <c r="O209" s="932"/>
      <c r="P209" s="932"/>
      <c r="Q209" s="932"/>
      <c r="R209" s="932"/>
      <c r="S209" s="932"/>
      <c r="T209" s="932"/>
      <c r="U209" s="932"/>
      <c r="V209" s="932"/>
      <c r="W209" s="932"/>
      <c r="X209" s="932"/>
      <c r="Y209" s="932"/>
      <c r="Z209" s="932"/>
      <c r="AA209" s="932"/>
      <c r="AB209" s="932"/>
      <c r="AC209" s="932"/>
      <c r="AD209" s="932"/>
      <c r="AE209" s="932"/>
      <c r="AF209" s="932"/>
      <c r="AG209" s="932"/>
      <c r="AH209" s="932"/>
      <c r="AI209" s="932"/>
      <c r="AJ209" s="932"/>
      <c r="AK209" s="932"/>
      <c r="AL209" s="932"/>
      <c r="AM209" s="932"/>
      <c r="AN209" s="932"/>
      <c r="AO209" s="932"/>
      <c r="AP209" s="932"/>
      <c r="AQ209" s="932"/>
      <c r="AR209" s="932"/>
      <c r="AS209" s="932"/>
      <c r="AT209" s="932"/>
      <c r="AU209" s="932"/>
      <c r="AV209" s="932"/>
      <c r="AW209" s="932"/>
      <c r="AX209" s="932"/>
      <c r="AY209" s="932"/>
      <c r="AZ209" s="932"/>
      <c r="BA209" s="932"/>
      <c r="BB209" s="932"/>
      <c r="BC209" s="932"/>
      <c r="BD209" s="932"/>
      <c r="BE209" s="932"/>
      <c r="BF209" s="932"/>
    </row>
    <row r="210" spans="2:58" ht="15" x14ac:dyDescent="0.25">
      <c r="B210" s="932"/>
      <c r="C210" s="932"/>
      <c r="D210" s="932"/>
      <c r="E210" s="932"/>
      <c r="F210" s="932"/>
      <c r="G210" s="932"/>
      <c r="H210" s="932"/>
      <c r="I210" s="932"/>
      <c r="J210" s="932"/>
      <c r="K210" s="932"/>
      <c r="L210" s="932"/>
      <c r="M210" s="932"/>
      <c r="N210" s="932"/>
      <c r="O210" s="932"/>
      <c r="P210" s="932"/>
      <c r="Q210" s="932"/>
      <c r="R210" s="932"/>
      <c r="S210" s="932"/>
      <c r="T210" s="932"/>
      <c r="U210" s="932"/>
      <c r="V210" s="932"/>
      <c r="W210" s="932"/>
      <c r="X210" s="932"/>
      <c r="Y210" s="932"/>
      <c r="Z210" s="932"/>
      <c r="AA210" s="932"/>
      <c r="AB210" s="932"/>
      <c r="AC210" s="932"/>
      <c r="AD210" s="932"/>
      <c r="AE210" s="932"/>
      <c r="AF210" s="932"/>
      <c r="AG210" s="932"/>
      <c r="AH210" s="932"/>
      <c r="AI210" s="932"/>
      <c r="AJ210" s="932"/>
      <c r="AK210" s="932"/>
      <c r="AL210" s="932"/>
      <c r="AM210" s="932"/>
      <c r="AN210" s="932"/>
      <c r="AO210" s="932"/>
      <c r="AP210" s="932"/>
      <c r="AQ210" s="932"/>
      <c r="AR210" s="932"/>
      <c r="AS210" s="932"/>
      <c r="AT210" s="932"/>
      <c r="AU210" s="932"/>
      <c r="AV210" s="932"/>
      <c r="AW210" s="932"/>
      <c r="AX210" s="932"/>
      <c r="AY210" s="932"/>
      <c r="AZ210" s="932"/>
      <c r="BA210" s="932"/>
      <c r="BB210" s="932"/>
      <c r="BC210" s="932"/>
      <c r="BD210" s="932"/>
      <c r="BE210" s="932"/>
      <c r="BF210" s="932"/>
    </row>
    <row r="211" spans="2:58" ht="15" x14ac:dyDescent="0.25">
      <c r="B211" s="932"/>
      <c r="C211" s="932"/>
      <c r="D211" s="932"/>
      <c r="E211" s="932"/>
      <c r="F211" s="932"/>
      <c r="G211" s="932"/>
      <c r="H211" s="932"/>
      <c r="I211" s="932"/>
      <c r="J211" s="932"/>
      <c r="K211" s="932"/>
      <c r="L211" s="932"/>
      <c r="M211" s="932"/>
      <c r="N211" s="932"/>
      <c r="O211" s="932"/>
      <c r="P211" s="932"/>
      <c r="Q211" s="932"/>
      <c r="R211" s="932"/>
      <c r="S211" s="932"/>
      <c r="T211" s="932"/>
      <c r="U211" s="932"/>
      <c r="V211" s="932"/>
      <c r="W211" s="932"/>
      <c r="X211" s="932"/>
      <c r="Y211" s="932"/>
      <c r="Z211" s="932"/>
      <c r="AA211" s="932"/>
      <c r="AB211" s="932"/>
      <c r="AC211" s="932"/>
      <c r="AD211" s="932"/>
      <c r="AE211" s="932"/>
      <c r="AF211" s="932"/>
      <c r="AG211" s="932"/>
      <c r="AH211" s="932"/>
      <c r="AI211" s="932"/>
      <c r="AJ211" s="932"/>
      <c r="AK211" s="932"/>
      <c r="AL211" s="932"/>
      <c r="AM211" s="932"/>
      <c r="AN211" s="932"/>
      <c r="AO211" s="932"/>
      <c r="AP211" s="932"/>
      <c r="AQ211" s="932"/>
      <c r="AR211" s="932"/>
      <c r="AS211" s="932"/>
      <c r="AT211" s="932"/>
      <c r="AU211" s="932"/>
      <c r="AV211" s="932"/>
      <c r="AW211" s="932"/>
      <c r="AX211" s="932"/>
      <c r="AY211" s="932"/>
      <c r="AZ211" s="932"/>
      <c r="BA211" s="932"/>
      <c r="BB211" s="932"/>
      <c r="BC211" s="932"/>
      <c r="BD211" s="932"/>
      <c r="BE211" s="932"/>
      <c r="BF211" s="932"/>
    </row>
    <row r="212" spans="2:58" ht="15" x14ac:dyDescent="0.25">
      <c r="B212" s="932"/>
      <c r="C212" s="932"/>
      <c r="D212" s="932"/>
      <c r="E212" s="932"/>
      <c r="F212" s="932"/>
      <c r="G212" s="932"/>
      <c r="H212" s="932"/>
      <c r="I212" s="932"/>
      <c r="J212" s="932"/>
      <c r="K212" s="932"/>
      <c r="L212" s="932"/>
      <c r="M212" s="932"/>
      <c r="N212" s="932"/>
      <c r="O212" s="932"/>
      <c r="P212" s="932"/>
      <c r="Q212" s="932"/>
      <c r="R212" s="932"/>
      <c r="S212" s="932"/>
      <c r="T212" s="932"/>
      <c r="U212" s="932"/>
      <c r="V212" s="932"/>
      <c r="W212" s="932"/>
      <c r="X212" s="932"/>
      <c r="Y212" s="932"/>
      <c r="Z212" s="932"/>
      <c r="AA212" s="932"/>
      <c r="AB212" s="932"/>
      <c r="AC212" s="932"/>
      <c r="AD212" s="932"/>
      <c r="AE212" s="932"/>
      <c r="AF212" s="932"/>
      <c r="AG212" s="932"/>
      <c r="AH212" s="932"/>
      <c r="AI212" s="932"/>
      <c r="AJ212" s="932"/>
      <c r="AK212" s="932"/>
      <c r="AL212" s="932"/>
      <c r="AM212" s="932"/>
      <c r="AN212" s="932"/>
      <c r="AO212" s="932"/>
      <c r="AP212" s="932"/>
      <c r="AQ212" s="932"/>
      <c r="AR212" s="932"/>
      <c r="AS212" s="932"/>
      <c r="AT212" s="932"/>
      <c r="AU212" s="932"/>
      <c r="AV212" s="932"/>
      <c r="AW212" s="932"/>
      <c r="AX212" s="932"/>
      <c r="AY212" s="932"/>
      <c r="AZ212" s="932"/>
      <c r="BA212" s="932"/>
      <c r="BB212" s="932"/>
      <c r="BC212" s="932"/>
      <c r="BD212" s="932"/>
      <c r="BE212" s="932"/>
      <c r="BF212" s="932"/>
    </row>
    <row r="213" spans="2:58" ht="15" x14ac:dyDescent="0.25">
      <c r="B213" s="932"/>
      <c r="C213" s="932"/>
      <c r="D213" s="932"/>
      <c r="E213" s="932"/>
      <c r="F213" s="932"/>
      <c r="G213" s="932"/>
      <c r="H213" s="932"/>
      <c r="I213" s="932"/>
      <c r="J213" s="932"/>
      <c r="K213" s="932"/>
      <c r="L213" s="932"/>
      <c r="M213" s="932"/>
      <c r="N213" s="932"/>
      <c r="O213" s="932"/>
      <c r="P213" s="932"/>
      <c r="Q213" s="932"/>
      <c r="R213" s="932"/>
      <c r="S213" s="932"/>
      <c r="T213" s="932"/>
      <c r="U213" s="932"/>
      <c r="V213" s="932"/>
      <c r="W213" s="932"/>
      <c r="X213" s="932"/>
      <c r="Y213" s="932"/>
      <c r="Z213" s="932"/>
      <c r="AA213" s="932"/>
      <c r="AB213" s="932"/>
      <c r="AC213" s="932"/>
      <c r="AD213" s="932"/>
      <c r="AE213" s="932"/>
      <c r="AF213" s="932"/>
      <c r="AG213" s="932"/>
      <c r="AH213" s="932"/>
      <c r="AI213" s="932"/>
      <c r="AJ213" s="932"/>
      <c r="AK213" s="932"/>
      <c r="AL213" s="932"/>
      <c r="AM213" s="932"/>
      <c r="AN213" s="932"/>
      <c r="AO213" s="932"/>
      <c r="AP213" s="932"/>
      <c r="AQ213" s="932"/>
      <c r="AR213" s="932"/>
      <c r="AS213" s="932"/>
      <c r="AT213" s="932"/>
      <c r="AU213" s="932"/>
      <c r="AV213" s="932"/>
      <c r="AW213" s="932"/>
      <c r="AX213" s="932"/>
      <c r="AY213" s="932"/>
      <c r="AZ213" s="932"/>
      <c r="BA213" s="932"/>
      <c r="BB213" s="932"/>
      <c r="BC213" s="932"/>
      <c r="BD213" s="932"/>
      <c r="BE213" s="932"/>
      <c r="BF213" s="932"/>
    </row>
    <row r="214" spans="2:58" ht="15" x14ac:dyDescent="0.25">
      <c r="B214" s="932"/>
      <c r="C214" s="932"/>
      <c r="D214" s="932"/>
      <c r="E214" s="932"/>
      <c r="F214" s="932"/>
      <c r="G214" s="932"/>
      <c r="H214" s="932"/>
      <c r="I214" s="932"/>
      <c r="J214" s="932"/>
      <c r="K214" s="932"/>
      <c r="L214" s="932"/>
      <c r="M214" s="932"/>
      <c r="N214" s="932"/>
      <c r="O214" s="932"/>
      <c r="P214" s="932"/>
      <c r="Q214" s="932"/>
      <c r="R214" s="932"/>
      <c r="S214" s="932"/>
      <c r="T214" s="932"/>
      <c r="U214" s="932"/>
      <c r="V214" s="932"/>
      <c r="W214" s="932"/>
      <c r="X214" s="932"/>
      <c r="Y214" s="932"/>
      <c r="Z214" s="932"/>
      <c r="AA214" s="932"/>
      <c r="AB214" s="932"/>
      <c r="AC214" s="932"/>
      <c r="AD214" s="932"/>
      <c r="AE214" s="932"/>
      <c r="AF214" s="932"/>
      <c r="AG214" s="932"/>
      <c r="AH214" s="932"/>
      <c r="AI214" s="932"/>
      <c r="AJ214" s="932"/>
      <c r="AK214" s="932"/>
      <c r="AL214" s="932"/>
      <c r="AM214" s="932"/>
      <c r="AN214" s="932"/>
      <c r="AO214" s="932"/>
      <c r="AP214" s="932"/>
      <c r="AQ214" s="932"/>
      <c r="AR214" s="932"/>
      <c r="AS214" s="932"/>
      <c r="AT214" s="932"/>
      <c r="AU214" s="932"/>
      <c r="AV214" s="932"/>
      <c r="AW214" s="932"/>
      <c r="AX214" s="932"/>
      <c r="AY214" s="932"/>
      <c r="AZ214" s="932"/>
      <c r="BA214" s="932"/>
      <c r="BB214" s="932"/>
      <c r="BC214" s="932"/>
      <c r="BD214" s="932"/>
      <c r="BE214" s="932"/>
      <c r="BF214" s="932"/>
    </row>
    <row r="215" spans="2:58" ht="15" x14ac:dyDescent="0.25">
      <c r="B215" s="932"/>
      <c r="C215" s="932"/>
      <c r="D215" s="932"/>
      <c r="E215" s="932"/>
      <c r="F215" s="932"/>
      <c r="G215" s="932"/>
      <c r="H215" s="932"/>
      <c r="I215" s="932"/>
      <c r="J215" s="932"/>
      <c r="K215" s="932"/>
      <c r="L215" s="932"/>
      <c r="M215" s="932"/>
      <c r="N215" s="932"/>
      <c r="O215" s="932"/>
      <c r="P215" s="932"/>
      <c r="Q215" s="932"/>
      <c r="R215" s="932"/>
      <c r="S215" s="932"/>
      <c r="T215" s="932"/>
      <c r="U215" s="932"/>
      <c r="V215" s="932"/>
      <c r="W215" s="932"/>
      <c r="X215" s="932"/>
      <c r="Y215" s="932"/>
      <c r="Z215" s="932"/>
      <c r="AA215" s="932"/>
      <c r="AB215" s="932"/>
      <c r="AC215" s="932"/>
      <c r="AD215" s="932"/>
      <c r="AE215" s="932"/>
      <c r="AF215" s="932"/>
      <c r="AG215" s="932"/>
      <c r="AH215" s="932"/>
      <c r="AI215" s="932"/>
      <c r="AJ215" s="932"/>
      <c r="AK215" s="932"/>
      <c r="AL215" s="932"/>
      <c r="AM215" s="932"/>
      <c r="AN215" s="932"/>
      <c r="AO215" s="932"/>
      <c r="AP215" s="932"/>
      <c r="AQ215" s="932"/>
      <c r="AR215" s="932"/>
      <c r="AS215" s="932"/>
      <c r="AT215" s="932"/>
      <c r="AU215" s="932"/>
      <c r="AV215" s="932"/>
      <c r="AW215" s="932"/>
      <c r="AX215" s="932"/>
      <c r="AY215" s="932"/>
      <c r="AZ215" s="932"/>
      <c r="BA215" s="932"/>
      <c r="BB215" s="932"/>
      <c r="BC215" s="932"/>
      <c r="BD215" s="932"/>
      <c r="BE215" s="932"/>
      <c r="BF215" s="932"/>
    </row>
    <row r="216" spans="2:58" ht="15" x14ac:dyDescent="0.25">
      <c r="B216" s="932"/>
      <c r="C216" s="932"/>
      <c r="D216" s="932"/>
      <c r="E216" s="932"/>
      <c r="F216" s="932"/>
      <c r="G216" s="932"/>
      <c r="H216" s="932"/>
      <c r="I216" s="932"/>
      <c r="J216" s="932"/>
      <c r="K216" s="932"/>
      <c r="L216" s="932"/>
      <c r="M216" s="932"/>
      <c r="N216" s="932"/>
      <c r="O216" s="932"/>
      <c r="P216" s="932"/>
      <c r="Q216" s="932"/>
      <c r="R216" s="932"/>
      <c r="S216" s="932"/>
      <c r="T216" s="932"/>
      <c r="U216" s="932"/>
      <c r="V216" s="932"/>
      <c r="W216" s="932"/>
      <c r="X216" s="932"/>
      <c r="Y216" s="932"/>
      <c r="Z216" s="932"/>
      <c r="AA216" s="932"/>
      <c r="AB216" s="932"/>
      <c r="AC216" s="932"/>
      <c r="AD216" s="932"/>
      <c r="AE216" s="932"/>
      <c r="AF216" s="932"/>
      <c r="AG216" s="932"/>
      <c r="AH216" s="932"/>
      <c r="AI216" s="932"/>
      <c r="AJ216" s="932"/>
      <c r="AK216" s="932"/>
      <c r="AL216" s="932"/>
      <c r="AM216" s="932"/>
      <c r="AN216" s="932"/>
      <c r="AO216" s="932"/>
      <c r="AP216" s="932"/>
      <c r="AQ216" s="932"/>
      <c r="AR216" s="932"/>
      <c r="AS216" s="932"/>
      <c r="AT216" s="932"/>
      <c r="AU216" s="932"/>
      <c r="AV216" s="932"/>
      <c r="AW216" s="932"/>
      <c r="AX216" s="932"/>
      <c r="AY216" s="932"/>
      <c r="AZ216" s="932"/>
      <c r="BA216" s="932"/>
      <c r="BB216" s="932"/>
      <c r="BC216" s="932"/>
      <c r="BD216" s="932"/>
      <c r="BE216" s="932"/>
      <c r="BF216" s="932"/>
    </row>
    <row r="217" spans="2:58" ht="15" x14ac:dyDescent="0.25">
      <c r="B217" s="932"/>
      <c r="C217" s="932"/>
      <c r="D217" s="932"/>
      <c r="E217" s="932"/>
      <c r="F217" s="932"/>
      <c r="G217" s="932"/>
      <c r="H217" s="932"/>
      <c r="I217" s="932"/>
      <c r="J217" s="932"/>
      <c r="K217" s="932"/>
      <c r="L217" s="932"/>
      <c r="M217" s="932"/>
      <c r="N217" s="932"/>
      <c r="O217" s="932"/>
      <c r="P217" s="932"/>
      <c r="Q217" s="932"/>
      <c r="R217" s="932"/>
      <c r="S217" s="932"/>
      <c r="T217" s="932"/>
      <c r="U217" s="932"/>
      <c r="V217" s="932"/>
      <c r="W217" s="932"/>
      <c r="X217" s="932"/>
      <c r="Y217" s="932"/>
      <c r="Z217" s="932"/>
      <c r="AA217" s="932"/>
      <c r="AB217" s="932"/>
      <c r="AC217" s="932"/>
      <c r="AD217" s="932"/>
      <c r="AE217" s="932"/>
      <c r="AF217" s="932"/>
      <c r="AG217" s="932"/>
      <c r="AH217" s="932"/>
      <c r="AI217" s="932"/>
      <c r="AJ217" s="932"/>
      <c r="AK217" s="932"/>
      <c r="AL217" s="932"/>
      <c r="AM217" s="932"/>
      <c r="AN217" s="932"/>
      <c r="AO217" s="932"/>
      <c r="AP217" s="932"/>
      <c r="AQ217" s="932"/>
      <c r="AR217" s="932"/>
      <c r="AS217" s="932"/>
      <c r="AT217" s="932"/>
      <c r="AU217" s="932"/>
      <c r="AV217" s="932"/>
      <c r="AW217" s="932"/>
      <c r="AX217" s="932"/>
      <c r="AY217" s="932"/>
      <c r="AZ217" s="932"/>
      <c r="BA217" s="932"/>
      <c r="BB217" s="932"/>
      <c r="BC217" s="932"/>
      <c r="BD217" s="932"/>
      <c r="BE217" s="932"/>
      <c r="BF217" s="932"/>
    </row>
    <row r="218" spans="2:58" ht="15" x14ac:dyDescent="0.25">
      <c r="B218" s="932"/>
      <c r="C218" s="932"/>
      <c r="D218" s="932"/>
      <c r="E218" s="932"/>
      <c r="F218" s="932"/>
      <c r="G218" s="932"/>
      <c r="H218" s="932"/>
      <c r="I218" s="932"/>
      <c r="J218" s="932"/>
      <c r="K218" s="932"/>
      <c r="L218" s="932"/>
      <c r="M218" s="932"/>
      <c r="N218" s="932"/>
      <c r="O218" s="932"/>
      <c r="P218" s="932"/>
      <c r="Q218" s="932"/>
      <c r="R218" s="932"/>
      <c r="S218" s="932"/>
      <c r="T218" s="932"/>
      <c r="U218" s="932"/>
      <c r="V218" s="932"/>
      <c r="W218" s="932"/>
      <c r="X218" s="932"/>
      <c r="Y218" s="932"/>
      <c r="Z218" s="932"/>
      <c r="AA218" s="932"/>
      <c r="AB218" s="932"/>
      <c r="AC218" s="932"/>
      <c r="AD218" s="932"/>
      <c r="AE218" s="932"/>
      <c r="AF218" s="932"/>
      <c r="AG218" s="932"/>
      <c r="AH218" s="932"/>
      <c r="AI218" s="932"/>
      <c r="AJ218" s="932"/>
      <c r="AK218" s="932"/>
      <c r="AL218" s="932"/>
      <c r="AM218" s="932"/>
      <c r="AN218" s="932"/>
      <c r="AO218" s="932"/>
      <c r="AP218" s="932"/>
      <c r="AQ218" s="932"/>
      <c r="AR218" s="932"/>
      <c r="AS218" s="932"/>
      <c r="AT218" s="932"/>
      <c r="AU218" s="932"/>
      <c r="AV218" s="932"/>
      <c r="AW218" s="932"/>
      <c r="AX218" s="932"/>
      <c r="AY218" s="932"/>
      <c r="AZ218" s="932"/>
      <c r="BA218" s="932"/>
      <c r="BB218" s="932"/>
      <c r="BC218" s="932"/>
      <c r="BD218" s="932"/>
      <c r="BE218" s="932"/>
      <c r="BF218" s="932"/>
    </row>
    <row r="219" spans="2:58" ht="15" x14ac:dyDescent="0.25">
      <c r="B219" s="932"/>
      <c r="C219" s="932"/>
      <c r="D219" s="932"/>
      <c r="E219" s="932"/>
      <c r="F219" s="932"/>
      <c r="G219" s="932"/>
      <c r="H219" s="932"/>
      <c r="I219" s="932"/>
      <c r="J219" s="932"/>
      <c r="K219" s="932"/>
      <c r="L219" s="932"/>
      <c r="M219" s="932"/>
      <c r="N219" s="932"/>
      <c r="O219" s="932"/>
      <c r="P219" s="932"/>
      <c r="Q219" s="932"/>
      <c r="R219" s="932"/>
      <c r="S219" s="932"/>
      <c r="T219" s="932"/>
      <c r="U219" s="932"/>
      <c r="V219" s="932"/>
      <c r="W219" s="932"/>
      <c r="X219" s="932"/>
      <c r="Y219" s="932"/>
      <c r="Z219" s="932"/>
      <c r="AA219" s="932"/>
      <c r="AB219" s="932"/>
      <c r="AC219" s="932"/>
      <c r="AD219" s="932"/>
      <c r="AE219" s="932"/>
      <c r="AF219" s="932"/>
      <c r="AG219" s="932"/>
      <c r="AH219" s="932"/>
      <c r="AI219" s="932"/>
      <c r="AJ219" s="932"/>
      <c r="AK219" s="932"/>
      <c r="AL219" s="932"/>
      <c r="AM219" s="932"/>
      <c r="AN219" s="932"/>
      <c r="AO219" s="932"/>
      <c r="AP219" s="932"/>
      <c r="AQ219" s="932"/>
      <c r="AR219" s="932"/>
      <c r="AS219" s="932"/>
      <c r="AT219" s="932"/>
      <c r="AU219" s="932"/>
      <c r="AV219" s="932"/>
      <c r="AW219" s="932"/>
      <c r="AX219" s="932"/>
      <c r="AY219" s="932"/>
      <c r="AZ219" s="932"/>
      <c r="BA219" s="932"/>
      <c r="BB219" s="932"/>
      <c r="BC219" s="932"/>
      <c r="BD219" s="932"/>
      <c r="BE219" s="932"/>
      <c r="BF219" s="932"/>
    </row>
    <row r="220" spans="2:58" ht="15" x14ac:dyDescent="0.25">
      <c r="B220" s="932"/>
      <c r="C220" s="932"/>
      <c r="D220" s="932"/>
      <c r="E220" s="932"/>
      <c r="F220" s="932"/>
      <c r="G220" s="932"/>
      <c r="H220" s="932"/>
      <c r="I220" s="932"/>
      <c r="J220" s="932"/>
      <c r="K220" s="932"/>
      <c r="L220" s="932"/>
      <c r="M220" s="932"/>
      <c r="N220" s="932"/>
      <c r="O220" s="932"/>
      <c r="P220" s="932"/>
      <c r="Q220" s="932"/>
      <c r="R220" s="932"/>
      <c r="S220" s="932"/>
      <c r="T220" s="932"/>
      <c r="U220" s="932"/>
      <c r="V220" s="932"/>
      <c r="W220" s="932"/>
      <c r="X220" s="932"/>
      <c r="Y220" s="932"/>
      <c r="Z220" s="932"/>
      <c r="AA220" s="932"/>
      <c r="AB220" s="932"/>
      <c r="AC220" s="932"/>
      <c r="AD220" s="932"/>
      <c r="AE220" s="932"/>
      <c r="AF220" s="932"/>
      <c r="AG220" s="932"/>
      <c r="AH220" s="932"/>
      <c r="AI220" s="932"/>
      <c r="AJ220" s="932"/>
      <c r="AK220" s="932"/>
      <c r="AL220" s="932"/>
      <c r="AM220" s="932"/>
      <c r="AN220" s="932"/>
      <c r="AO220" s="932"/>
      <c r="AP220" s="932"/>
      <c r="AQ220" s="932"/>
      <c r="AR220" s="932"/>
      <c r="AS220" s="932"/>
      <c r="AT220" s="932"/>
      <c r="AU220" s="932"/>
      <c r="AV220" s="932"/>
      <c r="AW220" s="932"/>
      <c r="AX220" s="932"/>
      <c r="AY220" s="932"/>
      <c r="AZ220" s="932"/>
      <c r="BA220" s="932"/>
      <c r="BB220" s="932"/>
      <c r="BC220" s="932"/>
      <c r="BD220" s="932"/>
      <c r="BE220" s="932"/>
      <c r="BF220" s="932"/>
    </row>
    <row r="221" spans="2:58" ht="15" x14ac:dyDescent="0.25">
      <c r="B221" s="932"/>
      <c r="C221" s="932"/>
      <c r="D221" s="932"/>
      <c r="E221" s="932"/>
      <c r="F221" s="932"/>
      <c r="G221" s="932"/>
      <c r="H221" s="932"/>
      <c r="I221" s="932"/>
      <c r="J221" s="932"/>
      <c r="K221" s="932"/>
      <c r="L221" s="932"/>
      <c r="M221" s="932"/>
      <c r="N221" s="932"/>
      <c r="O221" s="932"/>
      <c r="P221" s="932"/>
      <c r="Q221" s="932"/>
      <c r="R221" s="932"/>
      <c r="S221" s="932"/>
      <c r="T221" s="932"/>
      <c r="U221" s="932"/>
      <c r="V221" s="932"/>
      <c r="W221" s="932"/>
      <c r="X221" s="932"/>
      <c r="Y221" s="932"/>
      <c r="Z221" s="932"/>
      <c r="AA221" s="932"/>
      <c r="AB221" s="932"/>
      <c r="AC221" s="932"/>
      <c r="AD221" s="932"/>
      <c r="AE221" s="932"/>
      <c r="AF221" s="932"/>
      <c r="AG221" s="932"/>
      <c r="AH221" s="932"/>
      <c r="AI221" s="932"/>
      <c r="AJ221" s="932"/>
      <c r="AK221" s="932"/>
      <c r="AL221" s="932"/>
      <c r="AM221" s="932"/>
      <c r="AN221" s="932"/>
      <c r="AO221" s="932"/>
      <c r="AP221" s="932"/>
      <c r="AQ221" s="932"/>
      <c r="AR221" s="932"/>
      <c r="AS221" s="932"/>
      <c r="AT221" s="932"/>
      <c r="AU221" s="932"/>
      <c r="AV221" s="932"/>
      <c r="AW221" s="932"/>
      <c r="AX221" s="932"/>
      <c r="AY221" s="932"/>
      <c r="AZ221" s="932"/>
      <c r="BA221" s="932"/>
      <c r="BB221" s="932"/>
      <c r="BC221" s="932"/>
      <c r="BD221" s="932"/>
      <c r="BE221" s="932"/>
      <c r="BF221" s="932"/>
    </row>
    <row r="222" spans="2:58" ht="15" x14ac:dyDescent="0.25">
      <c r="B222" s="932"/>
      <c r="C222" s="932"/>
      <c r="D222" s="932"/>
      <c r="E222" s="932"/>
      <c r="F222" s="932"/>
      <c r="G222" s="932"/>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c r="AG222" s="932"/>
      <c r="AH222" s="932"/>
      <c r="AI222" s="932"/>
      <c r="AJ222" s="932"/>
      <c r="AK222" s="932"/>
      <c r="AL222" s="932"/>
      <c r="AM222" s="932"/>
      <c r="AN222" s="932"/>
      <c r="AO222" s="932"/>
      <c r="AP222" s="932"/>
      <c r="AQ222" s="932"/>
      <c r="AR222" s="932"/>
      <c r="AS222" s="932"/>
      <c r="AT222" s="932"/>
      <c r="AU222" s="932"/>
      <c r="AV222" s="932"/>
      <c r="AW222" s="932"/>
      <c r="AX222" s="932"/>
      <c r="AY222" s="932"/>
      <c r="AZ222" s="932"/>
      <c r="BA222" s="932"/>
      <c r="BB222" s="932"/>
      <c r="BC222" s="932"/>
      <c r="BD222" s="932"/>
      <c r="BE222" s="932"/>
      <c r="BF222" s="932"/>
    </row>
    <row r="223" spans="2:58" ht="15" x14ac:dyDescent="0.25">
      <c r="B223" s="932"/>
      <c r="C223" s="932"/>
      <c r="D223" s="932"/>
      <c r="E223" s="932"/>
      <c r="F223" s="932"/>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c r="AG223" s="932"/>
      <c r="AH223" s="932"/>
      <c r="AI223" s="932"/>
      <c r="AJ223" s="932"/>
      <c r="AK223" s="932"/>
      <c r="AL223" s="932"/>
      <c r="AM223" s="932"/>
      <c r="AN223" s="932"/>
      <c r="AO223" s="932"/>
      <c r="AP223" s="932"/>
      <c r="AQ223" s="932"/>
      <c r="AR223" s="932"/>
      <c r="AS223" s="932"/>
      <c r="AT223" s="932"/>
      <c r="AU223" s="932"/>
      <c r="AV223" s="932"/>
      <c r="AW223" s="932"/>
      <c r="AX223" s="932"/>
      <c r="AY223" s="932"/>
      <c r="AZ223" s="932"/>
      <c r="BA223" s="932"/>
      <c r="BB223" s="932"/>
      <c r="BC223" s="932"/>
      <c r="BD223" s="932"/>
      <c r="BE223" s="932"/>
      <c r="BF223" s="932"/>
    </row>
    <row r="224" spans="2:58" ht="15" x14ac:dyDescent="0.25">
      <c r="B224" s="932"/>
      <c r="C224" s="932"/>
      <c r="D224" s="932"/>
      <c r="E224" s="932"/>
      <c r="F224" s="932"/>
      <c r="G224" s="932"/>
      <c r="H224" s="932"/>
      <c r="I224" s="932"/>
      <c r="J224" s="932"/>
      <c r="K224" s="932"/>
      <c r="L224" s="932"/>
      <c r="M224" s="932"/>
      <c r="N224" s="932"/>
      <c r="O224" s="932"/>
      <c r="P224" s="932"/>
      <c r="Q224" s="932"/>
      <c r="R224" s="932"/>
      <c r="S224" s="932"/>
      <c r="T224" s="932"/>
      <c r="U224" s="932"/>
      <c r="V224" s="932"/>
      <c r="W224" s="932"/>
      <c r="X224" s="932"/>
      <c r="Y224" s="932"/>
      <c r="Z224" s="932"/>
      <c r="AA224" s="932"/>
      <c r="AB224" s="932"/>
      <c r="AC224" s="932"/>
      <c r="AD224" s="932"/>
      <c r="AE224" s="932"/>
      <c r="AF224" s="932"/>
      <c r="AG224" s="932"/>
      <c r="AH224" s="932"/>
      <c r="AI224" s="932"/>
      <c r="AJ224" s="932"/>
      <c r="AK224" s="932"/>
      <c r="AL224" s="932"/>
      <c r="AM224" s="932"/>
      <c r="AN224" s="932"/>
      <c r="AO224" s="932"/>
      <c r="AP224" s="932"/>
      <c r="AQ224" s="932"/>
      <c r="AR224" s="932"/>
      <c r="AS224" s="932"/>
      <c r="AT224" s="932"/>
      <c r="AU224" s="932"/>
      <c r="AV224" s="932"/>
      <c r="AW224" s="932"/>
      <c r="AX224" s="932"/>
      <c r="AY224" s="932"/>
      <c r="AZ224" s="932"/>
      <c r="BA224" s="932"/>
      <c r="BB224" s="932"/>
      <c r="BC224" s="932"/>
      <c r="BD224" s="932"/>
      <c r="BE224" s="932"/>
      <c r="BF224" s="932"/>
    </row>
    <row r="225" spans="2:58" ht="15" x14ac:dyDescent="0.25">
      <c r="B225" s="932"/>
      <c r="C225" s="932"/>
      <c r="D225" s="932"/>
      <c r="E225" s="932"/>
      <c r="F225" s="932"/>
      <c r="G225" s="932"/>
      <c r="H225" s="932"/>
      <c r="I225" s="932"/>
      <c r="J225" s="932"/>
      <c r="K225" s="932"/>
      <c r="L225" s="932"/>
      <c r="M225" s="932"/>
      <c r="N225" s="932"/>
      <c r="O225" s="932"/>
      <c r="P225" s="932"/>
      <c r="Q225" s="932"/>
      <c r="R225" s="932"/>
      <c r="S225" s="932"/>
      <c r="T225" s="932"/>
      <c r="U225" s="932"/>
      <c r="V225" s="932"/>
      <c r="W225" s="932"/>
      <c r="X225" s="932"/>
      <c r="Y225" s="932"/>
      <c r="Z225" s="932"/>
      <c r="AA225" s="932"/>
      <c r="AB225" s="932"/>
      <c r="AC225" s="932"/>
      <c r="AD225" s="932"/>
      <c r="AE225" s="932"/>
      <c r="AF225" s="932"/>
      <c r="AG225" s="932"/>
      <c r="AH225" s="932"/>
      <c r="AI225" s="932"/>
      <c r="AJ225" s="932"/>
      <c r="AK225" s="932"/>
      <c r="AL225" s="932"/>
      <c r="AM225" s="932"/>
      <c r="AN225" s="932"/>
      <c r="AO225" s="932"/>
      <c r="AP225" s="932"/>
      <c r="AQ225" s="932"/>
      <c r="AR225" s="932"/>
      <c r="AS225" s="932"/>
      <c r="AT225" s="932"/>
      <c r="AU225" s="932"/>
      <c r="AV225" s="932"/>
      <c r="AW225" s="932"/>
      <c r="AX225" s="932"/>
      <c r="AY225" s="932"/>
      <c r="AZ225" s="932"/>
      <c r="BA225" s="932"/>
      <c r="BB225" s="932"/>
      <c r="BC225" s="932"/>
      <c r="BD225" s="932"/>
      <c r="BE225" s="932"/>
      <c r="BF225" s="932"/>
    </row>
    <row r="226" spans="2:58" ht="15" x14ac:dyDescent="0.25">
      <c r="B226" s="932"/>
      <c r="C226" s="932"/>
      <c r="D226" s="932"/>
      <c r="E226" s="932"/>
      <c r="F226" s="932"/>
      <c r="G226" s="932"/>
      <c r="H226" s="932"/>
      <c r="I226" s="932"/>
      <c r="J226" s="932"/>
      <c r="K226" s="932"/>
      <c r="L226" s="932"/>
      <c r="M226" s="932"/>
      <c r="N226" s="932"/>
      <c r="O226" s="932"/>
      <c r="P226" s="932"/>
      <c r="Q226" s="932"/>
      <c r="R226" s="932"/>
      <c r="S226" s="932"/>
      <c r="T226" s="932"/>
      <c r="U226" s="932"/>
      <c r="V226" s="932"/>
      <c r="W226" s="932"/>
      <c r="X226" s="932"/>
      <c r="Y226" s="932"/>
      <c r="Z226" s="932"/>
      <c r="AA226" s="932"/>
      <c r="AB226" s="932"/>
      <c r="AC226" s="932"/>
      <c r="AD226" s="932"/>
      <c r="AE226" s="932"/>
      <c r="AF226" s="932"/>
      <c r="AG226" s="932"/>
      <c r="AH226" s="932"/>
      <c r="AI226" s="932"/>
      <c r="AJ226" s="932"/>
      <c r="AK226" s="932"/>
      <c r="AL226" s="932"/>
      <c r="AM226" s="932"/>
      <c r="AN226" s="932"/>
      <c r="AO226" s="932"/>
      <c r="AP226" s="932"/>
      <c r="AQ226" s="932"/>
      <c r="AR226" s="932"/>
      <c r="AS226" s="932"/>
      <c r="AT226" s="932"/>
      <c r="AU226" s="932"/>
      <c r="AV226" s="932"/>
      <c r="AW226" s="932"/>
      <c r="AX226" s="932"/>
      <c r="AY226" s="932"/>
      <c r="AZ226" s="932"/>
      <c r="BA226" s="932"/>
      <c r="BB226" s="932"/>
      <c r="BC226" s="932"/>
      <c r="BD226" s="932"/>
      <c r="BE226" s="932"/>
      <c r="BF226" s="932"/>
    </row>
    <row r="227" spans="2:58" ht="15" x14ac:dyDescent="0.25">
      <c r="B227" s="932"/>
      <c r="C227" s="932"/>
      <c r="D227" s="932"/>
      <c r="E227" s="932"/>
      <c r="F227" s="932"/>
      <c r="G227" s="932"/>
      <c r="H227" s="932"/>
      <c r="I227" s="932"/>
      <c r="J227" s="932"/>
      <c r="K227" s="932"/>
      <c r="L227" s="932"/>
      <c r="M227" s="932"/>
      <c r="N227" s="932"/>
      <c r="O227" s="932"/>
      <c r="P227" s="932"/>
      <c r="Q227" s="932"/>
      <c r="R227" s="932"/>
      <c r="S227" s="932"/>
      <c r="T227" s="932"/>
      <c r="U227" s="932"/>
      <c r="V227" s="932"/>
      <c r="W227" s="932"/>
      <c r="X227" s="932"/>
      <c r="Y227" s="932"/>
      <c r="Z227" s="932"/>
      <c r="AA227" s="932"/>
      <c r="AB227" s="932"/>
      <c r="AC227" s="932"/>
      <c r="AD227" s="932"/>
      <c r="AE227" s="932"/>
      <c r="AF227" s="932"/>
      <c r="AG227" s="932"/>
      <c r="AH227" s="932"/>
      <c r="AI227" s="932"/>
      <c r="AJ227" s="932"/>
      <c r="AK227" s="932"/>
      <c r="AL227" s="932"/>
      <c r="AM227" s="932"/>
      <c r="AN227" s="932"/>
      <c r="AO227" s="932"/>
      <c r="AP227" s="932"/>
      <c r="AQ227" s="932"/>
      <c r="AR227" s="932"/>
      <c r="AS227" s="932"/>
      <c r="AT227" s="932"/>
      <c r="AU227" s="932"/>
      <c r="AV227" s="932"/>
      <c r="AW227" s="932"/>
      <c r="AX227" s="932"/>
      <c r="AY227" s="932"/>
      <c r="AZ227" s="932"/>
      <c r="BA227" s="932"/>
      <c r="BB227" s="932"/>
      <c r="BC227" s="932"/>
      <c r="BD227" s="932"/>
      <c r="BE227" s="932"/>
      <c r="BF227" s="932"/>
    </row>
    <row r="228" spans="2:58" ht="15" x14ac:dyDescent="0.25">
      <c r="B228" s="932"/>
      <c r="C228" s="932"/>
      <c r="D228" s="932"/>
      <c r="E228" s="932"/>
      <c r="F228" s="932"/>
      <c r="G228" s="932"/>
      <c r="H228" s="932"/>
      <c r="I228" s="932"/>
      <c r="J228" s="932"/>
      <c r="K228" s="932"/>
      <c r="L228" s="932"/>
      <c r="M228" s="932"/>
      <c r="N228" s="932"/>
      <c r="O228" s="932"/>
      <c r="P228" s="932"/>
      <c r="Q228" s="932"/>
      <c r="R228" s="932"/>
      <c r="S228" s="932"/>
      <c r="T228" s="932"/>
      <c r="U228" s="932"/>
      <c r="V228" s="932"/>
      <c r="W228" s="932"/>
      <c r="X228" s="932"/>
      <c r="Y228" s="932"/>
      <c r="Z228" s="932"/>
      <c r="AA228" s="932"/>
      <c r="AB228" s="932"/>
      <c r="AC228" s="932"/>
      <c r="AD228" s="932"/>
      <c r="AE228" s="932"/>
      <c r="AF228" s="932"/>
      <c r="AG228" s="932"/>
      <c r="AH228" s="932"/>
      <c r="AI228" s="932"/>
      <c r="AJ228" s="932"/>
      <c r="AK228" s="932"/>
      <c r="AL228" s="932"/>
      <c r="AM228" s="932"/>
      <c r="AN228" s="932"/>
      <c r="AO228" s="932"/>
      <c r="AP228" s="932"/>
      <c r="AQ228" s="932"/>
      <c r="AR228" s="932"/>
      <c r="AS228" s="932"/>
      <c r="AT228" s="932"/>
      <c r="AU228" s="932"/>
      <c r="AV228" s="932"/>
      <c r="AW228" s="932"/>
      <c r="AX228" s="932"/>
      <c r="AY228" s="932"/>
      <c r="AZ228" s="932"/>
      <c r="BA228" s="932"/>
      <c r="BB228" s="932"/>
      <c r="BC228" s="932"/>
      <c r="BD228" s="932"/>
      <c r="BE228" s="932"/>
      <c r="BF228" s="932"/>
    </row>
    <row r="229" spans="2:58" ht="15" x14ac:dyDescent="0.25">
      <c r="B229" s="932"/>
      <c r="C229" s="932"/>
      <c r="D229" s="932"/>
      <c r="E229" s="932"/>
      <c r="F229" s="932"/>
      <c r="G229" s="932"/>
      <c r="H229" s="932"/>
      <c r="I229" s="932"/>
      <c r="J229" s="932"/>
      <c r="K229" s="932"/>
      <c r="L229" s="932"/>
      <c r="M229" s="932"/>
      <c r="N229" s="932"/>
      <c r="O229" s="932"/>
      <c r="P229" s="932"/>
      <c r="Q229" s="932"/>
      <c r="R229" s="932"/>
      <c r="S229" s="932"/>
      <c r="T229" s="932"/>
      <c r="U229" s="932"/>
      <c r="V229" s="932"/>
      <c r="W229" s="932"/>
      <c r="X229" s="932"/>
      <c r="Y229" s="932"/>
      <c r="Z229" s="932"/>
      <c r="AA229" s="932"/>
      <c r="AB229" s="932"/>
      <c r="AC229" s="932"/>
      <c r="AD229" s="932"/>
      <c r="AE229" s="932"/>
      <c r="AF229" s="932"/>
      <c r="AG229" s="932"/>
      <c r="AH229" s="932"/>
      <c r="AI229" s="932"/>
      <c r="AJ229" s="932"/>
      <c r="AK229" s="932"/>
      <c r="AL229" s="932"/>
      <c r="AM229" s="932"/>
      <c r="AN229" s="932"/>
      <c r="AO229" s="932"/>
      <c r="AP229" s="932"/>
      <c r="AQ229" s="932"/>
      <c r="AR229" s="932"/>
      <c r="AS229" s="932"/>
      <c r="AT229" s="932"/>
      <c r="AU229" s="932"/>
      <c r="AV229" s="932"/>
      <c r="AW229" s="932"/>
      <c r="AX229" s="932"/>
      <c r="AY229" s="932"/>
      <c r="AZ229" s="932"/>
      <c r="BA229" s="932"/>
      <c r="BB229" s="932"/>
      <c r="BC229" s="932"/>
      <c r="BD229" s="932"/>
      <c r="BE229" s="932"/>
      <c r="BF229" s="932"/>
    </row>
    <row r="230" spans="2:58" ht="15" x14ac:dyDescent="0.25">
      <c r="B230" s="932"/>
      <c r="C230" s="932"/>
      <c r="D230" s="932"/>
      <c r="E230" s="932"/>
      <c r="F230" s="932"/>
      <c r="G230" s="932"/>
      <c r="H230" s="932"/>
      <c r="I230" s="932"/>
      <c r="J230" s="932"/>
      <c r="K230" s="932"/>
      <c r="L230" s="932"/>
      <c r="M230" s="932"/>
      <c r="N230" s="932"/>
      <c r="O230" s="932"/>
      <c r="P230" s="932"/>
      <c r="Q230" s="932"/>
      <c r="R230" s="932"/>
      <c r="S230" s="932"/>
      <c r="T230" s="932"/>
      <c r="U230" s="932"/>
      <c r="V230" s="932"/>
      <c r="W230" s="932"/>
      <c r="X230" s="932"/>
      <c r="Y230" s="932"/>
      <c r="Z230" s="932"/>
      <c r="AA230" s="932"/>
      <c r="AB230" s="932"/>
      <c r="AC230" s="932"/>
      <c r="AD230" s="932"/>
      <c r="AE230" s="932"/>
      <c r="AF230" s="932"/>
      <c r="AG230" s="932"/>
      <c r="AH230" s="932"/>
      <c r="AI230" s="932"/>
      <c r="AJ230" s="932"/>
      <c r="AK230" s="932"/>
      <c r="AL230" s="932"/>
      <c r="AM230" s="932"/>
      <c r="AN230" s="932"/>
      <c r="AO230" s="932"/>
      <c r="AP230" s="932"/>
      <c r="AQ230" s="932"/>
      <c r="AR230" s="932"/>
      <c r="AS230" s="932"/>
      <c r="AT230" s="932"/>
      <c r="AU230" s="932"/>
      <c r="AV230" s="932"/>
      <c r="AW230" s="932"/>
      <c r="AX230" s="932"/>
      <c r="AY230" s="932"/>
      <c r="AZ230" s="932"/>
      <c r="BA230" s="932"/>
      <c r="BB230" s="932"/>
      <c r="BC230" s="932"/>
      <c r="BD230" s="932"/>
      <c r="BE230" s="932"/>
      <c r="BF230" s="932"/>
    </row>
    <row r="231" spans="2:58" ht="15" x14ac:dyDescent="0.25">
      <c r="B231" s="932"/>
      <c r="C231" s="932"/>
      <c r="D231" s="932"/>
      <c r="E231" s="932"/>
      <c r="F231" s="932"/>
      <c r="G231" s="932"/>
      <c r="H231" s="932"/>
      <c r="I231" s="932"/>
      <c r="J231" s="932"/>
      <c r="K231" s="932"/>
      <c r="L231" s="932"/>
      <c r="M231" s="932"/>
      <c r="N231" s="932"/>
      <c r="O231" s="932"/>
      <c r="P231" s="932"/>
      <c r="Q231" s="932"/>
      <c r="R231" s="932"/>
      <c r="S231" s="932"/>
      <c r="T231" s="932"/>
      <c r="U231" s="932"/>
      <c r="V231" s="932"/>
      <c r="W231" s="932"/>
      <c r="X231" s="932"/>
      <c r="Y231" s="932"/>
      <c r="Z231" s="932"/>
      <c r="AA231" s="932"/>
      <c r="AB231" s="932"/>
      <c r="AC231" s="932"/>
      <c r="AD231" s="932"/>
      <c r="AE231" s="932"/>
      <c r="AF231" s="932"/>
      <c r="AG231" s="932"/>
      <c r="AH231" s="932"/>
      <c r="AI231" s="932"/>
      <c r="AJ231" s="932"/>
      <c r="AK231" s="932"/>
      <c r="AL231" s="932"/>
      <c r="AM231" s="932"/>
      <c r="AN231" s="932"/>
      <c r="AO231" s="932"/>
      <c r="AP231" s="932"/>
      <c r="AQ231" s="932"/>
      <c r="AR231" s="932"/>
      <c r="AS231" s="932"/>
      <c r="AT231" s="932"/>
      <c r="AU231" s="932"/>
      <c r="AV231" s="932"/>
      <c r="AW231" s="932"/>
      <c r="AX231" s="932"/>
      <c r="AY231" s="932"/>
      <c r="AZ231" s="932"/>
      <c r="BA231" s="932"/>
      <c r="BB231" s="932"/>
      <c r="BC231" s="932"/>
      <c r="BD231" s="932"/>
      <c r="BE231" s="932"/>
      <c r="BF231" s="932"/>
    </row>
    <row r="232" spans="2:58" ht="15" x14ac:dyDescent="0.25">
      <c r="B232" s="932"/>
      <c r="C232" s="932"/>
      <c r="D232" s="932"/>
      <c r="E232" s="932"/>
      <c r="F232" s="932"/>
      <c r="G232" s="932"/>
      <c r="H232" s="932"/>
      <c r="I232" s="932"/>
      <c r="J232" s="932"/>
      <c r="K232" s="932"/>
      <c r="L232" s="932"/>
      <c r="M232" s="932"/>
      <c r="N232" s="932"/>
      <c r="O232" s="932"/>
      <c r="P232" s="932"/>
      <c r="Q232" s="932"/>
      <c r="R232" s="932"/>
      <c r="S232" s="932"/>
      <c r="T232" s="932"/>
      <c r="U232" s="932"/>
      <c r="V232" s="932"/>
      <c r="W232" s="932"/>
      <c r="X232" s="932"/>
      <c r="Y232" s="932"/>
      <c r="Z232" s="932"/>
      <c r="AA232" s="932"/>
      <c r="AB232" s="932"/>
      <c r="AC232" s="932"/>
      <c r="AD232" s="932"/>
      <c r="AE232" s="932"/>
      <c r="AF232" s="932"/>
      <c r="AG232" s="932"/>
      <c r="AH232" s="932"/>
      <c r="AI232" s="932"/>
      <c r="AJ232" s="932"/>
      <c r="AK232" s="932"/>
      <c r="AL232" s="932"/>
      <c r="AM232" s="932"/>
      <c r="AN232" s="932"/>
      <c r="AO232" s="932"/>
      <c r="AP232" s="932"/>
      <c r="AQ232" s="932"/>
      <c r="AR232" s="932"/>
      <c r="AS232" s="932"/>
      <c r="AT232" s="932"/>
      <c r="AU232" s="932"/>
      <c r="AV232" s="932"/>
      <c r="AW232" s="932"/>
      <c r="AX232" s="932"/>
      <c r="AY232" s="932"/>
      <c r="AZ232" s="932"/>
      <c r="BA232" s="932"/>
      <c r="BB232" s="932"/>
      <c r="BC232" s="932"/>
      <c r="BD232" s="932"/>
      <c r="BE232" s="932"/>
      <c r="BF232" s="932"/>
    </row>
    <row r="233" spans="2:58" ht="15" x14ac:dyDescent="0.25">
      <c r="B233" s="932"/>
      <c r="C233" s="932"/>
      <c r="D233" s="932"/>
      <c r="E233" s="932"/>
      <c r="F233" s="932"/>
      <c r="G233" s="932"/>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c r="AG233" s="932"/>
      <c r="AH233" s="932"/>
      <c r="AI233" s="932"/>
      <c r="AJ233" s="932"/>
      <c r="AK233" s="932"/>
      <c r="AL233" s="932"/>
      <c r="AM233" s="932"/>
      <c r="AN233" s="932"/>
      <c r="AO233" s="932"/>
      <c r="AP233" s="932"/>
      <c r="AQ233" s="932"/>
      <c r="AR233" s="932"/>
      <c r="AS233" s="932"/>
      <c r="AT233" s="932"/>
      <c r="AU233" s="932"/>
      <c r="AV233" s="932"/>
      <c r="AW233" s="932"/>
      <c r="AX233" s="932"/>
      <c r="AY233" s="932"/>
      <c r="AZ233" s="932"/>
      <c r="BA233" s="932"/>
      <c r="BB233" s="932"/>
      <c r="BC233" s="932"/>
      <c r="BD233" s="932"/>
      <c r="BE233" s="932"/>
      <c r="BF233" s="932"/>
    </row>
    <row r="234" spans="2:58" ht="15" x14ac:dyDescent="0.25">
      <c r="B234" s="932"/>
      <c r="C234" s="932"/>
      <c r="D234" s="932"/>
      <c r="E234" s="932"/>
      <c r="F234" s="932"/>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c r="AG234" s="932"/>
      <c r="AH234" s="932"/>
      <c r="AI234" s="932"/>
      <c r="AJ234" s="932"/>
      <c r="AK234" s="932"/>
      <c r="AL234" s="932"/>
      <c r="AM234" s="932"/>
      <c r="AN234" s="932"/>
      <c r="AO234" s="932"/>
      <c r="AP234" s="932"/>
      <c r="AQ234" s="932"/>
      <c r="AR234" s="932"/>
      <c r="AS234" s="932"/>
      <c r="AT234" s="932"/>
      <c r="AU234" s="932"/>
      <c r="AV234" s="932"/>
      <c r="AW234" s="932"/>
      <c r="AX234" s="932"/>
      <c r="AY234" s="932"/>
      <c r="AZ234" s="932"/>
      <c r="BA234" s="932"/>
      <c r="BB234" s="932"/>
      <c r="BC234" s="932"/>
      <c r="BD234" s="932"/>
      <c r="BE234" s="932"/>
      <c r="BF234" s="932"/>
    </row>
    <row r="235" spans="2:58" ht="15" x14ac:dyDescent="0.25">
      <c r="B235" s="932"/>
      <c r="C235" s="932"/>
      <c r="D235" s="932"/>
      <c r="E235" s="932"/>
      <c r="F235" s="932"/>
      <c r="G235" s="932"/>
      <c r="H235" s="932"/>
      <c r="I235" s="932"/>
      <c r="J235" s="932"/>
      <c r="K235" s="932"/>
      <c r="L235" s="932"/>
      <c r="M235" s="932"/>
      <c r="N235" s="932"/>
      <c r="O235" s="932"/>
      <c r="P235" s="932"/>
      <c r="Q235" s="932"/>
      <c r="R235" s="932"/>
      <c r="S235" s="932"/>
      <c r="T235" s="932"/>
      <c r="U235" s="932"/>
      <c r="V235" s="932"/>
      <c r="W235" s="932"/>
      <c r="X235" s="932"/>
      <c r="Y235" s="932"/>
      <c r="Z235" s="932"/>
      <c r="AA235" s="932"/>
      <c r="AB235" s="932"/>
      <c r="AC235" s="932"/>
      <c r="AD235" s="932"/>
      <c r="AE235" s="932"/>
      <c r="AF235" s="932"/>
      <c r="AG235" s="932"/>
      <c r="AH235" s="932"/>
      <c r="AI235" s="932"/>
      <c r="AJ235" s="932"/>
      <c r="AK235" s="932"/>
      <c r="AL235" s="932"/>
      <c r="AM235" s="932"/>
      <c r="AN235" s="932"/>
      <c r="AO235" s="932"/>
      <c r="AP235" s="932"/>
      <c r="AQ235" s="932"/>
      <c r="AR235" s="932"/>
      <c r="AS235" s="932"/>
      <c r="AT235" s="932"/>
      <c r="AU235" s="932"/>
      <c r="AV235" s="932"/>
      <c r="AW235" s="932"/>
      <c r="AX235" s="932"/>
      <c r="AY235" s="932"/>
      <c r="AZ235" s="932"/>
      <c r="BA235" s="932"/>
      <c r="BB235" s="932"/>
      <c r="BC235" s="932"/>
      <c r="BD235" s="932"/>
      <c r="BE235" s="932"/>
      <c r="BF235" s="932"/>
    </row>
    <row r="236" spans="2:58" ht="15" x14ac:dyDescent="0.25">
      <c r="B236" s="932"/>
      <c r="C236" s="932"/>
      <c r="D236" s="932"/>
      <c r="E236" s="932"/>
      <c r="F236" s="932"/>
      <c r="G236" s="932"/>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c r="AG236" s="932"/>
      <c r="AH236" s="932"/>
      <c r="AI236" s="932"/>
      <c r="AJ236" s="932"/>
      <c r="AK236" s="932"/>
      <c r="AL236" s="932"/>
      <c r="AM236" s="932"/>
      <c r="AN236" s="932"/>
      <c r="AO236" s="932"/>
      <c r="AP236" s="932"/>
      <c r="AQ236" s="932"/>
      <c r="AR236" s="932"/>
      <c r="AS236" s="932"/>
      <c r="AT236" s="932"/>
      <c r="AU236" s="932"/>
      <c r="AV236" s="932"/>
      <c r="AW236" s="932"/>
      <c r="AX236" s="932"/>
      <c r="AY236" s="932"/>
      <c r="AZ236" s="932"/>
      <c r="BA236" s="932"/>
      <c r="BB236" s="932"/>
      <c r="BC236" s="932"/>
      <c r="BD236" s="932"/>
      <c r="BE236" s="932"/>
      <c r="BF236" s="932"/>
    </row>
    <row r="237" spans="2:58" ht="15" x14ac:dyDescent="0.25">
      <c r="B237" s="932"/>
      <c r="C237" s="932"/>
      <c r="D237" s="932"/>
      <c r="E237" s="932"/>
      <c r="F237" s="932"/>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c r="AG237" s="932"/>
      <c r="AH237" s="932"/>
      <c r="AI237" s="932"/>
      <c r="AJ237" s="932"/>
      <c r="AK237" s="932"/>
      <c r="AL237" s="932"/>
      <c r="AM237" s="932"/>
      <c r="AN237" s="932"/>
      <c r="AO237" s="932"/>
      <c r="AP237" s="932"/>
      <c r="AQ237" s="932"/>
      <c r="AR237" s="932"/>
      <c r="AS237" s="932"/>
      <c r="AT237" s="932"/>
      <c r="AU237" s="932"/>
      <c r="AV237" s="932"/>
      <c r="AW237" s="932"/>
      <c r="AX237" s="932"/>
      <c r="AY237" s="932"/>
      <c r="AZ237" s="932"/>
      <c r="BA237" s="932"/>
      <c r="BB237" s="932"/>
      <c r="BC237" s="932"/>
      <c r="BD237" s="932"/>
      <c r="BE237" s="932"/>
      <c r="BF237" s="932"/>
    </row>
    <row r="238" spans="2:58" ht="15" x14ac:dyDescent="0.25">
      <c r="B238" s="932"/>
      <c r="C238" s="932"/>
      <c r="D238" s="932"/>
      <c r="E238" s="932"/>
      <c r="F238" s="932"/>
      <c r="G238" s="932"/>
      <c r="H238" s="932"/>
      <c r="I238" s="932"/>
      <c r="J238" s="932"/>
      <c r="K238" s="932"/>
      <c r="L238" s="932"/>
      <c r="M238" s="932"/>
      <c r="N238" s="932"/>
      <c r="O238" s="932"/>
      <c r="P238" s="932"/>
      <c r="Q238" s="932"/>
      <c r="R238" s="932"/>
      <c r="S238" s="932"/>
      <c r="T238" s="932"/>
      <c r="U238" s="932"/>
      <c r="V238" s="932"/>
      <c r="W238" s="932"/>
      <c r="X238" s="932"/>
      <c r="Y238" s="932"/>
      <c r="Z238" s="932"/>
      <c r="AA238" s="932"/>
      <c r="AB238" s="932"/>
      <c r="AC238" s="932"/>
      <c r="AD238" s="932"/>
      <c r="AE238" s="932"/>
      <c r="AF238" s="932"/>
      <c r="AG238" s="932"/>
      <c r="AH238" s="932"/>
      <c r="AI238" s="932"/>
      <c r="AJ238" s="932"/>
      <c r="AK238" s="932"/>
      <c r="AL238" s="932"/>
      <c r="AM238" s="932"/>
      <c r="AN238" s="932"/>
      <c r="AO238" s="932"/>
      <c r="AP238" s="932"/>
      <c r="AQ238" s="932"/>
      <c r="AR238" s="932"/>
      <c r="AS238" s="932"/>
      <c r="AT238" s="932"/>
      <c r="AU238" s="932"/>
      <c r="AV238" s="932"/>
      <c r="AW238" s="932"/>
      <c r="AX238" s="932"/>
      <c r="AY238" s="932"/>
      <c r="AZ238" s="932"/>
      <c r="BA238" s="932"/>
      <c r="BB238" s="932"/>
      <c r="BC238" s="932"/>
      <c r="BD238" s="932"/>
      <c r="BE238" s="932"/>
      <c r="BF238" s="932"/>
    </row>
    <row r="239" spans="2:58" ht="15" x14ac:dyDescent="0.25">
      <c r="B239" s="932"/>
      <c r="C239" s="932"/>
      <c r="D239" s="932"/>
      <c r="E239" s="932"/>
      <c r="F239" s="932"/>
      <c r="G239" s="932"/>
      <c r="H239" s="932"/>
      <c r="I239" s="932"/>
      <c r="J239" s="932"/>
      <c r="K239" s="932"/>
      <c r="L239" s="932"/>
      <c r="M239" s="932"/>
      <c r="N239" s="932"/>
      <c r="O239" s="932"/>
      <c r="P239" s="932"/>
      <c r="Q239" s="932"/>
      <c r="R239" s="932"/>
      <c r="S239" s="932"/>
      <c r="T239" s="932"/>
      <c r="U239" s="932"/>
      <c r="V239" s="932"/>
      <c r="W239" s="932"/>
      <c r="X239" s="932"/>
      <c r="Y239" s="932"/>
      <c r="Z239" s="932"/>
      <c r="AA239" s="932"/>
      <c r="AB239" s="932"/>
      <c r="AC239" s="932"/>
      <c r="AD239" s="932"/>
      <c r="AE239" s="932"/>
      <c r="AF239" s="932"/>
      <c r="AG239" s="932"/>
      <c r="AH239" s="932"/>
      <c r="AI239" s="932"/>
      <c r="AJ239" s="932"/>
      <c r="AK239" s="932"/>
      <c r="AL239" s="932"/>
      <c r="AM239" s="932"/>
      <c r="AN239" s="932"/>
      <c r="AO239" s="932"/>
      <c r="AP239" s="932"/>
      <c r="AQ239" s="932"/>
      <c r="AR239" s="932"/>
      <c r="AS239" s="932"/>
      <c r="AT239" s="932"/>
      <c r="AU239" s="932"/>
      <c r="AV239" s="932"/>
      <c r="AW239" s="932"/>
      <c r="AX239" s="932"/>
      <c r="AY239" s="932"/>
      <c r="AZ239" s="932"/>
      <c r="BA239" s="932"/>
      <c r="BB239" s="932"/>
      <c r="BC239" s="932"/>
      <c r="BD239" s="932"/>
      <c r="BE239" s="932"/>
      <c r="BF239" s="932"/>
    </row>
    <row r="240" spans="2:58" ht="15" x14ac:dyDescent="0.25">
      <c r="B240" s="932"/>
      <c r="C240" s="932"/>
      <c r="D240" s="932"/>
      <c r="E240" s="932"/>
      <c r="F240" s="932"/>
      <c r="G240" s="932"/>
      <c r="H240" s="932"/>
      <c r="I240" s="932"/>
      <c r="J240" s="932"/>
      <c r="K240" s="932"/>
      <c r="L240" s="932"/>
      <c r="M240" s="932"/>
      <c r="N240" s="932"/>
      <c r="O240" s="932"/>
      <c r="P240" s="932"/>
      <c r="Q240" s="932"/>
      <c r="R240" s="932"/>
      <c r="S240" s="932"/>
      <c r="T240" s="932"/>
      <c r="U240" s="932"/>
      <c r="V240" s="932"/>
      <c r="W240" s="932"/>
      <c r="X240" s="932"/>
      <c r="Y240" s="932"/>
      <c r="Z240" s="932"/>
      <c r="AA240" s="932"/>
      <c r="AB240" s="932"/>
      <c r="AC240" s="932"/>
      <c r="AD240" s="932"/>
      <c r="AE240" s="932"/>
      <c r="AF240" s="932"/>
      <c r="AG240" s="932"/>
      <c r="AH240" s="932"/>
      <c r="AI240" s="932"/>
      <c r="AJ240" s="932"/>
      <c r="AK240" s="932"/>
      <c r="AL240" s="932"/>
      <c r="AM240" s="932"/>
      <c r="AN240" s="932"/>
      <c r="AO240" s="932"/>
      <c r="AP240" s="932"/>
      <c r="AQ240" s="932"/>
      <c r="AR240" s="932"/>
      <c r="AS240" s="932"/>
      <c r="AT240" s="932"/>
      <c r="AU240" s="932"/>
      <c r="AV240" s="932"/>
      <c r="AW240" s="932"/>
      <c r="AX240" s="932"/>
      <c r="AY240" s="932"/>
      <c r="AZ240" s="932"/>
      <c r="BA240" s="932"/>
      <c r="BB240" s="932"/>
      <c r="BC240" s="932"/>
      <c r="BD240" s="932"/>
      <c r="BE240" s="932"/>
      <c r="BF240" s="932"/>
    </row>
    <row r="241" spans="2:58" ht="15" x14ac:dyDescent="0.25">
      <c r="B241" s="932"/>
      <c r="C241" s="932"/>
      <c r="D241" s="932"/>
      <c r="E241" s="932"/>
      <c r="F241" s="932"/>
      <c r="G241" s="932"/>
      <c r="H241" s="932"/>
      <c r="I241" s="932"/>
      <c r="J241" s="932"/>
      <c r="K241" s="932"/>
      <c r="L241" s="932"/>
      <c r="M241" s="932"/>
      <c r="N241" s="932"/>
      <c r="O241" s="932"/>
      <c r="P241" s="932"/>
      <c r="Q241" s="932"/>
      <c r="R241" s="932"/>
      <c r="S241" s="932"/>
      <c r="T241" s="932"/>
      <c r="U241" s="932"/>
      <c r="V241" s="932"/>
      <c r="W241" s="932"/>
      <c r="X241" s="932"/>
      <c r="Y241" s="932"/>
      <c r="Z241" s="932"/>
      <c r="AA241" s="932"/>
      <c r="AB241" s="932"/>
      <c r="AC241" s="932"/>
      <c r="AD241" s="932"/>
      <c r="AE241" s="932"/>
      <c r="AF241" s="932"/>
      <c r="AG241" s="932"/>
      <c r="AH241" s="932"/>
      <c r="AI241" s="932"/>
      <c r="AJ241" s="932"/>
      <c r="AK241" s="932"/>
      <c r="AL241" s="932"/>
      <c r="AM241" s="932"/>
      <c r="AN241" s="932"/>
      <c r="AO241" s="932"/>
      <c r="AP241" s="932"/>
      <c r="AQ241" s="932"/>
      <c r="AR241" s="932"/>
      <c r="AS241" s="932"/>
      <c r="AT241" s="932"/>
      <c r="AU241" s="932"/>
      <c r="AV241" s="932"/>
      <c r="AW241" s="932"/>
      <c r="AX241" s="932"/>
      <c r="AY241" s="932"/>
      <c r="AZ241" s="932"/>
      <c r="BA241" s="932"/>
      <c r="BB241" s="932"/>
      <c r="BC241" s="932"/>
      <c r="BD241" s="932"/>
      <c r="BE241" s="932"/>
      <c r="BF241" s="932"/>
    </row>
    <row r="242" spans="2:58" ht="15" x14ac:dyDescent="0.25">
      <c r="B242" s="932"/>
      <c r="C242" s="932"/>
      <c r="D242" s="932"/>
      <c r="E242" s="932"/>
      <c r="F242" s="932"/>
      <c r="G242" s="932"/>
      <c r="H242" s="932"/>
      <c r="I242" s="932"/>
      <c r="J242" s="932"/>
      <c r="K242" s="932"/>
      <c r="L242" s="932"/>
      <c r="M242" s="932"/>
      <c r="N242" s="932"/>
      <c r="O242" s="932"/>
      <c r="P242" s="932"/>
      <c r="Q242" s="932"/>
      <c r="R242" s="932"/>
      <c r="S242" s="932"/>
      <c r="T242" s="932"/>
      <c r="U242" s="932"/>
      <c r="V242" s="932"/>
      <c r="W242" s="932"/>
      <c r="X242" s="932"/>
      <c r="Y242" s="932"/>
      <c r="Z242" s="932"/>
      <c r="AA242" s="932"/>
      <c r="AB242" s="932"/>
      <c r="AC242" s="932"/>
      <c r="AD242" s="932"/>
      <c r="AE242" s="932"/>
      <c r="AF242" s="932"/>
      <c r="AG242" s="932"/>
      <c r="AH242" s="932"/>
      <c r="AI242" s="932"/>
      <c r="AJ242" s="932"/>
      <c r="AK242" s="932"/>
      <c r="AL242" s="932"/>
      <c r="AM242" s="932"/>
      <c r="AN242" s="932"/>
      <c r="AO242" s="932"/>
      <c r="AP242" s="932"/>
      <c r="AQ242" s="932"/>
      <c r="AR242" s="932"/>
      <c r="AS242" s="932"/>
      <c r="AT242" s="932"/>
      <c r="AU242" s="932"/>
      <c r="AV242" s="932"/>
      <c r="AW242" s="932"/>
      <c r="AX242" s="932"/>
      <c r="AY242" s="932"/>
      <c r="AZ242" s="932"/>
      <c r="BA242" s="932"/>
      <c r="BB242" s="932"/>
      <c r="BC242" s="932"/>
      <c r="BD242" s="932"/>
      <c r="BE242" s="932"/>
      <c r="BF242" s="932"/>
    </row>
    <row r="243" spans="2:58" ht="15" x14ac:dyDescent="0.25">
      <c r="B243" s="932"/>
      <c r="C243" s="932"/>
      <c r="D243" s="932"/>
      <c r="E243" s="932"/>
      <c r="F243" s="932"/>
      <c r="G243" s="932"/>
      <c r="H243" s="932"/>
      <c r="I243" s="932"/>
      <c r="J243" s="932"/>
      <c r="K243" s="932"/>
      <c r="L243" s="932"/>
      <c r="M243" s="932"/>
      <c r="N243" s="932"/>
      <c r="O243" s="932"/>
      <c r="P243" s="932"/>
      <c r="Q243" s="932"/>
      <c r="R243" s="932"/>
      <c r="S243" s="932"/>
      <c r="T243" s="932"/>
      <c r="U243" s="932"/>
      <c r="V243" s="932"/>
      <c r="W243" s="932"/>
      <c r="X243" s="932"/>
      <c r="Y243" s="932"/>
      <c r="Z243" s="932"/>
      <c r="AA243" s="932"/>
      <c r="AB243" s="932"/>
      <c r="AC243" s="932"/>
      <c r="AD243" s="932"/>
      <c r="AE243" s="932"/>
      <c r="AF243" s="932"/>
      <c r="AG243" s="932"/>
      <c r="AH243" s="932"/>
      <c r="AI243" s="932"/>
      <c r="AJ243" s="932"/>
      <c r="AK243" s="932"/>
      <c r="AL243" s="932"/>
      <c r="AM243" s="932"/>
      <c r="AN243" s="932"/>
      <c r="AO243" s="932"/>
      <c r="AP243" s="932"/>
      <c r="AQ243" s="932"/>
      <c r="AR243" s="932"/>
      <c r="AS243" s="932"/>
      <c r="AT243" s="932"/>
      <c r="AU243" s="932"/>
      <c r="AV243" s="932"/>
      <c r="AW243" s="932"/>
      <c r="AX243" s="932"/>
      <c r="AY243" s="932"/>
      <c r="AZ243" s="932"/>
      <c r="BA243" s="932"/>
      <c r="BB243" s="932"/>
      <c r="BC243" s="932"/>
      <c r="BD243" s="932"/>
      <c r="BE243" s="932"/>
      <c r="BF243" s="932"/>
    </row>
    <row r="244" spans="2:58" ht="15" x14ac:dyDescent="0.25">
      <c r="B244" s="932"/>
      <c r="C244" s="932"/>
      <c r="D244" s="932"/>
      <c r="E244" s="932"/>
      <c r="F244" s="932"/>
      <c r="G244" s="932"/>
      <c r="H244" s="932"/>
      <c r="I244" s="932"/>
      <c r="J244" s="932"/>
      <c r="K244" s="932"/>
      <c r="L244" s="932"/>
      <c r="M244" s="932"/>
      <c r="N244" s="932"/>
      <c r="O244" s="932"/>
      <c r="P244" s="932"/>
      <c r="Q244" s="932"/>
      <c r="R244" s="932"/>
      <c r="S244" s="932"/>
      <c r="T244" s="932"/>
      <c r="U244" s="932"/>
      <c r="V244" s="932"/>
      <c r="W244" s="932"/>
      <c r="X244" s="932"/>
      <c r="Y244" s="932"/>
      <c r="Z244" s="932"/>
      <c r="AA244" s="932"/>
      <c r="AB244" s="932"/>
      <c r="AC244" s="932"/>
      <c r="AD244" s="932"/>
      <c r="AE244" s="932"/>
      <c r="AF244" s="932"/>
      <c r="AG244" s="932"/>
      <c r="AH244" s="932"/>
      <c r="AI244" s="932"/>
      <c r="AJ244" s="932"/>
      <c r="AK244" s="932"/>
      <c r="AL244" s="932"/>
      <c r="AM244" s="932"/>
      <c r="AN244" s="932"/>
      <c r="AO244" s="932"/>
      <c r="AP244" s="932"/>
      <c r="AQ244" s="932"/>
      <c r="AR244" s="932"/>
      <c r="AS244" s="932"/>
      <c r="AT244" s="932"/>
      <c r="AU244" s="932"/>
      <c r="AV244" s="932"/>
      <c r="AW244" s="932"/>
      <c r="AX244" s="932"/>
      <c r="AY244" s="932"/>
      <c r="AZ244" s="932"/>
      <c r="BA244" s="932"/>
      <c r="BB244" s="932"/>
      <c r="BC244" s="932"/>
      <c r="BD244" s="932"/>
      <c r="BE244" s="932"/>
      <c r="BF244" s="932"/>
    </row>
    <row r="245" spans="2:58" ht="15" x14ac:dyDescent="0.25">
      <c r="B245" s="932"/>
      <c r="C245" s="932"/>
      <c r="D245" s="932"/>
      <c r="E245" s="932"/>
      <c r="F245" s="932"/>
      <c r="G245" s="932"/>
      <c r="H245" s="932"/>
      <c r="I245" s="932"/>
      <c r="J245" s="932"/>
      <c r="K245" s="932"/>
      <c r="L245" s="932"/>
      <c r="M245" s="932"/>
      <c r="N245" s="932"/>
      <c r="O245" s="932"/>
      <c r="P245" s="932"/>
      <c r="Q245" s="932"/>
      <c r="R245" s="932"/>
      <c r="S245" s="932"/>
      <c r="T245" s="932"/>
      <c r="U245" s="932"/>
      <c r="V245" s="932"/>
      <c r="W245" s="932"/>
      <c r="X245" s="932"/>
      <c r="Y245" s="932"/>
      <c r="Z245" s="932"/>
      <c r="AA245" s="932"/>
      <c r="AB245" s="932"/>
      <c r="AC245" s="932"/>
      <c r="AD245" s="932"/>
      <c r="AE245" s="932"/>
      <c r="AF245" s="932"/>
      <c r="AG245" s="932"/>
      <c r="AH245" s="932"/>
      <c r="AI245" s="932"/>
      <c r="AJ245" s="932"/>
      <c r="AK245" s="932"/>
      <c r="AL245" s="932"/>
      <c r="AM245" s="932"/>
      <c r="AN245" s="932"/>
      <c r="AO245" s="932"/>
      <c r="AP245" s="932"/>
      <c r="AQ245" s="932"/>
      <c r="AR245" s="932"/>
      <c r="AS245" s="932"/>
      <c r="AT245" s="932"/>
      <c r="AU245" s="932"/>
      <c r="AV245" s="932"/>
      <c r="AW245" s="932"/>
      <c r="AX245" s="932"/>
      <c r="AY245" s="932"/>
      <c r="AZ245" s="932"/>
      <c r="BA245" s="932"/>
      <c r="BB245" s="932"/>
      <c r="BC245" s="932"/>
      <c r="BD245" s="932"/>
      <c r="BE245" s="932"/>
      <c r="BF245" s="932"/>
    </row>
    <row r="246" spans="2:58" ht="15" x14ac:dyDescent="0.25">
      <c r="B246" s="932"/>
      <c r="C246" s="932"/>
      <c r="D246" s="932"/>
      <c r="E246" s="932"/>
      <c r="F246" s="932"/>
      <c r="G246" s="932"/>
      <c r="H246" s="932"/>
      <c r="I246" s="932"/>
      <c r="J246" s="932"/>
      <c r="K246" s="932"/>
      <c r="L246" s="932"/>
      <c r="M246" s="932"/>
      <c r="N246" s="932"/>
      <c r="O246" s="932"/>
      <c r="P246" s="932"/>
      <c r="Q246" s="932"/>
      <c r="R246" s="932"/>
      <c r="S246" s="932"/>
      <c r="T246" s="932"/>
      <c r="U246" s="932"/>
      <c r="V246" s="932"/>
      <c r="W246" s="932"/>
      <c r="X246" s="932"/>
      <c r="Y246" s="932"/>
      <c r="Z246" s="932"/>
      <c r="AA246" s="932"/>
      <c r="AB246" s="932"/>
      <c r="AC246" s="932"/>
      <c r="AD246" s="932"/>
      <c r="AE246" s="932"/>
      <c r="AF246" s="932"/>
      <c r="AG246" s="932"/>
      <c r="AH246" s="932"/>
      <c r="AI246" s="932"/>
      <c r="AJ246" s="932"/>
      <c r="AK246" s="932"/>
      <c r="AL246" s="932"/>
      <c r="AM246" s="932"/>
      <c r="AN246" s="932"/>
      <c r="AO246" s="932"/>
      <c r="AP246" s="932"/>
      <c r="AQ246" s="932"/>
      <c r="AR246" s="932"/>
      <c r="AS246" s="932"/>
      <c r="AT246" s="932"/>
      <c r="AU246" s="932"/>
      <c r="AV246" s="932"/>
      <c r="AW246" s="932"/>
      <c r="AX246" s="932"/>
      <c r="AY246" s="932"/>
      <c r="AZ246" s="932"/>
      <c r="BA246" s="932"/>
      <c r="BB246" s="932"/>
      <c r="BC246" s="932"/>
      <c r="BD246" s="932"/>
      <c r="BE246" s="932"/>
      <c r="BF246" s="932"/>
    </row>
    <row r="247" spans="2:58" ht="15" x14ac:dyDescent="0.25">
      <c r="B247" s="932"/>
      <c r="C247" s="932"/>
      <c r="D247" s="932"/>
      <c r="E247" s="932"/>
      <c r="F247" s="932"/>
      <c r="G247" s="932"/>
      <c r="H247" s="932"/>
      <c r="I247" s="932"/>
      <c r="J247" s="932"/>
      <c r="K247" s="932"/>
      <c r="L247" s="932"/>
      <c r="M247" s="932"/>
      <c r="N247" s="932"/>
      <c r="O247" s="932"/>
      <c r="P247" s="932"/>
      <c r="Q247" s="932"/>
      <c r="R247" s="932"/>
      <c r="S247" s="932"/>
      <c r="T247" s="932"/>
      <c r="U247" s="932"/>
      <c r="V247" s="932"/>
      <c r="W247" s="932"/>
      <c r="X247" s="932"/>
      <c r="Y247" s="932"/>
      <c r="Z247" s="932"/>
      <c r="AA247" s="932"/>
      <c r="AB247" s="932"/>
      <c r="AC247" s="932"/>
      <c r="AD247" s="932"/>
      <c r="AE247" s="932"/>
      <c r="AF247" s="932"/>
      <c r="AG247" s="932"/>
      <c r="AH247" s="932"/>
      <c r="AI247" s="932"/>
      <c r="AJ247" s="932"/>
      <c r="AK247" s="932"/>
      <c r="AL247" s="932"/>
      <c r="AM247" s="932"/>
      <c r="AN247" s="932"/>
      <c r="AO247" s="932"/>
      <c r="AP247" s="932"/>
      <c r="AQ247" s="932"/>
      <c r="AR247" s="932"/>
      <c r="AS247" s="932"/>
      <c r="AT247" s="932"/>
      <c r="AU247" s="932"/>
      <c r="AV247" s="932"/>
      <c r="AW247" s="932"/>
      <c r="AX247" s="932"/>
      <c r="AY247" s="932"/>
      <c r="AZ247" s="932"/>
      <c r="BA247" s="932"/>
      <c r="BB247" s="932"/>
      <c r="BC247" s="932"/>
      <c r="BD247" s="932"/>
      <c r="BE247" s="932"/>
      <c r="BF247" s="932"/>
    </row>
    <row r="248" spans="2:58" ht="15" x14ac:dyDescent="0.25">
      <c r="B248" s="932"/>
      <c r="C248" s="932"/>
      <c r="D248" s="932"/>
      <c r="E248" s="932"/>
      <c r="F248" s="932"/>
      <c r="G248" s="932"/>
      <c r="H248" s="932"/>
      <c r="I248" s="932"/>
      <c r="J248" s="932"/>
      <c r="K248" s="932"/>
      <c r="L248" s="932"/>
      <c r="M248" s="932"/>
      <c r="N248" s="932"/>
      <c r="O248" s="932"/>
      <c r="P248" s="932"/>
      <c r="Q248" s="932"/>
      <c r="R248" s="932"/>
      <c r="S248" s="932"/>
      <c r="T248" s="932"/>
      <c r="U248" s="932"/>
      <c r="V248" s="932"/>
      <c r="W248" s="932"/>
      <c r="X248" s="932"/>
      <c r="Y248" s="932"/>
      <c r="Z248" s="932"/>
      <c r="AA248" s="932"/>
      <c r="AB248" s="932"/>
      <c r="AC248" s="932"/>
      <c r="AD248" s="932"/>
      <c r="AE248" s="932"/>
      <c r="AF248" s="932"/>
      <c r="AG248" s="932"/>
      <c r="AH248" s="932"/>
      <c r="AI248" s="932"/>
      <c r="AJ248" s="932"/>
      <c r="AK248" s="932"/>
      <c r="AL248" s="932"/>
      <c r="AM248" s="932"/>
      <c r="AN248" s="932"/>
      <c r="AO248" s="932"/>
      <c r="AP248" s="932"/>
      <c r="AQ248" s="932"/>
      <c r="AR248" s="932"/>
      <c r="AS248" s="932"/>
      <c r="AT248" s="932"/>
      <c r="AU248" s="932"/>
      <c r="AV248" s="932"/>
      <c r="AW248" s="932"/>
      <c r="AX248" s="932"/>
      <c r="AY248" s="932"/>
      <c r="AZ248" s="932"/>
      <c r="BA248" s="932"/>
      <c r="BB248" s="932"/>
      <c r="BC248" s="932"/>
      <c r="BD248" s="932"/>
      <c r="BE248" s="932"/>
      <c r="BF248" s="932"/>
    </row>
    <row r="249" spans="2:58" ht="15" x14ac:dyDescent="0.25">
      <c r="B249" s="932"/>
      <c r="C249" s="932"/>
      <c r="D249" s="932"/>
      <c r="E249" s="932"/>
      <c r="F249" s="932"/>
      <c r="G249" s="932"/>
      <c r="H249" s="932"/>
      <c r="I249" s="932"/>
      <c r="J249" s="932"/>
      <c r="K249" s="932"/>
      <c r="L249" s="932"/>
      <c r="M249" s="932"/>
      <c r="N249" s="932"/>
      <c r="O249" s="932"/>
      <c r="P249" s="932"/>
      <c r="Q249" s="932"/>
      <c r="R249" s="932"/>
      <c r="S249" s="932"/>
      <c r="T249" s="932"/>
      <c r="U249" s="932"/>
      <c r="V249" s="932"/>
      <c r="W249" s="932"/>
      <c r="X249" s="932"/>
      <c r="Y249" s="932"/>
      <c r="Z249" s="932"/>
      <c r="AA249" s="932"/>
      <c r="AB249" s="932"/>
      <c r="AC249" s="932"/>
      <c r="AD249" s="932"/>
      <c r="AE249" s="932"/>
      <c r="AF249" s="932"/>
      <c r="AG249" s="932"/>
      <c r="AH249" s="932"/>
      <c r="AI249" s="932"/>
      <c r="AJ249" s="932"/>
      <c r="AK249" s="932"/>
      <c r="AL249" s="932"/>
      <c r="AM249" s="932"/>
      <c r="AN249" s="932"/>
      <c r="AO249" s="932"/>
      <c r="AP249" s="932"/>
      <c r="AQ249" s="932"/>
      <c r="AR249" s="932"/>
      <c r="AS249" s="932"/>
      <c r="AT249" s="932"/>
      <c r="AU249" s="932"/>
      <c r="AV249" s="932"/>
      <c r="AW249" s="932"/>
      <c r="AX249" s="932"/>
      <c r="AY249" s="932"/>
      <c r="AZ249" s="932"/>
      <c r="BA249" s="932"/>
      <c r="BB249" s="932"/>
      <c r="BC249" s="932"/>
      <c r="BD249" s="932"/>
      <c r="BE249" s="932"/>
      <c r="BF249" s="932"/>
    </row>
    <row r="250" spans="2:58" ht="15" x14ac:dyDescent="0.25">
      <c r="B250" s="932"/>
      <c r="C250" s="932"/>
      <c r="D250" s="932"/>
      <c r="E250" s="932"/>
      <c r="F250" s="932"/>
      <c r="G250" s="932"/>
      <c r="H250" s="932"/>
      <c r="I250" s="932"/>
      <c r="J250" s="932"/>
      <c r="K250" s="932"/>
      <c r="L250" s="932"/>
      <c r="M250" s="932"/>
      <c r="N250" s="932"/>
      <c r="O250" s="932"/>
      <c r="P250" s="932"/>
      <c r="Q250" s="932"/>
      <c r="R250" s="932"/>
      <c r="S250" s="932"/>
      <c r="T250" s="932"/>
      <c r="U250" s="932"/>
      <c r="V250" s="932"/>
      <c r="W250" s="932"/>
      <c r="X250" s="932"/>
      <c r="Y250" s="932"/>
      <c r="Z250" s="932"/>
      <c r="AA250" s="932"/>
      <c r="AB250" s="932"/>
      <c r="AC250" s="932"/>
      <c r="AD250" s="932"/>
      <c r="AE250" s="932"/>
      <c r="AF250" s="932"/>
      <c r="AG250" s="932"/>
      <c r="AH250" s="932"/>
      <c r="AI250" s="932"/>
      <c r="AJ250" s="932"/>
      <c r="AK250" s="932"/>
      <c r="AL250" s="932"/>
      <c r="AM250" s="932"/>
      <c r="AN250" s="932"/>
      <c r="AO250" s="932"/>
      <c r="AP250" s="932"/>
      <c r="AQ250" s="932"/>
      <c r="AR250" s="932"/>
      <c r="AS250" s="932"/>
      <c r="AT250" s="932"/>
      <c r="AU250" s="932"/>
      <c r="AV250" s="932"/>
      <c r="AW250" s="932"/>
      <c r="AX250" s="932"/>
      <c r="AY250" s="932"/>
      <c r="AZ250" s="932"/>
      <c r="BA250" s="932"/>
      <c r="BB250" s="932"/>
      <c r="BC250" s="932"/>
      <c r="BD250" s="932"/>
      <c r="BE250" s="932"/>
      <c r="BF250" s="932"/>
    </row>
    <row r="251" spans="2:58" ht="15" x14ac:dyDescent="0.25">
      <c r="B251" s="932"/>
      <c r="C251" s="932"/>
      <c r="D251" s="932"/>
      <c r="E251" s="932"/>
      <c r="F251" s="932"/>
      <c r="G251" s="932"/>
      <c r="H251" s="932"/>
      <c r="I251" s="932"/>
      <c r="J251" s="932"/>
      <c r="K251" s="932"/>
      <c r="L251" s="932"/>
      <c r="M251" s="932"/>
      <c r="N251" s="932"/>
      <c r="O251" s="932"/>
      <c r="P251" s="932"/>
      <c r="Q251" s="932"/>
      <c r="R251" s="932"/>
      <c r="S251" s="932"/>
      <c r="T251" s="932"/>
      <c r="U251" s="932"/>
      <c r="V251" s="932"/>
      <c r="W251" s="932"/>
      <c r="X251" s="932"/>
      <c r="Y251" s="932"/>
      <c r="Z251" s="932"/>
      <c r="AA251" s="932"/>
      <c r="AB251" s="932"/>
      <c r="AC251" s="932"/>
      <c r="AD251" s="932"/>
      <c r="AE251" s="932"/>
      <c r="AF251" s="932"/>
      <c r="AG251" s="932"/>
      <c r="AH251" s="932"/>
      <c r="AI251" s="932"/>
      <c r="AJ251" s="932"/>
      <c r="AK251" s="932"/>
      <c r="AL251" s="932"/>
      <c r="AM251" s="932"/>
      <c r="AN251" s="932"/>
      <c r="AO251" s="932"/>
      <c r="AP251" s="932"/>
      <c r="AQ251" s="932"/>
      <c r="AR251" s="932"/>
      <c r="AS251" s="932"/>
      <c r="AT251" s="932"/>
      <c r="AU251" s="932"/>
      <c r="AV251" s="932"/>
      <c r="AW251" s="932"/>
      <c r="AX251" s="932"/>
      <c r="AY251" s="932"/>
      <c r="AZ251" s="932"/>
      <c r="BA251" s="932"/>
      <c r="BB251" s="932"/>
      <c r="BC251" s="932"/>
      <c r="BD251" s="932"/>
      <c r="BE251" s="932"/>
      <c r="BF251" s="932"/>
    </row>
    <row r="252" spans="2:58" ht="15" x14ac:dyDescent="0.25">
      <c r="B252" s="932"/>
      <c r="C252" s="932"/>
      <c r="D252" s="932"/>
      <c r="E252" s="932"/>
      <c r="F252" s="932"/>
      <c r="G252" s="932"/>
      <c r="H252" s="932"/>
      <c r="I252" s="932"/>
      <c r="J252" s="932"/>
      <c r="K252" s="932"/>
      <c r="L252" s="932"/>
      <c r="M252" s="932"/>
      <c r="N252" s="932"/>
      <c r="O252" s="932"/>
      <c r="P252" s="932"/>
      <c r="Q252" s="932"/>
      <c r="R252" s="932"/>
      <c r="S252" s="932"/>
      <c r="T252" s="932"/>
      <c r="U252" s="932"/>
      <c r="V252" s="932"/>
      <c r="W252" s="932"/>
      <c r="X252" s="932"/>
      <c r="Y252" s="932"/>
      <c r="Z252" s="932"/>
      <c r="AA252" s="932"/>
      <c r="AB252" s="932"/>
      <c r="AC252" s="932"/>
      <c r="AD252" s="932"/>
      <c r="AE252" s="932"/>
      <c r="AF252" s="932"/>
      <c r="AG252" s="932"/>
      <c r="AH252" s="932"/>
      <c r="AI252" s="932"/>
      <c r="AJ252" s="932"/>
      <c r="AK252" s="932"/>
      <c r="AL252" s="932"/>
      <c r="AM252" s="932"/>
      <c r="AN252" s="932"/>
      <c r="AO252" s="932"/>
      <c r="AP252" s="932"/>
      <c r="AQ252" s="932"/>
      <c r="AR252" s="932"/>
      <c r="AS252" s="932"/>
      <c r="AT252" s="932"/>
      <c r="AU252" s="932"/>
      <c r="AV252" s="932"/>
      <c r="AW252" s="932"/>
      <c r="AX252" s="932"/>
      <c r="AY252" s="932"/>
      <c r="AZ252" s="932"/>
      <c r="BA252" s="932"/>
      <c r="BB252" s="932"/>
      <c r="BC252" s="932"/>
      <c r="BD252" s="932"/>
      <c r="BE252" s="932"/>
      <c r="BF252" s="932"/>
    </row>
    <row r="253" spans="2:58" ht="15" x14ac:dyDescent="0.25">
      <c r="B253" s="932"/>
      <c r="C253" s="932"/>
      <c r="D253" s="932"/>
      <c r="E253" s="932"/>
      <c r="F253" s="932"/>
      <c r="G253" s="932"/>
      <c r="H253" s="932"/>
      <c r="I253" s="932"/>
      <c r="J253" s="932"/>
      <c r="K253" s="932"/>
      <c r="L253" s="932"/>
      <c r="M253" s="932"/>
      <c r="N253" s="932"/>
      <c r="O253" s="932"/>
      <c r="P253" s="932"/>
      <c r="Q253" s="932"/>
      <c r="R253" s="932"/>
      <c r="S253" s="932"/>
      <c r="T253" s="932"/>
      <c r="U253" s="932"/>
      <c r="V253" s="932"/>
      <c r="W253" s="932"/>
      <c r="X253" s="932"/>
      <c r="Y253" s="932"/>
      <c r="Z253" s="932"/>
      <c r="AA253" s="932"/>
      <c r="AB253" s="932"/>
      <c r="AC253" s="932"/>
      <c r="AD253" s="932"/>
      <c r="AE253" s="932"/>
      <c r="AF253" s="932"/>
      <c r="AG253" s="932"/>
      <c r="AH253" s="932"/>
      <c r="AI253" s="932"/>
      <c r="AJ253" s="932"/>
      <c r="AK253" s="932"/>
      <c r="AL253" s="932"/>
      <c r="AM253" s="932"/>
      <c r="AN253" s="932"/>
      <c r="AO253" s="932"/>
      <c r="AP253" s="932"/>
      <c r="AQ253" s="932"/>
      <c r="AR253" s="932"/>
      <c r="AS253" s="932"/>
      <c r="AT253" s="932"/>
      <c r="AU253" s="932"/>
      <c r="AV253" s="932"/>
      <c r="AW253" s="932"/>
      <c r="AX253" s="932"/>
      <c r="AY253" s="932"/>
      <c r="AZ253" s="932"/>
      <c r="BA253" s="932"/>
      <c r="BB253" s="932"/>
      <c r="BC253" s="932"/>
      <c r="BD253" s="932"/>
      <c r="BE253" s="932"/>
      <c r="BF253" s="932"/>
    </row>
    <row r="254" spans="2:58" ht="15" x14ac:dyDescent="0.25">
      <c r="B254" s="932"/>
      <c r="C254" s="932"/>
      <c r="D254" s="932"/>
      <c r="E254" s="932"/>
      <c r="F254" s="932"/>
      <c r="G254" s="932"/>
      <c r="H254" s="932"/>
      <c r="I254" s="932"/>
      <c r="J254" s="932"/>
      <c r="K254" s="932"/>
      <c r="L254" s="932"/>
      <c r="M254" s="932"/>
      <c r="N254" s="932"/>
      <c r="O254" s="932"/>
      <c r="P254" s="932"/>
      <c r="Q254" s="932"/>
      <c r="R254" s="932"/>
      <c r="S254" s="932"/>
      <c r="T254" s="932"/>
      <c r="U254" s="932"/>
      <c r="V254" s="932"/>
      <c r="W254" s="932"/>
      <c r="X254" s="932"/>
      <c r="Y254" s="932"/>
      <c r="Z254" s="932"/>
      <c r="AA254" s="932"/>
      <c r="AB254" s="932"/>
      <c r="AC254" s="932"/>
      <c r="AD254" s="932"/>
      <c r="AE254" s="932"/>
      <c r="AF254" s="932"/>
      <c r="AG254" s="932"/>
      <c r="AH254" s="932"/>
      <c r="AI254" s="932"/>
      <c r="AJ254" s="932"/>
      <c r="AK254" s="932"/>
      <c r="AL254" s="932"/>
      <c r="AM254" s="932"/>
      <c r="AN254" s="932"/>
      <c r="AO254" s="932"/>
      <c r="AP254" s="932"/>
      <c r="AQ254" s="932"/>
      <c r="AR254" s="932"/>
      <c r="AS254" s="932"/>
      <c r="AT254" s="932"/>
      <c r="AU254" s="932"/>
      <c r="AV254" s="932"/>
      <c r="AW254" s="932"/>
      <c r="AX254" s="932"/>
      <c r="AY254" s="932"/>
      <c r="AZ254" s="932"/>
      <c r="BA254" s="932"/>
      <c r="BB254" s="932"/>
      <c r="BC254" s="932"/>
      <c r="BD254" s="932"/>
      <c r="BE254" s="932"/>
      <c r="BF254" s="932"/>
    </row>
    <row r="255" spans="2:58" ht="15" x14ac:dyDescent="0.25">
      <c r="B255" s="932"/>
      <c r="C255" s="932"/>
      <c r="D255" s="932"/>
      <c r="E255" s="932"/>
      <c r="F255" s="932"/>
      <c r="G255" s="932"/>
      <c r="H255" s="932"/>
      <c r="I255" s="932"/>
      <c r="J255" s="932"/>
      <c r="K255" s="932"/>
      <c r="L255" s="932"/>
      <c r="M255" s="932"/>
      <c r="N255" s="932"/>
      <c r="O255" s="932"/>
      <c r="P255" s="932"/>
      <c r="Q255" s="932"/>
      <c r="R255" s="932"/>
      <c r="S255" s="932"/>
      <c r="T255" s="932"/>
      <c r="U255" s="932"/>
      <c r="V255" s="932"/>
      <c r="W255" s="932"/>
      <c r="X255" s="932"/>
      <c r="Y255" s="932"/>
      <c r="Z255" s="932"/>
      <c r="AA255" s="932"/>
      <c r="AB255" s="932"/>
      <c r="AC255" s="932"/>
      <c r="AD255" s="932"/>
      <c r="AE255" s="932"/>
      <c r="AF255" s="932"/>
      <c r="AG255" s="932"/>
      <c r="AH255" s="932"/>
      <c r="AI255" s="932"/>
      <c r="AJ255" s="932"/>
      <c r="AK255" s="932"/>
      <c r="AL255" s="932"/>
      <c r="AM255" s="932"/>
      <c r="AN255" s="932"/>
      <c r="AO255" s="932"/>
      <c r="AP255" s="932"/>
      <c r="AQ255" s="932"/>
      <c r="AR255" s="932"/>
      <c r="AS255" s="932"/>
      <c r="AT255" s="932"/>
      <c r="AU255" s="932"/>
      <c r="AV255" s="932"/>
      <c r="AW255" s="932"/>
      <c r="AX255" s="932"/>
      <c r="AY255" s="932"/>
      <c r="AZ255" s="932"/>
      <c r="BA255" s="932"/>
      <c r="BB255" s="932"/>
      <c r="BC255" s="932"/>
      <c r="BD255" s="932"/>
      <c r="BE255" s="932"/>
      <c r="BF255" s="932"/>
    </row>
    <row r="256" spans="2:58" ht="15" x14ac:dyDescent="0.25">
      <c r="B256" s="932"/>
      <c r="C256" s="932"/>
      <c r="D256" s="932"/>
      <c r="E256" s="932"/>
      <c r="F256" s="932"/>
      <c r="G256" s="932"/>
      <c r="H256" s="932"/>
      <c r="I256" s="932"/>
      <c r="J256" s="932"/>
      <c r="K256" s="932"/>
      <c r="L256" s="932"/>
      <c r="M256" s="932"/>
      <c r="N256" s="932"/>
      <c r="O256" s="932"/>
      <c r="P256" s="932"/>
      <c r="Q256" s="932"/>
      <c r="R256" s="932"/>
      <c r="S256" s="932"/>
      <c r="T256" s="932"/>
      <c r="U256" s="932"/>
      <c r="V256" s="932"/>
      <c r="W256" s="932"/>
      <c r="X256" s="932"/>
      <c r="Y256" s="932"/>
      <c r="Z256" s="932"/>
      <c r="AA256" s="932"/>
      <c r="AB256" s="932"/>
      <c r="AC256" s="932"/>
      <c r="AD256" s="932"/>
      <c r="AE256" s="932"/>
      <c r="AF256" s="932"/>
      <c r="AG256" s="932"/>
      <c r="AH256" s="932"/>
      <c r="AI256" s="932"/>
      <c r="AJ256" s="932"/>
      <c r="AK256" s="932"/>
      <c r="AL256" s="932"/>
      <c r="AM256" s="932"/>
      <c r="AN256" s="932"/>
      <c r="AO256" s="932"/>
      <c r="AP256" s="932"/>
      <c r="AQ256" s="932"/>
      <c r="AR256" s="932"/>
      <c r="AS256" s="932"/>
      <c r="AT256" s="932"/>
      <c r="AU256" s="932"/>
      <c r="AV256" s="932"/>
      <c r="AW256" s="932"/>
      <c r="AX256" s="932"/>
      <c r="AY256" s="932"/>
      <c r="AZ256" s="932"/>
      <c r="BA256" s="932"/>
      <c r="BB256" s="932"/>
      <c r="BC256" s="932"/>
      <c r="BD256" s="932"/>
      <c r="BE256" s="932"/>
      <c r="BF256" s="932"/>
    </row>
    <row r="257" spans="2:58" ht="15" x14ac:dyDescent="0.25">
      <c r="B257" s="932"/>
      <c r="C257" s="932"/>
      <c r="D257" s="932"/>
      <c r="E257" s="932"/>
      <c r="F257" s="932"/>
      <c r="G257" s="932"/>
      <c r="H257" s="932"/>
      <c r="I257" s="932"/>
      <c r="J257" s="932"/>
      <c r="K257" s="932"/>
      <c r="L257" s="932"/>
      <c r="M257" s="932"/>
      <c r="N257" s="932"/>
      <c r="O257" s="932"/>
      <c r="P257" s="932"/>
      <c r="Q257" s="932"/>
      <c r="R257" s="932"/>
      <c r="S257" s="932"/>
      <c r="T257" s="932"/>
      <c r="U257" s="932"/>
      <c r="V257" s="932"/>
      <c r="W257" s="932"/>
      <c r="X257" s="932"/>
      <c r="Y257" s="932"/>
      <c r="Z257" s="932"/>
      <c r="AA257" s="932"/>
      <c r="AB257" s="932"/>
      <c r="AC257" s="932"/>
      <c r="AD257" s="932"/>
      <c r="AE257" s="932"/>
      <c r="AF257" s="932"/>
      <c r="AG257" s="932"/>
      <c r="AH257" s="932"/>
      <c r="AI257" s="932"/>
      <c r="AJ257" s="932"/>
      <c r="AK257" s="932"/>
      <c r="AL257" s="932"/>
      <c r="AM257" s="932"/>
      <c r="AN257" s="932"/>
      <c r="AO257" s="932"/>
      <c r="AP257" s="932"/>
      <c r="AQ257" s="932"/>
      <c r="AR257" s="932"/>
      <c r="AS257" s="932"/>
      <c r="AT257" s="932"/>
      <c r="AU257" s="932"/>
      <c r="AV257" s="932"/>
      <c r="AW257" s="932"/>
      <c r="AX257" s="932"/>
      <c r="AY257" s="932"/>
      <c r="AZ257" s="932"/>
      <c r="BA257" s="932"/>
      <c r="BB257" s="932"/>
      <c r="BC257" s="932"/>
      <c r="BD257" s="932"/>
      <c r="BE257" s="932"/>
      <c r="BF257" s="932"/>
    </row>
    <row r="258" spans="2:58" ht="15" x14ac:dyDescent="0.25">
      <c r="B258" s="932"/>
      <c r="C258" s="932"/>
      <c r="D258" s="932"/>
      <c r="E258" s="932"/>
      <c r="F258" s="932"/>
      <c r="G258" s="932"/>
      <c r="H258" s="932"/>
      <c r="I258" s="932"/>
      <c r="J258" s="932"/>
      <c r="K258" s="932"/>
      <c r="L258" s="932"/>
      <c r="M258" s="932"/>
      <c r="N258" s="932"/>
      <c r="O258" s="932"/>
      <c r="P258" s="932"/>
      <c r="Q258" s="932"/>
      <c r="R258" s="932"/>
      <c r="S258" s="932"/>
      <c r="T258" s="932"/>
      <c r="U258" s="932"/>
      <c r="V258" s="932"/>
      <c r="W258" s="932"/>
      <c r="X258" s="932"/>
      <c r="Y258" s="932"/>
      <c r="Z258" s="932"/>
      <c r="AA258" s="932"/>
      <c r="AB258" s="932"/>
      <c r="AC258" s="932"/>
      <c r="AD258" s="932"/>
      <c r="AE258" s="932"/>
      <c r="AF258" s="932"/>
      <c r="AG258" s="932"/>
      <c r="AH258" s="932"/>
      <c r="AI258" s="932"/>
      <c r="AJ258" s="932"/>
      <c r="AK258" s="932"/>
      <c r="AL258" s="932"/>
      <c r="AM258" s="932"/>
      <c r="AN258" s="932"/>
      <c r="AO258" s="932"/>
      <c r="AP258" s="932"/>
      <c r="AQ258" s="932"/>
      <c r="AR258" s="932"/>
      <c r="AS258" s="932"/>
      <c r="AT258" s="932"/>
      <c r="AU258" s="932"/>
      <c r="AV258" s="932"/>
      <c r="AW258" s="932"/>
      <c r="AX258" s="932"/>
      <c r="AY258" s="932"/>
      <c r="AZ258" s="932"/>
      <c r="BA258" s="932"/>
      <c r="BB258" s="932"/>
      <c r="BC258" s="932"/>
      <c r="BD258" s="932"/>
      <c r="BE258" s="932"/>
      <c r="BF258" s="932"/>
    </row>
    <row r="259" spans="2:58" ht="15" x14ac:dyDescent="0.25">
      <c r="B259" s="932"/>
      <c r="C259" s="932"/>
      <c r="D259" s="932"/>
      <c r="E259" s="932"/>
      <c r="F259" s="932"/>
      <c r="G259" s="932"/>
      <c r="H259" s="932"/>
      <c r="I259" s="932"/>
      <c r="J259" s="932"/>
      <c r="K259" s="932"/>
      <c r="L259" s="932"/>
      <c r="M259" s="932"/>
      <c r="N259" s="932"/>
      <c r="O259" s="932"/>
      <c r="P259" s="932"/>
      <c r="Q259" s="932"/>
      <c r="R259" s="932"/>
      <c r="S259" s="932"/>
      <c r="T259" s="932"/>
      <c r="U259" s="932"/>
      <c r="V259" s="932"/>
      <c r="W259" s="932"/>
      <c r="X259" s="932"/>
      <c r="Y259" s="932"/>
      <c r="Z259" s="932"/>
      <c r="AA259" s="932"/>
      <c r="AB259" s="932"/>
      <c r="AC259" s="932"/>
      <c r="AD259" s="932"/>
      <c r="AE259" s="932"/>
      <c r="AF259" s="932"/>
      <c r="AG259" s="932"/>
      <c r="AH259" s="932"/>
      <c r="AI259" s="932"/>
      <c r="AJ259" s="932"/>
      <c r="AK259" s="932"/>
      <c r="AL259" s="932"/>
      <c r="AM259" s="932"/>
      <c r="AN259" s="932"/>
      <c r="AO259" s="932"/>
      <c r="AP259" s="932"/>
      <c r="AQ259" s="932"/>
      <c r="AR259" s="932"/>
      <c r="AS259" s="932"/>
      <c r="AT259" s="932"/>
      <c r="AU259" s="932"/>
      <c r="AV259" s="932"/>
      <c r="AW259" s="932"/>
      <c r="AX259" s="932"/>
      <c r="AY259" s="932"/>
      <c r="AZ259" s="932"/>
      <c r="BA259" s="932"/>
      <c r="BB259" s="932"/>
      <c r="BC259" s="932"/>
      <c r="BD259" s="932"/>
      <c r="BE259" s="932"/>
      <c r="BF259" s="932"/>
    </row>
    <row r="260" spans="2:58" ht="15" x14ac:dyDescent="0.25">
      <c r="B260" s="932"/>
      <c r="C260" s="932"/>
      <c r="D260" s="932"/>
      <c r="E260" s="932"/>
      <c r="F260" s="932"/>
      <c r="G260" s="932"/>
      <c r="H260" s="932"/>
      <c r="I260" s="932"/>
      <c r="J260" s="932"/>
      <c r="K260" s="932"/>
      <c r="L260" s="932"/>
      <c r="M260" s="932"/>
      <c r="N260" s="932"/>
      <c r="O260" s="932"/>
      <c r="P260" s="932"/>
      <c r="Q260" s="932"/>
      <c r="R260" s="932"/>
      <c r="S260" s="932"/>
      <c r="T260" s="932"/>
      <c r="U260" s="932"/>
      <c r="V260" s="932"/>
      <c r="W260" s="932"/>
      <c r="X260" s="932"/>
      <c r="Y260" s="932"/>
      <c r="Z260" s="932"/>
      <c r="AA260" s="932"/>
      <c r="AB260" s="932"/>
      <c r="AC260" s="932"/>
      <c r="AD260" s="932"/>
      <c r="AE260" s="932"/>
      <c r="AF260" s="932"/>
      <c r="AG260" s="932"/>
      <c r="AH260" s="932"/>
      <c r="AI260" s="932"/>
      <c r="AJ260" s="932"/>
      <c r="AK260" s="932"/>
      <c r="AL260" s="932"/>
      <c r="AM260" s="932"/>
      <c r="AN260" s="932"/>
      <c r="AO260" s="932"/>
      <c r="AP260" s="932"/>
      <c r="AQ260" s="932"/>
      <c r="AR260" s="932"/>
      <c r="AS260" s="932"/>
      <c r="AT260" s="932"/>
      <c r="AU260" s="932"/>
      <c r="AV260" s="932"/>
      <c r="AW260" s="932"/>
      <c r="AX260" s="932"/>
      <c r="AY260" s="932"/>
      <c r="AZ260" s="932"/>
      <c r="BA260" s="932"/>
      <c r="BB260" s="932"/>
      <c r="BC260" s="932"/>
      <c r="BD260" s="932"/>
      <c r="BE260" s="932"/>
      <c r="BF260" s="932"/>
    </row>
    <row r="261" spans="2:58" ht="15" x14ac:dyDescent="0.25">
      <c r="B261" s="932"/>
      <c r="C261" s="932"/>
      <c r="D261" s="932"/>
      <c r="E261" s="932"/>
      <c r="F261" s="932"/>
      <c r="G261" s="932"/>
      <c r="H261" s="932"/>
      <c r="I261" s="932"/>
      <c r="J261" s="932"/>
      <c r="K261" s="932"/>
      <c r="L261" s="932"/>
      <c r="M261" s="932"/>
      <c r="N261" s="932"/>
      <c r="O261" s="932"/>
      <c r="P261" s="932"/>
      <c r="Q261" s="932"/>
      <c r="R261" s="932"/>
      <c r="S261" s="932"/>
      <c r="T261" s="932"/>
      <c r="U261" s="932"/>
      <c r="V261" s="932"/>
      <c r="W261" s="932"/>
      <c r="X261" s="932"/>
      <c r="Y261" s="932"/>
      <c r="Z261" s="932"/>
      <c r="AA261" s="932"/>
      <c r="AB261" s="932"/>
      <c r="AC261" s="932"/>
      <c r="AD261" s="932"/>
      <c r="AE261" s="932"/>
      <c r="AF261" s="932"/>
      <c r="AG261" s="932"/>
      <c r="AH261" s="932"/>
      <c r="AI261" s="932"/>
      <c r="AJ261" s="932"/>
      <c r="AK261" s="932"/>
      <c r="AL261" s="932"/>
      <c r="AM261" s="932"/>
      <c r="AN261" s="932"/>
      <c r="AO261" s="932"/>
      <c r="AP261" s="932"/>
      <c r="AQ261" s="932"/>
      <c r="AR261" s="932"/>
      <c r="AS261" s="932"/>
      <c r="AT261" s="932"/>
      <c r="AU261" s="932"/>
      <c r="AV261" s="932"/>
      <c r="AW261" s="932"/>
      <c r="AX261" s="932"/>
      <c r="AY261" s="932"/>
      <c r="AZ261" s="932"/>
      <c r="BA261" s="932"/>
      <c r="BB261" s="932"/>
      <c r="BC261" s="932"/>
      <c r="BD261" s="932"/>
      <c r="BE261" s="932"/>
      <c r="BF261" s="932"/>
    </row>
    <row r="262" spans="2:58" ht="15" x14ac:dyDescent="0.25">
      <c r="B262" s="932"/>
      <c r="C262" s="932"/>
      <c r="D262" s="932"/>
      <c r="E262" s="932"/>
      <c r="F262" s="932"/>
      <c r="G262" s="932"/>
      <c r="H262" s="932"/>
      <c r="I262" s="932"/>
      <c r="J262" s="932"/>
      <c r="K262" s="932"/>
      <c r="L262" s="932"/>
      <c r="M262" s="932"/>
      <c r="N262" s="932"/>
      <c r="O262" s="932"/>
      <c r="P262" s="932"/>
      <c r="Q262" s="932"/>
      <c r="R262" s="932"/>
      <c r="S262" s="932"/>
      <c r="T262" s="932"/>
      <c r="U262" s="932"/>
      <c r="V262" s="932"/>
      <c r="W262" s="932"/>
      <c r="X262" s="932"/>
      <c r="Y262" s="932"/>
      <c r="Z262" s="932"/>
      <c r="AA262" s="932"/>
      <c r="AB262" s="932"/>
      <c r="AC262" s="932"/>
      <c r="AD262" s="932"/>
      <c r="AE262" s="932"/>
      <c r="AF262" s="932"/>
      <c r="AG262" s="932"/>
      <c r="AH262" s="932"/>
      <c r="AI262" s="932"/>
      <c r="AJ262" s="932"/>
      <c r="AK262" s="932"/>
      <c r="AL262" s="932"/>
      <c r="AM262" s="932"/>
      <c r="AN262" s="932"/>
      <c r="AO262" s="932"/>
      <c r="AP262" s="932"/>
      <c r="AQ262" s="932"/>
      <c r="AR262" s="932"/>
      <c r="AS262" s="932"/>
      <c r="AT262" s="932"/>
      <c r="AU262" s="932"/>
      <c r="AV262" s="932"/>
      <c r="AW262" s="932"/>
      <c r="AX262" s="932"/>
      <c r="AY262" s="932"/>
      <c r="AZ262" s="932"/>
      <c r="BA262" s="932"/>
      <c r="BB262" s="932"/>
      <c r="BC262" s="932"/>
      <c r="BD262" s="932"/>
      <c r="BE262" s="932"/>
      <c r="BF262" s="932"/>
    </row>
    <row r="263" spans="2:58" ht="15" x14ac:dyDescent="0.25">
      <c r="B263" s="932"/>
      <c r="C263" s="932"/>
      <c r="D263" s="932"/>
      <c r="E263" s="932"/>
      <c r="F263" s="932"/>
      <c r="G263" s="932"/>
      <c r="H263" s="932"/>
      <c r="I263" s="932"/>
      <c r="J263" s="932"/>
      <c r="K263" s="932"/>
      <c r="L263" s="932"/>
      <c r="M263" s="932"/>
      <c r="N263" s="932"/>
      <c r="O263" s="932"/>
      <c r="P263" s="932"/>
      <c r="Q263" s="932"/>
      <c r="R263" s="932"/>
      <c r="S263" s="932"/>
      <c r="T263" s="932"/>
      <c r="U263" s="932"/>
      <c r="V263" s="932"/>
      <c r="W263" s="932"/>
      <c r="X263" s="932"/>
      <c r="Y263" s="932"/>
      <c r="Z263" s="932"/>
      <c r="AA263" s="932"/>
      <c r="AB263" s="932"/>
      <c r="AC263" s="932"/>
      <c r="AD263" s="932"/>
      <c r="AE263" s="932"/>
      <c r="AF263" s="932"/>
      <c r="AG263" s="932"/>
      <c r="AH263" s="932"/>
      <c r="AI263" s="932"/>
      <c r="AJ263" s="932"/>
      <c r="AK263" s="932"/>
      <c r="AL263" s="932"/>
      <c r="AM263" s="932"/>
      <c r="AN263" s="932"/>
      <c r="AO263" s="932"/>
      <c r="AP263" s="932"/>
      <c r="AQ263" s="932"/>
      <c r="AR263" s="932"/>
      <c r="AS263" s="932"/>
      <c r="AT263" s="932"/>
      <c r="AU263" s="932"/>
      <c r="AV263" s="932"/>
      <c r="AW263" s="932"/>
      <c r="AX263" s="932"/>
      <c r="AY263" s="932"/>
      <c r="AZ263" s="932"/>
      <c r="BA263" s="932"/>
      <c r="BB263" s="932"/>
      <c r="BC263" s="932"/>
      <c r="BD263" s="932"/>
      <c r="BE263" s="932"/>
      <c r="BF263" s="932"/>
    </row>
    <row r="264" spans="2:58" ht="15" x14ac:dyDescent="0.25">
      <c r="B264" s="932"/>
      <c r="C264" s="932"/>
      <c r="D264" s="932"/>
      <c r="E264" s="932"/>
      <c r="F264" s="932"/>
      <c r="G264" s="932"/>
      <c r="H264" s="932"/>
      <c r="I264" s="932"/>
      <c r="J264" s="932"/>
      <c r="K264" s="932"/>
      <c r="L264" s="932"/>
      <c r="M264" s="932"/>
      <c r="N264" s="932"/>
      <c r="O264" s="932"/>
      <c r="P264" s="932"/>
      <c r="Q264" s="932"/>
      <c r="R264" s="932"/>
      <c r="S264" s="932"/>
      <c r="T264" s="932"/>
      <c r="U264" s="932"/>
      <c r="V264" s="932"/>
      <c r="W264" s="932"/>
      <c r="X264" s="932"/>
      <c r="Y264" s="932"/>
      <c r="Z264" s="932"/>
      <c r="AA264" s="932"/>
      <c r="AB264" s="932"/>
      <c r="AC264" s="932"/>
      <c r="AD264" s="932"/>
      <c r="AE264" s="932"/>
      <c r="AF264" s="932"/>
      <c r="AG264" s="932"/>
      <c r="AH264" s="932"/>
      <c r="AI264" s="932"/>
      <c r="AJ264" s="932"/>
      <c r="AK264" s="932"/>
      <c r="AL264" s="932"/>
      <c r="AM264" s="932"/>
      <c r="AN264" s="932"/>
      <c r="AO264" s="932"/>
      <c r="AP264" s="932"/>
      <c r="AQ264" s="932"/>
      <c r="AR264" s="932"/>
      <c r="AS264" s="932"/>
      <c r="AT264" s="932"/>
      <c r="AU264" s="932"/>
      <c r="AV264" s="932"/>
      <c r="AW264" s="932"/>
      <c r="AX264" s="932"/>
      <c r="AY264" s="932"/>
      <c r="AZ264" s="932"/>
      <c r="BA264" s="932"/>
      <c r="BB264" s="932"/>
      <c r="BC264" s="932"/>
      <c r="BD264" s="932"/>
      <c r="BE264" s="932"/>
      <c r="BF264" s="932"/>
    </row>
    <row r="265" spans="2:58" ht="15" x14ac:dyDescent="0.25">
      <c r="B265" s="932"/>
      <c r="C265" s="932"/>
      <c r="D265" s="932"/>
      <c r="E265" s="932"/>
      <c r="F265" s="932"/>
      <c r="G265" s="932"/>
      <c r="H265" s="932"/>
      <c r="I265" s="932"/>
      <c r="J265" s="932"/>
      <c r="K265" s="932"/>
      <c r="L265" s="932"/>
      <c r="M265" s="932"/>
      <c r="N265" s="932"/>
      <c r="O265" s="932"/>
      <c r="P265" s="932"/>
      <c r="Q265" s="932"/>
      <c r="R265" s="932"/>
      <c r="S265" s="932"/>
      <c r="T265" s="932"/>
      <c r="U265" s="932"/>
      <c r="V265" s="932"/>
      <c r="W265" s="932"/>
      <c r="X265" s="932"/>
      <c r="Y265" s="932"/>
      <c r="Z265" s="932"/>
      <c r="AA265" s="932"/>
      <c r="AB265" s="932"/>
      <c r="AC265" s="932"/>
      <c r="AD265" s="932"/>
      <c r="AE265" s="932"/>
      <c r="AF265" s="932"/>
      <c r="AG265" s="932"/>
      <c r="AH265" s="932"/>
      <c r="AI265" s="932"/>
      <c r="AJ265" s="932"/>
      <c r="AK265" s="932"/>
      <c r="AL265" s="932"/>
      <c r="AM265" s="932"/>
      <c r="AN265" s="932"/>
      <c r="AO265" s="932"/>
      <c r="AP265" s="932"/>
      <c r="AQ265" s="932"/>
      <c r="AR265" s="932"/>
      <c r="AS265" s="932"/>
      <c r="AT265" s="932"/>
      <c r="AU265" s="932"/>
      <c r="AV265" s="932"/>
      <c r="AW265" s="932"/>
      <c r="AX265" s="932"/>
      <c r="AY265" s="932"/>
      <c r="AZ265" s="932"/>
      <c r="BA265" s="932"/>
      <c r="BB265" s="932"/>
      <c r="BC265" s="932"/>
      <c r="BD265" s="932"/>
      <c r="BE265" s="932"/>
      <c r="BF265" s="932"/>
    </row>
    <row r="266" spans="2:58" ht="15" x14ac:dyDescent="0.25">
      <c r="B266" s="932"/>
      <c r="C266" s="932"/>
      <c r="D266" s="932"/>
      <c r="E266" s="932"/>
      <c r="F266" s="932"/>
      <c r="G266" s="932"/>
      <c r="H266" s="932"/>
      <c r="I266" s="932"/>
      <c r="J266" s="932"/>
      <c r="K266" s="932"/>
      <c r="L266" s="932"/>
      <c r="M266" s="932"/>
      <c r="N266" s="932"/>
      <c r="O266" s="932"/>
      <c r="P266" s="932"/>
      <c r="Q266" s="932"/>
      <c r="R266" s="932"/>
      <c r="S266" s="932"/>
      <c r="T266" s="932"/>
      <c r="U266" s="932"/>
      <c r="V266" s="932"/>
      <c r="W266" s="932"/>
      <c r="X266" s="932"/>
      <c r="Y266" s="932"/>
      <c r="Z266" s="932"/>
      <c r="AA266" s="932"/>
      <c r="AB266" s="932"/>
      <c r="AC266" s="932"/>
      <c r="AD266" s="932"/>
      <c r="AE266" s="932"/>
      <c r="AF266" s="932"/>
      <c r="AG266" s="932"/>
      <c r="AH266" s="932"/>
      <c r="AI266" s="932"/>
      <c r="AJ266" s="932"/>
      <c r="AK266" s="932"/>
      <c r="AL266" s="932"/>
      <c r="AM266" s="932"/>
      <c r="AN266" s="932"/>
      <c r="AO266" s="932"/>
      <c r="AP266" s="932"/>
      <c r="AQ266" s="932"/>
      <c r="AR266" s="932"/>
      <c r="AS266" s="932"/>
      <c r="AT266" s="932"/>
      <c r="AU266" s="932"/>
      <c r="AV266" s="932"/>
      <c r="AW266" s="932"/>
      <c r="AX266" s="932"/>
      <c r="AY266" s="932"/>
      <c r="AZ266" s="932"/>
      <c r="BA266" s="932"/>
      <c r="BB266" s="932"/>
      <c r="BC266" s="932"/>
      <c r="BD266" s="932"/>
      <c r="BE266" s="932"/>
      <c r="BF266" s="932"/>
    </row>
    <row r="267" spans="2:58" ht="15" x14ac:dyDescent="0.25">
      <c r="B267" s="932"/>
      <c r="C267" s="932"/>
      <c r="D267" s="932"/>
      <c r="E267" s="932"/>
      <c r="F267" s="932"/>
      <c r="G267" s="932"/>
      <c r="H267" s="932"/>
      <c r="I267" s="932"/>
      <c r="J267" s="932"/>
      <c r="K267" s="932"/>
      <c r="L267" s="932"/>
      <c r="M267" s="932"/>
      <c r="N267" s="932"/>
      <c r="O267" s="932"/>
      <c r="P267" s="932"/>
      <c r="Q267" s="932"/>
      <c r="R267" s="932"/>
      <c r="S267" s="932"/>
      <c r="T267" s="932"/>
      <c r="U267" s="932"/>
      <c r="V267" s="932"/>
      <c r="W267" s="932"/>
      <c r="X267" s="932"/>
      <c r="Y267" s="932"/>
      <c r="Z267" s="932"/>
      <c r="AA267" s="932"/>
      <c r="AB267" s="932"/>
      <c r="AC267" s="932"/>
      <c r="AD267" s="932"/>
      <c r="AE267" s="932"/>
      <c r="AF267" s="932"/>
      <c r="AG267" s="932"/>
      <c r="AH267" s="932"/>
      <c r="AI267" s="932"/>
      <c r="AJ267" s="932"/>
      <c r="AK267" s="932"/>
      <c r="AL267" s="932"/>
      <c r="AM267" s="932"/>
      <c r="AN267" s="932"/>
      <c r="AO267" s="932"/>
      <c r="AP267" s="932"/>
      <c r="AQ267" s="932"/>
      <c r="AR267" s="932"/>
      <c r="AS267" s="932"/>
      <c r="AT267" s="932"/>
      <c r="AU267" s="932"/>
      <c r="AV267" s="932"/>
      <c r="AW267" s="932"/>
      <c r="AX267" s="932"/>
      <c r="AY267" s="932"/>
      <c r="AZ267" s="932"/>
      <c r="BA267" s="932"/>
      <c r="BB267" s="932"/>
      <c r="BC267" s="932"/>
      <c r="BD267" s="932"/>
      <c r="BE267" s="932"/>
      <c r="BF267" s="932"/>
    </row>
    <row r="268" spans="2:58" ht="15" x14ac:dyDescent="0.25">
      <c r="B268" s="932"/>
      <c r="C268" s="932"/>
      <c r="D268" s="932"/>
      <c r="E268" s="932"/>
      <c r="F268" s="932"/>
      <c r="G268" s="932"/>
      <c r="H268" s="932"/>
      <c r="I268" s="932"/>
      <c r="J268" s="932"/>
      <c r="K268" s="932"/>
      <c r="L268" s="932"/>
      <c r="M268" s="932"/>
      <c r="N268" s="932"/>
      <c r="O268" s="932"/>
      <c r="P268" s="932"/>
      <c r="Q268" s="932"/>
      <c r="R268" s="932"/>
      <c r="S268" s="932"/>
      <c r="T268" s="932"/>
      <c r="U268" s="932"/>
      <c r="V268" s="932"/>
      <c r="W268" s="932"/>
      <c r="X268" s="932"/>
      <c r="Y268" s="932"/>
      <c r="Z268" s="932"/>
      <c r="AA268" s="932"/>
      <c r="AB268" s="932"/>
      <c r="AC268" s="932"/>
      <c r="AD268" s="932"/>
      <c r="AE268" s="932"/>
      <c r="AF268" s="932"/>
      <c r="AG268" s="932"/>
      <c r="AH268" s="932"/>
      <c r="AI268" s="932"/>
      <c r="AJ268" s="932"/>
      <c r="AK268" s="932"/>
      <c r="AL268" s="932"/>
      <c r="AM268" s="932"/>
      <c r="AN268" s="932"/>
      <c r="AO268" s="932"/>
      <c r="AP268" s="932"/>
      <c r="AQ268" s="932"/>
      <c r="AR268" s="932"/>
      <c r="AS268" s="932"/>
      <c r="AT268" s="932"/>
      <c r="AU268" s="932"/>
      <c r="AV268" s="932"/>
      <c r="AW268" s="932"/>
      <c r="AX268" s="932"/>
      <c r="AY268" s="932"/>
      <c r="AZ268" s="932"/>
      <c r="BA268" s="932"/>
      <c r="BB268" s="932"/>
      <c r="BC268" s="932"/>
      <c r="BD268" s="932"/>
      <c r="BE268" s="932"/>
      <c r="BF268" s="932"/>
    </row>
    <row r="269" spans="2:58" ht="15" x14ac:dyDescent="0.25">
      <c r="B269" s="932"/>
      <c r="C269" s="932"/>
      <c r="D269" s="932"/>
      <c r="E269" s="932"/>
      <c r="F269" s="932"/>
      <c r="G269" s="932"/>
      <c r="H269" s="932"/>
      <c r="I269" s="932"/>
      <c r="J269" s="932"/>
      <c r="K269" s="932"/>
      <c r="L269" s="932"/>
      <c r="M269" s="932"/>
      <c r="N269" s="932"/>
      <c r="O269" s="932"/>
      <c r="P269" s="932"/>
      <c r="Q269" s="932"/>
      <c r="R269" s="932"/>
      <c r="S269" s="932"/>
      <c r="T269" s="932"/>
      <c r="U269" s="932"/>
      <c r="V269" s="932"/>
      <c r="W269" s="932"/>
      <c r="X269" s="932"/>
      <c r="Y269" s="932"/>
      <c r="Z269" s="932"/>
      <c r="AA269" s="932"/>
      <c r="AB269" s="932"/>
      <c r="AC269" s="932"/>
      <c r="AD269" s="932"/>
      <c r="AE269" s="932"/>
      <c r="AF269" s="932"/>
      <c r="AG269" s="932"/>
      <c r="AH269" s="932"/>
      <c r="AI269" s="932"/>
      <c r="AJ269" s="932"/>
      <c r="AK269" s="932"/>
      <c r="AL269" s="932"/>
      <c r="AM269" s="932"/>
      <c r="AN269" s="932"/>
      <c r="AO269" s="932"/>
      <c r="AP269" s="932"/>
      <c r="AQ269" s="932"/>
      <c r="AR269" s="932"/>
      <c r="AS269" s="932"/>
      <c r="AT269" s="932"/>
      <c r="AU269" s="932"/>
      <c r="AV269" s="932"/>
      <c r="AW269" s="932"/>
      <c r="AX269" s="932"/>
      <c r="AY269" s="932"/>
      <c r="AZ269" s="932"/>
      <c r="BA269" s="932"/>
      <c r="BB269" s="932"/>
      <c r="BC269" s="932"/>
      <c r="BD269" s="932"/>
      <c r="BE269" s="932"/>
      <c r="BF269" s="932"/>
    </row>
    <row r="270" spans="2:58" ht="15" x14ac:dyDescent="0.25">
      <c r="B270" s="932"/>
      <c r="C270" s="932"/>
      <c r="D270" s="932"/>
      <c r="E270" s="932"/>
      <c r="F270" s="932"/>
      <c r="G270" s="932"/>
      <c r="H270" s="932"/>
      <c r="I270" s="932"/>
      <c r="J270" s="932"/>
      <c r="K270" s="932"/>
      <c r="L270" s="932"/>
      <c r="M270" s="932"/>
      <c r="N270" s="932"/>
      <c r="O270" s="932"/>
      <c r="P270" s="932"/>
      <c r="Q270" s="932"/>
      <c r="R270" s="932"/>
      <c r="S270" s="932"/>
      <c r="T270" s="932"/>
      <c r="U270" s="932"/>
      <c r="V270" s="932"/>
      <c r="W270" s="932"/>
      <c r="X270" s="932"/>
      <c r="Y270" s="932"/>
      <c r="Z270" s="932"/>
      <c r="AA270" s="932"/>
      <c r="AB270" s="932"/>
      <c r="AC270" s="932"/>
      <c r="AD270" s="932"/>
      <c r="AE270" s="932"/>
      <c r="AF270" s="932"/>
      <c r="AG270" s="932"/>
      <c r="AH270" s="932"/>
      <c r="AI270" s="932"/>
      <c r="AJ270" s="932"/>
      <c r="AK270" s="932"/>
      <c r="AL270" s="932"/>
      <c r="AM270" s="932"/>
      <c r="AN270" s="932"/>
      <c r="AO270" s="932"/>
      <c r="AP270" s="932"/>
      <c r="AQ270" s="932"/>
      <c r="AR270" s="932"/>
      <c r="AS270" s="932"/>
      <c r="AT270" s="932"/>
      <c r="AU270" s="932"/>
      <c r="AV270" s="932"/>
      <c r="AW270" s="932"/>
      <c r="AX270" s="932"/>
      <c r="AY270" s="932"/>
      <c r="AZ270" s="932"/>
      <c r="BA270" s="932"/>
      <c r="BB270" s="932"/>
      <c r="BC270" s="932"/>
      <c r="BD270" s="932"/>
      <c r="BE270" s="932"/>
      <c r="BF270" s="932"/>
    </row>
    <row r="271" spans="2:58" ht="15" x14ac:dyDescent="0.25">
      <c r="B271" s="932"/>
      <c r="C271" s="932"/>
      <c r="D271" s="932"/>
      <c r="E271" s="932"/>
      <c r="F271" s="932"/>
      <c r="G271" s="932"/>
      <c r="H271" s="932"/>
      <c r="I271" s="932"/>
      <c r="J271" s="932"/>
      <c r="K271" s="932"/>
      <c r="L271" s="932"/>
      <c r="M271" s="932"/>
      <c r="N271" s="932"/>
      <c r="O271" s="932"/>
      <c r="P271" s="932"/>
      <c r="Q271" s="932"/>
      <c r="R271" s="932"/>
      <c r="S271" s="932"/>
      <c r="T271" s="932"/>
      <c r="U271" s="932"/>
      <c r="V271" s="932"/>
      <c r="W271" s="932"/>
      <c r="X271" s="932"/>
      <c r="Y271" s="932"/>
      <c r="Z271" s="932"/>
      <c r="AA271" s="932"/>
      <c r="AB271" s="932"/>
      <c r="AC271" s="932"/>
      <c r="AD271" s="932"/>
      <c r="AE271" s="932"/>
      <c r="AF271" s="932"/>
      <c r="AG271" s="932"/>
      <c r="AH271" s="932"/>
      <c r="AI271" s="932"/>
      <c r="AJ271" s="932"/>
      <c r="AK271" s="932"/>
      <c r="AL271" s="932"/>
      <c r="AM271" s="932"/>
      <c r="AN271" s="932"/>
      <c r="AO271" s="932"/>
      <c r="AP271" s="932"/>
      <c r="AQ271" s="932"/>
      <c r="AR271" s="932"/>
      <c r="AS271" s="932"/>
      <c r="AT271" s="932"/>
      <c r="AU271" s="932"/>
      <c r="AV271" s="932"/>
      <c r="AW271" s="932"/>
      <c r="AX271" s="932"/>
      <c r="AY271" s="932"/>
      <c r="AZ271" s="932"/>
      <c r="BA271" s="932"/>
      <c r="BB271" s="932"/>
      <c r="BC271" s="932"/>
      <c r="BD271" s="932"/>
      <c r="BE271" s="932"/>
      <c r="BF271" s="932"/>
    </row>
    <row r="272" spans="2:58" ht="15" x14ac:dyDescent="0.25">
      <c r="B272" s="932"/>
      <c r="C272" s="932"/>
      <c r="D272" s="932"/>
      <c r="E272" s="932"/>
      <c r="F272" s="932"/>
      <c r="G272" s="932"/>
      <c r="H272" s="932"/>
      <c r="I272" s="932"/>
      <c r="J272" s="932"/>
      <c r="K272" s="932"/>
      <c r="L272" s="932"/>
      <c r="M272" s="932"/>
      <c r="N272" s="932"/>
      <c r="O272" s="932"/>
      <c r="P272" s="932"/>
      <c r="Q272" s="932"/>
      <c r="R272" s="932"/>
      <c r="S272" s="932"/>
      <c r="T272" s="932"/>
      <c r="U272" s="932"/>
      <c r="V272" s="932"/>
      <c r="W272" s="932"/>
      <c r="X272" s="932"/>
      <c r="Y272" s="932"/>
      <c r="Z272" s="932"/>
      <c r="AA272" s="932"/>
      <c r="AB272" s="932"/>
      <c r="AC272" s="932"/>
      <c r="AD272" s="932"/>
      <c r="AE272" s="932"/>
      <c r="AF272" s="932"/>
      <c r="AG272" s="932"/>
      <c r="AH272" s="932"/>
      <c r="AI272" s="932"/>
      <c r="AJ272" s="932"/>
      <c r="AK272" s="932"/>
      <c r="AL272" s="932"/>
      <c r="AM272" s="932"/>
      <c r="AN272" s="932"/>
      <c r="AO272" s="932"/>
      <c r="AP272" s="932"/>
      <c r="AQ272" s="932"/>
      <c r="AR272" s="932"/>
      <c r="AS272" s="932"/>
      <c r="AT272" s="932"/>
      <c r="AU272" s="932"/>
      <c r="AV272" s="932"/>
      <c r="AW272" s="932"/>
      <c r="AX272" s="932"/>
      <c r="AY272" s="932"/>
      <c r="AZ272" s="932"/>
      <c r="BA272" s="932"/>
      <c r="BB272" s="932"/>
      <c r="BC272" s="932"/>
      <c r="BD272" s="932"/>
      <c r="BE272" s="932"/>
      <c r="BF272" s="932"/>
    </row>
    <row r="273" spans="2:58" ht="15" x14ac:dyDescent="0.25">
      <c r="B273" s="932"/>
      <c r="C273" s="932"/>
      <c r="D273" s="932"/>
      <c r="E273" s="932"/>
      <c r="F273" s="932"/>
      <c r="G273" s="932"/>
      <c r="H273" s="932"/>
      <c r="I273" s="932"/>
      <c r="J273" s="932"/>
      <c r="K273" s="932"/>
      <c r="L273" s="932"/>
      <c r="M273" s="932"/>
      <c r="N273" s="932"/>
      <c r="O273" s="932"/>
      <c r="P273" s="932"/>
      <c r="Q273" s="932"/>
      <c r="R273" s="932"/>
      <c r="S273" s="932"/>
      <c r="T273" s="932"/>
      <c r="U273" s="932"/>
      <c r="V273" s="932"/>
      <c r="W273" s="932"/>
      <c r="X273" s="932"/>
      <c r="Y273" s="932"/>
      <c r="Z273" s="932"/>
      <c r="AA273" s="932"/>
      <c r="AB273" s="932"/>
      <c r="AC273" s="932"/>
      <c r="AD273" s="932"/>
      <c r="AE273" s="932"/>
      <c r="AF273" s="932"/>
      <c r="AG273" s="932"/>
      <c r="AH273" s="932"/>
      <c r="AI273" s="932"/>
      <c r="AJ273" s="932"/>
      <c r="AK273" s="932"/>
      <c r="AL273" s="932"/>
      <c r="AM273" s="932"/>
      <c r="AN273" s="932"/>
      <c r="AO273" s="932"/>
      <c r="AP273" s="932"/>
      <c r="AQ273" s="932"/>
      <c r="AR273" s="932"/>
      <c r="AS273" s="932"/>
      <c r="AT273" s="932"/>
      <c r="AU273" s="932"/>
      <c r="AV273" s="932"/>
      <c r="AW273" s="932"/>
      <c r="AX273" s="932"/>
      <c r="AY273" s="932"/>
      <c r="AZ273" s="932"/>
      <c r="BA273" s="932"/>
      <c r="BB273" s="932"/>
      <c r="BC273" s="932"/>
      <c r="BD273" s="932"/>
      <c r="BE273" s="932"/>
      <c r="BF273" s="932"/>
    </row>
    <row r="274" spans="2:58" ht="15" x14ac:dyDescent="0.25">
      <c r="B274" s="932"/>
      <c r="C274" s="932"/>
      <c r="D274" s="932"/>
      <c r="E274" s="932"/>
      <c r="F274" s="932"/>
      <c r="G274" s="932"/>
      <c r="H274" s="932"/>
      <c r="I274" s="932"/>
      <c r="J274" s="932"/>
      <c r="K274" s="932"/>
      <c r="L274" s="932"/>
      <c r="M274" s="932"/>
      <c r="N274" s="932"/>
      <c r="O274" s="932"/>
      <c r="P274" s="932"/>
      <c r="Q274" s="932"/>
      <c r="R274" s="932"/>
      <c r="S274" s="932"/>
      <c r="T274" s="932"/>
      <c r="U274" s="932"/>
      <c r="V274" s="932"/>
      <c r="W274" s="932"/>
      <c r="X274" s="932"/>
      <c r="Y274" s="932"/>
      <c r="Z274" s="932"/>
      <c r="AA274" s="932"/>
      <c r="AB274" s="932"/>
      <c r="AC274" s="932"/>
      <c r="AD274" s="932"/>
      <c r="AE274" s="932"/>
      <c r="AF274" s="932"/>
      <c r="AG274" s="932"/>
      <c r="AH274" s="932"/>
      <c r="AI274" s="932"/>
      <c r="AJ274" s="932"/>
      <c r="AK274" s="932"/>
      <c r="AL274" s="932"/>
      <c r="AM274" s="932"/>
      <c r="AN274" s="932"/>
      <c r="AO274" s="932"/>
      <c r="AP274" s="932"/>
      <c r="AQ274" s="932"/>
      <c r="AR274" s="932"/>
      <c r="AS274" s="932"/>
      <c r="AT274" s="932"/>
      <c r="AU274" s="932"/>
      <c r="AV274" s="932"/>
      <c r="AW274" s="932"/>
      <c r="AX274" s="932"/>
      <c r="AY274" s="932"/>
      <c r="AZ274" s="932"/>
      <c r="BA274" s="932"/>
      <c r="BB274" s="932"/>
      <c r="BC274" s="932"/>
      <c r="BD274" s="932"/>
      <c r="BE274" s="932"/>
      <c r="BF274" s="932"/>
    </row>
    <row r="275" spans="2:58" ht="15" x14ac:dyDescent="0.25">
      <c r="B275" s="932"/>
      <c r="C275" s="932"/>
      <c r="D275" s="932"/>
      <c r="E275" s="932"/>
      <c r="F275" s="932"/>
      <c r="G275" s="932"/>
      <c r="H275" s="932"/>
      <c r="I275" s="932"/>
      <c r="J275" s="932"/>
      <c r="K275" s="932"/>
      <c r="L275" s="932"/>
      <c r="M275" s="932"/>
      <c r="N275" s="932"/>
      <c r="O275" s="932"/>
      <c r="P275" s="932"/>
      <c r="Q275" s="932"/>
      <c r="R275" s="932"/>
      <c r="S275" s="932"/>
      <c r="T275" s="932"/>
      <c r="U275" s="932"/>
      <c r="V275" s="932"/>
      <c r="W275" s="932"/>
      <c r="X275" s="932"/>
      <c r="Y275" s="932"/>
      <c r="Z275" s="932"/>
      <c r="AA275" s="932"/>
      <c r="AB275" s="932"/>
      <c r="AC275" s="932"/>
      <c r="AD275" s="932"/>
      <c r="AE275" s="932"/>
      <c r="AF275" s="932"/>
      <c r="AG275" s="932"/>
      <c r="AH275" s="932"/>
      <c r="AI275" s="932"/>
      <c r="AJ275" s="932"/>
      <c r="AK275" s="932"/>
      <c r="AL275" s="932"/>
      <c r="AM275" s="932"/>
      <c r="AN275" s="932"/>
      <c r="AO275" s="932"/>
      <c r="AP275" s="932"/>
      <c r="AQ275" s="932"/>
      <c r="AR275" s="932"/>
      <c r="AS275" s="932"/>
      <c r="AT275" s="932"/>
      <c r="AU275" s="932"/>
      <c r="AV275" s="932"/>
      <c r="AW275" s="932"/>
      <c r="AX275" s="932"/>
      <c r="AY275" s="932"/>
      <c r="AZ275" s="932"/>
      <c r="BA275" s="932"/>
      <c r="BB275" s="932"/>
      <c r="BC275" s="932"/>
      <c r="BD275" s="932"/>
      <c r="BE275" s="932"/>
      <c r="BF275" s="932"/>
    </row>
    <row r="276" spans="2:58" ht="15" x14ac:dyDescent="0.25">
      <c r="B276" s="932"/>
      <c r="C276" s="932"/>
      <c r="D276" s="932"/>
      <c r="E276" s="932"/>
      <c r="F276" s="932"/>
      <c r="G276" s="932"/>
      <c r="H276" s="932"/>
      <c r="I276" s="932"/>
      <c r="J276" s="932"/>
      <c r="K276" s="932"/>
      <c r="L276" s="932"/>
      <c r="M276" s="932"/>
      <c r="N276" s="932"/>
      <c r="O276" s="932"/>
      <c r="P276" s="932"/>
      <c r="Q276" s="932"/>
      <c r="R276" s="932"/>
      <c r="S276" s="932"/>
      <c r="T276" s="932"/>
      <c r="U276" s="932"/>
      <c r="V276" s="932"/>
      <c r="W276" s="932"/>
      <c r="X276" s="932"/>
      <c r="Y276" s="932"/>
      <c r="Z276" s="932"/>
      <c r="AA276" s="932"/>
      <c r="AB276" s="932"/>
      <c r="AC276" s="932"/>
      <c r="AD276" s="932"/>
      <c r="AE276" s="932"/>
      <c r="AF276" s="932"/>
      <c r="AG276" s="932"/>
      <c r="AH276" s="932"/>
      <c r="AI276" s="932"/>
      <c r="AJ276" s="932"/>
      <c r="AK276" s="932"/>
      <c r="AL276" s="932"/>
      <c r="AM276" s="932"/>
      <c r="AN276" s="932"/>
      <c r="AO276" s="932"/>
      <c r="AP276" s="932"/>
      <c r="AQ276" s="932"/>
      <c r="AR276" s="932"/>
      <c r="AS276" s="932"/>
      <c r="AT276" s="932"/>
      <c r="AU276" s="932"/>
      <c r="AV276" s="932"/>
      <c r="AW276" s="932"/>
      <c r="AX276" s="932"/>
      <c r="AY276" s="932"/>
      <c r="AZ276" s="932"/>
      <c r="BA276" s="932"/>
      <c r="BB276" s="932"/>
      <c r="BC276" s="932"/>
      <c r="BD276" s="932"/>
      <c r="BE276" s="932"/>
      <c r="BF276" s="932"/>
    </row>
    <row r="277" spans="2:58" ht="15" x14ac:dyDescent="0.25">
      <c r="B277" s="932"/>
      <c r="C277" s="932"/>
      <c r="D277" s="932"/>
      <c r="E277" s="932"/>
      <c r="F277" s="932"/>
      <c r="G277" s="932"/>
      <c r="H277" s="932"/>
      <c r="I277" s="932"/>
      <c r="J277" s="932"/>
      <c r="K277" s="932"/>
      <c r="L277" s="932"/>
      <c r="M277" s="932"/>
      <c r="N277" s="932"/>
      <c r="O277" s="932"/>
      <c r="P277" s="932"/>
      <c r="Q277" s="932"/>
      <c r="R277" s="932"/>
      <c r="S277" s="932"/>
      <c r="T277" s="932"/>
      <c r="U277" s="932"/>
      <c r="V277" s="932"/>
      <c r="W277" s="932"/>
      <c r="X277" s="932"/>
      <c r="Y277" s="932"/>
      <c r="Z277" s="932"/>
      <c r="AA277" s="932"/>
      <c r="AB277" s="932"/>
      <c r="AC277" s="932"/>
      <c r="AD277" s="932"/>
      <c r="AE277" s="932"/>
      <c r="AF277" s="932"/>
      <c r="AG277" s="932"/>
      <c r="AH277" s="932"/>
      <c r="AI277" s="932"/>
      <c r="AJ277" s="932"/>
      <c r="AK277" s="932"/>
      <c r="AL277" s="932"/>
      <c r="AM277" s="932"/>
      <c r="AN277" s="932"/>
      <c r="AO277" s="932"/>
      <c r="AP277" s="932"/>
      <c r="AQ277" s="932"/>
      <c r="AR277" s="932"/>
      <c r="AS277" s="932"/>
      <c r="AT277" s="932"/>
      <c r="AU277" s="932"/>
      <c r="AV277" s="932"/>
      <c r="AW277" s="932"/>
      <c r="AX277" s="932"/>
      <c r="AY277" s="932"/>
      <c r="AZ277" s="932"/>
      <c r="BA277" s="932"/>
      <c r="BB277" s="932"/>
      <c r="BC277" s="932"/>
      <c r="BD277" s="932"/>
      <c r="BE277" s="932"/>
      <c r="BF277" s="932"/>
    </row>
    <row r="278" spans="2:58" ht="15" x14ac:dyDescent="0.25">
      <c r="B278" s="932"/>
      <c r="C278" s="932"/>
      <c r="D278" s="932"/>
      <c r="E278" s="932"/>
      <c r="F278" s="932"/>
      <c r="G278" s="932"/>
      <c r="H278" s="932"/>
      <c r="I278" s="932"/>
      <c r="J278" s="932"/>
      <c r="K278" s="932"/>
      <c r="L278" s="932"/>
      <c r="M278" s="932"/>
      <c r="N278" s="932"/>
      <c r="O278" s="932"/>
      <c r="P278" s="932"/>
      <c r="Q278" s="932"/>
      <c r="R278" s="932"/>
      <c r="S278" s="932"/>
      <c r="T278" s="932"/>
      <c r="U278" s="932"/>
      <c r="V278" s="932"/>
      <c r="W278" s="932"/>
      <c r="X278" s="932"/>
      <c r="Y278" s="932"/>
      <c r="Z278" s="932"/>
      <c r="AA278" s="932"/>
      <c r="AB278" s="932"/>
      <c r="AC278" s="932"/>
      <c r="AD278" s="932"/>
      <c r="AE278" s="932"/>
      <c r="AF278" s="932"/>
      <c r="AG278" s="932"/>
      <c r="AH278" s="932"/>
      <c r="AI278" s="932"/>
      <c r="AJ278" s="932"/>
      <c r="AK278" s="932"/>
      <c r="AL278" s="932"/>
      <c r="AM278" s="932"/>
      <c r="AN278" s="932"/>
      <c r="AO278" s="932"/>
      <c r="AP278" s="932"/>
      <c r="AQ278" s="932"/>
      <c r="AR278" s="932"/>
      <c r="AS278" s="932"/>
      <c r="AT278" s="932"/>
      <c r="AU278" s="932"/>
      <c r="AV278" s="932"/>
      <c r="AW278" s="932"/>
      <c r="AX278" s="932"/>
      <c r="AY278" s="932"/>
      <c r="AZ278" s="932"/>
      <c r="BA278" s="932"/>
      <c r="BB278" s="932"/>
      <c r="BC278" s="932"/>
      <c r="BD278" s="932"/>
      <c r="BE278" s="932"/>
      <c r="BF278" s="932"/>
    </row>
    <row r="279" spans="2:58" ht="15" x14ac:dyDescent="0.25">
      <c r="B279" s="932"/>
      <c r="C279" s="932"/>
      <c r="D279" s="932"/>
      <c r="E279" s="932"/>
      <c r="F279" s="932"/>
      <c r="G279" s="932"/>
      <c r="H279" s="932"/>
      <c r="I279" s="932"/>
      <c r="J279" s="932"/>
      <c r="K279" s="932"/>
      <c r="L279" s="932"/>
      <c r="M279" s="932"/>
      <c r="N279" s="932"/>
      <c r="O279" s="932"/>
      <c r="P279" s="932"/>
      <c r="Q279" s="932"/>
      <c r="R279" s="932"/>
      <c r="S279" s="932"/>
      <c r="T279" s="932"/>
      <c r="U279" s="932"/>
      <c r="V279" s="932"/>
      <c r="W279" s="932"/>
      <c r="X279" s="932"/>
      <c r="Y279" s="932"/>
      <c r="Z279" s="932"/>
      <c r="AA279" s="932"/>
      <c r="AB279" s="932"/>
      <c r="AC279" s="932"/>
      <c r="AD279" s="932"/>
      <c r="AE279" s="932"/>
      <c r="AF279" s="932"/>
      <c r="AG279" s="932"/>
      <c r="AH279" s="932"/>
      <c r="AI279" s="932"/>
      <c r="AJ279" s="932"/>
      <c r="AK279" s="932"/>
      <c r="AL279" s="932"/>
      <c r="AM279" s="932"/>
      <c r="AN279" s="932"/>
      <c r="AO279" s="932"/>
      <c r="AP279" s="932"/>
      <c r="AQ279" s="932"/>
      <c r="AR279" s="932"/>
      <c r="AS279" s="932"/>
      <c r="AT279" s="932"/>
      <c r="AU279" s="932"/>
      <c r="AV279" s="932"/>
      <c r="AW279" s="932"/>
      <c r="AX279" s="932"/>
      <c r="AY279" s="932"/>
      <c r="AZ279" s="932"/>
      <c r="BA279" s="932"/>
      <c r="BB279" s="932"/>
      <c r="BC279" s="932"/>
      <c r="BD279" s="932"/>
      <c r="BE279" s="932"/>
      <c r="BF279" s="932"/>
    </row>
    <row r="280" spans="2:58" ht="15" x14ac:dyDescent="0.25">
      <c r="B280" s="932"/>
      <c r="C280" s="932"/>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E280" s="932"/>
      <c r="AF280" s="932"/>
      <c r="AG280" s="932"/>
      <c r="AH280" s="932"/>
      <c r="AI280" s="932"/>
      <c r="AJ280" s="932"/>
      <c r="AK280" s="932"/>
      <c r="AL280" s="932"/>
      <c r="AM280" s="932"/>
      <c r="AN280" s="932"/>
      <c r="AO280" s="932"/>
      <c r="AP280" s="932"/>
      <c r="AQ280" s="932"/>
      <c r="AR280" s="932"/>
      <c r="AS280" s="932"/>
      <c r="AT280" s="932"/>
      <c r="AU280" s="932"/>
      <c r="AV280" s="932"/>
      <c r="AW280" s="932"/>
      <c r="AX280" s="932"/>
      <c r="AY280" s="932"/>
      <c r="AZ280" s="932"/>
      <c r="BA280" s="932"/>
      <c r="BB280" s="932"/>
      <c r="BC280" s="932"/>
      <c r="BD280" s="932"/>
      <c r="BE280" s="932"/>
      <c r="BF280" s="932"/>
    </row>
    <row r="281" spans="2:58" ht="15" x14ac:dyDescent="0.25">
      <c r="B281" s="932"/>
      <c r="C281" s="932"/>
      <c r="D281" s="932"/>
      <c r="E281" s="932"/>
      <c r="F281" s="932"/>
      <c r="G281" s="932"/>
      <c r="H281" s="932"/>
      <c r="I281" s="932"/>
      <c r="J281" s="932"/>
      <c r="K281" s="932"/>
      <c r="L281" s="932"/>
      <c r="M281" s="932"/>
      <c r="N281" s="932"/>
      <c r="O281" s="932"/>
      <c r="P281" s="932"/>
      <c r="Q281" s="932"/>
      <c r="R281" s="932"/>
      <c r="S281" s="932"/>
      <c r="T281" s="932"/>
      <c r="U281" s="932"/>
      <c r="V281" s="932"/>
      <c r="W281" s="932"/>
      <c r="X281" s="932"/>
      <c r="Y281" s="932"/>
      <c r="Z281" s="932"/>
      <c r="AA281" s="932"/>
      <c r="AB281" s="932"/>
      <c r="AC281" s="932"/>
      <c r="AD281" s="932"/>
      <c r="AE281" s="932"/>
      <c r="AF281" s="932"/>
      <c r="AG281" s="932"/>
      <c r="AH281" s="932"/>
      <c r="AI281" s="932"/>
      <c r="AJ281" s="932"/>
      <c r="AK281" s="932"/>
      <c r="AL281" s="932"/>
      <c r="AM281" s="932"/>
      <c r="AN281" s="932"/>
      <c r="AO281" s="932"/>
      <c r="AP281" s="932"/>
      <c r="AQ281" s="932"/>
      <c r="AR281" s="932"/>
      <c r="AS281" s="932"/>
      <c r="AT281" s="932"/>
      <c r="AU281" s="932"/>
      <c r="AV281" s="932"/>
      <c r="AW281" s="932"/>
      <c r="AX281" s="932"/>
      <c r="AY281" s="932"/>
      <c r="AZ281" s="932"/>
      <c r="BA281" s="932"/>
      <c r="BB281" s="932"/>
      <c r="BC281" s="932"/>
      <c r="BD281" s="932"/>
      <c r="BE281" s="932"/>
      <c r="BF281" s="932"/>
    </row>
    <row r="282" spans="2:58" ht="15" x14ac:dyDescent="0.25">
      <c r="B282" s="932"/>
      <c r="C282" s="932"/>
      <c r="D282" s="932"/>
      <c r="E282" s="932"/>
      <c r="F282" s="932"/>
      <c r="G282" s="932"/>
      <c r="H282" s="932"/>
      <c r="I282" s="932"/>
      <c r="J282" s="932"/>
      <c r="K282" s="932"/>
      <c r="L282" s="932"/>
      <c r="M282" s="932"/>
      <c r="N282" s="932"/>
      <c r="O282" s="932"/>
      <c r="P282" s="932"/>
      <c r="Q282" s="932"/>
      <c r="R282" s="932"/>
      <c r="S282" s="932"/>
      <c r="T282" s="932"/>
      <c r="U282" s="932"/>
      <c r="V282" s="932"/>
      <c r="W282" s="932"/>
      <c r="X282" s="932"/>
      <c r="Y282" s="932"/>
      <c r="Z282" s="932"/>
      <c r="AA282" s="932"/>
      <c r="AB282" s="932"/>
      <c r="AC282" s="932"/>
      <c r="AD282" s="932"/>
      <c r="AE282" s="932"/>
      <c r="AF282" s="932"/>
      <c r="AG282" s="932"/>
      <c r="AH282" s="932"/>
      <c r="AI282" s="932"/>
      <c r="AJ282" s="932"/>
      <c r="AK282" s="932"/>
      <c r="AL282" s="932"/>
      <c r="AM282" s="932"/>
      <c r="AN282" s="932"/>
      <c r="AO282" s="932"/>
      <c r="AP282" s="932"/>
      <c r="AQ282" s="932"/>
      <c r="AR282" s="932"/>
      <c r="AS282" s="932"/>
      <c r="AT282" s="932"/>
      <c r="AU282" s="932"/>
      <c r="AV282" s="932"/>
      <c r="AW282" s="932"/>
      <c r="AX282" s="932"/>
      <c r="AY282" s="932"/>
      <c r="AZ282" s="932"/>
      <c r="BA282" s="932"/>
      <c r="BB282" s="932"/>
      <c r="BC282" s="932"/>
      <c r="BD282" s="932"/>
      <c r="BE282" s="932"/>
      <c r="BF282" s="932"/>
    </row>
    <row r="283" spans="2:58" ht="15" x14ac:dyDescent="0.25">
      <c r="B283" s="932"/>
      <c r="C283" s="932"/>
      <c r="D283" s="932"/>
      <c r="E283" s="932"/>
      <c r="F283" s="932"/>
      <c r="G283" s="932"/>
      <c r="H283" s="932"/>
      <c r="I283" s="932"/>
      <c r="J283" s="932"/>
      <c r="K283" s="932"/>
      <c r="L283" s="932"/>
      <c r="M283" s="932"/>
      <c r="N283" s="932"/>
      <c r="O283" s="932"/>
      <c r="P283" s="932"/>
      <c r="Q283" s="932"/>
      <c r="R283" s="932"/>
      <c r="S283" s="932"/>
      <c r="T283" s="932"/>
      <c r="U283" s="932"/>
      <c r="V283" s="932"/>
      <c r="W283" s="932"/>
      <c r="X283" s="932"/>
      <c r="Y283" s="932"/>
      <c r="Z283" s="932"/>
      <c r="AA283" s="932"/>
      <c r="AB283" s="932"/>
      <c r="AC283" s="932"/>
      <c r="AD283" s="932"/>
      <c r="AE283" s="932"/>
      <c r="AF283" s="932"/>
      <c r="AG283" s="932"/>
      <c r="AH283" s="932"/>
      <c r="AI283" s="932"/>
      <c r="AJ283" s="932"/>
      <c r="AK283" s="932"/>
      <c r="AL283" s="932"/>
      <c r="AM283" s="932"/>
      <c r="AN283" s="932"/>
      <c r="AO283" s="932"/>
      <c r="AP283" s="932"/>
      <c r="AQ283" s="932"/>
      <c r="AR283" s="932"/>
      <c r="AS283" s="932"/>
      <c r="AT283" s="932"/>
      <c r="AU283" s="932"/>
      <c r="AV283" s="932"/>
      <c r="AW283" s="932"/>
      <c r="AX283" s="932"/>
      <c r="AY283" s="932"/>
      <c r="AZ283" s="932"/>
      <c r="BA283" s="932"/>
      <c r="BB283" s="932"/>
      <c r="BC283" s="932"/>
      <c r="BD283" s="932"/>
      <c r="BE283" s="932"/>
      <c r="BF283" s="932"/>
    </row>
    <row r="284" spans="2:58" ht="15" x14ac:dyDescent="0.25">
      <c r="B284" s="932"/>
      <c r="C284" s="932"/>
      <c r="D284" s="932"/>
      <c r="E284" s="932"/>
      <c r="F284" s="932"/>
      <c r="G284" s="932"/>
      <c r="H284" s="932"/>
      <c r="I284" s="932"/>
      <c r="J284" s="932"/>
      <c r="K284" s="932"/>
      <c r="L284" s="932"/>
      <c r="M284" s="932"/>
      <c r="N284" s="932"/>
      <c r="O284" s="932"/>
      <c r="P284" s="932"/>
      <c r="Q284" s="932"/>
      <c r="R284" s="932"/>
      <c r="S284" s="932"/>
      <c r="T284" s="932"/>
      <c r="U284" s="932"/>
      <c r="V284" s="932"/>
      <c r="W284" s="932"/>
      <c r="X284" s="932"/>
      <c r="Y284" s="932"/>
      <c r="Z284" s="932"/>
      <c r="AA284" s="932"/>
      <c r="AB284" s="932"/>
      <c r="AC284" s="932"/>
      <c r="AD284" s="932"/>
      <c r="AE284" s="932"/>
      <c r="AF284" s="932"/>
      <c r="AG284" s="932"/>
      <c r="AH284" s="932"/>
      <c r="AI284" s="932"/>
      <c r="AJ284" s="932"/>
      <c r="AK284" s="932"/>
      <c r="AL284" s="932"/>
      <c r="AM284" s="932"/>
      <c r="AN284" s="932"/>
      <c r="AO284" s="932"/>
      <c r="AP284" s="932"/>
      <c r="AQ284" s="932"/>
      <c r="AR284" s="932"/>
      <c r="AS284" s="932"/>
      <c r="AT284" s="932"/>
      <c r="AU284" s="932"/>
      <c r="AV284" s="932"/>
      <c r="AW284" s="932"/>
      <c r="AX284" s="932"/>
      <c r="AY284" s="932"/>
      <c r="AZ284" s="932"/>
      <c r="BA284" s="932"/>
      <c r="BB284" s="932"/>
      <c r="BC284" s="932"/>
      <c r="BD284" s="932"/>
      <c r="BE284" s="932"/>
      <c r="BF284" s="932"/>
    </row>
    <row r="285" spans="2:58" ht="15" x14ac:dyDescent="0.25">
      <c r="B285" s="932"/>
      <c r="C285" s="932"/>
      <c r="D285" s="932"/>
      <c r="E285" s="932"/>
      <c r="F285" s="932"/>
      <c r="G285" s="932"/>
      <c r="H285" s="932"/>
      <c r="I285" s="932"/>
      <c r="J285" s="932"/>
      <c r="K285" s="932"/>
      <c r="L285" s="932"/>
      <c r="M285" s="932"/>
      <c r="N285" s="932"/>
      <c r="O285" s="932"/>
      <c r="P285" s="932"/>
      <c r="Q285" s="932"/>
      <c r="R285" s="932"/>
      <c r="S285" s="932"/>
      <c r="T285" s="932"/>
      <c r="U285" s="932"/>
      <c r="V285" s="932"/>
      <c r="W285" s="932"/>
      <c r="X285" s="932"/>
      <c r="Y285" s="932"/>
      <c r="Z285" s="932"/>
      <c r="AA285" s="932"/>
      <c r="AB285" s="932"/>
      <c r="AC285" s="932"/>
      <c r="AD285" s="932"/>
      <c r="AE285" s="932"/>
      <c r="AF285" s="932"/>
      <c r="AG285" s="932"/>
      <c r="AH285" s="932"/>
      <c r="AI285" s="932"/>
      <c r="AJ285" s="932"/>
      <c r="AK285" s="932"/>
      <c r="AL285" s="932"/>
      <c r="AM285" s="932"/>
      <c r="AN285" s="932"/>
      <c r="AO285" s="932"/>
      <c r="AP285" s="932"/>
      <c r="AQ285" s="932"/>
      <c r="AR285" s="932"/>
      <c r="AS285" s="932"/>
      <c r="AT285" s="932"/>
      <c r="AU285" s="932"/>
      <c r="AV285" s="932"/>
      <c r="AW285" s="932"/>
      <c r="AX285" s="932"/>
      <c r="AY285" s="932"/>
      <c r="AZ285" s="932"/>
      <c r="BA285" s="932"/>
      <c r="BB285" s="932"/>
      <c r="BC285" s="932"/>
      <c r="BD285" s="932"/>
      <c r="BE285" s="932"/>
      <c r="BF285" s="932"/>
    </row>
    <row r="286" spans="2:58" ht="15" x14ac:dyDescent="0.25">
      <c r="B286" s="932"/>
      <c r="C286" s="932"/>
      <c r="D286" s="932"/>
      <c r="E286" s="932"/>
      <c r="F286" s="932"/>
      <c r="G286" s="932"/>
      <c r="H286" s="932"/>
      <c r="I286" s="932"/>
      <c r="J286" s="932"/>
      <c r="K286" s="932"/>
      <c r="L286" s="932"/>
      <c r="M286" s="932"/>
      <c r="N286" s="932"/>
      <c r="O286" s="932"/>
      <c r="P286" s="932"/>
      <c r="Q286" s="932"/>
      <c r="R286" s="932"/>
      <c r="S286" s="932"/>
      <c r="T286" s="932"/>
      <c r="U286" s="932"/>
      <c r="V286" s="932"/>
      <c r="W286" s="932"/>
      <c r="X286" s="932"/>
      <c r="Y286" s="932"/>
      <c r="Z286" s="932"/>
      <c r="AA286" s="932"/>
      <c r="AB286" s="932"/>
      <c r="AC286" s="932"/>
      <c r="AD286" s="932"/>
      <c r="AE286" s="932"/>
      <c r="AF286" s="932"/>
      <c r="AG286" s="932"/>
      <c r="AH286" s="932"/>
      <c r="AI286" s="932"/>
      <c r="AJ286" s="932"/>
      <c r="AK286" s="932"/>
      <c r="AL286" s="932"/>
      <c r="AM286" s="932"/>
      <c r="AN286" s="932"/>
      <c r="AO286" s="932"/>
      <c r="AP286" s="932"/>
      <c r="AQ286" s="932"/>
      <c r="AR286" s="932"/>
      <c r="AS286" s="932"/>
      <c r="AT286" s="932"/>
      <c r="AU286" s="932"/>
      <c r="AV286" s="932"/>
      <c r="AW286" s="932"/>
      <c r="AX286" s="932"/>
      <c r="AY286" s="932"/>
      <c r="AZ286" s="932"/>
      <c r="BA286" s="932"/>
      <c r="BB286" s="932"/>
      <c r="BC286" s="932"/>
      <c r="BD286" s="932"/>
      <c r="BE286" s="932"/>
      <c r="BF286" s="932"/>
    </row>
    <row r="287" spans="2:58" ht="15" x14ac:dyDescent="0.25">
      <c r="B287" s="932"/>
      <c r="C287" s="932"/>
      <c r="D287" s="932"/>
      <c r="E287" s="932"/>
      <c r="F287" s="932"/>
      <c r="G287" s="932"/>
      <c r="H287" s="932"/>
      <c r="I287" s="932"/>
      <c r="J287" s="932"/>
      <c r="K287" s="932"/>
      <c r="L287" s="932"/>
      <c r="M287" s="932"/>
      <c r="N287" s="932"/>
      <c r="O287" s="932"/>
      <c r="P287" s="932"/>
      <c r="Q287" s="932"/>
      <c r="R287" s="932"/>
      <c r="S287" s="932"/>
      <c r="T287" s="932"/>
      <c r="U287" s="932"/>
      <c r="V287" s="932"/>
      <c r="W287" s="932"/>
      <c r="X287" s="932"/>
      <c r="Y287" s="932"/>
      <c r="Z287" s="932"/>
      <c r="AA287" s="932"/>
      <c r="AB287" s="932"/>
      <c r="AC287" s="932"/>
      <c r="AD287" s="932"/>
      <c r="AE287" s="932"/>
      <c r="AF287" s="932"/>
      <c r="AG287" s="932"/>
      <c r="AH287" s="932"/>
      <c r="AI287" s="932"/>
      <c r="AJ287" s="932"/>
      <c r="AK287" s="932"/>
      <c r="AL287" s="932"/>
      <c r="AM287" s="932"/>
      <c r="AN287" s="932"/>
      <c r="AO287" s="932"/>
      <c r="AP287" s="932"/>
      <c r="AQ287" s="932"/>
      <c r="AR287" s="932"/>
      <c r="AS287" s="932"/>
      <c r="AT287" s="932"/>
      <c r="AU287" s="932"/>
      <c r="AV287" s="932"/>
      <c r="AW287" s="932"/>
      <c r="AX287" s="932"/>
      <c r="AY287" s="932"/>
      <c r="AZ287" s="932"/>
      <c r="BA287" s="932"/>
      <c r="BB287" s="932"/>
      <c r="BC287" s="932"/>
      <c r="BD287" s="932"/>
      <c r="BE287" s="932"/>
      <c r="BF287" s="932"/>
    </row>
    <row r="288" spans="2:58" ht="15" x14ac:dyDescent="0.25">
      <c r="B288" s="932"/>
      <c r="C288" s="932"/>
      <c r="D288" s="932"/>
      <c r="E288" s="932"/>
      <c r="F288" s="932"/>
      <c r="G288" s="932"/>
      <c r="H288" s="932"/>
      <c r="I288" s="932"/>
      <c r="J288" s="932"/>
      <c r="K288" s="932"/>
      <c r="L288" s="932"/>
      <c r="M288" s="932"/>
      <c r="N288" s="932"/>
      <c r="O288" s="932"/>
      <c r="P288" s="932"/>
      <c r="Q288" s="932"/>
      <c r="R288" s="932"/>
      <c r="S288" s="932"/>
      <c r="T288" s="932"/>
      <c r="U288" s="932"/>
      <c r="V288" s="932"/>
      <c r="W288" s="932"/>
      <c r="X288" s="932"/>
      <c r="Y288" s="932"/>
      <c r="Z288" s="932"/>
      <c r="AA288" s="932"/>
      <c r="AB288" s="932"/>
      <c r="AC288" s="932"/>
      <c r="AD288" s="932"/>
      <c r="AE288" s="932"/>
      <c r="AF288" s="932"/>
      <c r="AG288" s="932"/>
      <c r="AH288" s="932"/>
      <c r="AI288" s="932"/>
      <c r="AJ288" s="932"/>
      <c r="AK288" s="932"/>
      <c r="AL288" s="932"/>
      <c r="AM288" s="932"/>
      <c r="AN288" s="932"/>
      <c r="AO288" s="932"/>
      <c r="AP288" s="932"/>
      <c r="AQ288" s="932"/>
      <c r="AR288" s="932"/>
      <c r="AS288" s="932"/>
      <c r="AT288" s="932"/>
      <c r="AU288" s="932"/>
      <c r="AV288" s="932"/>
      <c r="AW288" s="932"/>
      <c r="AX288" s="932"/>
      <c r="AY288" s="932"/>
      <c r="AZ288" s="932"/>
      <c r="BA288" s="932"/>
      <c r="BB288" s="932"/>
      <c r="BC288" s="932"/>
      <c r="BD288" s="932"/>
      <c r="BE288" s="932"/>
      <c r="BF288" s="932"/>
    </row>
    <row r="289" spans="2:58" ht="15" x14ac:dyDescent="0.25">
      <c r="B289" s="932"/>
      <c r="C289" s="932"/>
      <c r="D289" s="932"/>
      <c r="E289" s="932"/>
      <c r="F289" s="932"/>
      <c r="G289" s="932"/>
      <c r="H289" s="932"/>
      <c r="I289" s="932"/>
      <c r="J289" s="932"/>
      <c r="K289" s="932"/>
      <c r="L289" s="932"/>
      <c r="M289" s="932"/>
      <c r="N289" s="932"/>
      <c r="O289" s="932"/>
      <c r="P289" s="932"/>
      <c r="Q289" s="932"/>
      <c r="R289" s="932"/>
      <c r="S289" s="932"/>
      <c r="T289" s="932"/>
      <c r="U289" s="932"/>
      <c r="V289" s="932"/>
      <c r="W289" s="932"/>
      <c r="X289" s="932"/>
      <c r="Y289" s="932"/>
      <c r="Z289" s="932"/>
      <c r="AA289" s="932"/>
      <c r="AB289" s="932"/>
      <c r="AC289" s="932"/>
      <c r="AD289" s="932"/>
      <c r="AE289" s="932"/>
      <c r="AF289" s="932"/>
      <c r="AG289" s="932"/>
      <c r="AH289" s="932"/>
      <c r="AI289" s="932"/>
      <c r="AJ289" s="932"/>
      <c r="AK289" s="932"/>
      <c r="AL289" s="932"/>
      <c r="AM289" s="932"/>
      <c r="AN289" s="932"/>
      <c r="AO289" s="932"/>
      <c r="AP289" s="932"/>
      <c r="AQ289" s="932"/>
      <c r="AR289" s="932"/>
      <c r="AS289" s="932"/>
      <c r="AT289" s="932"/>
      <c r="AU289" s="932"/>
      <c r="AV289" s="932"/>
      <c r="AW289" s="932"/>
      <c r="AX289" s="932"/>
      <c r="AY289" s="932"/>
      <c r="AZ289" s="932"/>
      <c r="BA289" s="932"/>
      <c r="BB289" s="932"/>
      <c r="BC289" s="932"/>
      <c r="BD289" s="932"/>
      <c r="BE289" s="932"/>
      <c r="BF289" s="932"/>
    </row>
    <row r="290" spans="2:58" ht="15" x14ac:dyDescent="0.25">
      <c r="B290" s="932"/>
      <c r="C290" s="932"/>
      <c r="D290" s="932"/>
      <c r="E290" s="932"/>
      <c r="F290" s="932"/>
      <c r="G290" s="932"/>
      <c r="H290" s="932"/>
      <c r="I290" s="932"/>
      <c r="J290" s="932"/>
      <c r="K290" s="932"/>
      <c r="L290" s="932"/>
      <c r="M290" s="932"/>
      <c r="N290" s="932"/>
      <c r="O290" s="932"/>
      <c r="P290" s="932"/>
      <c r="Q290" s="932"/>
      <c r="R290" s="932"/>
      <c r="S290" s="932"/>
      <c r="T290" s="932"/>
      <c r="U290" s="932"/>
      <c r="V290" s="932"/>
      <c r="W290" s="932"/>
      <c r="X290" s="932"/>
      <c r="Y290" s="932"/>
      <c r="Z290" s="932"/>
      <c r="AA290" s="932"/>
      <c r="AB290" s="932"/>
      <c r="AC290" s="932"/>
      <c r="AD290" s="932"/>
      <c r="AE290" s="932"/>
      <c r="AF290" s="932"/>
      <c r="AG290" s="932"/>
      <c r="AH290" s="932"/>
      <c r="AI290" s="932"/>
      <c r="AJ290" s="932"/>
      <c r="AK290" s="932"/>
      <c r="AL290" s="932"/>
      <c r="AM290" s="932"/>
      <c r="AN290" s="932"/>
      <c r="AO290" s="932"/>
      <c r="AP290" s="932"/>
      <c r="AQ290" s="932"/>
      <c r="AR290" s="932"/>
      <c r="AS290" s="932"/>
      <c r="AT290" s="932"/>
      <c r="AU290" s="932"/>
      <c r="AV290" s="932"/>
      <c r="AW290" s="932"/>
      <c r="AX290" s="932"/>
      <c r="AY290" s="932"/>
      <c r="AZ290" s="932"/>
      <c r="BA290" s="932"/>
      <c r="BB290" s="932"/>
      <c r="BC290" s="932"/>
      <c r="BD290" s="932"/>
      <c r="BE290" s="932"/>
      <c r="BF290" s="932"/>
    </row>
    <row r="291" spans="2:58" ht="15" x14ac:dyDescent="0.25">
      <c r="B291" s="932"/>
      <c r="C291" s="932"/>
      <c r="D291" s="932"/>
      <c r="E291" s="932"/>
      <c r="F291" s="932"/>
      <c r="G291" s="932"/>
      <c r="H291" s="932"/>
      <c r="I291" s="932"/>
      <c r="J291" s="932"/>
      <c r="K291" s="932"/>
      <c r="L291" s="932"/>
      <c r="M291" s="932"/>
      <c r="N291" s="932"/>
      <c r="O291" s="932"/>
      <c r="P291" s="932"/>
      <c r="Q291" s="932"/>
      <c r="R291" s="932"/>
      <c r="S291" s="932"/>
      <c r="T291" s="932"/>
      <c r="U291" s="932"/>
      <c r="V291" s="932"/>
      <c r="W291" s="932"/>
      <c r="X291" s="932"/>
      <c r="Y291" s="932"/>
      <c r="Z291" s="932"/>
      <c r="AA291" s="932"/>
      <c r="AB291" s="932"/>
      <c r="AC291" s="932"/>
      <c r="AD291" s="932"/>
      <c r="AE291" s="932"/>
      <c r="AF291" s="932"/>
      <c r="AG291" s="932"/>
      <c r="AH291" s="932"/>
      <c r="AI291" s="932"/>
      <c r="AJ291" s="932"/>
      <c r="AK291" s="932"/>
      <c r="AL291" s="932"/>
      <c r="AM291" s="932"/>
      <c r="AN291" s="932"/>
      <c r="AO291" s="932"/>
      <c r="AP291" s="932"/>
      <c r="AQ291" s="932"/>
      <c r="AR291" s="932"/>
      <c r="AS291" s="932"/>
      <c r="AT291" s="932"/>
      <c r="AU291" s="932"/>
      <c r="AV291" s="932"/>
      <c r="AW291" s="932"/>
      <c r="AX291" s="932"/>
      <c r="AY291" s="932"/>
      <c r="AZ291" s="932"/>
      <c r="BA291" s="932"/>
      <c r="BB291" s="932"/>
      <c r="BC291" s="932"/>
      <c r="BD291" s="932"/>
      <c r="BE291" s="932"/>
      <c r="BF291" s="932"/>
    </row>
    <row r="292" spans="2:58" ht="15" x14ac:dyDescent="0.25">
      <c r="B292" s="932"/>
      <c r="C292" s="932"/>
      <c r="D292" s="932"/>
      <c r="E292" s="932"/>
      <c r="F292" s="932"/>
      <c r="G292" s="932"/>
      <c r="H292" s="932"/>
      <c r="I292" s="932"/>
      <c r="J292" s="932"/>
      <c r="K292" s="932"/>
      <c r="L292" s="932"/>
      <c r="M292" s="932"/>
      <c r="N292" s="932"/>
      <c r="O292" s="932"/>
      <c r="P292" s="932"/>
      <c r="Q292" s="932"/>
      <c r="R292" s="932"/>
      <c r="S292" s="932"/>
      <c r="T292" s="932"/>
      <c r="U292" s="932"/>
      <c r="V292" s="932"/>
      <c r="W292" s="932"/>
      <c r="X292" s="932"/>
      <c r="Y292" s="932"/>
      <c r="Z292" s="932"/>
      <c r="AA292" s="932"/>
      <c r="AB292" s="932"/>
      <c r="AC292" s="932"/>
      <c r="AD292" s="932"/>
      <c r="AE292" s="932"/>
      <c r="AF292" s="932"/>
      <c r="AG292" s="932"/>
      <c r="AH292" s="932"/>
      <c r="AI292" s="932"/>
      <c r="AJ292" s="932"/>
      <c r="AK292" s="932"/>
      <c r="AL292" s="932"/>
      <c r="AM292" s="932"/>
      <c r="AN292" s="932"/>
      <c r="AO292" s="932"/>
      <c r="AP292" s="932"/>
      <c r="AQ292" s="932"/>
      <c r="AR292" s="932"/>
      <c r="AS292" s="932"/>
      <c r="AT292" s="932"/>
      <c r="AU292" s="932"/>
      <c r="AV292" s="932"/>
      <c r="AW292" s="932"/>
      <c r="AX292" s="932"/>
      <c r="AY292" s="932"/>
      <c r="AZ292" s="932"/>
      <c r="BA292" s="932"/>
      <c r="BB292" s="932"/>
      <c r="BC292" s="932"/>
      <c r="BD292" s="932"/>
      <c r="BE292" s="932"/>
      <c r="BF292" s="932"/>
    </row>
    <row r="293" spans="2:58" ht="15" x14ac:dyDescent="0.25">
      <c r="B293" s="932"/>
      <c r="C293" s="932"/>
      <c r="D293" s="932"/>
      <c r="E293" s="932"/>
      <c r="F293" s="932"/>
      <c r="G293" s="932"/>
      <c r="H293" s="932"/>
      <c r="I293" s="932"/>
      <c r="J293" s="932"/>
      <c r="K293" s="932"/>
      <c r="L293" s="932"/>
      <c r="M293" s="932"/>
      <c r="N293" s="932"/>
      <c r="O293" s="932"/>
      <c r="P293" s="932"/>
      <c r="Q293" s="932"/>
      <c r="R293" s="932"/>
      <c r="S293" s="932"/>
      <c r="T293" s="932"/>
      <c r="U293" s="932"/>
      <c r="V293" s="932"/>
      <c r="W293" s="932"/>
      <c r="X293" s="932"/>
      <c r="Y293" s="932"/>
      <c r="Z293" s="932"/>
      <c r="AA293" s="932"/>
      <c r="AB293" s="932"/>
      <c r="AC293" s="932"/>
      <c r="AD293" s="932"/>
      <c r="AE293" s="932"/>
      <c r="AF293" s="932"/>
      <c r="AG293" s="932"/>
      <c r="AH293" s="932"/>
      <c r="AI293" s="932"/>
      <c r="AJ293" s="932"/>
      <c r="AK293" s="932"/>
      <c r="AL293" s="932"/>
      <c r="AM293" s="932"/>
      <c r="AN293" s="932"/>
      <c r="AO293" s="932"/>
      <c r="AP293" s="932"/>
      <c r="AQ293" s="932"/>
      <c r="AR293" s="932"/>
      <c r="AS293" s="932"/>
      <c r="AT293" s="932"/>
      <c r="AU293" s="932"/>
      <c r="AV293" s="932"/>
      <c r="AW293" s="932"/>
      <c r="AX293" s="932"/>
      <c r="AY293" s="932"/>
      <c r="AZ293" s="932"/>
      <c r="BA293" s="932"/>
      <c r="BB293" s="932"/>
      <c r="BC293" s="932"/>
      <c r="BD293" s="932"/>
      <c r="BE293" s="932"/>
      <c r="BF293" s="932"/>
    </row>
    <row r="294" spans="2:58" ht="15" x14ac:dyDescent="0.25">
      <c r="B294" s="932"/>
      <c r="C294" s="932"/>
      <c r="D294" s="932"/>
      <c r="E294" s="932"/>
      <c r="F294" s="932"/>
      <c r="G294" s="932"/>
      <c r="H294" s="932"/>
      <c r="I294" s="932"/>
      <c r="J294" s="932"/>
      <c r="K294" s="932"/>
      <c r="L294" s="932"/>
      <c r="M294" s="932"/>
      <c r="N294" s="932"/>
      <c r="O294" s="932"/>
      <c r="P294" s="932"/>
      <c r="Q294" s="932"/>
      <c r="R294" s="932"/>
      <c r="S294" s="932"/>
      <c r="T294" s="932"/>
      <c r="U294" s="932"/>
      <c r="V294" s="932"/>
      <c r="W294" s="932"/>
      <c r="X294" s="932"/>
      <c r="Y294" s="932"/>
      <c r="Z294" s="932"/>
      <c r="AA294" s="932"/>
      <c r="AB294" s="932"/>
      <c r="AC294" s="932"/>
      <c r="AD294" s="932"/>
      <c r="AE294" s="932"/>
      <c r="AF294" s="932"/>
      <c r="AG294" s="932"/>
      <c r="AH294" s="932"/>
      <c r="AI294" s="932"/>
      <c r="AJ294" s="932"/>
      <c r="AK294" s="932"/>
      <c r="AL294" s="932"/>
      <c r="AM294" s="932"/>
      <c r="AN294" s="932"/>
      <c r="AO294" s="932"/>
      <c r="AP294" s="932"/>
      <c r="AQ294" s="932"/>
      <c r="AR294" s="932"/>
      <c r="AS294" s="932"/>
      <c r="AT294" s="932"/>
      <c r="AU294" s="932"/>
      <c r="AV294" s="932"/>
      <c r="AW294" s="932"/>
      <c r="AX294" s="932"/>
      <c r="AY294" s="932"/>
      <c r="AZ294" s="932"/>
      <c r="BA294" s="932"/>
      <c r="BB294" s="932"/>
      <c r="BC294" s="932"/>
      <c r="BD294" s="932"/>
      <c r="BE294" s="932"/>
      <c r="BF294" s="932"/>
    </row>
    <row r="295" spans="2:58" ht="15" x14ac:dyDescent="0.25">
      <c r="B295" s="932"/>
      <c r="C295" s="932"/>
      <c r="D295" s="932"/>
      <c r="E295" s="932"/>
      <c r="F295" s="932"/>
      <c r="G295" s="932"/>
      <c r="H295" s="932"/>
      <c r="I295" s="932"/>
      <c r="J295" s="932"/>
      <c r="K295" s="932"/>
      <c r="L295" s="932"/>
      <c r="M295" s="932"/>
      <c r="N295" s="932"/>
      <c r="O295" s="932"/>
      <c r="P295" s="932"/>
      <c r="Q295" s="932"/>
      <c r="R295" s="932"/>
      <c r="S295" s="932"/>
      <c r="T295" s="932"/>
      <c r="U295" s="932"/>
      <c r="V295" s="932"/>
      <c r="W295" s="932"/>
      <c r="X295" s="932"/>
      <c r="Y295" s="932"/>
      <c r="Z295" s="932"/>
      <c r="AA295" s="932"/>
      <c r="AB295" s="932"/>
      <c r="AC295" s="932"/>
      <c r="AD295" s="932"/>
      <c r="AE295" s="932"/>
      <c r="AF295" s="932"/>
      <c r="AG295" s="932"/>
      <c r="AH295" s="932"/>
      <c r="AI295" s="932"/>
      <c r="AJ295" s="932"/>
      <c r="AK295" s="932"/>
      <c r="AL295" s="932"/>
      <c r="AM295" s="932"/>
      <c r="AN295" s="932"/>
      <c r="AO295" s="932"/>
      <c r="AP295" s="932"/>
      <c r="AQ295" s="932"/>
      <c r="AR295" s="932"/>
      <c r="AS295" s="932"/>
      <c r="AT295" s="932"/>
      <c r="AU295" s="932"/>
      <c r="AV295" s="932"/>
      <c r="AW295" s="932"/>
      <c r="AX295" s="932"/>
      <c r="AY295" s="932"/>
      <c r="AZ295" s="932"/>
      <c r="BA295" s="932"/>
      <c r="BB295" s="932"/>
      <c r="BC295" s="932"/>
      <c r="BD295" s="932"/>
      <c r="BE295" s="932"/>
      <c r="BF295" s="932"/>
    </row>
    <row r="296" spans="2:58" ht="15" x14ac:dyDescent="0.25">
      <c r="B296" s="932"/>
      <c r="C296" s="932"/>
      <c r="D296" s="932"/>
      <c r="E296" s="932"/>
      <c r="F296" s="932"/>
      <c r="G296" s="932"/>
      <c r="H296" s="932"/>
      <c r="I296" s="932"/>
      <c r="J296" s="932"/>
      <c r="K296" s="932"/>
      <c r="L296" s="932"/>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2"/>
      <c r="AK296" s="932"/>
      <c r="AL296" s="932"/>
      <c r="AM296" s="932"/>
      <c r="AN296" s="932"/>
      <c r="AO296" s="932"/>
      <c r="AP296" s="932"/>
      <c r="AQ296" s="932"/>
      <c r="AR296" s="932"/>
      <c r="AS296" s="932"/>
      <c r="AT296" s="932"/>
      <c r="AU296" s="932"/>
      <c r="AV296" s="932"/>
      <c r="AW296" s="932"/>
      <c r="AX296" s="932"/>
      <c r="AY296" s="932"/>
      <c r="AZ296" s="932"/>
      <c r="BA296" s="932"/>
      <c r="BB296" s="932"/>
      <c r="BC296" s="932"/>
      <c r="BD296" s="932"/>
      <c r="BE296" s="932"/>
      <c r="BF296" s="932"/>
    </row>
    <row r="297" spans="2:58" ht="15" x14ac:dyDescent="0.25">
      <c r="B297" s="932"/>
      <c r="C297" s="932"/>
      <c r="D297" s="932"/>
      <c r="E297" s="932"/>
      <c r="F297" s="932"/>
      <c r="G297" s="932"/>
      <c r="H297" s="932"/>
      <c r="I297" s="932"/>
      <c r="J297" s="932"/>
      <c r="K297" s="932"/>
      <c r="L297" s="932"/>
      <c r="M297" s="932"/>
      <c r="N297" s="932"/>
      <c r="O297" s="932"/>
      <c r="P297" s="932"/>
      <c r="Q297" s="932"/>
      <c r="R297" s="932"/>
      <c r="S297" s="932"/>
      <c r="T297" s="932"/>
      <c r="U297" s="932"/>
      <c r="V297" s="932"/>
      <c r="W297" s="932"/>
      <c r="X297" s="932"/>
      <c r="Y297" s="932"/>
      <c r="Z297" s="932"/>
      <c r="AA297" s="932"/>
      <c r="AB297" s="932"/>
      <c r="AC297" s="932"/>
      <c r="AD297" s="932"/>
      <c r="AE297" s="932"/>
      <c r="AF297" s="932"/>
      <c r="AG297" s="932"/>
      <c r="AH297" s="932"/>
      <c r="AI297" s="932"/>
      <c r="AJ297" s="932"/>
      <c r="AK297" s="932"/>
      <c r="AL297" s="932"/>
      <c r="AM297" s="932"/>
      <c r="AN297" s="932"/>
      <c r="AO297" s="932"/>
      <c r="AP297" s="932"/>
      <c r="AQ297" s="932"/>
      <c r="AR297" s="932"/>
      <c r="AS297" s="932"/>
      <c r="AT297" s="932"/>
      <c r="AU297" s="932"/>
      <c r="AV297" s="932"/>
      <c r="AW297" s="932"/>
      <c r="AX297" s="932"/>
      <c r="AY297" s="932"/>
      <c r="AZ297" s="932"/>
      <c r="BA297" s="932"/>
      <c r="BB297" s="932"/>
      <c r="BC297" s="932"/>
      <c r="BD297" s="932"/>
      <c r="BE297" s="932"/>
      <c r="BF297" s="932"/>
    </row>
    <row r="298" spans="2:58" ht="15" x14ac:dyDescent="0.25">
      <c r="B298" s="932"/>
      <c r="C298" s="932"/>
      <c r="D298" s="932"/>
      <c r="E298" s="932"/>
      <c r="F298" s="932"/>
      <c r="G298" s="932"/>
      <c r="H298" s="932"/>
      <c r="I298" s="932"/>
      <c r="J298" s="932"/>
      <c r="K298" s="932"/>
      <c r="L298" s="932"/>
      <c r="M298" s="932"/>
      <c r="N298" s="932"/>
      <c r="O298" s="932"/>
      <c r="P298" s="932"/>
      <c r="Q298" s="932"/>
      <c r="R298" s="932"/>
      <c r="S298" s="932"/>
      <c r="T298" s="932"/>
      <c r="U298" s="932"/>
      <c r="V298" s="932"/>
      <c r="W298" s="932"/>
      <c r="X298" s="932"/>
      <c r="Y298" s="932"/>
      <c r="Z298" s="932"/>
      <c r="AA298" s="932"/>
      <c r="AB298" s="932"/>
      <c r="AC298" s="932"/>
      <c r="AD298" s="932"/>
      <c r="AE298" s="932"/>
      <c r="AF298" s="932"/>
      <c r="AG298" s="932"/>
      <c r="AH298" s="932"/>
      <c r="AI298" s="932"/>
      <c r="AJ298" s="932"/>
      <c r="AK298" s="932"/>
      <c r="AL298" s="932"/>
      <c r="AM298" s="932"/>
      <c r="AN298" s="932"/>
      <c r="AO298" s="932"/>
      <c r="AP298" s="932"/>
      <c r="AQ298" s="932"/>
      <c r="AR298" s="932"/>
      <c r="AS298" s="932"/>
      <c r="AT298" s="932"/>
      <c r="AU298" s="932"/>
      <c r="AV298" s="932"/>
      <c r="AW298" s="932"/>
      <c r="AX298" s="932"/>
      <c r="AY298" s="932"/>
      <c r="AZ298" s="932"/>
      <c r="BA298" s="932"/>
      <c r="BB298" s="932"/>
      <c r="BC298" s="932"/>
      <c r="BD298" s="932"/>
      <c r="BE298" s="932"/>
      <c r="BF298" s="932"/>
    </row>
    <row r="299" spans="2:58" ht="15" x14ac:dyDescent="0.25">
      <c r="B299" s="932"/>
      <c r="C299" s="932"/>
      <c r="D299" s="932"/>
      <c r="E299" s="932"/>
      <c r="F299" s="932"/>
      <c r="G299" s="932"/>
      <c r="H299" s="932"/>
      <c r="I299" s="932"/>
      <c r="J299" s="932"/>
      <c r="K299" s="932"/>
      <c r="L299" s="932"/>
      <c r="M299" s="932"/>
      <c r="N299" s="932"/>
      <c r="O299" s="932"/>
      <c r="P299" s="932"/>
      <c r="Q299" s="932"/>
      <c r="R299" s="932"/>
      <c r="S299" s="932"/>
      <c r="T299" s="932"/>
      <c r="U299" s="932"/>
      <c r="V299" s="932"/>
      <c r="W299" s="932"/>
      <c r="X299" s="932"/>
      <c r="Y299" s="932"/>
      <c r="Z299" s="932"/>
      <c r="AA299" s="932"/>
      <c r="AB299" s="932"/>
      <c r="AC299" s="932"/>
      <c r="AD299" s="932"/>
      <c r="AE299" s="932"/>
      <c r="AF299" s="932"/>
      <c r="AG299" s="932"/>
      <c r="AH299" s="932"/>
      <c r="AI299" s="932"/>
      <c r="AJ299" s="932"/>
      <c r="AK299" s="932"/>
      <c r="AL299" s="932"/>
      <c r="AM299" s="932"/>
      <c r="AN299" s="932"/>
      <c r="AO299" s="932"/>
      <c r="AP299" s="932"/>
      <c r="AQ299" s="932"/>
      <c r="AR299" s="932"/>
      <c r="AS299" s="932"/>
      <c r="AT299" s="932"/>
      <c r="AU299" s="932"/>
      <c r="AV299" s="932"/>
      <c r="AW299" s="932"/>
      <c r="AX299" s="932"/>
      <c r="AY299" s="932"/>
      <c r="AZ299" s="932"/>
      <c r="BA299" s="932"/>
      <c r="BB299" s="932"/>
      <c r="BC299" s="932"/>
      <c r="BD299" s="932"/>
      <c r="BE299" s="932"/>
      <c r="BF299" s="932"/>
    </row>
    <row r="300" spans="2:58" ht="15" x14ac:dyDescent="0.25">
      <c r="B300" s="932"/>
      <c r="C300" s="932"/>
      <c r="D300" s="932"/>
      <c r="E300" s="932"/>
      <c r="F300" s="932"/>
      <c r="G300" s="932"/>
      <c r="H300" s="932"/>
      <c r="I300" s="932"/>
      <c r="J300" s="932"/>
      <c r="K300" s="932"/>
      <c r="L300" s="932"/>
      <c r="M300" s="932"/>
      <c r="N300" s="932"/>
      <c r="O300" s="932"/>
      <c r="P300" s="932"/>
      <c r="Q300" s="932"/>
      <c r="R300" s="932"/>
      <c r="S300" s="932"/>
      <c r="T300" s="932"/>
      <c r="U300" s="932"/>
      <c r="V300" s="932"/>
      <c r="W300" s="932"/>
      <c r="X300" s="932"/>
      <c r="Y300" s="932"/>
      <c r="Z300" s="932"/>
      <c r="AA300" s="932"/>
      <c r="AB300" s="932"/>
      <c r="AC300" s="932"/>
      <c r="AD300" s="932"/>
      <c r="AE300" s="932"/>
      <c r="AF300" s="932"/>
      <c r="AG300" s="932"/>
      <c r="AH300" s="932"/>
      <c r="AI300" s="932"/>
      <c r="AJ300" s="932"/>
      <c r="AK300" s="932"/>
      <c r="AL300" s="932"/>
      <c r="AM300" s="932"/>
      <c r="AN300" s="932"/>
      <c r="AO300" s="932"/>
      <c r="AP300" s="932"/>
      <c r="AQ300" s="932"/>
      <c r="AR300" s="932"/>
      <c r="AS300" s="932"/>
      <c r="AT300" s="932"/>
      <c r="AU300" s="932"/>
      <c r="AV300" s="932"/>
      <c r="AW300" s="932"/>
      <c r="AX300" s="932"/>
      <c r="AY300" s="932"/>
      <c r="AZ300" s="932"/>
      <c r="BA300" s="932"/>
      <c r="BB300" s="932"/>
      <c r="BC300" s="932"/>
      <c r="BD300" s="932"/>
      <c r="BE300" s="932"/>
      <c r="BF300" s="932"/>
    </row>
    <row r="301" spans="2:58" ht="15" x14ac:dyDescent="0.25">
      <c r="B301" s="932"/>
      <c r="C301" s="932"/>
      <c r="D301" s="932"/>
      <c r="E301" s="932"/>
      <c r="F301" s="932"/>
      <c r="G301" s="932"/>
      <c r="H301" s="932"/>
      <c r="I301" s="932"/>
      <c r="J301" s="932"/>
      <c r="K301" s="932"/>
      <c r="L301" s="932"/>
      <c r="M301" s="932"/>
      <c r="N301" s="932"/>
      <c r="O301" s="932"/>
      <c r="P301" s="932"/>
      <c r="Q301" s="932"/>
      <c r="R301" s="932"/>
      <c r="S301" s="932"/>
      <c r="T301" s="932"/>
      <c r="U301" s="932"/>
      <c r="V301" s="932"/>
      <c r="W301" s="932"/>
      <c r="X301" s="932"/>
      <c r="Y301" s="932"/>
      <c r="Z301" s="932"/>
      <c r="AA301" s="932"/>
      <c r="AB301" s="932"/>
      <c r="AC301" s="932"/>
      <c r="AD301" s="932"/>
      <c r="AE301" s="932"/>
      <c r="AF301" s="932"/>
      <c r="AG301" s="932"/>
      <c r="AH301" s="932"/>
      <c r="AI301" s="932"/>
      <c r="AJ301" s="932"/>
      <c r="AK301" s="932"/>
      <c r="AL301" s="932"/>
      <c r="AM301" s="932"/>
      <c r="AN301" s="932"/>
      <c r="AO301" s="932"/>
      <c r="AP301" s="932"/>
      <c r="AQ301" s="932"/>
      <c r="AR301" s="932"/>
      <c r="AS301" s="932"/>
      <c r="AT301" s="932"/>
      <c r="AU301" s="932"/>
      <c r="AV301" s="932"/>
      <c r="AW301" s="932"/>
      <c r="AX301" s="932"/>
      <c r="AY301" s="932"/>
      <c r="AZ301" s="932"/>
      <c r="BA301" s="932"/>
      <c r="BB301" s="932"/>
      <c r="BC301" s="932"/>
      <c r="BD301" s="932"/>
      <c r="BE301" s="932"/>
      <c r="BF301" s="932"/>
    </row>
    <row r="302" spans="2:58" ht="15" x14ac:dyDescent="0.25">
      <c r="B302" s="932"/>
      <c r="C302" s="932"/>
      <c r="D302" s="932"/>
      <c r="E302" s="932"/>
      <c r="F302" s="932"/>
      <c r="G302" s="932"/>
      <c r="H302" s="932"/>
      <c r="I302" s="932"/>
      <c r="J302" s="932"/>
      <c r="K302" s="932"/>
      <c r="L302" s="932"/>
      <c r="M302" s="932"/>
      <c r="N302" s="932"/>
      <c r="O302" s="932"/>
      <c r="P302" s="932"/>
      <c r="Q302" s="932"/>
      <c r="R302" s="932"/>
      <c r="S302" s="932"/>
      <c r="T302" s="932"/>
      <c r="U302" s="932"/>
      <c r="V302" s="932"/>
      <c r="W302" s="932"/>
      <c r="X302" s="932"/>
      <c r="Y302" s="932"/>
      <c r="Z302" s="932"/>
      <c r="AA302" s="932"/>
      <c r="AB302" s="932"/>
      <c r="AC302" s="932"/>
      <c r="AD302" s="932"/>
      <c r="AE302" s="932"/>
      <c r="AF302" s="932"/>
      <c r="AG302" s="932"/>
      <c r="AH302" s="932"/>
      <c r="AI302" s="932"/>
      <c r="AJ302" s="932"/>
      <c r="AK302" s="932"/>
      <c r="AL302" s="932"/>
      <c r="AM302" s="932"/>
      <c r="AN302" s="932"/>
      <c r="AO302" s="932"/>
      <c r="AP302" s="932"/>
      <c r="AQ302" s="932"/>
      <c r="AR302" s="932"/>
      <c r="AS302" s="932"/>
      <c r="AT302" s="932"/>
      <c r="AU302" s="932"/>
      <c r="AV302" s="932"/>
      <c r="AW302" s="932"/>
      <c r="AX302" s="932"/>
      <c r="AY302" s="932"/>
      <c r="AZ302" s="932"/>
      <c r="BA302" s="932"/>
      <c r="BB302" s="932"/>
      <c r="BC302" s="932"/>
      <c r="BD302" s="932"/>
      <c r="BE302" s="932"/>
      <c r="BF302" s="932"/>
    </row>
    <row r="303" spans="2:58" ht="15" x14ac:dyDescent="0.25">
      <c r="B303" s="932"/>
      <c r="C303" s="932"/>
      <c r="D303" s="932"/>
      <c r="E303" s="932"/>
      <c r="F303" s="932"/>
      <c r="G303" s="932"/>
      <c r="H303" s="932"/>
      <c r="I303" s="932"/>
      <c r="J303" s="932"/>
      <c r="K303" s="932"/>
      <c r="L303" s="932"/>
      <c r="M303" s="932"/>
      <c r="N303" s="932"/>
      <c r="O303" s="932"/>
      <c r="P303" s="932"/>
      <c r="Q303" s="932"/>
      <c r="R303" s="932"/>
      <c r="S303" s="932"/>
      <c r="T303" s="932"/>
      <c r="U303" s="932"/>
      <c r="V303" s="932"/>
      <c r="W303" s="932"/>
      <c r="X303" s="932"/>
      <c r="Y303" s="932"/>
      <c r="Z303" s="932"/>
      <c r="AA303" s="932"/>
      <c r="AB303" s="932"/>
      <c r="AC303" s="932"/>
      <c r="AD303" s="932"/>
      <c r="AE303" s="932"/>
      <c r="AF303" s="932"/>
      <c r="AG303" s="932"/>
      <c r="AH303" s="932"/>
      <c r="AI303" s="932"/>
      <c r="AJ303" s="932"/>
      <c r="AK303" s="932"/>
      <c r="AL303" s="932"/>
      <c r="AM303" s="932"/>
      <c r="AN303" s="932"/>
      <c r="AO303" s="932"/>
      <c r="AP303" s="932"/>
      <c r="AQ303" s="932"/>
      <c r="AR303" s="932"/>
      <c r="AS303" s="932"/>
      <c r="AT303" s="932"/>
      <c r="AU303" s="932"/>
      <c r="AV303" s="932"/>
      <c r="AW303" s="932"/>
      <c r="AX303" s="932"/>
      <c r="AY303" s="932"/>
      <c r="AZ303" s="932"/>
      <c r="BA303" s="932"/>
      <c r="BB303" s="932"/>
      <c r="BC303" s="932"/>
      <c r="BD303" s="932"/>
      <c r="BE303" s="932"/>
      <c r="BF303" s="932"/>
    </row>
    <row r="304" spans="2:58" ht="15" x14ac:dyDescent="0.25">
      <c r="B304" s="932"/>
      <c r="C304" s="932"/>
      <c r="D304" s="932"/>
      <c r="E304" s="932"/>
      <c r="F304" s="932"/>
      <c r="G304" s="932"/>
      <c r="H304" s="932"/>
      <c r="I304" s="932"/>
      <c r="J304" s="932"/>
      <c r="K304" s="932"/>
      <c r="L304" s="932"/>
      <c r="M304" s="932"/>
      <c r="N304" s="932"/>
      <c r="O304" s="932"/>
      <c r="P304" s="932"/>
      <c r="Q304" s="932"/>
      <c r="R304" s="932"/>
      <c r="S304" s="932"/>
      <c r="T304" s="932"/>
      <c r="U304" s="932"/>
      <c r="V304" s="932"/>
      <c r="W304" s="932"/>
      <c r="X304" s="932"/>
      <c r="Y304" s="932"/>
      <c r="Z304" s="932"/>
      <c r="AA304" s="932"/>
      <c r="AB304" s="932"/>
      <c r="AC304" s="932"/>
      <c r="AD304" s="932"/>
      <c r="AE304" s="932"/>
      <c r="AF304" s="932"/>
      <c r="AG304" s="932"/>
      <c r="AH304" s="932"/>
      <c r="AI304" s="932"/>
      <c r="AJ304" s="932"/>
      <c r="AK304" s="932"/>
      <c r="AL304" s="932"/>
      <c r="AM304" s="932"/>
      <c r="AN304" s="932"/>
      <c r="AO304" s="932"/>
      <c r="AP304" s="932"/>
      <c r="AQ304" s="932"/>
      <c r="AR304" s="932"/>
      <c r="AS304" s="932"/>
      <c r="AT304" s="932"/>
      <c r="AU304" s="932"/>
      <c r="AV304" s="932"/>
      <c r="AW304" s="932"/>
      <c r="AX304" s="932"/>
      <c r="AY304" s="932"/>
      <c r="AZ304" s="932"/>
      <c r="BA304" s="932"/>
      <c r="BB304" s="932"/>
      <c r="BC304" s="932"/>
      <c r="BD304" s="932"/>
      <c r="BE304" s="932"/>
      <c r="BF304" s="932"/>
    </row>
    <row r="305" spans="2:58" ht="15" x14ac:dyDescent="0.25">
      <c r="B305" s="932"/>
      <c r="C305" s="932"/>
      <c r="D305" s="932"/>
      <c r="E305" s="932"/>
      <c r="F305" s="932"/>
      <c r="G305" s="932"/>
      <c r="H305" s="932"/>
      <c r="I305" s="932"/>
      <c r="J305" s="932"/>
      <c r="K305" s="932"/>
      <c r="L305" s="932"/>
      <c r="M305" s="932"/>
      <c r="N305" s="932"/>
      <c r="O305" s="932"/>
      <c r="P305" s="932"/>
      <c r="Q305" s="932"/>
      <c r="R305" s="932"/>
      <c r="S305" s="932"/>
      <c r="T305" s="932"/>
      <c r="U305" s="932"/>
      <c r="V305" s="932"/>
      <c r="W305" s="932"/>
      <c r="X305" s="932"/>
      <c r="Y305" s="932"/>
      <c r="Z305" s="932"/>
      <c r="AA305" s="932"/>
      <c r="AB305" s="932"/>
      <c r="AC305" s="932"/>
      <c r="AD305" s="932"/>
      <c r="AE305" s="932"/>
      <c r="AF305" s="932"/>
      <c r="AG305" s="932"/>
      <c r="AH305" s="932"/>
      <c r="AI305" s="932"/>
      <c r="AJ305" s="932"/>
      <c r="AK305" s="932"/>
      <c r="AL305" s="932"/>
      <c r="AM305" s="932"/>
      <c r="AN305" s="932"/>
      <c r="AO305" s="932"/>
      <c r="AP305" s="932"/>
      <c r="AQ305" s="932"/>
      <c r="AR305" s="932"/>
      <c r="AS305" s="932"/>
      <c r="AT305" s="932"/>
      <c r="AU305" s="932"/>
      <c r="AV305" s="932"/>
      <c r="AW305" s="932"/>
      <c r="AX305" s="932"/>
      <c r="AY305" s="932"/>
      <c r="AZ305" s="932"/>
      <c r="BA305" s="932"/>
      <c r="BB305" s="932"/>
      <c r="BC305" s="932"/>
      <c r="BD305" s="932"/>
      <c r="BE305" s="932"/>
      <c r="BF305" s="932"/>
    </row>
    <row r="306" spans="2:58" ht="15" x14ac:dyDescent="0.25">
      <c r="B306" s="932"/>
      <c r="C306" s="932"/>
      <c r="D306" s="932"/>
      <c r="E306" s="932"/>
      <c r="F306" s="932"/>
      <c r="G306" s="932"/>
      <c r="H306" s="932"/>
      <c r="I306" s="932"/>
      <c r="J306" s="932"/>
      <c r="K306" s="932"/>
      <c r="L306" s="932"/>
      <c r="M306" s="932"/>
      <c r="N306" s="932"/>
      <c r="O306" s="932"/>
      <c r="P306" s="932"/>
      <c r="Q306" s="932"/>
      <c r="R306" s="932"/>
      <c r="S306" s="932"/>
      <c r="T306" s="932"/>
      <c r="U306" s="932"/>
      <c r="V306" s="932"/>
      <c r="W306" s="932"/>
      <c r="X306" s="932"/>
      <c r="Y306" s="932"/>
      <c r="Z306" s="932"/>
      <c r="AA306" s="932"/>
      <c r="AB306" s="932"/>
      <c r="AC306" s="932"/>
      <c r="AD306" s="932"/>
      <c r="AE306" s="932"/>
      <c r="AF306" s="932"/>
      <c r="AG306" s="932"/>
      <c r="AH306" s="932"/>
      <c r="AI306" s="932"/>
      <c r="AJ306" s="932"/>
      <c r="AK306" s="932"/>
      <c r="AL306" s="932"/>
      <c r="AM306" s="932"/>
      <c r="AN306" s="932"/>
      <c r="AO306" s="932"/>
      <c r="AP306" s="932"/>
      <c r="AQ306" s="932"/>
      <c r="AR306" s="932"/>
      <c r="AS306" s="932"/>
      <c r="AT306" s="932"/>
      <c r="AU306" s="932"/>
      <c r="AV306" s="932"/>
      <c r="AW306" s="932"/>
      <c r="AX306" s="932"/>
      <c r="AY306" s="932"/>
      <c r="AZ306" s="932"/>
      <c r="BA306" s="932"/>
      <c r="BB306" s="932"/>
      <c r="BC306" s="932"/>
      <c r="BD306" s="932"/>
      <c r="BE306" s="932"/>
      <c r="BF306" s="932"/>
    </row>
    <row r="307" spans="2:58" ht="15" x14ac:dyDescent="0.25">
      <c r="B307" s="932"/>
      <c r="C307" s="932"/>
      <c r="D307" s="932"/>
      <c r="E307" s="932"/>
      <c r="F307" s="932"/>
      <c r="G307" s="932"/>
      <c r="H307" s="932"/>
      <c r="I307" s="932"/>
      <c r="J307" s="932"/>
      <c r="K307" s="932"/>
      <c r="L307" s="932"/>
      <c r="M307" s="932"/>
      <c r="N307" s="932"/>
      <c r="O307" s="932"/>
      <c r="P307" s="932"/>
      <c r="Q307" s="932"/>
      <c r="R307" s="932"/>
      <c r="S307" s="932"/>
      <c r="T307" s="932"/>
      <c r="U307" s="932"/>
      <c r="V307" s="932"/>
      <c r="W307" s="932"/>
      <c r="X307" s="932"/>
      <c r="Y307" s="932"/>
      <c r="Z307" s="932"/>
      <c r="AA307" s="932"/>
      <c r="AB307" s="932"/>
      <c r="AC307" s="932"/>
      <c r="AD307" s="932"/>
      <c r="AE307" s="932"/>
      <c r="AF307" s="932"/>
      <c r="AG307" s="932"/>
      <c r="AH307" s="932"/>
      <c r="AI307" s="932"/>
      <c r="AJ307" s="932"/>
      <c r="AK307" s="932"/>
      <c r="AL307" s="932"/>
      <c r="AM307" s="932"/>
      <c r="AN307" s="932"/>
      <c r="AO307" s="932"/>
      <c r="AP307" s="932"/>
      <c r="AQ307" s="932"/>
      <c r="AR307" s="932"/>
      <c r="AS307" s="932"/>
      <c r="AT307" s="932"/>
      <c r="AU307" s="932"/>
      <c r="AV307" s="932"/>
      <c r="AW307" s="932"/>
      <c r="AX307" s="932"/>
      <c r="AY307" s="932"/>
      <c r="AZ307" s="932"/>
      <c r="BA307" s="932"/>
      <c r="BB307" s="932"/>
      <c r="BC307" s="932"/>
      <c r="BD307" s="932"/>
      <c r="BE307" s="932"/>
      <c r="BF307" s="932"/>
    </row>
    <row r="308" spans="2:58" ht="15" x14ac:dyDescent="0.25">
      <c r="B308" s="932"/>
      <c r="C308" s="932"/>
      <c r="D308" s="932"/>
      <c r="E308" s="932"/>
      <c r="F308" s="932"/>
      <c r="G308" s="932"/>
      <c r="H308" s="932"/>
      <c r="I308" s="932"/>
      <c r="J308" s="932"/>
      <c r="K308" s="932"/>
      <c r="L308" s="932"/>
      <c r="M308" s="932"/>
      <c r="N308" s="932"/>
      <c r="O308" s="932"/>
      <c r="P308" s="932"/>
      <c r="Q308" s="932"/>
      <c r="R308" s="932"/>
      <c r="S308" s="932"/>
      <c r="T308" s="932"/>
      <c r="U308" s="932"/>
      <c r="V308" s="932"/>
      <c r="W308" s="932"/>
      <c r="X308" s="932"/>
      <c r="Y308" s="932"/>
      <c r="Z308" s="932"/>
      <c r="AA308" s="932"/>
      <c r="AB308" s="932"/>
      <c r="AC308" s="932"/>
      <c r="AD308" s="932"/>
      <c r="AE308" s="932"/>
      <c r="AF308" s="932"/>
      <c r="AG308" s="932"/>
      <c r="AH308" s="932"/>
      <c r="AI308" s="932"/>
      <c r="AJ308" s="932"/>
      <c r="AK308" s="932"/>
      <c r="AL308" s="932"/>
      <c r="AM308" s="932"/>
      <c r="AN308" s="932"/>
      <c r="AO308" s="932"/>
      <c r="AP308" s="932"/>
      <c r="AQ308" s="932"/>
      <c r="AR308" s="932"/>
      <c r="AS308" s="932"/>
      <c r="AT308" s="932"/>
      <c r="AU308" s="932"/>
      <c r="AV308" s="932"/>
      <c r="AW308" s="932"/>
      <c r="AX308" s="932"/>
      <c r="AY308" s="932"/>
      <c r="AZ308" s="932"/>
      <c r="BA308" s="932"/>
      <c r="BB308" s="932"/>
      <c r="BC308" s="932"/>
      <c r="BD308" s="932"/>
      <c r="BE308" s="932"/>
      <c r="BF308" s="932"/>
    </row>
    <row r="309" spans="2:58" ht="15" x14ac:dyDescent="0.25">
      <c r="B309" s="932"/>
      <c r="C309" s="932"/>
      <c r="D309" s="932"/>
      <c r="E309" s="932"/>
      <c r="F309" s="932"/>
      <c r="G309" s="932"/>
      <c r="H309" s="932"/>
      <c r="I309" s="932"/>
      <c r="J309" s="932"/>
      <c r="K309" s="932"/>
      <c r="L309" s="932"/>
      <c r="M309" s="932"/>
      <c r="N309" s="932"/>
      <c r="O309" s="932"/>
      <c r="P309" s="932"/>
      <c r="Q309" s="932"/>
      <c r="R309" s="932"/>
      <c r="S309" s="932"/>
      <c r="T309" s="932"/>
      <c r="U309" s="932"/>
      <c r="V309" s="932"/>
      <c r="W309" s="932"/>
      <c r="X309" s="932"/>
      <c r="Y309" s="932"/>
      <c r="Z309" s="932"/>
      <c r="AA309" s="932"/>
      <c r="AB309" s="932"/>
      <c r="AC309" s="932"/>
      <c r="AD309" s="932"/>
      <c r="AE309" s="932"/>
      <c r="AF309" s="932"/>
      <c r="AG309" s="932"/>
      <c r="AH309" s="932"/>
      <c r="AI309" s="932"/>
      <c r="AJ309" s="932"/>
      <c r="AK309" s="932"/>
      <c r="AL309" s="932"/>
      <c r="AM309" s="932"/>
      <c r="AN309" s="932"/>
      <c r="AO309" s="932"/>
      <c r="AP309" s="932"/>
      <c r="AQ309" s="932"/>
      <c r="AR309" s="932"/>
      <c r="AS309" s="932"/>
      <c r="AT309" s="932"/>
      <c r="AU309" s="932"/>
      <c r="AV309" s="932"/>
      <c r="AW309" s="932"/>
      <c r="AX309" s="932"/>
      <c r="AY309" s="932"/>
      <c r="AZ309" s="932"/>
      <c r="BA309" s="932"/>
      <c r="BB309" s="932"/>
      <c r="BC309" s="932"/>
      <c r="BD309" s="932"/>
      <c r="BE309" s="932"/>
      <c r="BF309" s="932"/>
    </row>
    <row r="310" spans="2:58" ht="15" x14ac:dyDescent="0.25">
      <c r="B310" s="932"/>
      <c r="C310" s="932"/>
      <c r="D310" s="932"/>
      <c r="E310" s="932"/>
      <c r="F310" s="932"/>
      <c r="G310" s="932"/>
      <c r="H310" s="932"/>
      <c r="I310" s="932"/>
      <c r="J310" s="932"/>
      <c r="K310" s="932"/>
      <c r="L310" s="932"/>
      <c r="M310" s="932"/>
      <c r="N310" s="932"/>
      <c r="O310" s="932"/>
      <c r="P310" s="932"/>
      <c r="Q310" s="932"/>
      <c r="R310" s="932"/>
      <c r="S310" s="932"/>
      <c r="T310" s="932"/>
      <c r="U310" s="932"/>
      <c r="V310" s="932"/>
      <c r="W310" s="932"/>
      <c r="X310" s="932"/>
      <c r="Y310" s="932"/>
      <c r="Z310" s="932"/>
      <c r="AA310" s="932"/>
      <c r="AB310" s="932"/>
      <c r="AC310" s="932"/>
      <c r="AD310" s="932"/>
      <c r="AE310" s="932"/>
      <c r="AF310" s="932"/>
      <c r="AG310" s="932"/>
      <c r="AH310" s="932"/>
      <c r="AI310" s="932"/>
      <c r="AJ310" s="932"/>
      <c r="AK310" s="932"/>
      <c r="AL310" s="932"/>
      <c r="AM310" s="932"/>
      <c r="AN310" s="932"/>
      <c r="AO310" s="932"/>
      <c r="AP310" s="932"/>
      <c r="AQ310" s="932"/>
      <c r="AR310" s="932"/>
      <c r="AS310" s="932"/>
      <c r="AT310" s="932"/>
      <c r="AU310" s="932"/>
      <c r="AV310" s="932"/>
      <c r="AW310" s="932"/>
      <c r="AX310" s="932"/>
      <c r="AY310" s="932"/>
      <c r="AZ310" s="932"/>
      <c r="BA310" s="932"/>
      <c r="BB310" s="932"/>
      <c r="BC310" s="932"/>
      <c r="BD310" s="932"/>
      <c r="BE310" s="932"/>
      <c r="BF310" s="932"/>
    </row>
    <row r="311" spans="2:58" ht="15" x14ac:dyDescent="0.25">
      <c r="B311" s="932"/>
      <c r="C311" s="932"/>
      <c r="D311" s="932"/>
      <c r="E311" s="932"/>
      <c r="F311" s="932"/>
      <c r="G311" s="932"/>
      <c r="H311" s="932"/>
      <c r="I311" s="932"/>
      <c r="J311" s="932"/>
      <c r="K311" s="932"/>
      <c r="L311" s="932"/>
      <c r="M311" s="932"/>
      <c r="N311" s="932"/>
      <c r="O311" s="932"/>
      <c r="P311" s="932"/>
      <c r="Q311" s="932"/>
      <c r="R311" s="932"/>
      <c r="S311" s="932"/>
      <c r="T311" s="932"/>
      <c r="U311" s="932"/>
      <c r="V311" s="932"/>
      <c r="W311" s="932"/>
      <c r="X311" s="932"/>
      <c r="Y311" s="932"/>
      <c r="Z311" s="932"/>
      <c r="AA311" s="932"/>
      <c r="AB311" s="932"/>
      <c r="AC311" s="932"/>
      <c r="AD311" s="932"/>
      <c r="AE311" s="932"/>
      <c r="AF311" s="932"/>
      <c r="AG311" s="932"/>
      <c r="AH311" s="932"/>
      <c r="AI311" s="932"/>
      <c r="AJ311" s="932"/>
      <c r="AK311" s="932"/>
      <c r="AL311" s="932"/>
      <c r="AM311" s="932"/>
      <c r="AN311" s="932"/>
      <c r="AO311" s="932"/>
      <c r="AP311" s="932"/>
      <c r="AQ311" s="932"/>
      <c r="AR311" s="932"/>
      <c r="AS311" s="932"/>
      <c r="AT311" s="932"/>
      <c r="AU311" s="932"/>
      <c r="AV311" s="932"/>
      <c r="AW311" s="932"/>
      <c r="AX311" s="932"/>
      <c r="AY311" s="932"/>
      <c r="AZ311" s="932"/>
      <c r="BA311" s="932"/>
      <c r="BB311" s="932"/>
      <c r="BC311" s="932"/>
      <c r="BD311" s="932"/>
      <c r="BE311" s="932"/>
      <c r="BF311" s="932"/>
    </row>
    <row r="312" spans="2:58" ht="15" x14ac:dyDescent="0.25">
      <c r="B312" s="932"/>
      <c r="C312" s="932"/>
      <c r="D312" s="932"/>
      <c r="E312" s="932"/>
      <c r="F312" s="932"/>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C312" s="932"/>
      <c r="AD312" s="932"/>
      <c r="AE312" s="932"/>
      <c r="AF312" s="932"/>
      <c r="AG312" s="932"/>
      <c r="AH312" s="932"/>
      <c r="AI312" s="932"/>
      <c r="AJ312" s="932"/>
      <c r="AK312" s="932"/>
      <c r="AL312" s="932"/>
      <c r="AM312" s="932"/>
      <c r="AN312" s="932"/>
      <c r="AO312" s="932"/>
      <c r="AP312" s="932"/>
      <c r="AQ312" s="932"/>
      <c r="AR312" s="932"/>
      <c r="AS312" s="932"/>
      <c r="AT312" s="932"/>
      <c r="AU312" s="932"/>
      <c r="AV312" s="932"/>
      <c r="AW312" s="932"/>
      <c r="AX312" s="932"/>
      <c r="AY312" s="932"/>
      <c r="AZ312" s="932"/>
      <c r="BA312" s="932"/>
      <c r="BB312" s="932"/>
      <c r="BC312" s="932"/>
      <c r="BD312" s="932"/>
      <c r="BE312" s="932"/>
      <c r="BF312" s="932"/>
    </row>
    <row r="313" spans="2:58" ht="15" x14ac:dyDescent="0.25">
      <c r="B313" s="932"/>
      <c r="C313" s="932"/>
      <c r="D313" s="932"/>
      <c r="E313" s="932"/>
      <c r="F313" s="932"/>
      <c r="G313" s="932"/>
      <c r="H313" s="932"/>
      <c r="I313" s="932"/>
      <c r="J313" s="932"/>
      <c r="K313" s="932"/>
      <c r="L313" s="932"/>
      <c r="M313" s="932"/>
      <c r="N313" s="932"/>
      <c r="O313" s="932"/>
      <c r="P313" s="932"/>
      <c r="Q313" s="932"/>
      <c r="R313" s="932"/>
      <c r="S313" s="932"/>
      <c r="T313" s="932"/>
      <c r="U313" s="932"/>
      <c r="V313" s="932"/>
      <c r="W313" s="932"/>
      <c r="X313" s="932"/>
      <c r="Y313" s="932"/>
      <c r="Z313" s="932"/>
      <c r="AA313" s="932"/>
      <c r="AB313" s="932"/>
      <c r="AC313" s="932"/>
      <c r="AD313" s="932"/>
      <c r="AE313" s="932"/>
      <c r="AF313" s="932"/>
      <c r="AG313" s="932"/>
      <c r="AH313" s="932"/>
      <c r="AI313" s="932"/>
      <c r="AJ313" s="932"/>
      <c r="AK313" s="932"/>
      <c r="AL313" s="932"/>
      <c r="AM313" s="932"/>
      <c r="AN313" s="932"/>
      <c r="AO313" s="932"/>
      <c r="AP313" s="932"/>
      <c r="AQ313" s="932"/>
      <c r="AR313" s="932"/>
      <c r="AS313" s="932"/>
      <c r="AT313" s="932"/>
      <c r="AU313" s="932"/>
      <c r="AV313" s="932"/>
      <c r="AW313" s="932"/>
      <c r="AX313" s="932"/>
      <c r="AY313" s="932"/>
      <c r="AZ313" s="932"/>
      <c r="BA313" s="932"/>
      <c r="BB313" s="932"/>
      <c r="BC313" s="932"/>
      <c r="BD313" s="932"/>
      <c r="BE313" s="932"/>
      <c r="BF313" s="932"/>
    </row>
    <row r="314" spans="2:58" ht="15" x14ac:dyDescent="0.25">
      <c r="B314" s="932"/>
      <c r="C314" s="932"/>
      <c r="D314" s="932"/>
      <c r="E314" s="932"/>
      <c r="F314" s="932"/>
      <c r="G314" s="932"/>
      <c r="H314" s="932"/>
      <c r="I314" s="932"/>
      <c r="J314" s="932"/>
      <c r="K314" s="932"/>
      <c r="L314" s="932"/>
      <c r="M314" s="932"/>
      <c r="N314" s="932"/>
      <c r="O314" s="932"/>
      <c r="P314" s="932"/>
      <c r="Q314" s="932"/>
      <c r="R314" s="932"/>
      <c r="S314" s="932"/>
      <c r="T314" s="932"/>
      <c r="U314" s="932"/>
      <c r="V314" s="932"/>
      <c r="W314" s="932"/>
      <c r="X314" s="932"/>
      <c r="Y314" s="932"/>
      <c r="Z314" s="932"/>
      <c r="AA314" s="932"/>
      <c r="AB314" s="932"/>
      <c r="AC314" s="932"/>
      <c r="AD314" s="932"/>
      <c r="AE314" s="932"/>
      <c r="AF314" s="932"/>
      <c r="AG314" s="932"/>
      <c r="AH314" s="932"/>
      <c r="AI314" s="932"/>
      <c r="AJ314" s="932"/>
      <c r="AK314" s="932"/>
      <c r="AL314" s="932"/>
      <c r="AM314" s="932"/>
      <c r="AN314" s="932"/>
      <c r="AO314" s="932"/>
      <c r="AP314" s="932"/>
      <c r="AQ314" s="932"/>
      <c r="AR314" s="932"/>
      <c r="AS314" s="932"/>
      <c r="AT314" s="932"/>
      <c r="AU314" s="932"/>
      <c r="AV314" s="932"/>
      <c r="AW314" s="932"/>
      <c r="AX314" s="932"/>
      <c r="AY314" s="932"/>
      <c r="AZ314" s="932"/>
      <c r="BA314" s="932"/>
      <c r="BB314" s="932"/>
      <c r="BC314" s="932"/>
      <c r="BD314" s="932"/>
      <c r="BE314" s="932"/>
      <c r="BF314" s="932"/>
    </row>
    <row r="315" spans="2:58" ht="15" x14ac:dyDescent="0.25">
      <c r="B315" s="932"/>
      <c r="C315" s="932"/>
      <c r="D315" s="932"/>
      <c r="E315" s="932"/>
      <c r="F315" s="932"/>
      <c r="G315" s="932"/>
      <c r="H315" s="932"/>
      <c r="I315" s="932"/>
      <c r="J315" s="932"/>
      <c r="K315" s="932"/>
      <c r="L315" s="932"/>
      <c r="M315" s="932"/>
      <c r="N315" s="932"/>
      <c r="O315" s="932"/>
      <c r="P315" s="932"/>
      <c r="Q315" s="932"/>
      <c r="R315" s="932"/>
      <c r="S315" s="932"/>
      <c r="T315" s="932"/>
      <c r="U315" s="932"/>
      <c r="V315" s="932"/>
      <c r="W315" s="932"/>
      <c r="X315" s="932"/>
      <c r="Y315" s="932"/>
      <c r="Z315" s="932"/>
      <c r="AA315" s="932"/>
      <c r="AB315" s="932"/>
      <c r="AC315" s="932"/>
      <c r="AD315" s="932"/>
      <c r="AE315" s="932"/>
      <c r="AF315" s="932"/>
      <c r="AG315" s="932"/>
      <c r="AH315" s="932"/>
      <c r="AI315" s="932"/>
      <c r="AJ315" s="932"/>
      <c r="AK315" s="932"/>
      <c r="AL315" s="932"/>
      <c r="AM315" s="932"/>
      <c r="AN315" s="932"/>
      <c r="AO315" s="932"/>
      <c r="AP315" s="932"/>
      <c r="AQ315" s="932"/>
      <c r="AR315" s="932"/>
      <c r="AS315" s="932"/>
      <c r="AT315" s="932"/>
      <c r="AU315" s="932"/>
      <c r="AV315" s="932"/>
      <c r="AW315" s="932"/>
      <c r="AX315" s="932"/>
      <c r="AY315" s="932"/>
      <c r="AZ315" s="932"/>
      <c r="BA315" s="932"/>
      <c r="BB315" s="932"/>
      <c r="BC315" s="932"/>
      <c r="BD315" s="932"/>
      <c r="BE315" s="932"/>
      <c r="BF315" s="932"/>
    </row>
    <row r="316" spans="2:58" ht="15" x14ac:dyDescent="0.25">
      <c r="B316" s="932"/>
      <c r="C316" s="932"/>
      <c r="D316" s="932"/>
      <c r="E316" s="932"/>
      <c r="F316" s="932"/>
      <c r="G316" s="932"/>
      <c r="H316" s="932"/>
      <c r="I316" s="932"/>
      <c r="J316" s="932"/>
      <c r="K316" s="932"/>
      <c r="L316" s="932"/>
      <c r="M316" s="932"/>
      <c r="N316" s="932"/>
      <c r="O316" s="932"/>
      <c r="P316" s="932"/>
      <c r="Q316" s="932"/>
      <c r="R316" s="932"/>
      <c r="S316" s="932"/>
      <c r="T316" s="932"/>
      <c r="U316" s="932"/>
      <c r="V316" s="932"/>
      <c r="W316" s="932"/>
      <c r="X316" s="932"/>
      <c r="Y316" s="932"/>
      <c r="Z316" s="932"/>
      <c r="AA316" s="932"/>
      <c r="AB316" s="932"/>
      <c r="AC316" s="932"/>
      <c r="AD316" s="932"/>
      <c r="AE316" s="932"/>
      <c r="AF316" s="932"/>
      <c r="AG316" s="932"/>
      <c r="AH316" s="932"/>
      <c r="AI316" s="932"/>
      <c r="AJ316" s="932"/>
      <c r="AK316" s="932"/>
      <c r="AL316" s="932"/>
      <c r="AM316" s="932"/>
      <c r="AN316" s="932"/>
      <c r="AO316" s="932"/>
      <c r="AP316" s="932"/>
      <c r="AQ316" s="932"/>
      <c r="AR316" s="932"/>
      <c r="AS316" s="932"/>
      <c r="AT316" s="932"/>
      <c r="AU316" s="932"/>
      <c r="AV316" s="932"/>
      <c r="AW316" s="932"/>
      <c r="AX316" s="932"/>
      <c r="AY316" s="932"/>
      <c r="AZ316" s="932"/>
      <c r="BA316" s="932"/>
      <c r="BB316" s="932"/>
      <c r="BC316" s="932"/>
      <c r="BD316" s="932"/>
      <c r="BE316" s="932"/>
      <c r="BF316" s="932"/>
    </row>
    <row r="317" spans="2:58" ht="15" x14ac:dyDescent="0.25">
      <c r="B317" s="932"/>
      <c r="C317" s="932"/>
      <c r="D317" s="932"/>
      <c r="E317" s="932"/>
      <c r="F317" s="932"/>
      <c r="G317" s="932"/>
      <c r="H317" s="932"/>
      <c r="I317" s="932"/>
      <c r="J317" s="932"/>
      <c r="K317" s="932"/>
      <c r="L317" s="932"/>
      <c r="M317" s="932"/>
      <c r="N317" s="932"/>
      <c r="O317" s="932"/>
      <c r="P317" s="932"/>
      <c r="Q317" s="932"/>
      <c r="R317" s="932"/>
      <c r="S317" s="932"/>
      <c r="T317" s="932"/>
      <c r="U317" s="932"/>
      <c r="V317" s="932"/>
      <c r="W317" s="932"/>
      <c r="X317" s="932"/>
      <c r="Y317" s="932"/>
      <c r="Z317" s="932"/>
      <c r="AA317" s="932"/>
      <c r="AB317" s="932"/>
      <c r="AC317" s="932"/>
      <c r="AD317" s="932"/>
      <c r="AE317" s="932"/>
      <c r="AF317" s="932"/>
      <c r="AG317" s="932"/>
      <c r="AH317" s="932"/>
      <c r="AI317" s="932"/>
      <c r="AJ317" s="932"/>
      <c r="AK317" s="932"/>
      <c r="AL317" s="932"/>
      <c r="AM317" s="932"/>
      <c r="AN317" s="932"/>
      <c r="AO317" s="932"/>
      <c r="AP317" s="932"/>
      <c r="AQ317" s="932"/>
      <c r="AR317" s="932"/>
      <c r="AS317" s="932"/>
      <c r="AT317" s="932"/>
      <c r="AU317" s="932"/>
      <c r="AV317" s="932"/>
      <c r="AW317" s="932"/>
      <c r="AX317" s="932"/>
      <c r="AY317" s="932"/>
      <c r="AZ317" s="932"/>
      <c r="BA317" s="932"/>
      <c r="BB317" s="932"/>
      <c r="BC317" s="932"/>
      <c r="BD317" s="932"/>
      <c r="BE317" s="932"/>
      <c r="BF317" s="932"/>
    </row>
    <row r="318" spans="2:58" ht="15" x14ac:dyDescent="0.25">
      <c r="B318" s="932"/>
      <c r="C318" s="932"/>
      <c r="D318" s="932"/>
      <c r="E318" s="932"/>
      <c r="F318" s="932"/>
      <c r="G318" s="932"/>
      <c r="H318" s="932"/>
      <c r="I318" s="932"/>
      <c r="J318" s="932"/>
      <c r="K318" s="932"/>
      <c r="L318" s="932"/>
      <c r="M318" s="932"/>
      <c r="N318" s="932"/>
      <c r="O318" s="932"/>
      <c r="P318" s="932"/>
      <c r="Q318" s="932"/>
      <c r="R318" s="932"/>
      <c r="S318" s="932"/>
      <c r="T318" s="932"/>
      <c r="U318" s="932"/>
      <c r="V318" s="932"/>
      <c r="W318" s="932"/>
      <c r="X318" s="932"/>
      <c r="Y318" s="932"/>
      <c r="Z318" s="932"/>
      <c r="AA318" s="932"/>
      <c r="AB318" s="932"/>
      <c r="AC318" s="932"/>
      <c r="AD318" s="932"/>
      <c r="AE318" s="932"/>
      <c r="AF318" s="932"/>
      <c r="AG318" s="932"/>
      <c r="AH318" s="932"/>
      <c r="AI318" s="932"/>
      <c r="AJ318" s="932"/>
      <c r="AK318" s="932"/>
      <c r="AL318" s="932"/>
      <c r="AM318" s="932"/>
      <c r="AN318" s="932"/>
      <c r="AO318" s="932"/>
      <c r="AP318" s="932"/>
      <c r="AQ318" s="932"/>
      <c r="AR318" s="932"/>
      <c r="AS318" s="932"/>
      <c r="AT318" s="932"/>
      <c r="AU318" s="932"/>
      <c r="AV318" s="932"/>
      <c r="AW318" s="932"/>
      <c r="AX318" s="932"/>
      <c r="AY318" s="932"/>
      <c r="AZ318" s="932"/>
      <c r="BA318" s="932"/>
      <c r="BB318" s="932"/>
      <c r="BC318" s="932"/>
      <c r="BD318" s="932"/>
      <c r="BE318" s="932"/>
      <c r="BF318" s="932"/>
    </row>
    <row r="319" spans="2:58" ht="15" x14ac:dyDescent="0.25">
      <c r="B319" s="932"/>
      <c r="C319" s="932"/>
      <c r="D319" s="932"/>
      <c r="E319" s="932"/>
      <c r="F319" s="932"/>
      <c r="G319" s="932"/>
      <c r="H319" s="932"/>
      <c r="I319" s="932"/>
      <c r="J319" s="932"/>
      <c r="K319" s="932"/>
      <c r="L319" s="932"/>
      <c r="M319" s="932"/>
      <c r="N319" s="932"/>
      <c r="O319" s="932"/>
      <c r="P319" s="932"/>
      <c r="Q319" s="932"/>
      <c r="R319" s="932"/>
      <c r="S319" s="932"/>
      <c r="T319" s="932"/>
      <c r="U319" s="932"/>
      <c r="V319" s="932"/>
      <c r="W319" s="932"/>
      <c r="X319" s="932"/>
      <c r="Y319" s="932"/>
      <c r="Z319" s="932"/>
      <c r="AA319" s="932"/>
      <c r="AB319" s="932"/>
      <c r="AC319" s="932"/>
      <c r="AD319" s="932"/>
      <c r="AE319" s="932"/>
      <c r="AF319" s="932"/>
      <c r="AG319" s="932"/>
      <c r="AH319" s="932"/>
      <c r="AI319" s="932"/>
      <c r="AJ319" s="932"/>
      <c r="AK319" s="932"/>
      <c r="AL319" s="932"/>
      <c r="AM319" s="932"/>
      <c r="AN319" s="932"/>
      <c r="AO319" s="932"/>
      <c r="AP319" s="932"/>
      <c r="AQ319" s="932"/>
      <c r="AR319" s="932"/>
      <c r="AS319" s="932"/>
      <c r="AT319" s="932"/>
      <c r="AU319" s="932"/>
      <c r="AV319" s="932"/>
      <c r="AW319" s="932"/>
      <c r="AX319" s="932"/>
      <c r="AY319" s="932"/>
      <c r="AZ319" s="932"/>
      <c r="BA319" s="932"/>
      <c r="BB319" s="932"/>
      <c r="BC319" s="932"/>
      <c r="BD319" s="932"/>
      <c r="BE319" s="932"/>
      <c r="BF319" s="932"/>
    </row>
    <row r="320" spans="2:58" ht="15" x14ac:dyDescent="0.25">
      <c r="B320" s="932"/>
      <c r="C320" s="932"/>
      <c r="D320" s="932"/>
      <c r="E320" s="932"/>
      <c r="F320" s="932"/>
      <c r="G320" s="932"/>
      <c r="H320" s="932"/>
      <c r="I320" s="932"/>
      <c r="J320" s="932"/>
      <c r="K320" s="932"/>
      <c r="L320" s="932"/>
      <c r="M320" s="932"/>
      <c r="N320" s="932"/>
      <c r="O320" s="932"/>
      <c r="P320" s="932"/>
      <c r="Q320" s="932"/>
      <c r="R320" s="932"/>
      <c r="S320" s="932"/>
      <c r="T320" s="932"/>
      <c r="U320" s="932"/>
      <c r="V320" s="932"/>
      <c r="W320" s="932"/>
      <c r="X320" s="932"/>
      <c r="Y320" s="932"/>
      <c r="Z320" s="932"/>
      <c r="AA320" s="932"/>
      <c r="AB320" s="932"/>
      <c r="AC320" s="932"/>
      <c r="AD320" s="932"/>
      <c r="AE320" s="932"/>
      <c r="AF320" s="932"/>
      <c r="AG320" s="932"/>
      <c r="AH320" s="932"/>
      <c r="AI320" s="932"/>
      <c r="AJ320" s="932"/>
      <c r="AK320" s="932"/>
      <c r="AL320" s="932"/>
      <c r="AM320" s="932"/>
      <c r="AN320" s="932"/>
      <c r="AO320" s="932"/>
      <c r="AP320" s="932"/>
      <c r="AQ320" s="932"/>
      <c r="AR320" s="932"/>
      <c r="AS320" s="932"/>
      <c r="AT320" s="932"/>
      <c r="AU320" s="932"/>
      <c r="AV320" s="932"/>
      <c r="AW320" s="932"/>
      <c r="AX320" s="932"/>
      <c r="AY320" s="932"/>
      <c r="AZ320" s="932"/>
      <c r="BA320" s="932"/>
      <c r="BB320" s="932"/>
      <c r="BC320" s="932"/>
      <c r="BD320" s="932"/>
      <c r="BE320" s="932"/>
      <c r="BF320" s="932"/>
    </row>
    <row r="321" spans="2:58" ht="15" x14ac:dyDescent="0.25">
      <c r="B321" s="932"/>
      <c r="C321" s="932"/>
      <c r="D321" s="932"/>
      <c r="E321" s="932"/>
      <c r="F321" s="932"/>
      <c r="G321" s="932"/>
      <c r="H321" s="932"/>
      <c r="I321" s="932"/>
      <c r="J321" s="932"/>
      <c r="K321" s="932"/>
      <c r="L321" s="932"/>
      <c r="M321" s="932"/>
      <c r="N321" s="932"/>
      <c r="O321" s="932"/>
      <c r="P321" s="932"/>
      <c r="Q321" s="932"/>
      <c r="R321" s="932"/>
      <c r="S321" s="932"/>
      <c r="T321" s="932"/>
      <c r="U321" s="932"/>
      <c r="V321" s="932"/>
      <c r="W321" s="932"/>
      <c r="X321" s="932"/>
      <c r="Y321" s="932"/>
      <c r="Z321" s="932"/>
      <c r="AA321" s="932"/>
      <c r="AB321" s="932"/>
      <c r="AC321" s="932"/>
      <c r="AD321" s="932"/>
      <c r="AE321" s="932"/>
      <c r="AF321" s="932"/>
      <c r="AG321" s="932"/>
      <c r="AH321" s="932"/>
      <c r="AI321" s="932"/>
      <c r="AJ321" s="932"/>
      <c r="AK321" s="932"/>
      <c r="AL321" s="932"/>
      <c r="AM321" s="932"/>
      <c r="AN321" s="932"/>
      <c r="AO321" s="932"/>
      <c r="AP321" s="932"/>
      <c r="AQ321" s="932"/>
      <c r="AR321" s="932"/>
      <c r="AS321" s="932"/>
      <c r="AT321" s="932"/>
      <c r="AU321" s="932"/>
      <c r="AV321" s="932"/>
      <c r="AW321" s="932"/>
      <c r="AX321" s="932"/>
      <c r="AY321" s="932"/>
      <c r="AZ321" s="932"/>
      <c r="BA321" s="932"/>
      <c r="BB321" s="932"/>
      <c r="BC321" s="932"/>
      <c r="BD321" s="932"/>
      <c r="BE321" s="932"/>
      <c r="BF321" s="932"/>
    </row>
    <row r="322" spans="2:58" ht="15" x14ac:dyDescent="0.25">
      <c r="B322" s="932"/>
      <c r="C322" s="932"/>
      <c r="D322" s="932"/>
      <c r="E322" s="932"/>
      <c r="F322" s="932"/>
      <c r="G322" s="932"/>
      <c r="H322" s="932"/>
      <c r="I322" s="932"/>
      <c r="J322" s="932"/>
      <c r="K322" s="932"/>
      <c r="L322" s="932"/>
      <c r="M322" s="932"/>
      <c r="N322" s="932"/>
      <c r="O322" s="932"/>
      <c r="P322" s="932"/>
      <c r="Q322" s="932"/>
      <c r="R322" s="932"/>
      <c r="S322" s="932"/>
      <c r="T322" s="932"/>
      <c r="U322" s="932"/>
      <c r="V322" s="932"/>
      <c r="W322" s="932"/>
      <c r="X322" s="932"/>
      <c r="Y322" s="932"/>
      <c r="Z322" s="932"/>
      <c r="AA322" s="932"/>
      <c r="AB322" s="932"/>
      <c r="AC322" s="932"/>
      <c r="AD322" s="932"/>
      <c r="AE322" s="932"/>
      <c r="AF322" s="932"/>
      <c r="AG322" s="932"/>
      <c r="AH322" s="932"/>
      <c r="AI322" s="932"/>
      <c r="AJ322" s="932"/>
      <c r="AK322" s="932"/>
      <c r="AL322" s="932"/>
      <c r="AM322" s="932"/>
      <c r="AN322" s="932"/>
      <c r="AO322" s="932"/>
      <c r="AP322" s="932"/>
      <c r="AQ322" s="932"/>
      <c r="AR322" s="932"/>
      <c r="AS322" s="932"/>
      <c r="AT322" s="932"/>
      <c r="AU322" s="932"/>
      <c r="AV322" s="932"/>
      <c r="AW322" s="932"/>
      <c r="AX322" s="932"/>
      <c r="AY322" s="932"/>
      <c r="AZ322" s="932"/>
      <c r="BA322" s="932"/>
      <c r="BB322" s="932"/>
      <c r="BC322" s="932"/>
      <c r="BD322" s="932"/>
      <c r="BE322" s="932"/>
      <c r="BF322" s="932"/>
    </row>
    <row r="323" spans="2:58" ht="15" x14ac:dyDescent="0.25">
      <c r="B323" s="932"/>
      <c r="C323" s="932"/>
      <c r="D323" s="932"/>
      <c r="E323" s="932"/>
      <c r="F323" s="932"/>
      <c r="G323" s="932"/>
      <c r="H323" s="932"/>
      <c r="I323" s="932"/>
      <c r="J323" s="932"/>
      <c r="K323" s="932"/>
      <c r="L323" s="932"/>
      <c r="M323" s="932"/>
      <c r="N323" s="932"/>
      <c r="O323" s="932"/>
      <c r="P323" s="932"/>
      <c r="Q323" s="932"/>
      <c r="R323" s="932"/>
      <c r="S323" s="932"/>
      <c r="T323" s="932"/>
      <c r="U323" s="932"/>
      <c r="V323" s="932"/>
      <c r="W323" s="932"/>
      <c r="X323" s="932"/>
      <c r="Y323" s="932"/>
      <c r="Z323" s="932"/>
      <c r="AA323" s="932"/>
      <c r="AB323" s="932"/>
      <c r="AC323" s="932"/>
      <c r="AD323" s="932"/>
      <c r="AE323" s="932"/>
      <c r="AF323" s="932"/>
      <c r="AG323" s="932"/>
      <c r="AH323" s="932"/>
      <c r="AI323" s="932"/>
      <c r="AJ323" s="932"/>
      <c r="AK323" s="932"/>
      <c r="AL323" s="932"/>
      <c r="AM323" s="932"/>
      <c r="AN323" s="932"/>
      <c r="AO323" s="932"/>
      <c r="AP323" s="932"/>
      <c r="AQ323" s="932"/>
      <c r="AR323" s="932"/>
      <c r="AS323" s="932"/>
      <c r="AT323" s="932"/>
      <c r="AU323" s="932"/>
      <c r="AV323" s="932"/>
      <c r="AW323" s="932"/>
      <c r="AX323" s="932"/>
      <c r="AY323" s="932"/>
      <c r="AZ323" s="932"/>
      <c r="BA323" s="932"/>
      <c r="BB323" s="932"/>
      <c r="BC323" s="932"/>
      <c r="BD323" s="932"/>
      <c r="BE323" s="932"/>
      <c r="BF323" s="932"/>
    </row>
    <row r="324" spans="2:58" ht="15" x14ac:dyDescent="0.25">
      <c r="B324" s="932"/>
      <c r="C324" s="932"/>
      <c r="D324" s="932"/>
      <c r="E324" s="932"/>
      <c r="F324" s="932"/>
      <c r="G324" s="932"/>
      <c r="H324" s="932"/>
      <c r="I324" s="932"/>
      <c r="J324" s="932"/>
      <c r="K324" s="932"/>
      <c r="L324" s="932"/>
      <c r="M324" s="932"/>
      <c r="N324" s="932"/>
      <c r="O324" s="932"/>
      <c r="P324" s="932"/>
      <c r="Q324" s="932"/>
      <c r="R324" s="932"/>
      <c r="S324" s="932"/>
      <c r="T324" s="932"/>
      <c r="U324" s="932"/>
      <c r="V324" s="932"/>
      <c r="W324" s="932"/>
      <c r="X324" s="932"/>
      <c r="Y324" s="932"/>
      <c r="Z324" s="932"/>
      <c r="AA324" s="932"/>
      <c r="AB324" s="932"/>
      <c r="AC324" s="932"/>
      <c r="AD324" s="932"/>
      <c r="AE324" s="932"/>
      <c r="AF324" s="932"/>
      <c r="AG324" s="932"/>
      <c r="AH324" s="932"/>
      <c r="AI324" s="932"/>
      <c r="AJ324" s="932"/>
      <c r="AK324" s="932"/>
      <c r="AL324" s="932"/>
      <c r="AM324" s="932"/>
      <c r="AN324" s="932"/>
      <c r="AO324" s="932"/>
      <c r="AP324" s="932"/>
      <c r="AQ324" s="932"/>
      <c r="AR324" s="932"/>
      <c r="AS324" s="932"/>
      <c r="AT324" s="932"/>
      <c r="AU324" s="932"/>
      <c r="AV324" s="932"/>
      <c r="AW324" s="932"/>
      <c r="AX324" s="932"/>
      <c r="AY324" s="932"/>
      <c r="AZ324" s="932"/>
      <c r="BA324" s="932"/>
      <c r="BB324" s="932"/>
      <c r="BC324" s="932"/>
      <c r="BD324" s="932"/>
      <c r="BE324" s="932"/>
      <c r="BF324" s="932"/>
    </row>
    <row r="325" spans="2:58" ht="15" x14ac:dyDescent="0.25">
      <c r="B325" s="932"/>
      <c r="C325" s="932"/>
      <c r="D325" s="932"/>
      <c r="E325" s="932"/>
      <c r="F325" s="932"/>
      <c r="G325" s="932"/>
      <c r="H325" s="932"/>
      <c r="I325" s="932"/>
      <c r="J325" s="932"/>
      <c r="K325" s="932"/>
      <c r="L325" s="932"/>
      <c r="M325" s="932"/>
      <c r="N325" s="932"/>
      <c r="O325" s="932"/>
      <c r="P325" s="932"/>
      <c r="Q325" s="932"/>
      <c r="R325" s="932"/>
      <c r="S325" s="932"/>
      <c r="T325" s="932"/>
      <c r="U325" s="932"/>
      <c r="V325" s="932"/>
      <c r="W325" s="932"/>
      <c r="X325" s="932"/>
      <c r="Y325" s="932"/>
      <c r="Z325" s="932"/>
      <c r="AA325" s="932"/>
      <c r="AB325" s="932"/>
      <c r="AC325" s="932"/>
      <c r="AD325" s="932"/>
      <c r="AE325" s="932"/>
      <c r="AF325" s="932"/>
      <c r="AG325" s="932"/>
      <c r="AH325" s="932"/>
      <c r="AI325" s="932"/>
      <c r="AJ325" s="932"/>
      <c r="AK325" s="932"/>
      <c r="AL325" s="932"/>
      <c r="AM325" s="932"/>
      <c r="AN325" s="932"/>
      <c r="AO325" s="932"/>
      <c r="AP325" s="932"/>
      <c r="AQ325" s="932"/>
      <c r="AR325" s="932"/>
      <c r="AS325" s="932"/>
      <c r="AT325" s="932"/>
      <c r="AU325" s="932"/>
      <c r="AV325" s="932"/>
      <c r="AW325" s="932"/>
      <c r="AX325" s="932"/>
      <c r="AY325" s="932"/>
      <c r="AZ325" s="932"/>
      <c r="BA325" s="932"/>
      <c r="BB325" s="932"/>
      <c r="BC325" s="932"/>
      <c r="BD325" s="932"/>
      <c r="BE325" s="932"/>
      <c r="BF325" s="932"/>
    </row>
    <row r="326" spans="2:58" ht="15" x14ac:dyDescent="0.25">
      <c r="B326" s="932"/>
      <c r="C326" s="932"/>
      <c r="D326" s="932"/>
      <c r="E326" s="932"/>
      <c r="F326" s="932"/>
      <c r="G326" s="932"/>
      <c r="H326" s="932"/>
      <c r="I326" s="932"/>
      <c r="J326" s="932"/>
      <c r="K326" s="932"/>
      <c r="L326" s="932"/>
      <c r="M326" s="932"/>
      <c r="N326" s="932"/>
      <c r="O326" s="932"/>
      <c r="P326" s="932"/>
      <c r="Q326" s="932"/>
      <c r="R326" s="932"/>
      <c r="S326" s="932"/>
      <c r="T326" s="932"/>
      <c r="U326" s="932"/>
      <c r="V326" s="932"/>
      <c r="W326" s="932"/>
      <c r="X326" s="932"/>
      <c r="Y326" s="932"/>
      <c r="Z326" s="932"/>
      <c r="AA326" s="932"/>
      <c r="AB326" s="932"/>
      <c r="AC326" s="932"/>
      <c r="AD326" s="932"/>
      <c r="AE326" s="932"/>
      <c r="AF326" s="932"/>
      <c r="AG326" s="932"/>
      <c r="AH326" s="932"/>
      <c r="AI326" s="932"/>
      <c r="AJ326" s="932"/>
      <c r="AK326" s="932"/>
      <c r="AL326" s="932"/>
      <c r="AM326" s="932"/>
      <c r="AN326" s="932"/>
      <c r="AO326" s="932"/>
      <c r="AP326" s="932"/>
      <c r="AQ326" s="932"/>
      <c r="AR326" s="932"/>
      <c r="AS326" s="932"/>
      <c r="AT326" s="932"/>
      <c r="AU326" s="932"/>
      <c r="AV326" s="932"/>
      <c r="AW326" s="932"/>
      <c r="AX326" s="932"/>
      <c r="AY326" s="932"/>
      <c r="AZ326" s="932"/>
      <c r="BA326" s="932"/>
      <c r="BB326" s="932"/>
      <c r="BC326" s="932"/>
      <c r="BD326" s="932"/>
      <c r="BE326" s="932"/>
      <c r="BF326" s="932"/>
    </row>
    <row r="327" spans="2:58" ht="15" x14ac:dyDescent="0.25">
      <c r="B327" s="932"/>
      <c r="C327" s="932"/>
      <c r="D327" s="932"/>
      <c r="E327" s="932"/>
      <c r="F327" s="932"/>
      <c r="G327" s="932"/>
      <c r="H327" s="932"/>
      <c r="I327" s="932"/>
      <c r="J327" s="932"/>
      <c r="K327" s="932"/>
      <c r="L327" s="932"/>
      <c r="M327" s="932"/>
      <c r="N327" s="932"/>
      <c r="O327" s="932"/>
      <c r="P327" s="932"/>
      <c r="Q327" s="932"/>
      <c r="R327" s="932"/>
      <c r="S327" s="932"/>
      <c r="T327" s="932"/>
      <c r="U327" s="932"/>
      <c r="V327" s="932"/>
      <c r="W327" s="932"/>
      <c r="X327" s="932"/>
      <c r="Y327" s="932"/>
      <c r="Z327" s="932"/>
      <c r="AA327" s="932"/>
      <c r="AB327" s="932"/>
      <c r="AC327" s="932"/>
      <c r="AD327" s="932"/>
      <c r="AE327" s="932"/>
      <c r="AF327" s="932"/>
      <c r="AG327" s="932"/>
      <c r="AH327" s="932"/>
      <c r="AI327" s="932"/>
      <c r="AJ327" s="932"/>
      <c r="AK327" s="932"/>
      <c r="AL327" s="932"/>
      <c r="AM327" s="932"/>
      <c r="AN327" s="932"/>
      <c r="AO327" s="932"/>
      <c r="AP327" s="932"/>
      <c r="AQ327" s="932"/>
      <c r="AR327" s="932"/>
      <c r="AS327" s="932"/>
      <c r="AT327" s="932"/>
      <c r="AU327" s="932"/>
      <c r="AV327" s="932"/>
      <c r="AW327" s="932"/>
      <c r="AX327" s="932"/>
      <c r="AY327" s="932"/>
      <c r="AZ327" s="932"/>
      <c r="BA327" s="932"/>
      <c r="BB327" s="932"/>
      <c r="BC327" s="932"/>
      <c r="BD327" s="932"/>
      <c r="BE327" s="932"/>
      <c r="BF327" s="932"/>
    </row>
    <row r="328" spans="2:58" ht="15" x14ac:dyDescent="0.25">
      <c r="B328" s="932"/>
      <c r="C328" s="932"/>
      <c r="D328" s="932"/>
      <c r="E328" s="932"/>
      <c r="F328" s="932"/>
      <c r="G328" s="932"/>
      <c r="H328" s="932"/>
      <c r="I328" s="932"/>
      <c r="J328" s="932"/>
      <c r="K328" s="932"/>
      <c r="L328" s="932"/>
      <c r="M328" s="932"/>
      <c r="N328" s="932"/>
      <c r="O328" s="932"/>
      <c r="P328" s="932"/>
      <c r="Q328" s="932"/>
      <c r="R328" s="932"/>
      <c r="S328" s="932"/>
      <c r="T328" s="932"/>
      <c r="U328" s="932"/>
      <c r="V328" s="932"/>
      <c r="W328" s="932"/>
      <c r="X328" s="932"/>
      <c r="Y328" s="932"/>
      <c r="Z328" s="932"/>
      <c r="AA328" s="932"/>
      <c r="AB328" s="932"/>
      <c r="AC328" s="932"/>
      <c r="AD328" s="932"/>
      <c r="AE328" s="932"/>
      <c r="AF328" s="932"/>
      <c r="AG328" s="932"/>
      <c r="AH328" s="932"/>
      <c r="AI328" s="932"/>
      <c r="AJ328" s="932"/>
      <c r="AK328" s="932"/>
      <c r="AL328" s="932"/>
      <c r="AM328" s="932"/>
      <c r="AN328" s="932"/>
      <c r="AO328" s="932"/>
      <c r="AP328" s="932"/>
      <c r="AQ328" s="932"/>
      <c r="AR328" s="932"/>
      <c r="AS328" s="932"/>
      <c r="AT328" s="932"/>
      <c r="AU328" s="932"/>
      <c r="AV328" s="932"/>
      <c r="AW328" s="932"/>
      <c r="AX328" s="932"/>
      <c r="AY328" s="932"/>
      <c r="AZ328" s="932"/>
      <c r="BA328" s="932"/>
      <c r="BB328" s="932"/>
      <c r="BC328" s="932"/>
      <c r="BD328" s="932"/>
      <c r="BE328" s="932"/>
      <c r="BF328" s="932"/>
    </row>
    <row r="329" spans="2:58" ht="15" x14ac:dyDescent="0.25">
      <c r="B329" s="932"/>
      <c r="C329" s="932"/>
      <c r="D329" s="932"/>
      <c r="E329" s="932"/>
      <c r="F329" s="932"/>
      <c r="G329" s="932"/>
      <c r="H329" s="932"/>
      <c r="I329" s="932"/>
      <c r="J329" s="932"/>
      <c r="K329" s="932"/>
      <c r="L329" s="932"/>
      <c r="M329" s="932"/>
      <c r="N329" s="932"/>
      <c r="O329" s="932"/>
      <c r="P329" s="932"/>
      <c r="Q329" s="932"/>
      <c r="R329" s="932"/>
      <c r="S329" s="932"/>
      <c r="T329" s="932"/>
      <c r="U329" s="932"/>
      <c r="V329" s="932"/>
      <c r="W329" s="932"/>
      <c r="X329" s="932"/>
      <c r="Y329" s="932"/>
      <c r="Z329" s="932"/>
      <c r="AA329" s="932"/>
      <c r="AB329" s="932"/>
      <c r="AC329" s="932"/>
      <c r="AD329" s="932"/>
      <c r="AE329" s="932"/>
      <c r="AF329" s="932"/>
      <c r="AG329" s="932"/>
      <c r="AH329" s="932"/>
      <c r="AI329" s="932"/>
      <c r="AJ329" s="932"/>
      <c r="AK329" s="932"/>
      <c r="AL329" s="932"/>
      <c r="AM329" s="932"/>
      <c r="AN329" s="932"/>
      <c r="AO329" s="932"/>
      <c r="AP329" s="932"/>
      <c r="AQ329" s="932"/>
      <c r="AR329" s="932"/>
      <c r="AS329" s="932"/>
      <c r="AT329" s="932"/>
      <c r="AU329" s="932"/>
      <c r="AV329" s="932"/>
      <c r="AW329" s="932"/>
      <c r="AX329" s="932"/>
      <c r="AY329" s="932"/>
      <c r="AZ329" s="932"/>
      <c r="BA329" s="932"/>
      <c r="BB329" s="932"/>
      <c r="BC329" s="932"/>
      <c r="BD329" s="932"/>
      <c r="BE329" s="932"/>
      <c r="BF329" s="932"/>
    </row>
    <row r="330" spans="2:58" ht="15" x14ac:dyDescent="0.25">
      <c r="B330" s="932"/>
      <c r="C330" s="932"/>
      <c r="D330" s="932"/>
      <c r="E330" s="932"/>
      <c r="F330" s="932"/>
      <c r="G330" s="932"/>
      <c r="H330" s="932"/>
      <c r="I330" s="932"/>
      <c r="J330" s="932"/>
      <c r="K330" s="932"/>
      <c r="L330" s="932"/>
      <c r="M330" s="932"/>
      <c r="N330" s="932"/>
      <c r="O330" s="932"/>
      <c r="P330" s="932"/>
      <c r="Q330" s="932"/>
      <c r="R330" s="932"/>
      <c r="S330" s="932"/>
      <c r="T330" s="932"/>
      <c r="U330" s="932"/>
      <c r="V330" s="932"/>
      <c r="W330" s="932"/>
      <c r="X330" s="932"/>
      <c r="Y330" s="932"/>
      <c r="Z330" s="932"/>
      <c r="AA330" s="932"/>
      <c r="AB330" s="932"/>
      <c r="AC330" s="932"/>
      <c r="AD330" s="932"/>
      <c r="AE330" s="932"/>
      <c r="AF330" s="932"/>
      <c r="AG330" s="932"/>
      <c r="AH330" s="932"/>
      <c r="AI330" s="932"/>
      <c r="AJ330" s="932"/>
      <c r="AK330" s="932"/>
      <c r="AL330" s="932"/>
      <c r="AM330" s="932"/>
      <c r="AN330" s="932"/>
      <c r="AO330" s="932"/>
      <c r="AP330" s="932"/>
      <c r="AQ330" s="932"/>
      <c r="AR330" s="932"/>
      <c r="AS330" s="932"/>
      <c r="AT330" s="932"/>
      <c r="AU330" s="932"/>
      <c r="AV330" s="932"/>
      <c r="AW330" s="932"/>
      <c r="AX330" s="932"/>
      <c r="AY330" s="932"/>
      <c r="AZ330" s="932"/>
      <c r="BA330" s="932"/>
      <c r="BB330" s="932"/>
      <c r="BC330" s="932"/>
      <c r="BD330" s="932"/>
      <c r="BE330" s="932"/>
      <c r="BF330" s="932"/>
    </row>
    <row r="331" spans="2:58" ht="15" x14ac:dyDescent="0.25">
      <c r="B331" s="932"/>
      <c r="C331" s="932"/>
      <c r="D331" s="932"/>
      <c r="E331" s="932"/>
      <c r="F331" s="932"/>
      <c r="G331" s="932"/>
      <c r="H331" s="932"/>
      <c r="I331" s="932"/>
      <c r="J331" s="932"/>
      <c r="K331" s="932"/>
      <c r="L331" s="932"/>
      <c r="M331" s="932"/>
      <c r="N331" s="932"/>
      <c r="O331" s="932"/>
      <c r="P331" s="932"/>
      <c r="Q331" s="932"/>
      <c r="R331" s="932"/>
      <c r="S331" s="932"/>
      <c r="T331" s="932"/>
      <c r="U331" s="932"/>
      <c r="V331" s="932"/>
      <c r="W331" s="932"/>
      <c r="X331" s="932"/>
      <c r="Y331" s="932"/>
      <c r="Z331" s="932"/>
      <c r="AA331" s="932"/>
      <c r="AB331" s="932"/>
      <c r="AC331" s="932"/>
      <c r="AD331" s="932"/>
      <c r="AE331" s="932"/>
      <c r="AF331" s="932"/>
      <c r="AG331" s="932"/>
      <c r="AH331" s="932"/>
      <c r="AI331" s="932"/>
      <c r="AJ331" s="932"/>
      <c r="AK331" s="932"/>
      <c r="AL331" s="932"/>
      <c r="AM331" s="932"/>
      <c r="AN331" s="932"/>
      <c r="AO331" s="932"/>
      <c r="AP331" s="932"/>
      <c r="AQ331" s="932"/>
      <c r="AR331" s="932"/>
      <c r="AS331" s="932"/>
      <c r="AT331" s="932"/>
      <c r="AU331" s="932"/>
      <c r="AV331" s="932"/>
      <c r="AW331" s="932"/>
      <c r="AX331" s="932"/>
      <c r="AY331" s="932"/>
      <c r="AZ331" s="932"/>
      <c r="BA331" s="932"/>
      <c r="BB331" s="932"/>
      <c r="BC331" s="932"/>
      <c r="BD331" s="932"/>
      <c r="BE331" s="932"/>
      <c r="BF331" s="932"/>
    </row>
    <row r="332" spans="2:58" ht="15" x14ac:dyDescent="0.25">
      <c r="B332" s="932"/>
      <c r="C332" s="932"/>
      <c r="D332" s="932"/>
      <c r="E332" s="932"/>
      <c r="F332" s="932"/>
      <c r="G332" s="932"/>
      <c r="H332" s="932"/>
      <c r="I332" s="932"/>
      <c r="J332" s="932"/>
      <c r="K332" s="932"/>
      <c r="L332" s="932"/>
      <c r="M332" s="932"/>
      <c r="N332" s="932"/>
      <c r="O332" s="932"/>
      <c r="P332" s="932"/>
      <c r="Q332" s="932"/>
      <c r="R332" s="932"/>
      <c r="S332" s="932"/>
      <c r="T332" s="932"/>
      <c r="U332" s="932"/>
      <c r="V332" s="932"/>
      <c r="W332" s="932"/>
      <c r="X332" s="932"/>
      <c r="Y332" s="932"/>
      <c r="Z332" s="932"/>
      <c r="AA332" s="932"/>
      <c r="AB332" s="932"/>
      <c r="AC332" s="932"/>
      <c r="AD332" s="932"/>
      <c r="AE332" s="932"/>
      <c r="AF332" s="932"/>
      <c r="AG332" s="932"/>
      <c r="AH332" s="932"/>
      <c r="AI332" s="932"/>
      <c r="AJ332" s="932"/>
      <c r="AK332" s="932"/>
      <c r="AL332" s="932"/>
      <c r="AM332" s="932"/>
      <c r="AN332" s="932"/>
      <c r="AO332" s="932"/>
      <c r="AP332" s="932"/>
      <c r="AQ332" s="932"/>
      <c r="AR332" s="932"/>
      <c r="AS332" s="932"/>
      <c r="AT332" s="932"/>
      <c r="AU332" s="932"/>
      <c r="AV332" s="932"/>
      <c r="AW332" s="932"/>
      <c r="AX332" s="932"/>
      <c r="AY332" s="932"/>
      <c r="AZ332" s="932"/>
      <c r="BA332" s="932"/>
      <c r="BB332" s="932"/>
      <c r="BC332" s="932"/>
      <c r="BD332" s="932"/>
      <c r="BE332" s="932"/>
      <c r="BF332" s="932"/>
    </row>
    <row r="333" spans="2:58" ht="15" x14ac:dyDescent="0.25">
      <c r="B333" s="932"/>
      <c r="C333" s="932"/>
      <c r="D333" s="932"/>
      <c r="E333" s="932"/>
      <c r="F333" s="932"/>
      <c r="G333" s="932"/>
      <c r="H333" s="932"/>
      <c r="I333" s="932"/>
      <c r="J333" s="932"/>
      <c r="K333" s="932"/>
      <c r="L333" s="932"/>
      <c r="M333" s="932"/>
      <c r="N333" s="932"/>
      <c r="O333" s="932"/>
      <c r="P333" s="932"/>
      <c r="Q333" s="932"/>
      <c r="R333" s="932"/>
      <c r="S333" s="932"/>
      <c r="T333" s="932"/>
      <c r="U333" s="932"/>
      <c r="V333" s="932"/>
      <c r="W333" s="932"/>
      <c r="X333" s="932"/>
      <c r="Y333" s="932"/>
      <c r="Z333" s="932"/>
      <c r="AA333" s="932"/>
      <c r="AB333" s="932"/>
      <c r="AC333" s="932"/>
      <c r="AD333" s="932"/>
      <c r="AE333" s="932"/>
      <c r="AF333" s="932"/>
      <c r="AG333" s="932"/>
      <c r="AH333" s="932"/>
      <c r="AI333" s="932"/>
      <c r="AJ333" s="932"/>
      <c r="AK333" s="932"/>
      <c r="AL333" s="932"/>
      <c r="AM333" s="932"/>
      <c r="AN333" s="932"/>
      <c r="AO333" s="932"/>
      <c r="AP333" s="932"/>
      <c r="AQ333" s="932"/>
      <c r="AR333" s="932"/>
      <c r="AS333" s="932"/>
      <c r="AT333" s="932"/>
      <c r="AU333" s="932"/>
      <c r="AV333" s="932"/>
      <c r="AW333" s="932"/>
      <c r="AX333" s="932"/>
      <c r="AY333" s="932"/>
      <c r="AZ333" s="932"/>
      <c r="BA333" s="932"/>
      <c r="BB333" s="932"/>
      <c r="BC333" s="932"/>
      <c r="BD333" s="932"/>
      <c r="BE333" s="932"/>
      <c r="BF333" s="932"/>
    </row>
    <row r="334" spans="2:58" ht="15" x14ac:dyDescent="0.25">
      <c r="B334" s="932"/>
      <c r="C334" s="932"/>
      <c r="D334" s="932"/>
      <c r="E334" s="932"/>
      <c r="F334" s="932"/>
      <c r="G334" s="932"/>
      <c r="H334" s="932"/>
      <c r="I334" s="932"/>
      <c r="J334" s="932"/>
      <c r="K334" s="932"/>
      <c r="L334" s="932"/>
      <c r="M334" s="932"/>
      <c r="N334" s="932"/>
      <c r="O334" s="932"/>
      <c r="P334" s="932"/>
      <c r="Q334" s="932"/>
      <c r="R334" s="932"/>
      <c r="S334" s="932"/>
      <c r="T334" s="932"/>
      <c r="U334" s="932"/>
      <c r="V334" s="932"/>
      <c r="W334" s="932"/>
      <c r="X334" s="932"/>
      <c r="Y334" s="932"/>
      <c r="Z334" s="932"/>
      <c r="AA334" s="932"/>
      <c r="AB334" s="932"/>
      <c r="AC334" s="932"/>
      <c r="AD334" s="932"/>
      <c r="AE334" s="932"/>
      <c r="AF334" s="932"/>
      <c r="AG334" s="932"/>
      <c r="AH334" s="932"/>
      <c r="AI334" s="932"/>
      <c r="AJ334" s="932"/>
      <c r="AK334" s="932"/>
      <c r="AL334" s="932"/>
      <c r="AM334" s="932"/>
      <c r="AN334" s="932"/>
      <c r="AO334" s="932"/>
      <c r="AP334" s="932"/>
      <c r="AQ334" s="932"/>
      <c r="AR334" s="932"/>
      <c r="AS334" s="932"/>
      <c r="AT334" s="932"/>
      <c r="AU334" s="932"/>
      <c r="AV334" s="932"/>
      <c r="AW334" s="932"/>
      <c r="AX334" s="932"/>
      <c r="AY334" s="932"/>
      <c r="AZ334" s="932"/>
      <c r="BA334" s="932"/>
      <c r="BB334" s="932"/>
      <c r="BC334" s="932"/>
      <c r="BD334" s="932"/>
      <c r="BE334" s="932"/>
      <c r="BF334" s="932"/>
    </row>
    <row r="335" spans="2:58" ht="15" x14ac:dyDescent="0.25">
      <c r="B335" s="932"/>
      <c r="C335" s="932"/>
      <c r="D335" s="932"/>
      <c r="E335" s="932"/>
      <c r="F335" s="932"/>
      <c r="G335" s="932"/>
      <c r="H335" s="932"/>
      <c r="I335" s="932"/>
      <c r="J335" s="932"/>
      <c r="K335" s="932"/>
      <c r="L335" s="932"/>
      <c r="M335" s="932"/>
      <c r="N335" s="932"/>
      <c r="O335" s="932"/>
      <c r="P335" s="932"/>
      <c r="Q335" s="932"/>
      <c r="R335" s="932"/>
      <c r="S335" s="932"/>
      <c r="T335" s="932"/>
      <c r="U335" s="932"/>
      <c r="V335" s="932"/>
      <c r="W335" s="932"/>
      <c r="X335" s="932"/>
      <c r="Y335" s="932"/>
      <c r="Z335" s="932"/>
      <c r="AA335" s="932"/>
      <c r="AB335" s="932"/>
      <c r="AC335" s="932"/>
      <c r="AD335" s="932"/>
      <c r="AE335" s="932"/>
      <c r="AF335" s="932"/>
      <c r="AG335" s="932"/>
      <c r="AH335" s="932"/>
      <c r="AI335" s="932"/>
      <c r="AJ335" s="932"/>
      <c r="AK335" s="932"/>
      <c r="AL335" s="932"/>
      <c r="AM335" s="932"/>
      <c r="AN335" s="932"/>
      <c r="AO335" s="932"/>
      <c r="AP335" s="932"/>
      <c r="AQ335" s="932"/>
      <c r="AR335" s="932"/>
      <c r="AS335" s="932"/>
      <c r="AT335" s="932"/>
      <c r="AU335" s="932"/>
      <c r="AV335" s="932"/>
      <c r="AW335" s="932"/>
      <c r="AX335" s="932"/>
      <c r="AY335" s="932"/>
      <c r="AZ335" s="932"/>
      <c r="BA335" s="932"/>
      <c r="BB335" s="932"/>
      <c r="BC335" s="932"/>
      <c r="BD335" s="932"/>
      <c r="BE335" s="932"/>
      <c r="BF335" s="932"/>
    </row>
    <row r="336" spans="2:58" ht="15" x14ac:dyDescent="0.25">
      <c r="B336" s="932"/>
      <c r="C336" s="932"/>
      <c r="D336" s="932"/>
      <c r="E336" s="932"/>
      <c r="F336" s="932"/>
      <c r="G336" s="932"/>
      <c r="H336" s="932"/>
      <c r="I336" s="932"/>
      <c r="J336" s="932"/>
      <c r="K336" s="932"/>
      <c r="L336" s="932"/>
      <c r="M336" s="932"/>
      <c r="N336" s="932"/>
      <c r="O336" s="932"/>
      <c r="P336" s="932"/>
      <c r="Q336" s="932"/>
      <c r="R336" s="932"/>
      <c r="S336" s="932"/>
      <c r="T336" s="932"/>
      <c r="U336" s="932"/>
      <c r="V336" s="932"/>
      <c r="W336" s="932"/>
      <c r="X336" s="932"/>
      <c r="Y336" s="932"/>
      <c r="Z336" s="932"/>
      <c r="AA336" s="932"/>
      <c r="AB336" s="932"/>
      <c r="AC336" s="932"/>
      <c r="AD336" s="932"/>
      <c r="AE336" s="932"/>
      <c r="AF336" s="932"/>
      <c r="AG336" s="932"/>
      <c r="AH336" s="932"/>
      <c r="AI336" s="932"/>
      <c r="AJ336" s="932"/>
      <c r="AK336" s="932"/>
      <c r="AL336" s="932"/>
      <c r="AM336" s="932"/>
      <c r="AN336" s="932"/>
      <c r="AO336" s="932"/>
      <c r="AP336" s="932"/>
      <c r="AQ336" s="932"/>
      <c r="AR336" s="932"/>
      <c r="AS336" s="932"/>
      <c r="AT336" s="932"/>
      <c r="AU336" s="932"/>
      <c r="AV336" s="932"/>
      <c r="AW336" s="932"/>
      <c r="AX336" s="932"/>
      <c r="AY336" s="932"/>
      <c r="AZ336" s="932"/>
      <c r="BA336" s="932"/>
      <c r="BB336" s="932"/>
      <c r="BC336" s="932"/>
      <c r="BD336" s="932"/>
      <c r="BE336" s="932"/>
      <c r="BF336" s="932"/>
    </row>
    <row r="337" spans="2:58" ht="15" x14ac:dyDescent="0.25">
      <c r="B337" s="932"/>
      <c r="C337" s="932"/>
      <c r="D337" s="932"/>
      <c r="E337" s="932"/>
      <c r="F337" s="932"/>
      <c r="G337" s="932"/>
      <c r="H337" s="932"/>
      <c r="I337" s="932"/>
      <c r="J337" s="932"/>
      <c r="K337" s="932"/>
      <c r="L337" s="932"/>
      <c r="M337" s="932"/>
      <c r="N337" s="932"/>
      <c r="O337" s="932"/>
      <c r="P337" s="932"/>
      <c r="Q337" s="932"/>
      <c r="R337" s="932"/>
      <c r="S337" s="932"/>
      <c r="T337" s="932"/>
      <c r="U337" s="932"/>
      <c r="V337" s="932"/>
      <c r="W337" s="932"/>
      <c r="X337" s="932"/>
      <c r="Y337" s="932"/>
      <c r="Z337" s="932"/>
      <c r="AA337" s="932"/>
      <c r="AB337" s="932"/>
      <c r="AC337" s="932"/>
      <c r="AD337" s="932"/>
      <c r="AE337" s="932"/>
      <c r="AF337" s="932"/>
      <c r="AG337" s="932"/>
      <c r="AH337" s="932"/>
      <c r="AI337" s="932"/>
      <c r="AJ337" s="932"/>
      <c r="AK337" s="932"/>
      <c r="AL337" s="932"/>
      <c r="AM337" s="932"/>
      <c r="AN337" s="932"/>
      <c r="AO337" s="932"/>
      <c r="AP337" s="932"/>
      <c r="AQ337" s="932"/>
      <c r="AR337" s="932"/>
      <c r="AS337" s="932"/>
      <c r="AT337" s="932"/>
      <c r="AU337" s="932"/>
      <c r="AV337" s="932"/>
      <c r="AW337" s="932"/>
      <c r="AX337" s="932"/>
      <c r="AY337" s="932"/>
      <c r="AZ337" s="932"/>
      <c r="BA337" s="932"/>
      <c r="BB337" s="932"/>
      <c r="BC337" s="932"/>
      <c r="BD337" s="932"/>
      <c r="BE337" s="932"/>
      <c r="BF337" s="932"/>
    </row>
    <row r="338" spans="2:58" ht="15" x14ac:dyDescent="0.25">
      <c r="B338" s="932"/>
      <c r="C338" s="932"/>
      <c r="D338" s="932"/>
      <c r="E338" s="932"/>
      <c r="F338" s="932"/>
      <c r="G338" s="932"/>
      <c r="H338" s="932"/>
      <c r="I338" s="932"/>
      <c r="J338" s="932"/>
      <c r="K338" s="932"/>
      <c r="L338" s="932"/>
      <c r="M338" s="932"/>
      <c r="N338" s="932"/>
      <c r="O338" s="932"/>
      <c r="P338" s="932"/>
      <c r="Q338" s="932"/>
      <c r="R338" s="932"/>
      <c r="S338" s="932"/>
      <c r="T338" s="932"/>
      <c r="U338" s="932"/>
      <c r="V338" s="932"/>
      <c r="W338" s="932"/>
      <c r="X338" s="932"/>
      <c r="Y338" s="932"/>
      <c r="Z338" s="932"/>
      <c r="AA338" s="932"/>
      <c r="AB338" s="932"/>
      <c r="AC338" s="932"/>
      <c r="AD338" s="932"/>
      <c r="AE338" s="932"/>
      <c r="AF338" s="932"/>
      <c r="AG338" s="932"/>
      <c r="AH338" s="932"/>
      <c r="AI338" s="932"/>
      <c r="AJ338" s="932"/>
      <c r="AK338" s="932"/>
      <c r="AL338" s="932"/>
      <c r="AM338" s="932"/>
      <c r="AN338" s="932"/>
      <c r="AO338" s="932"/>
      <c r="AP338" s="932"/>
      <c r="AQ338" s="932"/>
      <c r="AR338" s="932"/>
      <c r="AS338" s="932"/>
      <c r="AT338" s="932"/>
      <c r="AU338" s="932"/>
      <c r="AV338" s="932"/>
      <c r="AW338" s="932"/>
      <c r="AX338" s="932"/>
      <c r="AY338" s="932"/>
      <c r="AZ338" s="932"/>
      <c r="BA338" s="932"/>
      <c r="BB338" s="932"/>
      <c r="BC338" s="932"/>
      <c r="BD338" s="932"/>
      <c r="BE338" s="932"/>
      <c r="BF338" s="932"/>
    </row>
    <row r="339" spans="2:58" ht="15" x14ac:dyDescent="0.25">
      <c r="B339" s="932"/>
      <c r="C339" s="932"/>
      <c r="D339" s="932"/>
      <c r="E339" s="932"/>
      <c r="F339" s="932"/>
      <c r="G339" s="932"/>
      <c r="H339" s="932"/>
      <c r="I339" s="932"/>
      <c r="J339" s="932"/>
      <c r="K339" s="932"/>
      <c r="L339" s="932"/>
      <c r="M339" s="932"/>
      <c r="N339" s="932"/>
      <c r="O339" s="932"/>
      <c r="P339" s="932"/>
      <c r="Q339" s="932"/>
      <c r="R339" s="932"/>
      <c r="S339" s="932"/>
      <c r="T339" s="932"/>
      <c r="U339" s="932"/>
      <c r="V339" s="932"/>
      <c r="W339" s="932"/>
      <c r="X339" s="932"/>
      <c r="Y339" s="932"/>
      <c r="Z339" s="932"/>
      <c r="AA339" s="932"/>
      <c r="AB339" s="932"/>
      <c r="AC339" s="932"/>
      <c r="AD339" s="932"/>
      <c r="AE339" s="932"/>
      <c r="AF339" s="932"/>
      <c r="AG339" s="932"/>
      <c r="AH339" s="932"/>
      <c r="AI339" s="932"/>
      <c r="AJ339" s="932"/>
      <c r="AK339" s="932"/>
      <c r="AL339" s="932"/>
      <c r="AM339" s="932"/>
      <c r="AN339" s="932"/>
      <c r="AO339" s="932"/>
      <c r="AP339" s="932"/>
      <c r="AQ339" s="932"/>
      <c r="AR339" s="932"/>
      <c r="AS339" s="932"/>
      <c r="AT339" s="932"/>
      <c r="AU339" s="932"/>
      <c r="AV339" s="932"/>
      <c r="AW339" s="932"/>
      <c r="AX339" s="932"/>
      <c r="AY339" s="932"/>
      <c r="AZ339" s="932"/>
      <c r="BA339" s="932"/>
      <c r="BB339" s="932"/>
      <c r="BC339" s="932"/>
      <c r="BD339" s="932"/>
      <c r="BE339" s="932"/>
      <c r="BF339" s="932"/>
    </row>
    <row r="340" spans="2:58" ht="15" x14ac:dyDescent="0.25">
      <c r="B340" s="932"/>
      <c r="C340" s="932"/>
      <c r="D340" s="932"/>
      <c r="E340" s="932"/>
      <c r="F340" s="932"/>
      <c r="G340" s="932"/>
      <c r="H340" s="932"/>
      <c r="I340" s="932"/>
      <c r="J340" s="932"/>
      <c r="K340" s="932"/>
      <c r="L340" s="932"/>
      <c r="M340" s="932"/>
      <c r="N340" s="932"/>
      <c r="O340" s="932"/>
      <c r="P340" s="932"/>
      <c r="Q340" s="932"/>
      <c r="R340" s="932"/>
      <c r="S340" s="932"/>
      <c r="T340" s="932"/>
      <c r="U340" s="932"/>
      <c r="V340" s="932"/>
      <c r="W340" s="932"/>
      <c r="X340" s="932"/>
      <c r="Y340" s="932"/>
      <c r="Z340" s="932"/>
      <c r="AA340" s="932"/>
      <c r="AB340" s="932"/>
      <c r="AC340" s="932"/>
      <c r="AD340" s="932"/>
      <c r="AE340" s="932"/>
      <c r="AF340" s="932"/>
      <c r="AG340" s="932"/>
      <c r="AH340" s="932"/>
      <c r="AI340" s="932"/>
      <c r="AJ340" s="932"/>
      <c r="AK340" s="932"/>
      <c r="AL340" s="932"/>
      <c r="AM340" s="932"/>
      <c r="AN340" s="932"/>
      <c r="AO340" s="932"/>
      <c r="AP340" s="932"/>
      <c r="AQ340" s="932"/>
      <c r="AR340" s="932"/>
      <c r="AS340" s="932"/>
      <c r="AT340" s="932"/>
      <c r="AU340" s="932"/>
      <c r="AV340" s="932"/>
      <c r="AW340" s="932"/>
      <c r="AX340" s="932"/>
      <c r="AY340" s="932"/>
      <c r="AZ340" s="932"/>
      <c r="BA340" s="932"/>
      <c r="BB340" s="932"/>
      <c r="BC340" s="932"/>
      <c r="BD340" s="932"/>
      <c r="BE340" s="932"/>
      <c r="BF340" s="932"/>
    </row>
    <row r="341" spans="2:58" ht="15" x14ac:dyDescent="0.25">
      <c r="B341" s="932"/>
      <c r="C341" s="932"/>
      <c r="D341" s="932"/>
      <c r="E341" s="932"/>
      <c r="F341" s="932"/>
      <c r="G341" s="932"/>
      <c r="H341" s="932"/>
      <c r="I341" s="932"/>
      <c r="J341" s="932"/>
      <c r="K341" s="932"/>
      <c r="L341" s="932"/>
      <c r="M341" s="932"/>
      <c r="N341" s="932"/>
      <c r="O341" s="932"/>
      <c r="P341" s="932"/>
      <c r="Q341" s="932"/>
      <c r="R341" s="932"/>
      <c r="S341" s="932"/>
      <c r="T341" s="932"/>
      <c r="U341" s="932"/>
      <c r="V341" s="932"/>
      <c r="W341" s="932"/>
      <c r="X341" s="932"/>
      <c r="Y341" s="932"/>
      <c r="Z341" s="932"/>
      <c r="AA341" s="932"/>
      <c r="AB341" s="932"/>
      <c r="AC341" s="932"/>
      <c r="AD341" s="932"/>
      <c r="AE341" s="932"/>
      <c r="AF341" s="932"/>
      <c r="AG341" s="932"/>
      <c r="AH341" s="932"/>
      <c r="AI341" s="932"/>
      <c r="AJ341" s="932"/>
      <c r="AK341" s="932"/>
      <c r="AL341" s="932"/>
      <c r="AM341" s="932"/>
      <c r="AN341" s="932"/>
      <c r="AO341" s="932"/>
      <c r="AP341" s="932"/>
      <c r="AQ341" s="932"/>
      <c r="AR341" s="932"/>
      <c r="AS341" s="932"/>
      <c r="AT341" s="932"/>
      <c r="AU341" s="932"/>
      <c r="AV341" s="932"/>
      <c r="AW341" s="932"/>
      <c r="AX341" s="932"/>
      <c r="AY341" s="932"/>
      <c r="AZ341" s="932"/>
      <c r="BA341" s="932"/>
      <c r="BB341" s="932"/>
      <c r="BC341" s="932"/>
      <c r="BD341" s="932"/>
      <c r="BE341" s="932"/>
      <c r="BF341" s="932"/>
    </row>
    <row r="342" spans="2:58" ht="15" x14ac:dyDescent="0.25">
      <c r="B342" s="932"/>
      <c r="C342" s="932"/>
      <c r="D342" s="932"/>
      <c r="E342" s="932"/>
      <c r="F342" s="932"/>
      <c r="G342" s="932"/>
      <c r="H342" s="932"/>
      <c r="I342" s="932"/>
      <c r="J342" s="932"/>
      <c r="K342" s="932"/>
      <c r="L342" s="932"/>
      <c r="M342" s="932"/>
      <c r="N342" s="932"/>
      <c r="O342" s="932"/>
      <c r="P342" s="932"/>
      <c r="Q342" s="932"/>
      <c r="R342" s="932"/>
      <c r="S342" s="932"/>
      <c r="T342" s="932"/>
      <c r="U342" s="932"/>
      <c r="V342" s="932"/>
      <c r="W342" s="932"/>
      <c r="X342" s="932"/>
      <c r="Y342" s="932"/>
      <c r="Z342" s="932"/>
      <c r="AA342" s="932"/>
      <c r="AB342" s="932"/>
      <c r="AC342" s="932"/>
      <c r="AD342" s="932"/>
      <c r="AE342" s="932"/>
      <c r="AF342" s="932"/>
      <c r="AG342" s="932"/>
      <c r="AH342" s="932"/>
      <c r="AI342" s="932"/>
      <c r="AJ342" s="932"/>
      <c r="AK342" s="932"/>
      <c r="AL342" s="932"/>
      <c r="AM342" s="932"/>
      <c r="AN342" s="932"/>
      <c r="AO342" s="932"/>
      <c r="AP342" s="932"/>
      <c r="AQ342" s="932"/>
      <c r="AR342" s="932"/>
      <c r="AS342" s="932"/>
      <c r="AT342" s="932"/>
      <c r="AU342" s="932"/>
      <c r="AV342" s="932"/>
      <c r="AW342" s="932"/>
      <c r="AX342" s="932"/>
      <c r="AY342" s="932"/>
      <c r="AZ342" s="932"/>
      <c r="BA342" s="932"/>
      <c r="BB342" s="932"/>
      <c r="BC342" s="932"/>
      <c r="BD342" s="932"/>
      <c r="BE342" s="932"/>
      <c r="BF342" s="932"/>
    </row>
    <row r="343" spans="2:58" ht="15" x14ac:dyDescent="0.25">
      <c r="B343" s="932"/>
      <c r="C343" s="932"/>
      <c r="D343" s="932"/>
      <c r="E343" s="932"/>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c r="AL343" s="932"/>
      <c r="AM343" s="932"/>
      <c r="AN343" s="932"/>
      <c r="AO343" s="932"/>
      <c r="AP343" s="932"/>
      <c r="AQ343" s="932"/>
      <c r="AR343" s="932"/>
      <c r="AS343" s="932"/>
      <c r="AT343" s="932"/>
      <c r="AU343" s="932"/>
      <c r="AV343" s="932"/>
      <c r="AW343" s="932"/>
      <c r="AX343" s="932"/>
      <c r="AY343" s="932"/>
      <c r="AZ343" s="932"/>
      <c r="BA343" s="932"/>
      <c r="BB343" s="932"/>
      <c r="BC343" s="932"/>
      <c r="BD343" s="932"/>
      <c r="BE343" s="932"/>
      <c r="BF343" s="932"/>
    </row>
    <row r="344" spans="2:58" ht="15" x14ac:dyDescent="0.25">
      <c r="B344" s="932"/>
      <c r="C344" s="932"/>
      <c r="D344" s="932"/>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c r="AL344" s="932"/>
      <c r="AM344" s="932"/>
      <c r="AN344" s="932"/>
      <c r="AO344" s="932"/>
      <c r="AP344" s="932"/>
      <c r="AQ344" s="932"/>
      <c r="AR344" s="932"/>
      <c r="AS344" s="932"/>
      <c r="AT344" s="932"/>
      <c r="AU344" s="932"/>
      <c r="AV344" s="932"/>
      <c r="AW344" s="932"/>
      <c r="AX344" s="932"/>
      <c r="AY344" s="932"/>
      <c r="AZ344" s="932"/>
      <c r="BA344" s="932"/>
      <c r="BB344" s="932"/>
      <c r="BC344" s="932"/>
      <c r="BD344" s="932"/>
      <c r="BE344" s="932"/>
      <c r="BF344" s="932"/>
    </row>
    <row r="345" spans="2:58" ht="15" x14ac:dyDescent="0.25">
      <c r="B345" s="932"/>
      <c r="C345" s="932"/>
      <c r="D345" s="932"/>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c r="AL345" s="932"/>
      <c r="AM345" s="932"/>
      <c r="AN345" s="932"/>
      <c r="AO345" s="932"/>
      <c r="AP345" s="932"/>
      <c r="AQ345" s="932"/>
      <c r="AR345" s="932"/>
      <c r="AS345" s="932"/>
      <c r="AT345" s="932"/>
      <c r="AU345" s="932"/>
      <c r="AV345" s="932"/>
      <c r="AW345" s="932"/>
      <c r="AX345" s="932"/>
      <c r="AY345" s="932"/>
      <c r="AZ345" s="932"/>
      <c r="BA345" s="932"/>
      <c r="BB345" s="932"/>
      <c r="BC345" s="932"/>
      <c r="BD345" s="932"/>
      <c r="BE345" s="932"/>
      <c r="BF345" s="932"/>
    </row>
    <row r="346" spans="2:58" ht="15" x14ac:dyDescent="0.25">
      <c r="B346" s="932"/>
      <c r="C346" s="932"/>
      <c r="D346" s="932"/>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c r="AL346" s="932"/>
      <c r="AM346" s="932"/>
      <c r="AN346" s="932"/>
      <c r="AO346" s="932"/>
      <c r="AP346" s="932"/>
      <c r="AQ346" s="932"/>
      <c r="AR346" s="932"/>
      <c r="AS346" s="932"/>
      <c r="AT346" s="932"/>
      <c r="AU346" s="932"/>
      <c r="AV346" s="932"/>
      <c r="AW346" s="932"/>
      <c r="AX346" s="932"/>
      <c r="AY346" s="932"/>
      <c r="AZ346" s="932"/>
      <c r="BA346" s="932"/>
      <c r="BB346" s="932"/>
      <c r="BC346" s="932"/>
      <c r="BD346" s="932"/>
      <c r="BE346" s="932"/>
      <c r="BF346" s="932"/>
    </row>
    <row r="347" spans="2:58" ht="15" x14ac:dyDescent="0.25">
      <c r="B347" s="932"/>
      <c r="C347" s="932"/>
      <c r="D347" s="932"/>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c r="AL347" s="932"/>
      <c r="AM347" s="932"/>
      <c r="AN347" s="932"/>
      <c r="AO347" s="932"/>
      <c r="AP347" s="932"/>
      <c r="AQ347" s="932"/>
      <c r="AR347" s="932"/>
      <c r="AS347" s="932"/>
      <c r="AT347" s="932"/>
      <c r="AU347" s="932"/>
      <c r="AV347" s="932"/>
      <c r="AW347" s="932"/>
      <c r="AX347" s="932"/>
      <c r="AY347" s="932"/>
      <c r="AZ347" s="932"/>
      <c r="BA347" s="932"/>
      <c r="BB347" s="932"/>
      <c r="BC347" s="932"/>
      <c r="BD347" s="932"/>
      <c r="BE347" s="932"/>
      <c r="BF347" s="932"/>
    </row>
    <row r="348" spans="2:58" ht="15" x14ac:dyDescent="0.25">
      <c r="B348" s="932"/>
      <c r="C348" s="932"/>
      <c r="D348" s="932"/>
      <c r="E348" s="932"/>
      <c r="F348" s="932"/>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C348" s="932"/>
      <c r="AD348" s="932"/>
      <c r="AE348" s="932"/>
      <c r="AF348" s="932"/>
      <c r="AG348" s="932"/>
      <c r="AH348" s="932"/>
      <c r="AI348" s="932"/>
      <c r="AJ348" s="932"/>
      <c r="AK348" s="932"/>
      <c r="AL348" s="932"/>
      <c r="AM348" s="932"/>
      <c r="AN348" s="932"/>
      <c r="AO348" s="932"/>
      <c r="AP348" s="932"/>
      <c r="AQ348" s="932"/>
      <c r="AR348" s="932"/>
      <c r="AS348" s="932"/>
      <c r="AT348" s="932"/>
      <c r="AU348" s="932"/>
      <c r="AV348" s="932"/>
      <c r="AW348" s="932"/>
      <c r="AX348" s="932"/>
      <c r="AY348" s="932"/>
      <c r="AZ348" s="932"/>
      <c r="BA348" s="932"/>
      <c r="BB348" s="932"/>
      <c r="BC348" s="932"/>
      <c r="BD348" s="932"/>
      <c r="BE348" s="932"/>
      <c r="BF348" s="932"/>
    </row>
    <row r="349" spans="2:58" ht="15" x14ac:dyDescent="0.25">
      <c r="B349" s="932"/>
      <c r="C349" s="932"/>
      <c r="D349" s="932"/>
      <c r="E349" s="932"/>
      <c r="F349" s="932"/>
      <c r="G349" s="932"/>
      <c r="H349" s="932"/>
      <c r="I349" s="932"/>
      <c r="J349" s="932"/>
      <c r="K349" s="932"/>
      <c r="L349" s="932"/>
      <c r="M349" s="932"/>
      <c r="N349" s="932"/>
      <c r="O349" s="932"/>
      <c r="P349" s="932"/>
      <c r="Q349" s="932"/>
      <c r="R349" s="932"/>
      <c r="S349" s="932"/>
      <c r="T349" s="932"/>
      <c r="U349" s="932"/>
      <c r="V349" s="932"/>
      <c r="W349" s="932"/>
      <c r="X349" s="932"/>
      <c r="Y349" s="932"/>
      <c r="Z349" s="932"/>
      <c r="AA349" s="932"/>
      <c r="AB349" s="932"/>
      <c r="AC349" s="932"/>
      <c r="AD349" s="932"/>
      <c r="AE349" s="932"/>
      <c r="AF349" s="932"/>
      <c r="AG349" s="932"/>
      <c r="AH349" s="932"/>
      <c r="AI349" s="932"/>
      <c r="AJ349" s="932"/>
      <c r="AK349" s="932"/>
      <c r="AL349" s="932"/>
      <c r="AM349" s="932"/>
      <c r="AN349" s="932"/>
      <c r="AO349" s="932"/>
      <c r="AP349" s="932"/>
      <c r="AQ349" s="932"/>
      <c r="AR349" s="932"/>
      <c r="AS349" s="932"/>
      <c r="AT349" s="932"/>
      <c r="AU349" s="932"/>
      <c r="AV349" s="932"/>
      <c r="AW349" s="932"/>
      <c r="AX349" s="932"/>
      <c r="AY349" s="932"/>
      <c r="AZ349" s="932"/>
      <c r="BA349" s="932"/>
      <c r="BB349" s="932"/>
      <c r="BC349" s="932"/>
      <c r="BD349" s="932"/>
      <c r="BE349" s="932"/>
      <c r="BF349" s="932"/>
    </row>
    <row r="350" spans="2:58" ht="15" x14ac:dyDescent="0.25">
      <c r="B350" s="932"/>
      <c r="C350" s="932"/>
      <c r="D350" s="932"/>
      <c r="E350" s="932"/>
      <c r="F350" s="932"/>
      <c r="G350" s="932"/>
      <c r="H350" s="932"/>
      <c r="I350" s="932"/>
      <c r="J350" s="932"/>
      <c r="K350" s="932"/>
      <c r="L350" s="932"/>
      <c r="M350" s="932"/>
      <c r="N350" s="932"/>
      <c r="O350" s="932"/>
      <c r="P350" s="932"/>
      <c r="Q350" s="932"/>
      <c r="R350" s="932"/>
      <c r="S350" s="932"/>
      <c r="T350" s="932"/>
      <c r="U350" s="932"/>
      <c r="V350" s="932"/>
      <c r="W350" s="932"/>
      <c r="X350" s="932"/>
      <c r="Y350" s="932"/>
      <c r="Z350" s="932"/>
      <c r="AA350" s="932"/>
      <c r="AB350" s="932"/>
      <c r="AC350" s="932"/>
      <c r="AD350" s="932"/>
      <c r="AE350" s="932"/>
      <c r="AF350" s="932"/>
      <c r="AG350" s="932"/>
      <c r="AH350" s="932"/>
      <c r="AI350" s="932"/>
      <c r="AJ350" s="932"/>
      <c r="AK350" s="932"/>
      <c r="AL350" s="932"/>
      <c r="AM350" s="932"/>
      <c r="AN350" s="932"/>
      <c r="AO350" s="932"/>
      <c r="AP350" s="932"/>
      <c r="AQ350" s="932"/>
      <c r="AR350" s="932"/>
      <c r="AS350" s="932"/>
      <c r="AT350" s="932"/>
      <c r="AU350" s="932"/>
      <c r="AV350" s="932"/>
      <c r="AW350" s="932"/>
      <c r="AX350" s="932"/>
      <c r="AY350" s="932"/>
      <c r="AZ350" s="932"/>
      <c r="BA350" s="932"/>
      <c r="BB350" s="932"/>
      <c r="BC350" s="932"/>
      <c r="BD350" s="932"/>
      <c r="BE350" s="932"/>
      <c r="BF350" s="932"/>
    </row>
    <row r="351" spans="2:58" ht="15" x14ac:dyDescent="0.25">
      <c r="B351" s="932"/>
      <c r="C351" s="932"/>
      <c r="D351" s="932"/>
      <c r="E351" s="932"/>
      <c r="F351" s="932"/>
      <c r="G351" s="932"/>
      <c r="H351" s="932"/>
      <c r="I351" s="932"/>
      <c r="J351" s="932"/>
      <c r="K351" s="932"/>
      <c r="L351" s="932"/>
      <c r="M351" s="932"/>
      <c r="N351" s="932"/>
      <c r="O351" s="932"/>
      <c r="P351" s="932"/>
      <c r="Q351" s="932"/>
      <c r="R351" s="932"/>
      <c r="S351" s="932"/>
      <c r="T351" s="932"/>
      <c r="U351" s="932"/>
      <c r="V351" s="932"/>
      <c r="W351" s="932"/>
      <c r="X351" s="932"/>
      <c r="Y351" s="932"/>
      <c r="Z351" s="932"/>
      <c r="AA351" s="932"/>
      <c r="AB351" s="932"/>
      <c r="AC351" s="932"/>
      <c r="AD351" s="932"/>
      <c r="AE351" s="932"/>
      <c r="AF351" s="932"/>
      <c r="AG351" s="932"/>
      <c r="AH351" s="932"/>
      <c r="AI351" s="932"/>
      <c r="AJ351" s="932"/>
      <c r="AK351" s="932"/>
      <c r="AL351" s="932"/>
      <c r="AM351" s="932"/>
      <c r="AN351" s="932"/>
      <c r="AO351" s="932"/>
      <c r="AP351" s="932"/>
      <c r="AQ351" s="932"/>
      <c r="AR351" s="932"/>
      <c r="AS351" s="932"/>
      <c r="AT351" s="932"/>
      <c r="AU351" s="932"/>
      <c r="AV351" s="932"/>
      <c r="AW351" s="932"/>
      <c r="AX351" s="932"/>
      <c r="AY351" s="932"/>
      <c r="AZ351" s="932"/>
      <c r="BA351" s="932"/>
      <c r="BB351" s="932"/>
      <c r="BC351" s="932"/>
      <c r="BD351" s="932"/>
      <c r="BE351" s="932"/>
      <c r="BF351" s="932"/>
    </row>
    <row r="352" spans="2:58" ht="15" x14ac:dyDescent="0.25">
      <c r="B352" s="932"/>
      <c r="C352" s="932"/>
      <c r="D352" s="932"/>
      <c r="E352" s="932"/>
      <c r="F352" s="932"/>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c r="AL352" s="932"/>
      <c r="AM352" s="932"/>
      <c r="AN352" s="932"/>
      <c r="AO352" s="932"/>
      <c r="AP352" s="932"/>
      <c r="AQ352" s="932"/>
      <c r="AR352" s="932"/>
      <c r="AS352" s="932"/>
      <c r="AT352" s="932"/>
      <c r="AU352" s="932"/>
      <c r="AV352" s="932"/>
      <c r="AW352" s="932"/>
      <c r="AX352" s="932"/>
      <c r="AY352" s="932"/>
      <c r="AZ352" s="932"/>
      <c r="BA352" s="932"/>
      <c r="BB352" s="932"/>
      <c r="BC352" s="932"/>
      <c r="BD352" s="932"/>
      <c r="BE352" s="932"/>
      <c r="BF352" s="932"/>
    </row>
    <row r="353" spans="2:58" ht="15" x14ac:dyDescent="0.25">
      <c r="B353" s="932"/>
      <c r="C353" s="932"/>
      <c r="D353" s="932"/>
      <c r="E353" s="932"/>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c r="AL353" s="932"/>
      <c r="AM353" s="932"/>
      <c r="AN353" s="932"/>
      <c r="AO353" s="932"/>
      <c r="AP353" s="932"/>
      <c r="AQ353" s="932"/>
      <c r="AR353" s="932"/>
      <c r="AS353" s="932"/>
      <c r="AT353" s="932"/>
      <c r="AU353" s="932"/>
      <c r="AV353" s="932"/>
      <c r="AW353" s="932"/>
      <c r="AX353" s="932"/>
      <c r="AY353" s="932"/>
      <c r="AZ353" s="932"/>
      <c r="BA353" s="932"/>
      <c r="BB353" s="932"/>
      <c r="BC353" s="932"/>
      <c r="BD353" s="932"/>
      <c r="BE353" s="932"/>
      <c r="BF353" s="932"/>
    </row>
    <row r="354" spans="2:58" ht="15" x14ac:dyDescent="0.25">
      <c r="B354" s="932"/>
      <c r="C354" s="932"/>
      <c r="D354" s="932"/>
      <c r="E354" s="932"/>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C354" s="932"/>
      <c r="AD354" s="932"/>
      <c r="AE354" s="932"/>
      <c r="AF354" s="932"/>
      <c r="AG354" s="932"/>
      <c r="AH354" s="932"/>
      <c r="AI354" s="932"/>
      <c r="AJ354" s="932"/>
      <c r="AK354" s="932"/>
      <c r="AL354" s="932"/>
      <c r="AM354" s="932"/>
      <c r="AN354" s="932"/>
      <c r="AO354" s="932"/>
      <c r="AP354" s="932"/>
      <c r="AQ354" s="932"/>
      <c r="AR354" s="932"/>
      <c r="AS354" s="932"/>
      <c r="AT354" s="932"/>
      <c r="AU354" s="932"/>
      <c r="AV354" s="932"/>
      <c r="AW354" s="932"/>
      <c r="AX354" s="932"/>
      <c r="AY354" s="932"/>
      <c r="AZ354" s="932"/>
      <c r="BA354" s="932"/>
      <c r="BB354" s="932"/>
      <c r="BC354" s="932"/>
      <c r="BD354" s="932"/>
      <c r="BE354" s="932"/>
      <c r="BF354" s="932"/>
    </row>
    <row r="355" spans="2:58" ht="15" x14ac:dyDescent="0.25">
      <c r="B355" s="932"/>
      <c r="C355" s="932"/>
      <c r="D355" s="932"/>
      <c r="E355" s="932"/>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c r="AL355" s="932"/>
      <c r="AM355" s="932"/>
      <c r="AN355" s="932"/>
      <c r="AO355" s="932"/>
      <c r="AP355" s="932"/>
      <c r="AQ355" s="932"/>
      <c r="AR355" s="932"/>
      <c r="AS355" s="932"/>
      <c r="AT355" s="932"/>
      <c r="AU355" s="932"/>
      <c r="AV355" s="932"/>
      <c r="AW355" s="932"/>
      <c r="AX355" s="932"/>
      <c r="AY355" s="932"/>
      <c r="AZ355" s="932"/>
      <c r="BA355" s="932"/>
      <c r="BB355" s="932"/>
      <c r="BC355" s="932"/>
      <c r="BD355" s="932"/>
      <c r="BE355" s="932"/>
      <c r="BF355" s="932"/>
    </row>
    <row r="356" spans="2:58" ht="15" x14ac:dyDescent="0.25">
      <c r="B356" s="932"/>
      <c r="C356" s="932"/>
      <c r="D356" s="932"/>
      <c r="E356" s="932"/>
      <c r="F356" s="932"/>
      <c r="G356" s="932"/>
      <c r="H356" s="932"/>
      <c r="I356" s="932"/>
      <c r="J356" s="932"/>
      <c r="K356" s="932"/>
      <c r="L356" s="932"/>
      <c r="M356" s="932"/>
      <c r="N356" s="932"/>
      <c r="O356" s="932"/>
      <c r="P356" s="932"/>
      <c r="Q356" s="932"/>
      <c r="R356" s="932"/>
      <c r="S356" s="932"/>
      <c r="T356" s="932"/>
      <c r="U356" s="932"/>
      <c r="V356" s="932"/>
      <c r="W356" s="932"/>
      <c r="X356" s="932"/>
      <c r="Y356" s="932"/>
      <c r="Z356" s="932"/>
      <c r="AA356" s="932"/>
      <c r="AB356" s="932"/>
      <c r="AC356" s="932"/>
      <c r="AD356" s="932"/>
      <c r="AE356" s="932"/>
      <c r="AF356" s="932"/>
      <c r="AG356" s="932"/>
      <c r="AH356" s="932"/>
      <c r="AI356" s="932"/>
      <c r="AJ356" s="932"/>
      <c r="AK356" s="932"/>
      <c r="AL356" s="932"/>
      <c r="AM356" s="932"/>
      <c r="AN356" s="932"/>
      <c r="AO356" s="932"/>
      <c r="AP356" s="932"/>
      <c r="AQ356" s="932"/>
      <c r="AR356" s="932"/>
      <c r="AS356" s="932"/>
      <c r="AT356" s="932"/>
      <c r="AU356" s="932"/>
      <c r="AV356" s="932"/>
      <c r="AW356" s="932"/>
      <c r="AX356" s="932"/>
      <c r="AY356" s="932"/>
      <c r="AZ356" s="932"/>
      <c r="BA356" s="932"/>
      <c r="BB356" s="932"/>
      <c r="BC356" s="932"/>
      <c r="BD356" s="932"/>
      <c r="BE356" s="932"/>
      <c r="BF356" s="932"/>
    </row>
    <row r="357" spans="2:58" ht="15" x14ac:dyDescent="0.25">
      <c r="B357" s="932"/>
      <c r="C357" s="932"/>
      <c r="D357" s="932"/>
      <c r="E357" s="932"/>
      <c r="F357" s="932"/>
      <c r="G357" s="932"/>
      <c r="H357" s="932"/>
      <c r="I357" s="932"/>
      <c r="J357" s="932"/>
      <c r="K357" s="932"/>
      <c r="L357" s="932"/>
      <c r="M357" s="932"/>
      <c r="N357" s="932"/>
      <c r="O357" s="932"/>
      <c r="P357" s="932"/>
      <c r="Q357" s="932"/>
      <c r="R357" s="932"/>
      <c r="S357" s="932"/>
      <c r="T357" s="932"/>
      <c r="U357" s="932"/>
      <c r="V357" s="932"/>
      <c r="W357" s="932"/>
      <c r="X357" s="932"/>
      <c r="Y357" s="932"/>
      <c r="Z357" s="932"/>
      <c r="AA357" s="932"/>
      <c r="AB357" s="932"/>
      <c r="AC357" s="932"/>
      <c r="AD357" s="932"/>
      <c r="AE357" s="932"/>
      <c r="AF357" s="932"/>
      <c r="AG357" s="932"/>
      <c r="AH357" s="932"/>
      <c r="AI357" s="932"/>
      <c r="AJ357" s="932"/>
      <c r="AK357" s="932"/>
      <c r="AL357" s="932"/>
      <c r="AM357" s="932"/>
      <c r="AN357" s="932"/>
      <c r="AO357" s="932"/>
      <c r="AP357" s="932"/>
      <c r="AQ357" s="932"/>
      <c r="AR357" s="932"/>
      <c r="AS357" s="932"/>
      <c r="AT357" s="932"/>
      <c r="AU357" s="932"/>
      <c r="AV357" s="932"/>
      <c r="AW357" s="932"/>
      <c r="AX357" s="932"/>
      <c r="AY357" s="932"/>
      <c r="AZ357" s="932"/>
      <c r="BA357" s="932"/>
      <c r="BB357" s="932"/>
      <c r="BC357" s="932"/>
      <c r="BD357" s="932"/>
      <c r="BE357" s="932"/>
      <c r="BF357" s="932"/>
    </row>
    <row r="358" spans="2:58" ht="15" x14ac:dyDescent="0.25">
      <c r="B358" s="932"/>
      <c r="C358" s="932"/>
      <c r="D358" s="932"/>
      <c r="E358" s="932"/>
      <c r="F358" s="932"/>
      <c r="G358" s="932"/>
      <c r="H358" s="932"/>
      <c r="I358" s="932"/>
      <c r="J358" s="932"/>
      <c r="K358" s="932"/>
      <c r="L358" s="932"/>
      <c r="M358" s="932"/>
      <c r="N358" s="932"/>
      <c r="O358" s="932"/>
      <c r="P358" s="932"/>
      <c r="Q358" s="932"/>
      <c r="R358" s="932"/>
      <c r="S358" s="932"/>
      <c r="T358" s="932"/>
      <c r="U358" s="932"/>
      <c r="V358" s="932"/>
      <c r="W358" s="932"/>
      <c r="X358" s="932"/>
      <c r="Y358" s="932"/>
      <c r="Z358" s="932"/>
      <c r="AA358" s="932"/>
      <c r="AB358" s="932"/>
      <c r="AC358" s="932"/>
      <c r="AD358" s="932"/>
      <c r="AE358" s="932"/>
      <c r="AF358" s="932"/>
      <c r="AG358" s="932"/>
      <c r="AH358" s="932"/>
      <c r="AI358" s="932"/>
      <c r="AJ358" s="932"/>
      <c r="AK358" s="932"/>
      <c r="AL358" s="932"/>
      <c r="AM358" s="932"/>
      <c r="AN358" s="932"/>
      <c r="AO358" s="932"/>
      <c r="AP358" s="932"/>
      <c r="AQ358" s="932"/>
      <c r="AR358" s="932"/>
      <c r="AS358" s="932"/>
      <c r="AT358" s="932"/>
      <c r="AU358" s="932"/>
      <c r="AV358" s="932"/>
      <c r="AW358" s="932"/>
      <c r="AX358" s="932"/>
      <c r="AY358" s="932"/>
      <c r="AZ358" s="932"/>
      <c r="BA358" s="932"/>
      <c r="BB358" s="932"/>
      <c r="BC358" s="932"/>
      <c r="BD358" s="932"/>
      <c r="BE358" s="932"/>
      <c r="BF358" s="932"/>
    </row>
    <row r="359" spans="2:58" ht="15" x14ac:dyDescent="0.25">
      <c r="B359" s="932"/>
      <c r="C359" s="932"/>
      <c r="D359" s="932"/>
      <c r="E359" s="932"/>
      <c r="F359" s="932"/>
      <c r="G359" s="932"/>
      <c r="H359" s="932"/>
      <c r="I359" s="932"/>
      <c r="J359" s="932"/>
      <c r="K359" s="932"/>
      <c r="L359" s="932"/>
      <c r="M359" s="932"/>
      <c r="N359" s="932"/>
      <c r="O359" s="932"/>
      <c r="P359" s="932"/>
      <c r="Q359" s="932"/>
      <c r="R359" s="932"/>
      <c r="S359" s="932"/>
      <c r="T359" s="932"/>
      <c r="U359" s="932"/>
      <c r="V359" s="932"/>
      <c r="W359" s="932"/>
      <c r="X359" s="932"/>
      <c r="Y359" s="932"/>
      <c r="Z359" s="932"/>
      <c r="AA359" s="932"/>
      <c r="AB359" s="932"/>
      <c r="AC359" s="932"/>
      <c r="AD359" s="932"/>
      <c r="AE359" s="932"/>
      <c r="AF359" s="932"/>
      <c r="AG359" s="932"/>
      <c r="AH359" s="932"/>
      <c r="AI359" s="932"/>
      <c r="AJ359" s="932"/>
      <c r="AK359" s="932"/>
      <c r="AL359" s="932"/>
      <c r="AM359" s="932"/>
      <c r="AN359" s="932"/>
      <c r="AO359" s="932"/>
      <c r="AP359" s="932"/>
      <c r="AQ359" s="932"/>
      <c r="AR359" s="932"/>
      <c r="AS359" s="932"/>
      <c r="AT359" s="932"/>
      <c r="AU359" s="932"/>
      <c r="AV359" s="932"/>
      <c r="AW359" s="932"/>
      <c r="AX359" s="932"/>
      <c r="AY359" s="932"/>
      <c r="AZ359" s="932"/>
      <c r="BA359" s="932"/>
      <c r="BB359" s="932"/>
      <c r="BC359" s="932"/>
      <c r="BD359" s="932"/>
      <c r="BE359" s="932"/>
      <c r="BF359" s="932"/>
    </row>
    <row r="360" spans="2:58" ht="15" x14ac:dyDescent="0.25">
      <c r="B360" s="932"/>
      <c r="C360" s="932"/>
      <c r="D360" s="932"/>
      <c r="E360" s="932"/>
      <c r="F360" s="932"/>
      <c r="G360" s="932"/>
      <c r="H360" s="932"/>
      <c r="I360" s="932"/>
      <c r="J360" s="932"/>
      <c r="K360" s="932"/>
      <c r="L360" s="932"/>
      <c r="M360" s="932"/>
      <c r="N360" s="932"/>
      <c r="O360" s="932"/>
      <c r="P360" s="932"/>
      <c r="Q360" s="932"/>
      <c r="R360" s="932"/>
      <c r="S360" s="932"/>
      <c r="T360" s="932"/>
      <c r="U360" s="932"/>
      <c r="V360" s="932"/>
      <c r="W360" s="932"/>
      <c r="X360" s="932"/>
      <c r="Y360" s="932"/>
      <c r="Z360" s="932"/>
      <c r="AA360" s="932"/>
      <c r="AB360" s="932"/>
      <c r="AC360" s="932"/>
      <c r="AD360" s="932"/>
      <c r="AE360" s="932"/>
      <c r="AF360" s="932"/>
      <c r="AG360" s="932"/>
      <c r="AH360" s="932"/>
      <c r="AI360" s="932"/>
      <c r="AJ360" s="932"/>
      <c r="AK360" s="932"/>
      <c r="AL360" s="932"/>
      <c r="AM360" s="932"/>
      <c r="AN360" s="932"/>
      <c r="AO360" s="932"/>
      <c r="AP360" s="932"/>
      <c r="AQ360" s="932"/>
      <c r="AR360" s="932"/>
      <c r="AS360" s="932"/>
      <c r="AT360" s="932"/>
      <c r="AU360" s="932"/>
      <c r="AV360" s="932"/>
      <c r="AW360" s="932"/>
      <c r="AX360" s="932"/>
      <c r="AY360" s="932"/>
      <c r="AZ360" s="932"/>
      <c r="BA360" s="932"/>
      <c r="BB360" s="932"/>
      <c r="BC360" s="932"/>
      <c r="BD360" s="932"/>
      <c r="BE360" s="932"/>
      <c r="BF360" s="932"/>
    </row>
    <row r="361" spans="2:58" ht="15" x14ac:dyDescent="0.25">
      <c r="B361" s="932"/>
      <c r="C361" s="932"/>
      <c r="D361" s="932"/>
      <c r="E361" s="932"/>
      <c r="F361" s="932"/>
      <c r="G361" s="932"/>
      <c r="H361" s="932"/>
      <c r="I361" s="932"/>
      <c r="J361" s="932"/>
      <c r="K361" s="932"/>
      <c r="L361" s="932"/>
      <c r="M361" s="932"/>
      <c r="N361" s="932"/>
      <c r="O361" s="932"/>
      <c r="P361" s="932"/>
      <c r="Q361" s="932"/>
      <c r="R361" s="932"/>
      <c r="S361" s="932"/>
      <c r="T361" s="932"/>
      <c r="U361" s="932"/>
      <c r="V361" s="932"/>
      <c r="W361" s="932"/>
      <c r="X361" s="932"/>
      <c r="Y361" s="932"/>
      <c r="Z361" s="932"/>
      <c r="AA361" s="932"/>
      <c r="AB361" s="932"/>
      <c r="AC361" s="932"/>
      <c r="AD361" s="932"/>
      <c r="AE361" s="932"/>
      <c r="AF361" s="932"/>
      <c r="AG361" s="932"/>
      <c r="AH361" s="932"/>
      <c r="AI361" s="932"/>
      <c r="AJ361" s="932"/>
      <c r="AK361" s="932"/>
      <c r="AL361" s="932"/>
      <c r="AM361" s="932"/>
      <c r="AN361" s="932"/>
      <c r="AO361" s="932"/>
      <c r="AP361" s="932"/>
      <c r="AQ361" s="932"/>
      <c r="AR361" s="932"/>
      <c r="AS361" s="932"/>
      <c r="AT361" s="932"/>
      <c r="AU361" s="932"/>
      <c r="AV361" s="932"/>
      <c r="AW361" s="932"/>
      <c r="AX361" s="932"/>
      <c r="AY361" s="932"/>
      <c r="AZ361" s="932"/>
      <c r="BA361" s="932"/>
      <c r="BB361" s="932"/>
      <c r="BC361" s="932"/>
      <c r="BD361" s="932"/>
      <c r="BE361" s="932"/>
      <c r="BF361" s="932"/>
    </row>
    <row r="362" spans="2:58" ht="15" x14ac:dyDescent="0.25">
      <c r="B362" s="932"/>
      <c r="C362" s="932"/>
      <c r="D362" s="932"/>
      <c r="E362" s="932"/>
      <c r="F362" s="932"/>
      <c r="G362" s="932"/>
      <c r="H362" s="932"/>
      <c r="I362" s="932"/>
      <c r="J362" s="932"/>
      <c r="K362" s="932"/>
      <c r="L362" s="932"/>
      <c r="M362" s="932"/>
      <c r="N362" s="932"/>
      <c r="O362" s="932"/>
      <c r="P362" s="932"/>
      <c r="Q362" s="932"/>
      <c r="R362" s="932"/>
      <c r="S362" s="932"/>
      <c r="T362" s="932"/>
      <c r="U362" s="932"/>
      <c r="V362" s="932"/>
      <c r="W362" s="932"/>
      <c r="X362" s="932"/>
      <c r="Y362" s="932"/>
      <c r="Z362" s="932"/>
      <c r="AA362" s="932"/>
      <c r="AB362" s="932"/>
      <c r="AC362" s="932"/>
      <c r="AD362" s="932"/>
      <c r="AE362" s="932"/>
      <c r="AF362" s="932"/>
      <c r="AG362" s="932"/>
      <c r="AH362" s="932"/>
      <c r="AI362" s="932"/>
      <c r="AJ362" s="932"/>
      <c r="AK362" s="932"/>
      <c r="AL362" s="932"/>
      <c r="AM362" s="932"/>
      <c r="AN362" s="932"/>
      <c r="AO362" s="932"/>
      <c r="AP362" s="932"/>
      <c r="AQ362" s="932"/>
      <c r="AR362" s="932"/>
      <c r="AS362" s="932"/>
      <c r="AT362" s="932"/>
      <c r="AU362" s="932"/>
      <c r="AV362" s="932"/>
      <c r="AW362" s="932"/>
      <c r="AX362" s="932"/>
      <c r="AY362" s="932"/>
      <c r="AZ362" s="932"/>
      <c r="BA362" s="932"/>
      <c r="BB362" s="932"/>
      <c r="BC362" s="932"/>
      <c r="BD362" s="932"/>
      <c r="BE362" s="932"/>
      <c r="BF362" s="932"/>
    </row>
    <row r="363" spans="2:58" ht="15" x14ac:dyDescent="0.25">
      <c r="B363" s="932"/>
      <c r="C363" s="932"/>
      <c r="D363" s="932"/>
      <c r="E363" s="932"/>
      <c r="F363" s="932"/>
      <c r="G363" s="932"/>
      <c r="H363" s="932"/>
      <c r="I363" s="932"/>
      <c r="J363" s="932"/>
      <c r="K363" s="932"/>
      <c r="L363" s="932"/>
      <c r="M363" s="932"/>
      <c r="N363" s="932"/>
      <c r="O363" s="932"/>
      <c r="P363" s="932"/>
      <c r="Q363" s="932"/>
      <c r="R363" s="932"/>
      <c r="S363" s="932"/>
      <c r="T363" s="932"/>
      <c r="U363" s="932"/>
      <c r="V363" s="932"/>
      <c r="W363" s="932"/>
      <c r="X363" s="932"/>
      <c r="Y363" s="932"/>
      <c r="Z363" s="932"/>
      <c r="AA363" s="932"/>
      <c r="AB363" s="932"/>
      <c r="AC363" s="932"/>
      <c r="AD363" s="932"/>
      <c r="AE363" s="932"/>
      <c r="AF363" s="932"/>
      <c r="AG363" s="932"/>
      <c r="AH363" s="932"/>
      <c r="AI363" s="932"/>
      <c r="AJ363" s="932"/>
      <c r="AK363" s="932"/>
      <c r="AL363" s="932"/>
      <c r="AM363" s="932"/>
      <c r="AN363" s="932"/>
      <c r="AO363" s="932"/>
      <c r="AP363" s="932"/>
      <c r="AQ363" s="932"/>
      <c r="AR363" s="932"/>
      <c r="AS363" s="932"/>
      <c r="AT363" s="932"/>
      <c r="AU363" s="932"/>
      <c r="AV363" s="932"/>
      <c r="AW363" s="932"/>
      <c r="AX363" s="932"/>
      <c r="AY363" s="932"/>
      <c r="AZ363" s="932"/>
      <c r="BA363" s="932"/>
      <c r="BB363" s="932"/>
      <c r="BC363" s="932"/>
      <c r="BD363" s="932"/>
      <c r="BE363" s="932"/>
      <c r="BF363" s="932"/>
    </row>
    <row r="364" spans="2:58" ht="15" x14ac:dyDescent="0.25">
      <c r="B364" s="932"/>
      <c r="C364" s="932"/>
      <c r="D364" s="932"/>
      <c r="E364" s="932"/>
      <c r="F364" s="932"/>
      <c r="G364" s="932"/>
      <c r="H364" s="932"/>
      <c r="I364" s="932"/>
      <c r="J364" s="932"/>
      <c r="K364" s="932"/>
      <c r="L364" s="932"/>
      <c r="M364" s="932"/>
      <c r="N364" s="932"/>
      <c r="O364" s="932"/>
      <c r="P364" s="932"/>
      <c r="Q364" s="932"/>
      <c r="R364" s="932"/>
      <c r="S364" s="932"/>
      <c r="T364" s="932"/>
      <c r="U364" s="932"/>
      <c r="V364" s="932"/>
      <c r="W364" s="932"/>
      <c r="X364" s="932"/>
      <c r="Y364" s="932"/>
      <c r="Z364" s="932"/>
      <c r="AA364" s="932"/>
      <c r="AB364" s="932"/>
      <c r="AC364" s="932"/>
      <c r="AD364" s="932"/>
      <c r="AE364" s="932"/>
      <c r="AF364" s="932"/>
      <c r="AG364" s="932"/>
      <c r="AH364" s="932"/>
      <c r="AI364" s="932"/>
      <c r="AJ364" s="932"/>
      <c r="AK364" s="932"/>
      <c r="AL364" s="932"/>
      <c r="AM364" s="932"/>
      <c r="AN364" s="932"/>
      <c r="AO364" s="932"/>
      <c r="AP364" s="932"/>
      <c r="AQ364" s="932"/>
      <c r="AR364" s="932"/>
      <c r="AS364" s="932"/>
      <c r="AT364" s="932"/>
      <c r="AU364" s="932"/>
      <c r="AV364" s="932"/>
      <c r="AW364" s="932"/>
      <c r="AX364" s="932"/>
      <c r="AY364" s="932"/>
      <c r="AZ364" s="932"/>
      <c r="BA364" s="932"/>
      <c r="BB364" s="932"/>
      <c r="BC364" s="932"/>
      <c r="BD364" s="932"/>
      <c r="BE364" s="932"/>
      <c r="BF364" s="932"/>
    </row>
    <row r="365" spans="2:58" ht="15" x14ac:dyDescent="0.25">
      <c r="B365" s="932"/>
      <c r="C365" s="932"/>
      <c r="D365" s="932"/>
      <c r="E365" s="932"/>
      <c r="F365" s="932"/>
      <c r="G365" s="932"/>
      <c r="H365" s="932"/>
      <c r="I365" s="932"/>
      <c r="J365" s="932"/>
      <c r="K365" s="932"/>
      <c r="L365" s="932"/>
      <c r="M365" s="932"/>
      <c r="N365" s="932"/>
      <c r="O365" s="932"/>
      <c r="P365" s="932"/>
      <c r="Q365" s="932"/>
      <c r="R365" s="932"/>
      <c r="S365" s="932"/>
      <c r="T365" s="932"/>
      <c r="U365" s="932"/>
      <c r="V365" s="932"/>
      <c r="W365" s="932"/>
      <c r="X365" s="932"/>
      <c r="Y365" s="932"/>
      <c r="Z365" s="932"/>
      <c r="AA365" s="932"/>
      <c r="AB365" s="932"/>
      <c r="AC365" s="932"/>
      <c r="AD365" s="932"/>
      <c r="AE365" s="932"/>
      <c r="AF365" s="932"/>
      <c r="AG365" s="932"/>
      <c r="AH365" s="932"/>
      <c r="AI365" s="932"/>
      <c r="AJ365" s="932"/>
      <c r="AK365" s="932"/>
      <c r="AL365" s="932"/>
      <c r="AM365" s="932"/>
      <c r="AN365" s="932"/>
      <c r="AO365" s="932"/>
      <c r="AP365" s="932"/>
      <c r="AQ365" s="932"/>
      <c r="AR365" s="932"/>
      <c r="AS365" s="932"/>
      <c r="AT365" s="932"/>
      <c r="AU365" s="932"/>
      <c r="AV365" s="932"/>
      <c r="AW365" s="932"/>
      <c r="AX365" s="932"/>
      <c r="AY365" s="932"/>
      <c r="AZ365" s="932"/>
      <c r="BA365" s="932"/>
      <c r="BB365" s="932"/>
      <c r="BC365" s="932"/>
      <c r="BD365" s="932"/>
      <c r="BE365" s="932"/>
      <c r="BF365" s="932"/>
    </row>
    <row r="366" spans="2:58" ht="15" x14ac:dyDescent="0.25">
      <c r="B366" s="932"/>
      <c r="C366" s="932"/>
      <c r="D366" s="932"/>
      <c r="E366" s="932"/>
      <c r="F366" s="932"/>
      <c r="G366" s="932"/>
      <c r="H366" s="932"/>
      <c r="I366" s="932"/>
      <c r="J366" s="932"/>
      <c r="K366" s="932"/>
      <c r="L366" s="932"/>
      <c r="M366" s="932"/>
      <c r="N366" s="932"/>
      <c r="O366" s="932"/>
      <c r="P366" s="932"/>
      <c r="Q366" s="932"/>
      <c r="R366" s="932"/>
      <c r="S366" s="932"/>
      <c r="T366" s="932"/>
      <c r="U366" s="932"/>
      <c r="V366" s="932"/>
      <c r="W366" s="932"/>
      <c r="X366" s="932"/>
      <c r="Y366" s="932"/>
      <c r="Z366" s="932"/>
      <c r="AA366" s="932"/>
      <c r="AB366" s="932"/>
      <c r="AC366" s="932"/>
      <c r="AD366" s="932"/>
      <c r="AE366" s="932"/>
      <c r="AF366" s="932"/>
      <c r="AG366" s="932"/>
      <c r="AH366" s="932"/>
      <c r="AI366" s="932"/>
      <c r="AJ366" s="932"/>
      <c r="AK366" s="932"/>
      <c r="AL366" s="932"/>
      <c r="AM366" s="932"/>
      <c r="AN366" s="932"/>
      <c r="AO366" s="932"/>
      <c r="AP366" s="932"/>
      <c r="AQ366" s="932"/>
      <c r="AR366" s="932"/>
      <c r="AS366" s="932"/>
      <c r="AT366" s="932"/>
      <c r="AU366" s="932"/>
      <c r="AV366" s="932"/>
      <c r="AW366" s="932"/>
      <c r="AX366" s="932"/>
      <c r="AY366" s="932"/>
      <c r="AZ366" s="932"/>
      <c r="BA366" s="932"/>
      <c r="BB366" s="932"/>
      <c r="BC366" s="932"/>
      <c r="BD366" s="932"/>
      <c r="BE366" s="932"/>
      <c r="BF366" s="932"/>
    </row>
    <row r="367" spans="2:58" ht="15" x14ac:dyDescent="0.25">
      <c r="B367" s="932"/>
      <c r="C367" s="932"/>
      <c r="D367" s="932"/>
      <c r="E367" s="932"/>
      <c r="F367" s="932"/>
      <c r="G367" s="932"/>
      <c r="H367" s="932"/>
      <c r="I367" s="932"/>
      <c r="J367" s="932"/>
      <c r="K367" s="932"/>
      <c r="L367" s="932"/>
      <c r="M367" s="932"/>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c r="AM367" s="932"/>
      <c r="AN367" s="932"/>
      <c r="AO367" s="932"/>
      <c r="AP367" s="932"/>
      <c r="AQ367" s="932"/>
      <c r="AR367" s="932"/>
      <c r="AS367" s="932"/>
      <c r="AT367" s="932"/>
      <c r="AU367" s="932"/>
      <c r="AV367" s="932"/>
      <c r="AW367" s="932"/>
      <c r="AX367" s="932"/>
      <c r="AY367" s="932"/>
      <c r="AZ367" s="932"/>
      <c r="BA367" s="932"/>
      <c r="BB367" s="932"/>
      <c r="BC367" s="932"/>
      <c r="BD367" s="932"/>
      <c r="BE367" s="932"/>
      <c r="BF367" s="932"/>
    </row>
    <row r="368" spans="2:58" ht="15" x14ac:dyDescent="0.25">
      <c r="B368" s="932"/>
      <c r="C368" s="932"/>
      <c r="D368" s="932"/>
      <c r="E368" s="932"/>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c r="AM368" s="932"/>
      <c r="AN368" s="932"/>
      <c r="AO368" s="932"/>
      <c r="AP368" s="932"/>
      <c r="AQ368" s="932"/>
      <c r="AR368" s="932"/>
      <c r="AS368" s="932"/>
      <c r="AT368" s="932"/>
      <c r="AU368" s="932"/>
      <c r="AV368" s="932"/>
      <c r="AW368" s="932"/>
      <c r="AX368" s="932"/>
      <c r="AY368" s="932"/>
      <c r="AZ368" s="932"/>
      <c r="BA368" s="932"/>
      <c r="BB368" s="932"/>
      <c r="BC368" s="932"/>
      <c r="BD368" s="932"/>
      <c r="BE368" s="932"/>
      <c r="BF368" s="932"/>
    </row>
    <row r="369" spans="2:58" ht="15" x14ac:dyDescent="0.25">
      <c r="B369" s="932"/>
      <c r="C369" s="932"/>
      <c r="D369" s="932"/>
      <c r="E369" s="932"/>
      <c r="F369" s="932"/>
      <c r="G369" s="932"/>
      <c r="H369" s="932"/>
      <c r="I369" s="932"/>
      <c r="J369" s="932"/>
      <c r="K369" s="932"/>
      <c r="L369" s="932"/>
      <c r="M369" s="932"/>
      <c r="N369" s="932"/>
      <c r="O369" s="932"/>
      <c r="P369" s="932"/>
      <c r="Q369" s="932"/>
      <c r="R369" s="932"/>
      <c r="S369" s="932"/>
      <c r="T369" s="932"/>
      <c r="U369" s="932"/>
      <c r="V369" s="932"/>
      <c r="W369" s="932"/>
      <c r="X369" s="932"/>
      <c r="Y369" s="932"/>
      <c r="Z369" s="932"/>
      <c r="AA369" s="932"/>
      <c r="AB369" s="932"/>
      <c r="AC369" s="932"/>
      <c r="AD369" s="932"/>
      <c r="AE369" s="932"/>
      <c r="AF369" s="932"/>
      <c r="AG369" s="932"/>
      <c r="AH369" s="932"/>
      <c r="AI369" s="932"/>
      <c r="AJ369" s="932"/>
      <c r="AK369" s="932"/>
      <c r="AL369" s="932"/>
      <c r="AM369" s="932"/>
      <c r="AN369" s="932"/>
      <c r="AO369" s="932"/>
      <c r="AP369" s="932"/>
      <c r="AQ369" s="932"/>
      <c r="AR369" s="932"/>
      <c r="AS369" s="932"/>
      <c r="AT369" s="932"/>
      <c r="AU369" s="932"/>
      <c r="AV369" s="932"/>
      <c r="AW369" s="932"/>
      <c r="AX369" s="932"/>
      <c r="AY369" s="932"/>
      <c r="AZ369" s="932"/>
      <c r="BA369" s="932"/>
      <c r="BB369" s="932"/>
      <c r="BC369" s="932"/>
      <c r="BD369" s="932"/>
      <c r="BE369" s="932"/>
      <c r="BF369" s="932"/>
    </row>
    <row r="370" spans="2:58" ht="15" x14ac:dyDescent="0.25">
      <c r="B370" s="932"/>
      <c r="C370" s="932"/>
      <c r="D370" s="932"/>
      <c r="E370" s="932"/>
      <c r="F370" s="932"/>
      <c r="G370" s="932"/>
      <c r="H370" s="932"/>
      <c r="I370" s="932"/>
      <c r="J370" s="932"/>
      <c r="K370" s="932"/>
      <c r="L370" s="932"/>
      <c r="M370" s="932"/>
      <c r="N370" s="932"/>
      <c r="O370" s="932"/>
      <c r="P370" s="932"/>
      <c r="Q370" s="932"/>
      <c r="R370" s="932"/>
      <c r="S370" s="932"/>
      <c r="T370" s="932"/>
      <c r="U370" s="932"/>
      <c r="V370" s="932"/>
      <c r="W370" s="932"/>
      <c r="X370" s="932"/>
      <c r="Y370" s="932"/>
      <c r="Z370" s="932"/>
      <c r="AA370" s="932"/>
      <c r="AB370" s="932"/>
      <c r="AC370" s="932"/>
      <c r="AD370" s="932"/>
      <c r="AE370" s="932"/>
      <c r="AF370" s="932"/>
      <c r="AG370" s="932"/>
      <c r="AH370" s="932"/>
      <c r="AI370" s="932"/>
      <c r="AJ370" s="932"/>
      <c r="AK370" s="932"/>
      <c r="AL370" s="932"/>
      <c r="AM370" s="932"/>
      <c r="AN370" s="932"/>
      <c r="AO370" s="932"/>
      <c r="AP370" s="932"/>
      <c r="AQ370" s="932"/>
      <c r="AR370" s="932"/>
      <c r="AS370" s="932"/>
      <c r="AT370" s="932"/>
      <c r="AU370" s="932"/>
      <c r="AV370" s="932"/>
      <c r="AW370" s="932"/>
      <c r="AX370" s="932"/>
      <c r="AY370" s="932"/>
      <c r="AZ370" s="932"/>
      <c r="BA370" s="932"/>
      <c r="BB370" s="932"/>
      <c r="BC370" s="932"/>
      <c r="BD370" s="932"/>
      <c r="BE370" s="932"/>
      <c r="BF370" s="932"/>
    </row>
    <row r="371" spans="2:58" ht="15" x14ac:dyDescent="0.25">
      <c r="B371" s="932"/>
      <c r="C371" s="932"/>
      <c r="D371" s="932"/>
      <c r="E371" s="932"/>
      <c r="F371" s="932"/>
      <c r="G371" s="932"/>
      <c r="H371" s="932"/>
      <c r="I371" s="932"/>
      <c r="J371" s="932"/>
      <c r="K371" s="932"/>
      <c r="L371" s="932"/>
      <c r="M371" s="932"/>
      <c r="N371" s="932"/>
      <c r="O371" s="932"/>
      <c r="P371" s="932"/>
      <c r="Q371" s="932"/>
      <c r="R371" s="932"/>
      <c r="S371" s="932"/>
      <c r="T371" s="932"/>
      <c r="U371" s="932"/>
      <c r="V371" s="932"/>
      <c r="W371" s="932"/>
      <c r="X371" s="932"/>
      <c r="Y371" s="932"/>
      <c r="Z371" s="932"/>
      <c r="AA371" s="932"/>
      <c r="AB371" s="932"/>
      <c r="AC371" s="932"/>
      <c r="AD371" s="932"/>
      <c r="AE371" s="932"/>
      <c r="AF371" s="932"/>
      <c r="AG371" s="932"/>
      <c r="AH371" s="932"/>
      <c r="AI371" s="932"/>
      <c r="AJ371" s="932"/>
      <c r="AK371" s="932"/>
      <c r="AL371" s="932"/>
      <c r="AM371" s="932"/>
      <c r="AN371" s="932"/>
      <c r="AO371" s="932"/>
      <c r="AP371" s="932"/>
      <c r="AQ371" s="932"/>
      <c r="AR371" s="932"/>
      <c r="AS371" s="932"/>
      <c r="AT371" s="932"/>
      <c r="AU371" s="932"/>
      <c r="AV371" s="932"/>
      <c r="AW371" s="932"/>
      <c r="AX371" s="932"/>
      <c r="AY371" s="932"/>
      <c r="AZ371" s="932"/>
      <c r="BA371" s="932"/>
      <c r="BB371" s="932"/>
      <c r="BC371" s="932"/>
      <c r="BD371" s="932"/>
      <c r="BE371" s="932"/>
      <c r="BF371" s="932"/>
    </row>
    <row r="372" spans="2:58" ht="15" x14ac:dyDescent="0.25">
      <c r="B372" s="932"/>
      <c r="C372" s="932"/>
      <c r="D372" s="932"/>
      <c r="E372" s="932"/>
      <c r="F372" s="932"/>
      <c r="G372" s="932"/>
      <c r="H372" s="932"/>
      <c r="I372" s="932"/>
      <c r="J372" s="932"/>
      <c r="K372" s="932"/>
      <c r="L372" s="932"/>
      <c r="M372" s="932"/>
      <c r="N372" s="932"/>
      <c r="O372" s="932"/>
      <c r="P372" s="932"/>
      <c r="Q372" s="932"/>
      <c r="R372" s="932"/>
      <c r="S372" s="932"/>
      <c r="T372" s="932"/>
      <c r="U372" s="932"/>
      <c r="V372" s="932"/>
      <c r="W372" s="932"/>
      <c r="X372" s="932"/>
      <c r="Y372" s="932"/>
      <c r="Z372" s="932"/>
      <c r="AA372" s="932"/>
      <c r="AB372" s="932"/>
      <c r="AC372" s="932"/>
      <c r="AD372" s="932"/>
      <c r="AE372" s="932"/>
      <c r="AF372" s="932"/>
      <c r="AG372" s="932"/>
      <c r="AH372" s="932"/>
      <c r="AI372" s="932"/>
      <c r="AJ372" s="932"/>
      <c r="AK372" s="932"/>
      <c r="AL372" s="932"/>
      <c r="AM372" s="932"/>
      <c r="AN372" s="932"/>
      <c r="AO372" s="932"/>
      <c r="AP372" s="932"/>
      <c r="AQ372" s="932"/>
      <c r="AR372" s="932"/>
      <c r="AS372" s="932"/>
      <c r="AT372" s="932"/>
      <c r="AU372" s="932"/>
      <c r="AV372" s="932"/>
      <c r="AW372" s="932"/>
      <c r="AX372" s="932"/>
      <c r="AY372" s="932"/>
      <c r="AZ372" s="932"/>
      <c r="BA372" s="932"/>
      <c r="BB372" s="932"/>
      <c r="BC372" s="932"/>
      <c r="BD372" s="932"/>
      <c r="BE372" s="932"/>
      <c r="BF372" s="932"/>
    </row>
    <row r="373" spans="2:58" ht="15" x14ac:dyDescent="0.25">
      <c r="B373" s="932"/>
      <c r="C373" s="932"/>
      <c r="D373" s="932"/>
      <c r="E373" s="932"/>
      <c r="F373" s="932"/>
      <c r="G373" s="932"/>
      <c r="H373" s="932"/>
      <c r="I373" s="932"/>
      <c r="J373" s="932"/>
      <c r="K373" s="932"/>
      <c r="L373" s="932"/>
      <c r="M373" s="932"/>
      <c r="N373" s="932"/>
      <c r="O373" s="932"/>
      <c r="P373" s="932"/>
      <c r="Q373" s="932"/>
      <c r="R373" s="932"/>
      <c r="S373" s="932"/>
      <c r="T373" s="932"/>
      <c r="U373" s="932"/>
      <c r="V373" s="932"/>
      <c r="W373" s="932"/>
      <c r="X373" s="932"/>
      <c r="Y373" s="932"/>
      <c r="Z373" s="932"/>
      <c r="AA373" s="932"/>
      <c r="AB373" s="932"/>
      <c r="AC373" s="932"/>
      <c r="AD373" s="932"/>
      <c r="AE373" s="932"/>
      <c r="AF373" s="932"/>
      <c r="AG373" s="932"/>
      <c r="AH373" s="932"/>
      <c r="AI373" s="932"/>
      <c r="AJ373" s="932"/>
      <c r="AK373" s="932"/>
      <c r="AL373" s="932"/>
      <c r="AM373" s="932"/>
      <c r="AN373" s="932"/>
      <c r="AO373" s="932"/>
      <c r="AP373" s="932"/>
      <c r="AQ373" s="932"/>
      <c r="AR373" s="932"/>
      <c r="AS373" s="932"/>
      <c r="AT373" s="932"/>
      <c r="AU373" s="932"/>
      <c r="AV373" s="932"/>
      <c r="AW373" s="932"/>
      <c r="AX373" s="932"/>
      <c r="AY373" s="932"/>
      <c r="AZ373" s="932"/>
      <c r="BA373" s="932"/>
      <c r="BB373" s="932"/>
      <c r="BC373" s="932"/>
      <c r="BD373" s="932"/>
      <c r="BE373" s="932"/>
      <c r="BF373" s="932"/>
    </row>
    <row r="374" spans="2:58" ht="15" x14ac:dyDescent="0.25">
      <c r="B374" s="932"/>
      <c r="C374" s="932"/>
      <c r="D374" s="932"/>
      <c r="E374" s="932"/>
      <c r="F374" s="932"/>
      <c r="G374" s="932"/>
      <c r="H374" s="932"/>
      <c r="I374" s="932"/>
      <c r="J374" s="932"/>
      <c r="K374" s="932"/>
      <c r="L374" s="932"/>
      <c r="M374" s="932"/>
      <c r="N374" s="932"/>
      <c r="O374" s="932"/>
      <c r="P374" s="932"/>
      <c r="Q374" s="932"/>
      <c r="R374" s="932"/>
      <c r="S374" s="932"/>
      <c r="T374" s="932"/>
      <c r="U374" s="932"/>
      <c r="V374" s="932"/>
      <c r="W374" s="932"/>
      <c r="X374" s="932"/>
      <c r="Y374" s="932"/>
      <c r="Z374" s="932"/>
      <c r="AA374" s="932"/>
      <c r="AB374" s="932"/>
      <c r="AC374" s="932"/>
      <c r="AD374" s="932"/>
      <c r="AE374" s="932"/>
      <c r="AF374" s="932"/>
      <c r="AG374" s="932"/>
      <c r="AH374" s="932"/>
      <c r="AI374" s="932"/>
      <c r="AJ374" s="932"/>
      <c r="AK374" s="932"/>
      <c r="AL374" s="932"/>
      <c r="AM374" s="932"/>
      <c r="AN374" s="932"/>
      <c r="AO374" s="932"/>
      <c r="AP374" s="932"/>
      <c r="AQ374" s="932"/>
      <c r="AR374" s="932"/>
      <c r="AS374" s="932"/>
      <c r="AT374" s="932"/>
      <c r="AU374" s="932"/>
      <c r="AV374" s="932"/>
      <c r="AW374" s="932"/>
      <c r="AX374" s="932"/>
      <c r="AY374" s="932"/>
      <c r="AZ374" s="932"/>
      <c r="BA374" s="932"/>
      <c r="BB374" s="932"/>
      <c r="BC374" s="932"/>
      <c r="BD374" s="932"/>
      <c r="BE374" s="932"/>
      <c r="BF374" s="932"/>
    </row>
    <row r="375" spans="2:58" ht="15" x14ac:dyDescent="0.25">
      <c r="B375" s="932"/>
      <c r="C375" s="932"/>
      <c r="D375" s="932"/>
      <c r="E375" s="932"/>
      <c r="F375" s="932"/>
      <c r="G375" s="932"/>
      <c r="H375" s="932"/>
      <c r="I375" s="932"/>
      <c r="J375" s="932"/>
      <c r="K375" s="932"/>
      <c r="L375" s="932"/>
      <c r="M375" s="932"/>
      <c r="N375" s="932"/>
      <c r="O375" s="932"/>
      <c r="P375" s="932"/>
      <c r="Q375" s="932"/>
      <c r="R375" s="932"/>
      <c r="S375" s="932"/>
      <c r="T375" s="932"/>
      <c r="U375" s="932"/>
      <c r="V375" s="932"/>
      <c r="W375" s="932"/>
      <c r="X375" s="932"/>
      <c r="Y375" s="932"/>
      <c r="Z375" s="932"/>
      <c r="AA375" s="932"/>
      <c r="AB375" s="932"/>
      <c r="AC375" s="932"/>
      <c r="AD375" s="932"/>
      <c r="AE375" s="932"/>
      <c r="AF375" s="932"/>
      <c r="AG375" s="932"/>
      <c r="AH375" s="932"/>
      <c r="AI375" s="932"/>
      <c r="AJ375" s="932"/>
      <c r="AK375" s="932"/>
      <c r="AL375" s="932"/>
      <c r="AM375" s="932"/>
      <c r="AN375" s="932"/>
      <c r="AO375" s="932"/>
      <c r="AP375" s="932"/>
      <c r="AQ375" s="932"/>
      <c r="AR375" s="932"/>
      <c r="AS375" s="932"/>
      <c r="AT375" s="932"/>
      <c r="AU375" s="932"/>
      <c r="AV375" s="932"/>
      <c r="AW375" s="932"/>
      <c r="AX375" s="932"/>
      <c r="AY375" s="932"/>
      <c r="AZ375" s="932"/>
      <c r="BA375" s="932"/>
      <c r="BB375" s="932"/>
      <c r="BC375" s="932"/>
      <c r="BD375" s="932"/>
      <c r="BE375" s="932"/>
      <c r="BF375" s="932"/>
    </row>
    <row r="376" spans="2:58" ht="15" x14ac:dyDescent="0.25">
      <c r="B376" s="932"/>
      <c r="C376" s="932"/>
      <c r="D376" s="932"/>
      <c r="E376" s="932"/>
      <c r="F376" s="932"/>
      <c r="G376" s="932"/>
      <c r="H376" s="932"/>
      <c r="I376" s="932"/>
      <c r="J376" s="932"/>
      <c r="K376" s="932"/>
      <c r="L376" s="932"/>
      <c r="M376" s="932"/>
      <c r="N376" s="932"/>
      <c r="O376" s="932"/>
      <c r="P376" s="932"/>
      <c r="Q376" s="932"/>
      <c r="R376" s="932"/>
      <c r="S376" s="932"/>
      <c r="T376" s="932"/>
      <c r="U376" s="932"/>
      <c r="V376" s="932"/>
      <c r="W376" s="932"/>
      <c r="X376" s="932"/>
      <c r="Y376" s="932"/>
      <c r="Z376" s="932"/>
      <c r="AA376" s="932"/>
      <c r="AB376" s="932"/>
      <c r="AC376" s="932"/>
      <c r="AD376" s="932"/>
      <c r="AE376" s="932"/>
      <c r="AF376" s="932"/>
      <c r="AG376" s="932"/>
      <c r="AH376" s="932"/>
      <c r="AI376" s="932"/>
      <c r="AJ376" s="932"/>
      <c r="AK376" s="932"/>
      <c r="AL376" s="932"/>
      <c r="AM376" s="932"/>
      <c r="AN376" s="932"/>
      <c r="AO376" s="932"/>
      <c r="AP376" s="932"/>
      <c r="AQ376" s="932"/>
      <c r="AR376" s="932"/>
      <c r="AS376" s="932"/>
      <c r="AT376" s="932"/>
      <c r="AU376" s="932"/>
      <c r="AV376" s="932"/>
      <c r="AW376" s="932"/>
      <c r="AX376" s="932"/>
      <c r="AY376" s="932"/>
      <c r="AZ376" s="932"/>
      <c r="BA376" s="932"/>
      <c r="BB376" s="932"/>
      <c r="BC376" s="932"/>
      <c r="BD376" s="932"/>
      <c r="BE376" s="932"/>
      <c r="BF376" s="932"/>
    </row>
    <row r="377" spans="2:58" ht="15" x14ac:dyDescent="0.25">
      <c r="B377" s="932"/>
      <c r="C377" s="932"/>
      <c r="D377" s="932"/>
      <c r="E377" s="932"/>
      <c r="F377" s="932"/>
      <c r="G377" s="932"/>
      <c r="H377" s="932"/>
      <c r="I377" s="932"/>
      <c r="J377" s="932"/>
      <c r="K377" s="932"/>
      <c r="L377" s="932"/>
      <c r="M377" s="932"/>
      <c r="N377" s="932"/>
      <c r="O377" s="932"/>
      <c r="P377" s="932"/>
      <c r="Q377" s="932"/>
      <c r="R377" s="932"/>
      <c r="S377" s="932"/>
      <c r="T377" s="932"/>
      <c r="U377" s="932"/>
      <c r="V377" s="932"/>
      <c r="W377" s="932"/>
      <c r="X377" s="932"/>
      <c r="Y377" s="932"/>
      <c r="Z377" s="932"/>
      <c r="AA377" s="932"/>
      <c r="AB377" s="932"/>
      <c r="AC377" s="932"/>
      <c r="AD377" s="932"/>
      <c r="AE377" s="932"/>
      <c r="AF377" s="932"/>
      <c r="AG377" s="932"/>
      <c r="AH377" s="932"/>
      <c r="AI377" s="932"/>
      <c r="AJ377" s="932"/>
      <c r="AK377" s="932"/>
      <c r="AL377" s="932"/>
      <c r="AM377" s="932"/>
      <c r="AN377" s="932"/>
      <c r="AO377" s="932"/>
      <c r="AP377" s="932"/>
      <c r="AQ377" s="932"/>
      <c r="AR377" s="932"/>
      <c r="AS377" s="932"/>
      <c r="AT377" s="932"/>
      <c r="AU377" s="932"/>
      <c r="AV377" s="932"/>
      <c r="AW377" s="932"/>
      <c r="AX377" s="932"/>
      <c r="AY377" s="932"/>
      <c r="AZ377" s="932"/>
      <c r="BA377" s="932"/>
      <c r="BB377" s="932"/>
      <c r="BC377" s="932"/>
      <c r="BD377" s="932"/>
      <c r="BE377" s="932"/>
      <c r="BF377" s="932"/>
    </row>
    <row r="378" spans="2:58" ht="15" x14ac:dyDescent="0.25">
      <c r="B378" s="932"/>
      <c r="C378" s="932"/>
      <c r="D378" s="932"/>
      <c r="E378" s="932"/>
      <c r="F378" s="932"/>
      <c r="G378" s="932"/>
      <c r="H378" s="932"/>
      <c r="I378" s="932"/>
      <c r="J378" s="932"/>
      <c r="K378" s="932"/>
      <c r="L378" s="932"/>
      <c r="M378" s="932"/>
      <c r="N378" s="932"/>
      <c r="O378" s="932"/>
      <c r="P378" s="932"/>
      <c r="Q378" s="932"/>
      <c r="R378" s="932"/>
      <c r="S378" s="932"/>
      <c r="T378" s="932"/>
      <c r="U378" s="932"/>
      <c r="V378" s="932"/>
      <c r="W378" s="932"/>
      <c r="X378" s="932"/>
      <c r="Y378" s="932"/>
      <c r="Z378" s="932"/>
      <c r="AA378" s="932"/>
      <c r="AB378" s="932"/>
      <c r="AC378" s="932"/>
      <c r="AD378" s="932"/>
      <c r="AE378" s="932"/>
      <c r="AF378" s="932"/>
      <c r="AG378" s="932"/>
      <c r="AH378" s="932"/>
      <c r="AI378" s="932"/>
      <c r="AJ378" s="932"/>
      <c r="AK378" s="932"/>
      <c r="AL378" s="932"/>
      <c r="AM378" s="932"/>
      <c r="AN378" s="932"/>
      <c r="AO378" s="932"/>
      <c r="AP378" s="932"/>
      <c r="AQ378" s="932"/>
      <c r="AR378" s="932"/>
      <c r="AS378" s="932"/>
      <c r="AT378" s="932"/>
      <c r="AU378" s="932"/>
      <c r="AV378" s="932"/>
      <c r="AW378" s="932"/>
      <c r="AX378" s="932"/>
      <c r="AY378" s="932"/>
      <c r="AZ378" s="932"/>
      <c r="BA378" s="932"/>
      <c r="BB378" s="932"/>
      <c r="BC378" s="932"/>
      <c r="BD378" s="932"/>
      <c r="BE378" s="932"/>
      <c r="BF378" s="932"/>
    </row>
    <row r="379" spans="2:58" ht="15" x14ac:dyDescent="0.25">
      <c r="B379" s="932"/>
      <c r="C379" s="932"/>
      <c r="D379" s="932"/>
      <c r="E379" s="932"/>
      <c r="F379" s="932"/>
      <c r="G379" s="932"/>
      <c r="H379" s="932"/>
      <c r="I379" s="932"/>
      <c r="J379" s="932"/>
      <c r="K379" s="932"/>
      <c r="L379" s="932"/>
      <c r="M379" s="932"/>
      <c r="N379" s="932"/>
      <c r="O379" s="932"/>
      <c r="P379" s="932"/>
      <c r="Q379" s="932"/>
      <c r="R379" s="932"/>
      <c r="S379" s="932"/>
      <c r="T379" s="932"/>
      <c r="U379" s="932"/>
      <c r="V379" s="932"/>
      <c r="W379" s="932"/>
      <c r="X379" s="932"/>
      <c r="Y379" s="932"/>
      <c r="Z379" s="932"/>
      <c r="AA379" s="932"/>
      <c r="AB379" s="932"/>
      <c r="AC379" s="932"/>
      <c r="AD379" s="932"/>
      <c r="AE379" s="932"/>
      <c r="AF379" s="932"/>
      <c r="AG379" s="932"/>
      <c r="AH379" s="932"/>
      <c r="AI379" s="932"/>
      <c r="AJ379" s="932"/>
      <c r="AK379" s="932"/>
      <c r="AL379" s="932"/>
      <c r="AM379" s="932"/>
      <c r="AN379" s="932"/>
      <c r="AO379" s="932"/>
      <c r="AP379" s="932"/>
      <c r="AQ379" s="932"/>
      <c r="AR379" s="932"/>
      <c r="AS379" s="932"/>
      <c r="AT379" s="932"/>
      <c r="AU379" s="932"/>
      <c r="AV379" s="932"/>
      <c r="AW379" s="932"/>
      <c r="AX379" s="932"/>
      <c r="AY379" s="932"/>
      <c r="AZ379" s="932"/>
      <c r="BA379" s="932"/>
      <c r="BB379" s="932"/>
      <c r="BC379" s="932"/>
      <c r="BD379" s="932"/>
      <c r="BE379" s="932"/>
      <c r="BF379" s="932"/>
    </row>
    <row r="380" spans="2:58" ht="15" x14ac:dyDescent="0.25">
      <c r="B380" s="932"/>
      <c r="C380" s="932"/>
      <c r="D380" s="932"/>
      <c r="E380" s="932"/>
      <c r="F380" s="932"/>
      <c r="G380" s="932"/>
      <c r="H380" s="932"/>
      <c r="I380" s="932"/>
      <c r="J380" s="932"/>
      <c r="K380" s="932"/>
      <c r="L380" s="932"/>
      <c r="M380" s="932"/>
      <c r="N380" s="932"/>
      <c r="O380" s="932"/>
      <c r="P380" s="932"/>
      <c r="Q380" s="932"/>
      <c r="R380" s="932"/>
      <c r="S380" s="932"/>
      <c r="T380" s="932"/>
      <c r="U380" s="932"/>
      <c r="V380" s="932"/>
      <c r="W380" s="932"/>
      <c r="X380" s="932"/>
      <c r="Y380" s="932"/>
      <c r="Z380" s="932"/>
      <c r="AA380" s="932"/>
      <c r="AB380" s="932"/>
      <c r="AC380" s="932"/>
      <c r="AD380" s="932"/>
      <c r="AE380" s="932"/>
      <c r="AF380" s="932"/>
      <c r="AG380" s="932"/>
      <c r="AH380" s="932"/>
      <c r="AI380" s="932"/>
      <c r="AJ380" s="932"/>
      <c r="AK380" s="932"/>
      <c r="AL380" s="932"/>
      <c r="AM380" s="932"/>
      <c r="AN380" s="932"/>
      <c r="AO380" s="932"/>
      <c r="AP380" s="932"/>
      <c r="AQ380" s="932"/>
      <c r="AR380" s="932"/>
      <c r="AS380" s="932"/>
      <c r="AT380" s="932"/>
      <c r="AU380" s="932"/>
      <c r="AV380" s="932"/>
      <c r="AW380" s="932"/>
      <c r="AX380" s="932"/>
      <c r="AY380" s="932"/>
      <c r="AZ380" s="932"/>
      <c r="BA380" s="932"/>
      <c r="BB380" s="932"/>
      <c r="BC380" s="932"/>
      <c r="BD380" s="932"/>
      <c r="BE380" s="932"/>
      <c r="BF380" s="932"/>
    </row>
    <row r="381" spans="2:58" ht="15" x14ac:dyDescent="0.25">
      <c r="B381" s="932"/>
      <c r="C381" s="932"/>
      <c r="D381" s="932"/>
      <c r="E381" s="932"/>
      <c r="F381" s="932"/>
      <c r="G381" s="932"/>
      <c r="H381" s="932"/>
      <c r="I381" s="932"/>
      <c r="J381" s="932"/>
      <c r="K381" s="932"/>
      <c r="L381" s="932"/>
      <c r="M381" s="932"/>
      <c r="N381" s="932"/>
      <c r="O381" s="932"/>
      <c r="P381" s="932"/>
      <c r="Q381" s="932"/>
      <c r="R381" s="932"/>
      <c r="S381" s="932"/>
      <c r="T381" s="932"/>
      <c r="U381" s="932"/>
      <c r="V381" s="932"/>
      <c r="W381" s="932"/>
      <c r="X381" s="932"/>
      <c r="Y381" s="932"/>
      <c r="Z381" s="932"/>
      <c r="AA381" s="932"/>
      <c r="AB381" s="932"/>
      <c r="AC381" s="932"/>
      <c r="AD381" s="932"/>
      <c r="AE381" s="932"/>
      <c r="AF381" s="932"/>
      <c r="AG381" s="932"/>
      <c r="AH381" s="932"/>
      <c r="AI381" s="932"/>
      <c r="AJ381" s="932"/>
      <c r="AK381" s="932"/>
      <c r="AL381" s="932"/>
      <c r="AM381" s="932"/>
      <c r="AN381" s="932"/>
      <c r="AO381" s="932"/>
      <c r="AP381" s="932"/>
      <c r="AQ381" s="932"/>
      <c r="AR381" s="932"/>
      <c r="AS381" s="932"/>
      <c r="AT381" s="932"/>
      <c r="AU381" s="932"/>
      <c r="AV381" s="932"/>
      <c r="AW381" s="932"/>
      <c r="AX381" s="932"/>
      <c r="AY381" s="932"/>
      <c r="AZ381" s="932"/>
      <c r="BA381" s="932"/>
      <c r="BB381" s="932"/>
      <c r="BC381" s="932"/>
      <c r="BD381" s="932"/>
      <c r="BE381" s="932"/>
      <c r="BF381" s="932"/>
    </row>
    <row r="382" spans="2:58" ht="15" x14ac:dyDescent="0.25">
      <c r="B382" s="932"/>
      <c r="C382" s="932"/>
      <c r="D382" s="932"/>
      <c r="E382" s="932"/>
      <c r="F382" s="932"/>
      <c r="G382" s="932"/>
      <c r="H382" s="932"/>
      <c r="I382" s="932"/>
      <c r="J382" s="932"/>
      <c r="K382" s="932"/>
      <c r="L382" s="932"/>
      <c r="M382" s="932"/>
      <c r="N382" s="932"/>
      <c r="O382" s="932"/>
      <c r="P382" s="932"/>
      <c r="Q382" s="932"/>
      <c r="R382" s="932"/>
      <c r="S382" s="932"/>
      <c r="T382" s="932"/>
      <c r="U382" s="932"/>
      <c r="V382" s="932"/>
      <c r="W382" s="932"/>
      <c r="X382" s="932"/>
      <c r="Y382" s="932"/>
      <c r="Z382" s="932"/>
      <c r="AA382" s="932"/>
      <c r="AB382" s="932"/>
      <c r="AC382" s="932"/>
      <c r="AD382" s="932"/>
      <c r="AE382" s="932"/>
      <c r="AF382" s="932"/>
      <c r="AG382" s="932"/>
      <c r="AH382" s="932"/>
      <c r="AI382" s="932"/>
      <c r="AJ382" s="932"/>
      <c r="AK382" s="932"/>
      <c r="AL382" s="932"/>
      <c r="AM382" s="932"/>
      <c r="AN382" s="932"/>
      <c r="AO382" s="932"/>
      <c r="AP382" s="932"/>
      <c r="AQ382" s="932"/>
      <c r="AR382" s="932"/>
      <c r="AS382" s="932"/>
      <c r="AT382" s="932"/>
      <c r="AU382" s="932"/>
      <c r="AV382" s="932"/>
      <c r="AW382" s="932"/>
      <c r="AX382" s="932"/>
      <c r="AY382" s="932"/>
      <c r="AZ382" s="932"/>
      <c r="BA382" s="932"/>
      <c r="BB382" s="932"/>
      <c r="BC382" s="932"/>
      <c r="BD382" s="932"/>
      <c r="BE382" s="932"/>
      <c r="BF382" s="932"/>
    </row>
    <row r="383" spans="2:58" ht="15" x14ac:dyDescent="0.25">
      <c r="B383" s="932"/>
      <c r="C383" s="932"/>
      <c r="D383" s="932"/>
      <c r="E383" s="932"/>
      <c r="F383" s="932"/>
      <c r="G383" s="932"/>
      <c r="H383" s="932"/>
      <c r="I383" s="932"/>
      <c r="J383" s="932"/>
      <c r="K383" s="932"/>
      <c r="L383" s="932"/>
      <c r="M383" s="932"/>
      <c r="N383" s="932"/>
      <c r="O383" s="932"/>
      <c r="P383" s="932"/>
      <c r="Q383" s="932"/>
      <c r="R383" s="932"/>
      <c r="S383" s="932"/>
      <c r="T383" s="932"/>
      <c r="U383" s="932"/>
      <c r="V383" s="932"/>
      <c r="W383" s="932"/>
      <c r="X383" s="932"/>
      <c r="Y383" s="932"/>
      <c r="Z383" s="932"/>
      <c r="AA383" s="932"/>
      <c r="AB383" s="932"/>
      <c r="AC383" s="932"/>
      <c r="AD383" s="932"/>
      <c r="AE383" s="932"/>
      <c r="AF383" s="932"/>
      <c r="AG383" s="932"/>
      <c r="AH383" s="932"/>
      <c r="AI383" s="932"/>
      <c r="AJ383" s="932"/>
      <c r="AK383" s="932"/>
      <c r="AL383" s="932"/>
      <c r="AM383" s="932"/>
      <c r="AN383" s="932"/>
      <c r="AO383" s="932"/>
      <c r="AP383" s="932"/>
      <c r="AQ383" s="932"/>
      <c r="AR383" s="932"/>
      <c r="AS383" s="932"/>
      <c r="AT383" s="932"/>
      <c r="AU383" s="932"/>
      <c r="AV383" s="932"/>
      <c r="AW383" s="932"/>
      <c r="AX383" s="932"/>
      <c r="AY383" s="932"/>
      <c r="AZ383" s="932"/>
      <c r="BA383" s="932"/>
      <c r="BB383" s="932"/>
      <c r="BC383" s="932"/>
      <c r="BD383" s="932"/>
      <c r="BE383" s="932"/>
      <c r="BF383" s="932"/>
    </row>
    <row r="384" spans="2:58" ht="15" x14ac:dyDescent="0.25">
      <c r="B384" s="932"/>
      <c r="C384" s="932"/>
      <c r="D384" s="932"/>
      <c r="E384" s="932"/>
      <c r="F384" s="932"/>
      <c r="G384" s="932"/>
      <c r="H384" s="932"/>
      <c r="I384" s="932"/>
      <c r="J384" s="932"/>
      <c r="K384" s="932"/>
      <c r="L384" s="932"/>
      <c r="M384" s="932"/>
      <c r="N384" s="932"/>
      <c r="O384" s="932"/>
      <c r="P384" s="932"/>
      <c r="Q384" s="932"/>
      <c r="R384" s="932"/>
      <c r="S384" s="932"/>
      <c r="T384" s="932"/>
      <c r="U384" s="932"/>
      <c r="V384" s="932"/>
      <c r="W384" s="932"/>
      <c r="X384" s="932"/>
      <c r="Y384" s="932"/>
      <c r="Z384" s="932"/>
      <c r="AA384" s="932"/>
      <c r="AB384" s="932"/>
      <c r="AC384" s="932"/>
      <c r="AD384" s="932"/>
      <c r="AE384" s="932"/>
      <c r="AF384" s="932"/>
      <c r="AG384" s="932"/>
      <c r="AH384" s="932"/>
      <c r="AI384" s="932"/>
      <c r="AJ384" s="932"/>
      <c r="AK384" s="932"/>
      <c r="AL384" s="932"/>
      <c r="AM384" s="932"/>
      <c r="AN384" s="932"/>
      <c r="AO384" s="932"/>
      <c r="AP384" s="932"/>
      <c r="AQ384" s="932"/>
      <c r="AR384" s="932"/>
      <c r="AS384" s="932"/>
      <c r="AT384" s="932"/>
      <c r="AU384" s="932"/>
      <c r="AV384" s="932"/>
      <c r="AW384" s="932"/>
      <c r="AX384" s="932"/>
      <c r="AY384" s="932"/>
      <c r="AZ384" s="932"/>
      <c r="BA384" s="932"/>
      <c r="BB384" s="932"/>
      <c r="BC384" s="932"/>
      <c r="BD384" s="932"/>
      <c r="BE384" s="932"/>
      <c r="BF384" s="932"/>
    </row>
    <row r="385" spans="2:58" ht="15" x14ac:dyDescent="0.25">
      <c r="B385" s="932"/>
      <c r="C385" s="932"/>
      <c r="D385" s="932"/>
      <c r="E385" s="932"/>
      <c r="F385" s="932"/>
      <c r="G385" s="932"/>
      <c r="H385" s="932"/>
      <c r="I385" s="932"/>
      <c r="J385" s="932"/>
      <c r="K385" s="932"/>
      <c r="L385" s="932"/>
      <c r="M385" s="932"/>
      <c r="N385" s="932"/>
      <c r="O385" s="932"/>
      <c r="P385" s="932"/>
      <c r="Q385" s="932"/>
      <c r="R385" s="932"/>
      <c r="S385" s="932"/>
      <c r="T385" s="932"/>
      <c r="U385" s="932"/>
      <c r="V385" s="932"/>
      <c r="W385" s="932"/>
      <c r="X385" s="932"/>
      <c r="Y385" s="932"/>
      <c r="Z385" s="932"/>
      <c r="AA385" s="932"/>
      <c r="AB385" s="932"/>
      <c r="AC385" s="932"/>
      <c r="AD385" s="932"/>
      <c r="AE385" s="932"/>
      <c r="AF385" s="932"/>
      <c r="AG385" s="932"/>
      <c r="AH385" s="932"/>
      <c r="AI385" s="932"/>
      <c r="AJ385" s="932"/>
      <c r="AK385" s="932"/>
      <c r="AL385" s="932"/>
      <c r="AM385" s="932"/>
      <c r="AN385" s="932"/>
      <c r="AO385" s="932"/>
      <c r="AP385" s="932"/>
      <c r="AQ385" s="932"/>
      <c r="AR385" s="932"/>
      <c r="AS385" s="932"/>
      <c r="AT385" s="932"/>
      <c r="AU385" s="932"/>
      <c r="AV385" s="932"/>
      <c r="AW385" s="932"/>
      <c r="AX385" s="932"/>
      <c r="AY385" s="932"/>
      <c r="AZ385" s="932"/>
      <c r="BA385" s="932"/>
      <c r="BB385" s="932"/>
      <c r="BC385" s="932"/>
      <c r="BD385" s="932"/>
      <c r="BE385" s="932"/>
      <c r="BF385" s="932"/>
    </row>
    <row r="386" spans="2:58" ht="15" x14ac:dyDescent="0.25">
      <c r="B386" s="932"/>
      <c r="C386" s="932"/>
      <c r="D386" s="932"/>
      <c r="E386" s="932"/>
      <c r="F386" s="932"/>
      <c r="G386" s="932"/>
      <c r="H386" s="932"/>
      <c r="I386" s="932"/>
      <c r="J386" s="932"/>
      <c r="K386" s="932"/>
      <c r="L386" s="932"/>
      <c r="M386" s="932"/>
      <c r="N386" s="932"/>
      <c r="O386" s="932"/>
      <c r="P386" s="932"/>
      <c r="Q386" s="932"/>
      <c r="R386" s="932"/>
      <c r="S386" s="932"/>
      <c r="T386" s="932"/>
      <c r="U386" s="932"/>
      <c r="V386" s="932"/>
      <c r="W386" s="932"/>
      <c r="X386" s="932"/>
      <c r="Y386" s="932"/>
      <c r="Z386" s="932"/>
      <c r="AA386" s="932"/>
      <c r="AB386" s="932"/>
      <c r="AC386" s="932"/>
      <c r="AD386" s="932"/>
      <c r="AE386" s="932"/>
      <c r="AF386" s="932"/>
      <c r="AG386" s="932"/>
      <c r="AH386" s="932"/>
      <c r="AI386" s="932"/>
      <c r="AJ386" s="932"/>
      <c r="AK386" s="932"/>
      <c r="AL386" s="932"/>
      <c r="AM386" s="932"/>
      <c r="AN386" s="932"/>
      <c r="AO386" s="932"/>
      <c r="AP386" s="932"/>
      <c r="AQ386" s="932"/>
      <c r="AR386" s="932"/>
      <c r="AS386" s="932"/>
      <c r="AT386" s="932"/>
      <c r="AU386" s="932"/>
      <c r="AV386" s="932"/>
      <c r="AW386" s="932"/>
      <c r="AX386" s="932"/>
      <c r="AY386" s="932"/>
      <c r="AZ386" s="932"/>
      <c r="BA386" s="932"/>
      <c r="BB386" s="932"/>
      <c r="BC386" s="932"/>
      <c r="BD386" s="932"/>
      <c r="BE386" s="932"/>
      <c r="BF386" s="932"/>
    </row>
    <row r="387" spans="2:58" ht="15" x14ac:dyDescent="0.25">
      <c r="B387" s="932"/>
      <c r="C387" s="932"/>
      <c r="D387" s="932"/>
      <c r="E387" s="932"/>
      <c r="F387" s="932"/>
      <c r="G387" s="932"/>
      <c r="H387" s="932"/>
      <c r="I387" s="932"/>
      <c r="J387" s="932"/>
      <c r="K387" s="932"/>
      <c r="L387" s="932"/>
      <c r="M387" s="932"/>
      <c r="N387" s="932"/>
      <c r="O387" s="932"/>
      <c r="P387" s="932"/>
      <c r="Q387" s="932"/>
      <c r="R387" s="932"/>
      <c r="S387" s="932"/>
      <c r="T387" s="932"/>
      <c r="U387" s="932"/>
      <c r="V387" s="932"/>
      <c r="W387" s="932"/>
      <c r="X387" s="932"/>
      <c r="Y387" s="932"/>
      <c r="Z387" s="932"/>
      <c r="AA387" s="932"/>
      <c r="AB387" s="932"/>
      <c r="AC387" s="932"/>
      <c r="AD387" s="932"/>
      <c r="AE387" s="932"/>
      <c r="AF387" s="932"/>
      <c r="AG387" s="932"/>
      <c r="AH387" s="932"/>
      <c r="AI387" s="932"/>
      <c r="AJ387" s="932"/>
      <c r="AK387" s="932"/>
      <c r="AL387" s="932"/>
      <c r="AM387" s="932"/>
      <c r="AN387" s="932"/>
      <c r="AO387" s="932"/>
      <c r="AP387" s="932"/>
      <c r="AQ387" s="932"/>
      <c r="AR387" s="932"/>
      <c r="AS387" s="932"/>
      <c r="AT387" s="932"/>
      <c r="AU387" s="932"/>
      <c r="AV387" s="932"/>
      <c r="AW387" s="932"/>
      <c r="AX387" s="932"/>
      <c r="AY387" s="932"/>
      <c r="AZ387" s="932"/>
      <c r="BA387" s="932"/>
      <c r="BB387" s="932"/>
      <c r="BC387" s="932"/>
      <c r="BD387" s="932"/>
      <c r="BE387" s="932"/>
      <c r="BF387" s="932"/>
    </row>
    <row r="388" spans="2:58" ht="15" x14ac:dyDescent="0.25">
      <c r="B388" s="932"/>
      <c r="C388" s="932"/>
      <c r="D388" s="932"/>
      <c r="E388" s="932"/>
      <c r="F388" s="932"/>
      <c r="G388" s="932"/>
      <c r="H388" s="932"/>
      <c r="I388" s="932"/>
      <c r="J388" s="932"/>
      <c r="K388" s="932"/>
      <c r="L388" s="932"/>
      <c r="M388" s="932"/>
      <c r="N388" s="932"/>
      <c r="O388" s="932"/>
      <c r="P388" s="932"/>
      <c r="Q388" s="932"/>
      <c r="R388" s="932"/>
      <c r="S388" s="932"/>
      <c r="T388" s="932"/>
      <c r="U388" s="932"/>
      <c r="V388" s="932"/>
      <c r="W388" s="932"/>
      <c r="X388" s="932"/>
      <c r="Y388" s="932"/>
      <c r="Z388" s="932"/>
      <c r="AA388" s="932"/>
      <c r="AB388" s="932"/>
      <c r="AC388" s="932"/>
      <c r="AD388" s="932"/>
      <c r="AE388" s="932"/>
      <c r="AF388" s="932"/>
      <c r="AG388" s="932"/>
      <c r="AH388" s="932"/>
      <c r="AI388" s="932"/>
      <c r="AJ388" s="932"/>
      <c r="AK388" s="932"/>
      <c r="AL388" s="932"/>
      <c r="AM388" s="932"/>
      <c r="AN388" s="932"/>
      <c r="AO388" s="932"/>
      <c r="AP388" s="932"/>
      <c r="AQ388" s="932"/>
      <c r="AR388" s="932"/>
      <c r="AS388" s="932"/>
      <c r="AT388" s="932"/>
      <c r="AU388" s="932"/>
      <c r="AV388" s="932"/>
      <c r="AW388" s="932"/>
      <c r="AX388" s="932"/>
      <c r="AY388" s="932"/>
      <c r="AZ388" s="932"/>
      <c r="BA388" s="932"/>
      <c r="BB388" s="932"/>
      <c r="BC388" s="932"/>
      <c r="BD388" s="932"/>
      <c r="BE388" s="932"/>
      <c r="BF388" s="932"/>
    </row>
    <row r="389" spans="2:58" ht="15" x14ac:dyDescent="0.25">
      <c r="B389" s="932"/>
      <c r="C389" s="932"/>
      <c r="D389" s="932"/>
      <c r="E389" s="932"/>
      <c r="F389" s="932"/>
      <c r="G389" s="932"/>
      <c r="H389" s="932"/>
      <c r="I389" s="932"/>
      <c r="J389" s="932"/>
      <c r="K389" s="932"/>
      <c r="L389" s="932"/>
      <c r="M389" s="932"/>
      <c r="N389" s="932"/>
      <c r="O389" s="932"/>
      <c r="P389" s="932"/>
      <c r="Q389" s="932"/>
      <c r="R389" s="932"/>
      <c r="S389" s="932"/>
      <c r="T389" s="932"/>
      <c r="U389" s="932"/>
      <c r="V389" s="932"/>
      <c r="W389" s="932"/>
      <c r="X389" s="932"/>
      <c r="Y389" s="932"/>
      <c r="Z389" s="932"/>
      <c r="AA389" s="932"/>
      <c r="AB389" s="932"/>
      <c r="AC389" s="932"/>
      <c r="AD389" s="932"/>
      <c r="AE389" s="932"/>
      <c r="AF389" s="932"/>
      <c r="AG389" s="932"/>
      <c r="AH389" s="932"/>
      <c r="AI389" s="932"/>
      <c r="AJ389" s="932"/>
      <c r="AK389" s="932"/>
      <c r="AL389" s="932"/>
      <c r="AM389" s="932"/>
      <c r="AN389" s="932"/>
      <c r="AO389" s="932"/>
      <c r="AP389" s="932"/>
      <c r="AQ389" s="932"/>
      <c r="AR389" s="932"/>
      <c r="AS389" s="932"/>
      <c r="AT389" s="932"/>
      <c r="AU389" s="932"/>
      <c r="AV389" s="932"/>
      <c r="AW389" s="932"/>
      <c r="AX389" s="932"/>
      <c r="AY389" s="932"/>
      <c r="AZ389" s="932"/>
      <c r="BA389" s="932"/>
      <c r="BB389" s="932"/>
      <c r="BC389" s="932"/>
      <c r="BD389" s="932"/>
      <c r="BE389" s="932"/>
      <c r="BF389" s="932"/>
    </row>
    <row r="390" spans="2:58" ht="15" x14ac:dyDescent="0.25">
      <c r="B390" s="932"/>
      <c r="C390" s="932"/>
      <c r="D390" s="932"/>
      <c r="E390" s="932"/>
      <c r="F390" s="932"/>
      <c r="G390" s="932"/>
      <c r="H390" s="932"/>
      <c r="I390" s="932"/>
      <c r="J390" s="932"/>
      <c r="K390" s="932"/>
      <c r="L390" s="932"/>
      <c r="M390" s="932"/>
      <c r="N390" s="932"/>
      <c r="O390" s="932"/>
      <c r="P390" s="932"/>
      <c r="Q390" s="932"/>
      <c r="R390" s="932"/>
      <c r="S390" s="932"/>
      <c r="T390" s="932"/>
      <c r="U390" s="932"/>
      <c r="V390" s="932"/>
      <c r="W390" s="932"/>
      <c r="X390" s="932"/>
      <c r="Y390" s="932"/>
      <c r="Z390" s="932"/>
      <c r="AA390" s="932"/>
      <c r="AB390" s="932"/>
      <c r="AC390" s="932"/>
      <c r="AD390" s="932"/>
      <c r="AE390" s="932"/>
      <c r="AF390" s="932"/>
      <c r="AG390" s="932"/>
      <c r="AH390" s="932"/>
      <c r="AI390" s="932"/>
      <c r="AJ390" s="932"/>
      <c r="AK390" s="932"/>
      <c r="AL390" s="932"/>
      <c r="AM390" s="932"/>
      <c r="AN390" s="932"/>
      <c r="AO390" s="932"/>
      <c r="AP390" s="932"/>
      <c r="AQ390" s="932"/>
      <c r="AR390" s="932"/>
      <c r="AS390" s="932"/>
      <c r="AT390" s="932"/>
      <c r="AU390" s="932"/>
      <c r="AV390" s="932"/>
      <c r="AW390" s="932"/>
      <c r="AX390" s="932"/>
      <c r="AY390" s="932"/>
      <c r="AZ390" s="932"/>
      <c r="BA390" s="932"/>
      <c r="BB390" s="932"/>
      <c r="BC390" s="932"/>
      <c r="BD390" s="932"/>
      <c r="BE390" s="932"/>
      <c r="BF390" s="932"/>
    </row>
    <row r="391" spans="2:58" ht="15" x14ac:dyDescent="0.25">
      <c r="B391" s="932"/>
      <c r="C391" s="932"/>
      <c r="D391" s="932"/>
      <c r="E391" s="932"/>
      <c r="F391" s="932"/>
      <c r="G391" s="932"/>
      <c r="H391" s="932"/>
      <c r="I391" s="932"/>
      <c r="J391" s="932"/>
      <c r="K391" s="932"/>
      <c r="L391" s="932"/>
      <c r="M391" s="932"/>
      <c r="N391" s="932"/>
      <c r="O391" s="932"/>
      <c r="P391" s="932"/>
      <c r="Q391" s="932"/>
      <c r="R391" s="932"/>
      <c r="S391" s="932"/>
      <c r="T391" s="932"/>
      <c r="U391" s="932"/>
      <c r="V391" s="932"/>
      <c r="W391" s="932"/>
      <c r="X391" s="932"/>
      <c r="Y391" s="932"/>
      <c r="Z391" s="932"/>
      <c r="AA391" s="932"/>
      <c r="AB391" s="932"/>
      <c r="AC391" s="932"/>
      <c r="AD391" s="932"/>
      <c r="AE391" s="932"/>
      <c r="AF391" s="932"/>
      <c r="AG391" s="932"/>
      <c r="AH391" s="932"/>
      <c r="AI391" s="932"/>
      <c r="AJ391" s="932"/>
      <c r="AK391" s="932"/>
      <c r="AL391" s="932"/>
      <c r="AM391" s="932"/>
      <c r="AN391" s="932"/>
      <c r="AO391" s="932"/>
      <c r="AP391" s="932"/>
      <c r="AQ391" s="932"/>
      <c r="AR391" s="932"/>
      <c r="AS391" s="932"/>
      <c r="AT391" s="932"/>
      <c r="AU391" s="932"/>
      <c r="AV391" s="932"/>
      <c r="AW391" s="932"/>
      <c r="AX391" s="932"/>
      <c r="AY391" s="932"/>
      <c r="AZ391" s="932"/>
      <c r="BA391" s="932"/>
      <c r="BB391" s="932"/>
      <c r="BC391" s="932"/>
      <c r="BD391" s="932"/>
      <c r="BE391" s="932"/>
      <c r="BF391" s="932"/>
    </row>
    <row r="392" spans="2:58" ht="15" x14ac:dyDescent="0.25">
      <c r="B392" s="932"/>
      <c r="C392" s="932"/>
      <c r="D392" s="932"/>
      <c r="E392" s="932"/>
      <c r="F392" s="932"/>
      <c r="G392" s="932"/>
      <c r="H392" s="932"/>
      <c r="I392" s="932"/>
      <c r="J392" s="932"/>
      <c r="K392" s="932"/>
      <c r="L392" s="932"/>
      <c r="M392" s="932"/>
      <c r="N392" s="932"/>
      <c r="O392" s="932"/>
      <c r="P392" s="932"/>
      <c r="Q392" s="932"/>
      <c r="R392" s="932"/>
      <c r="S392" s="932"/>
      <c r="T392" s="932"/>
      <c r="U392" s="932"/>
      <c r="V392" s="932"/>
      <c r="W392" s="932"/>
      <c r="X392" s="932"/>
      <c r="Y392" s="932"/>
      <c r="Z392" s="932"/>
      <c r="AA392" s="932"/>
      <c r="AB392" s="932"/>
      <c r="AC392" s="932"/>
      <c r="AD392" s="932"/>
      <c r="AE392" s="932"/>
      <c r="AF392" s="932"/>
      <c r="AG392" s="932"/>
      <c r="AH392" s="932"/>
      <c r="AI392" s="932"/>
      <c r="AJ392" s="932"/>
      <c r="AK392" s="932"/>
      <c r="AL392" s="932"/>
      <c r="AM392" s="932"/>
      <c r="AN392" s="932"/>
      <c r="AO392" s="932"/>
      <c r="AP392" s="932"/>
      <c r="AQ392" s="932"/>
      <c r="AR392" s="932"/>
      <c r="AS392" s="932"/>
      <c r="AT392" s="932"/>
      <c r="AU392" s="932"/>
      <c r="AV392" s="932"/>
      <c r="AW392" s="932"/>
      <c r="AX392" s="932"/>
      <c r="AY392" s="932"/>
      <c r="AZ392" s="932"/>
      <c r="BA392" s="932"/>
      <c r="BB392" s="932"/>
      <c r="BC392" s="932"/>
      <c r="BD392" s="932"/>
      <c r="BE392" s="932"/>
      <c r="BF392" s="932"/>
    </row>
    <row r="393" spans="2:58" ht="15" x14ac:dyDescent="0.25">
      <c r="B393" s="932"/>
      <c r="C393" s="932"/>
      <c r="D393" s="932"/>
      <c r="E393" s="932"/>
      <c r="F393" s="932"/>
      <c r="G393" s="932"/>
      <c r="H393" s="932"/>
      <c r="I393" s="932"/>
      <c r="J393" s="932"/>
      <c r="K393" s="932"/>
      <c r="L393" s="932"/>
      <c r="M393" s="932"/>
      <c r="N393" s="932"/>
      <c r="O393" s="932"/>
      <c r="P393" s="932"/>
      <c r="Q393" s="932"/>
      <c r="R393" s="932"/>
      <c r="S393" s="932"/>
      <c r="T393" s="932"/>
      <c r="U393" s="932"/>
      <c r="V393" s="932"/>
      <c r="W393" s="932"/>
      <c r="X393" s="932"/>
      <c r="Y393" s="932"/>
      <c r="Z393" s="932"/>
      <c r="AA393" s="932"/>
      <c r="AB393" s="932"/>
      <c r="AC393" s="932"/>
      <c r="AD393" s="932"/>
      <c r="AE393" s="932"/>
      <c r="AF393" s="932"/>
      <c r="AG393" s="932"/>
      <c r="AH393" s="932"/>
      <c r="AI393" s="932"/>
      <c r="AJ393" s="932"/>
      <c r="AK393" s="932"/>
      <c r="AL393" s="932"/>
      <c r="AM393" s="932"/>
      <c r="AN393" s="932"/>
      <c r="AO393" s="932"/>
      <c r="AP393" s="932"/>
      <c r="AQ393" s="932"/>
      <c r="AR393" s="932"/>
      <c r="AS393" s="932"/>
      <c r="AT393" s="932"/>
      <c r="AU393" s="932"/>
      <c r="AV393" s="932"/>
      <c r="AW393" s="932"/>
      <c r="AX393" s="932"/>
      <c r="AY393" s="932"/>
      <c r="AZ393" s="932"/>
      <c r="BA393" s="932"/>
      <c r="BB393" s="932"/>
      <c r="BC393" s="932"/>
      <c r="BD393" s="932"/>
      <c r="BE393" s="932"/>
      <c r="BF393" s="932"/>
    </row>
    <row r="394" spans="2:58" ht="15" x14ac:dyDescent="0.25">
      <c r="B394" s="932"/>
      <c r="C394" s="932"/>
      <c r="D394" s="932"/>
      <c r="E394" s="932"/>
      <c r="F394" s="932"/>
      <c r="G394" s="932"/>
      <c r="H394" s="932"/>
      <c r="I394" s="932"/>
      <c r="J394" s="932"/>
      <c r="K394" s="932"/>
      <c r="L394" s="932"/>
      <c r="M394" s="932"/>
      <c r="N394" s="932"/>
      <c r="O394" s="932"/>
      <c r="P394" s="932"/>
      <c r="Q394" s="932"/>
      <c r="R394" s="932"/>
      <c r="S394" s="932"/>
      <c r="T394" s="932"/>
      <c r="U394" s="932"/>
      <c r="V394" s="932"/>
      <c r="W394" s="932"/>
      <c r="X394" s="932"/>
      <c r="Y394" s="932"/>
      <c r="Z394" s="932"/>
      <c r="AA394" s="932"/>
      <c r="AB394" s="932"/>
      <c r="AC394" s="932"/>
      <c r="AD394" s="932"/>
      <c r="AE394" s="932"/>
      <c r="AF394" s="932"/>
      <c r="AG394" s="932"/>
      <c r="AH394" s="932"/>
      <c r="AI394" s="932"/>
      <c r="AJ394" s="932"/>
      <c r="AK394" s="932"/>
      <c r="AL394" s="932"/>
      <c r="AM394" s="932"/>
      <c r="AN394" s="932"/>
      <c r="AO394" s="932"/>
      <c r="AP394" s="932"/>
      <c r="AQ394" s="932"/>
      <c r="AR394" s="932"/>
      <c r="AS394" s="932"/>
      <c r="AT394" s="932"/>
      <c r="AU394" s="932"/>
      <c r="AV394" s="932"/>
      <c r="AW394" s="932"/>
      <c r="AX394" s="932"/>
      <c r="AY394" s="932"/>
      <c r="AZ394" s="932"/>
      <c r="BA394" s="932"/>
      <c r="BB394" s="932"/>
      <c r="BC394" s="932"/>
      <c r="BD394" s="932"/>
      <c r="BE394" s="932"/>
      <c r="BF394" s="932"/>
    </row>
    <row r="395" spans="2:58" ht="15" x14ac:dyDescent="0.25">
      <c r="B395" s="932"/>
      <c r="C395" s="932"/>
      <c r="D395" s="932"/>
      <c r="E395" s="932"/>
      <c r="F395" s="932"/>
      <c r="G395" s="932"/>
      <c r="H395" s="932"/>
      <c r="I395" s="932"/>
      <c r="J395" s="932"/>
      <c r="K395" s="932"/>
      <c r="L395" s="932"/>
      <c r="M395" s="932"/>
      <c r="N395" s="932"/>
      <c r="O395" s="932"/>
      <c r="P395" s="932"/>
      <c r="Q395" s="932"/>
      <c r="R395" s="932"/>
      <c r="S395" s="932"/>
      <c r="T395" s="932"/>
      <c r="U395" s="932"/>
      <c r="V395" s="932"/>
      <c r="W395" s="932"/>
      <c r="X395" s="932"/>
      <c r="Y395" s="932"/>
      <c r="Z395" s="932"/>
      <c r="AA395" s="932"/>
      <c r="AB395" s="932"/>
      <c r="AC395" s="932"/>
      <c r="AD395" s="932"/>
      <c r="AE395" s="932"/>
      <c r="AF395" s="932"/>
      <c r="AG395" s="932"/>
      <c r="AH395" s="932"/>
      <c r="AI395" s="932"/>
      <c r="AJ395" s="932"/>
      <c r="AK395" s="932"/>
      <c r="AL395" s="932"/>
      <c r="AM395" s="932"/>
      <c r="AN395" s="932"/>
      <c r="AO395" s="932"/>
      <c r="AP395" s="932"/>
      <c r="AQ395" s="932"/>
      <c r="AR395" s="932"/>
      <c r="AS395" s="932"/>
      <c r="AT395" s="932"/>
      <c r="AU395" s="932"/>
      <c r="AV395" s="932"/>
      <c r="AW395" s="932"/>
      <c r="AX395" s="932"/>
      <c r="AY395" s="932"/>
      <c r="AZ395" s="932"/>
      <c r="BA395" s="932"/>
      <c r="BB395" s="932"/>
      <c r="BC395" s="932"/>
      <c r="BD395" s="932"/>
      <c r="BE395" s="932"/>
      <c r="BF395" s="932"/>
    </row>
    <row r="396" spans="2:58" ht="15" x14ac:dyDescent="0.25">
      <c r="B396" s="932"/>
      <c r="C396" s="932"/>
      <c r="D396" s="932"/>
      <c r="E396" s="932"/>
      <c r="F396" s="932"/>
      <c r="G396" s="932"/>
      <c r="H396" s="932"/>
      <c r="I396" s="932"/>
      <c r="J396" s="932"/>
      <c r="K396" s="932"/>
      <c r="L396" s="932"/>
      <c r="M396" s="932"/>
      <c r="N396" s="932"/>
      <c r="O396" s="932"/>
      <c r="P396" s="932"/>
      <c r="Q396" s="932"/>
      <c r="R396" s="932"/>
      <c r="S396" s="932"/>
      <c r="T396" s="932"/>
      <c r="U396" s="932"/>
      <c r="V396" s="932"/>
      <c r="W396" s="932"/>
      <c r="X396" s="932"/>
      <c r="Y396" s="932"/>
      <c r="Z396" s="932"/>
      <c r="AA396" s="932"/>
      <c r="AB396" s="932"/>
      <c r="AC396" s="932"/>
      <c r="AD396" s="932"/>
      <c r="AE396" s="932"/>
      <c r="AF396" s="932"/>
      <c r="AG396" s="932"/>
      <c r="AH396" s="932"/>
      <c r="AI396" s="932"/>
      <c r="AJ396" s="932"/>
      <c r="AK396" s="932"/>
      <c r="AL396" s="932"/>
      <c r="AM396" s="932"/>
      <c r="AN396" s="932"/>
      <c r="AO396" s="932"/>
      <c r="AP396" s="932"/>
      <c r="AQ396" s="932"/>
      <c r="AR396" s="932"/>
      <c r="AS396" s="932"/>
      <c r="AT396" s="932"/>
      <c r="AU396" s="932"/>
      <c r="AV396" s="932"/>
      <c r="AW396" s="932"/>
      <c r="AX396" s="932"/>
      <c r="AY396" s="932"/>
      <c r="AZ396" s="932"/>
      <c r="BA396" s="932"/>
      <c r="BB396" s="932"/>
      <c r="BC396" s="932"/>
      <c r="BD396" s="932"/>
      <c r="BE396" s="932"/>
      <c r="BF396" s="932"/>
    </row>
    <row r="397" spans="2:58" ht="15" x14ac:dyDescent="0.25">
      <c r="B397" s="932"/>
      <c r="C397" s="932"/>
      <c r="D397" s="932"/>
      <c r="E397" s="932"/>
      <c r="F397" s="932"/>
      <c r="G397" s="932"/>
      <c r="H397" s="932"/>
      <c r="I397" s="932"/>
      <c r="J397" s="932"/>
      <c r="K397" s="932"/>
      <c r="L397" s="932"/>
      <c r="M397" s="932"/>
      <c r="N397" s="932"/>
      <c r="O397" s="932"/>
      <c r="P397" s="932"/>
      <c r="Q397" s="932"/>
      <c r="R397" s="932"/>
      <c r="S397" s="932"/>
      <c r="T397" s="932"/>
      <c r="U397" s="932"/>
      <c r="V397" s="932"/>
      <c r="W397" s="932"/>
      <c r="X397" s="932"/>
      <c r="Y397" s="932"/>
      <c r="Z397" s="932"/>
      <c r="AA397" s="932"/>
      <c r="AB397" s="932"/>
      <c r="AC397" s="932"/>
      <c r="AD397" s="932"/>
      <c r="AE397" s="932"/>
      <c r="AF397" s="932"/>
      <c r="AG397" s="932"/>
      <c r="AH397" s="932"/>
      <c r="AI397" s="932"/>
      <c r="AJ397" s="932"/>
      <c r="AK397" s="932"/>
      <c r="AL397" s="932"/>
      <c r="AM397" s="932"/>
      <c r="AN397" s="932"/>
      <c r="AO397" s="932"/>
      <c r="AP397" s="932"/>
      <c r="AQ397" s="932"/>
      <c r="AR397" s="932"/>
      <c r="AS397" s="932"/>
      <c r="AT397" s="932"/>
      <c r="AU397" s="932"/>
      <c r="AV397" s="932"/>
      <c r="AW397" s="932"/>
      <c r="AX397" s="932"/>
      <c r="AY397" s="932"/>
      <c r="AZ397" s="932"/>
      <c r="BA397" s="932"/>
      <c r="BB397" s="932"/>
      <c r="BC397" s="932"/>
      <c r="BD397" s="932"/>
      <c r="BE397" s="932"/>
      <c r="BF397" s="932"/>
    </row>
    <row r="398" spans="2:58" ht="15" x14ac:dyDescent="0.25">
      <c r="B398" s="932"/>
      <c r="C398" s="932"/>
      <c r="D398" s="932"/>
      <c r="E398" s="932"/>
      <c r="F398" s="932"/>
      <c r="G398" s="932"/>
      <c r="H398" s="932"/>
      <c r="I398" s="932"/>
      <c r="J398" s="932"/>
      <c r="K398" s="932"/>
      <c r="L398" s="932"/>
      <c r="M398" s="932"/>
      <c r="N398" s="932"/>
      <c r="O398" s="932"/>
      <c r="P398" s="932"/>
      <c r="Q398" s="932"/>
      <c r="R398" s="932"/>
      <c r="S398" s="932"/>
      <c r="T398" s="932"/>
      <c r="U398" s="932"/>
      <c r="V398" s="932"/>
      <c r="W398" s="932"/>
      <c r="X398" s="932"/>
      <c r="Y398" s="932"/>
      <c r="Z398" s="932"/>
      <c r="AA398" s="932"/>
      <c r="AB398" s="932"/>
      <c r="AC398" s="932"/>
      <c r="AD398" s="932"/>
      <c r="AE398" s="932"/>
      <c r="AF398" s="932"/>
      <c r="AG398" s="932"/>
      <c r="AH398" s="932"/>
      <c r="AI398" s="932"/>
      <c r="AJ398" s="932"/>
      <c r="AK398" s="932"/>
      <c r="AL398" s="932"/>
      <c r="AM398" s="932"/>
      <c r="AN398" s="932"/>
      <c r="AO398" s="932"/>
      <c r="AP398" s="932"/>
      <c r="AQ398" s="932"/>
      <c r="AR398" s="932"/>
      <c r="AS398" s="932"/>
      <c r="AT398" s="932"/>
      <c r="AU398" s="932"/>
      <c r="AV398" s="932"/>
      <c r="AW398" s="932"/>
      <c r="AX398" s="932"/>
      <c r="AY398" s="932"/>
      <c r="AZ398" s="932"/>
      <c r="BA398" s="932"/>
      <c r="BB398" s="932"/>
      <c r="BC398" s="932"/>
      <c r="BD398" s="932"/>
      <c r="BE398" s="932"/>
      <c r="BF398" s="932"/>
    </row>
    <row r="399" spans="2:58" ht="15" x14ac:dyDescent="0.25">
      <c r="B399" s="932"/>
      <c r="C399" s="932"/>
      <c r="D399" s="932"/>
      <c r="E399" s="932"/>
      <c r="F399" s="932"/>
      <c r="G399" s="932"/>
      <c r="H399" s="932"/>
      <c r="I399" s="932"/>
      <c r="J399" s="932"/>
      <c r="K399" s="932"/>
      <c r="L399" s="932"/>
      <c r="M399" s="932"/>
      <c r="N399" s="932"/>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c r="AK399" s="932"/>
      <c r="AL399" s="932"/>
      <c r="AM399" s="932"/>
      <c r="AN399" s="932"/>
      <c r="AO399" s="932"/>
      <c r="AP399" s="932"/>
      <c r="AQ399" s="932"/>
      <c r="AR399" s="932"/>
      <c r="AS399" s="932"/>
      <c r="AT399" s="932"/>
      <c r="AU399" s="932"/>
      <c r="AV399" s="932"/>
      <c r="AW399" s="932"/>
      <c r="AX399" s="932"/>
      <c r="AY399" s="932"/>
      <c r="AZ399" s="932"/>
      <c r="BA399" s="932"/>
      <c r="BB399" s="932"/>
      <c r="BC399" s="932"/>
      <c r="BD399" s="932"/>
      <c r="BE399" s="932"/>
      <c r="BF399" s="932"/>
    </row>
    <row r="400" spans="2:58" ht="15" x14ac:dyDescent="0.25">
      <c r="B400" s="932"/>
      <c r="C400" s="932"/>
      <c r="D400" s="932"/>
      <c r="E400" s="932"/>
      <c r="F400" s="932"/>
      <c r="G400" s="932"/>
      <c r="H400" s="932"/>
      <c r="I400" s="932"/>
      <c r="J400" s="932"/>
      <c r="K400" s="932"/>
      <c r="L400" s="932"/>
      <c r="M400" s="932"/>
      <c r="N400" s="932"/>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c r="AK400" s="932"/>
      <c r="AL400" s="932"/>
      <c r="AM400" s="932"/>
      <c r="AN400" s="932"/>
      <c r="AO400" s="932"/>
      <c r="AP400" s="932"/>
      <c r="AQ400" s="932"/>
      <c r="AR400" s="932"/>
      <c r="AS400" s="932"/>
      <c r="AT400" s="932"/>
      <c r="AU400" s="932"/>
      <c r="AV400" s="932"/>
      <c r="AW400" s="932"/>
      <c r="AX400" s="932"/>
      <c r="AY400" s="932"/>
      <c r="AZ400" s="932"/>
      <c r="BA400" s="932"/>
      <c r="BB400" s="932"/>
      <c r="BC400" s="932"/>
      <c r="BD400" s="932"/>
      <c r="BE400" s="932"/>
      <c r="BF400" s="932"/>
    </row>
    <row r="401" spans="2:58" ht="15" x14ac:dyDescent="0.25">
      <c r="B401" s="932"/>
      <c r="C401" s="932"/>
      <c r="D401" s="932"/>
      <c r="E401" s="932"/>
      <c r="F401" s="932"/>
      <c r="G401" s="932"/>
      <c r="H401" s="932"/>
      <c r="I401" s="932"/>
      <c r="J401" s="932"/>
      <c r="K401" s="932"/>
      <c r="L401" s="932"/>
      <c r="M401" s="932"/>
      <c r="N401" s="932"/>
      <c r="O401" s="932"/>
      <c r="P401" s="932"/>
      <c r="Q401" s="932"/>
      <c r="R401" s="932"/>
      <c r="S401" s="932"/>
      <c r="T401" s="932"/>
      <c r="U401" s="932"/>
      <c r="V401" s="932"/>
      <c r="W401" s="932"/>
      <c r="X401" s="932"/>
      <c r="Y401" s="932"/>
      <c r="Z401" s="932"/>
      <c r="AA401" s="932"/>
      <c r="AB401" s="932"/>
      <c r="AC401" s="932"/>
      <c r="AD401" s="932"/>
      <c r="AE401" s="932"/>
      <c r="AF401" s="932"/>
      <c r="AG401" s="932"/>
      <c r="AH401" s="932"/>
      <c r="AI401" s="932"/>
      <c r="AJ401" s="932"/>
      <c r="AK401" s="932"/>
      <c r="AL401" s="932"/>
      <c r="AM401" s="932"/>
      <c r="AN401" s="932"/>
      <c r="AO401" s="932"/>
      <c r="AP401" s="932"/>
      <c r="AQ401" s="932"/>
      <c r="AR401" s="932"/>
      <c r="AS401" s="932"/>
      <c r="AT401" s="932"/>
      <c r="AU401" s="932"/>
      <c r="AV401" s="932"/>
      <c r="AW401" s="932"/>
      <c r="AX401" s="932"/>
      <c r="AY401" s="932"/>
      <c r="AZ401" s="932"/>
      <c r="BA401" s="932"/>
      <c r="BB401" s="932"/>
      <c r="BC401" s="932"/>
      <c r="BD401" s="932"/>
      <c r="BE401" s="932"/>
      <c r="BF401" s="932"/>
    </row>
    <row r="402" spans="2:58" ht="15" x14ac:dyDescent="0.25">
      <c r="B402" s="932"/>
      <c r="C402" s="932"/>
      <c r="D402" s="932"/>
      <c r="E402" s="932"/>
      <c r="F402" s="932"/>
      <c r="G402" s="932"/>
      <c r="H402" s="932"/>
      <c r="I402" s="932"/>
      <c r="J402" s="932"/>
      <c r="K402" s="932"/>
      <c r="L402" s="932"/>
      <c r="M402" s="932"/>
      <c r="N402" s="932"/>
      <c r="O402" s="932"/>
      <c r="P402" s="932"/>
      <c r="Q402" s="932"/>
      <c r="R402" s="932"/>
      <c r="S402" s="932"/>
      <c r="T402" s="932"/>
      <c r="U402" s="932"/>
      <c r="V402" s="932"/>
      <c r="W402" s="932"/>
      <c r="X402" s="932"/>
      <c r="Y402" s="932"/>
      <c r="Z402" s="932"/>
      <c r="AA402" s="932"/>
      <c r="AB402" s="932"/>
      <c r="AC402" s="932"/>
      <c r="AD402" s="932"/>
      <c r="AE402" s="932"/>
      <c r="AF402" s="932"/>
      <c r="AG402" s="932"/>
      <c r="AH402" s="932"/>
      <c r="AI402" s="932"/>
      <c r="AJ402" s="932"/>
      <c r="AK402" s="932"/>
      <c r="AL402" s="932"/>
      <c r="AM402" s="932"/>
      <c r="AN402" s="932"/>
      <c r="AO402" s="932"/>
      <c r="AP402" s="932"/>
      <c r="AQ402" s="932"/>
      <c r="AR402" s="932"/>
      <c r="AS402" s="932"/>
      <c r="AT402" s="932"/>
      <c r="AU402" s="932"/>
      <c r="AV402" s="932"/>
      <c r="AW402" s="932"/>
      <c r="AX402" s="932"/>
      <c r="AY402" s="932"/>
      <c r="AZ402" s="932"/>
      <c r="BA402" s="932"/>
      <c r="BB402" s="932"/>
      <c r="BC402" s="932"/>
      <c r="BD402" s="932"/>
      <c r="BE402" s="932"/>
      <c r="BF402" s="932"/>
    </row>
    <row r="403" spans="2:58" ht="15" x14ac:dyDescent="0.25">
      <c r="B403" s="932"/>
      <c r="C403" s="932"/>
      <c r="D403" s="932"/>
      <c r="E403" s="932"/>
      <c r="F403" s="932"/>
      <c r="G403" s="932"/>
      <c r="H403" s="932"/>
      <c r="I403" s="932"/>
      <c r="J403" s="932"/>
      <c r="K403" s="932"/>
      <c r="L403" s="932"/>
      <c r="M403" s="932"/>
      <c r="N403" s="932"/>
      <c r="O403" s="932"/>
      <c r="P403" s="932"/>
      <c r="Q403" s="932"/>
      <c r="R403" s="932"/>
      <c r="S403" s="932"/>
      <c r="T403" s="932"/>
      <c r="U403" s="932"/>
      <c r="V403" s="932"/>
      <c r="W403" s="932"/>
      <c r="X403" s="932"/>
      <c r="Y403" s="932"/>
      <c r="Z403" s="932"/>
      <c r="AA403" s="932"/>
      <c r="AB403" s="932"/>
      <c r="AC403" s="932"/>
      <c r="AD403" s="932"/>
      <c r="AE403" s="932"/>
      <c r="AF403" s="932"/>
      <c r="AG403" s="932"/>
      <c r="AH403" s="932"/>
      <c r="AI403" s="932"/>
      <c r="AJ403" s="932"/>
      <c r="AK403" s="932"/>
      <c r="AL403" s="932"/>
      <c r="AM403" s="932"/>
      <c r="AN403" s="932"/>
      <c r="AO403" s="932"/>
      <c r="AP403" s="932"/>
      <c r="AQ403" s="932"/>
      <c r="AR403" s="932"/>
      <c r="AS403" s="932"/>
      <c r="AT403" s="932"/>
      <c r="AU403" s="932"/>
      <c r="AV403" s="932"/>
      <c r="AW403" s="932"/>
      <c r="AX403" s="932"/>
      <c r="AY403" s="932"/>
      <c r="AZ403" s="932"/>
      <c r="BA403" s="932"/>
      <c r="BB403" s="932"/>
      <c r="BC403" s="932"/>
      <c r="BD403" s="932"/>
      <c r="BE403" s="932"/>
      <c r="BF403" s="932"/>
    </row>
    <row r="404" spans="2:58" ht="15" x14ac:dyDescent="0.25">
      <c r="B404" s="932"/>
      <c r="C404" s="932"/>
      <c r="D404" s="932"/>
      <c r="E404" s="932"/>
      <c r="F404" s="932"/>
      <c r="G404" s="932"/>
      <c r="H404" s="932"/>
      <c r="I404" s="932"/>
      <c r="J404" s="932"/>
      <c r="K404" s="932"/>
      <c r="L404" s="932"/>
      <c r="M404" s="932"/>
      <c r="N404" s="932"/>
      <c r="O404" s="932"/>
      <c r="P404" s="932"/>
      <c r="Q404" s="932"/>
      <c r="R404" s="932"/>
      <c r="S404" s="932"/>
      <c r="T404" s="932"/>
      <c r="U404" s="932"/>
      <c r="V404" s="932"/>
      <c r="W404" s="932"/>
      <c r="X404" s="932"/>
      <c r="Y404" s="932"/>
      <c r="Z404" s="932"/>
      <c r="AA404" s="932"/>
      <c r="AB404" s="932"/>
      <c r="AC404" s="932"/>
      <c r="AD404" s="932"/>
      <c r="AE404" s="932"/>
      <c r="AF404" s="932"/>
      <c r="AG404" s="932"/>
      <c r="AH404" s="932"/>
      <c r="AI404" s="932"/>
      <c r="AJ404" s="932"/>
      <c r="AK404" s="932"/>
      <c r="AL404" s="932"/>
      <c r="AM404" s="932"/>
      <c r="AN404" s="932"/>
      <c r="AO404" s="932"/>
      <c r="AP404" s="932"/>
      <c r="AQ404" s="932"/>
      <c r="AR404" s="932"/>
      <c r="AS404" s="932"/>
      <c r="AT404" s="932"/>
      <c r="AU404" s="932"/>
      <c r="AV404" s="932"/>
      <c r="AW404" s="932"/>
      <c r="AX404" s="932"/>
      <c r="AY404" s="932"/>
      <c r="AZ404" s="932"/>
      <c r="BA404" s="932"/>
      <c r="BB404" s="932"/>
      <c r="BC404" s="932"/>
      <c r="BD404" s="932"/>
      <c r="BE404" s="932"/>
      <c r="BF404" s="932"/>
    </row>
    <row r="405" spans="2:58" ht="15" x14ac:dyDescent="0.25">
      <c r="B405" s="932"/>
      <c r="C405" s="932"/>
      <c r="D405" s="932"/>
      <c r="E405" s="932"/>
      <c r="F405" s="932"/>
      <c r="G405" s="932"/>
      <c r="H405" s="932"/>
      <c r="I405" s="932"/>
      <c r="J405" s="932"/>
      <c r="K405" s="932"/>
      <c r="L405" s="932"/>
      <c r="M405" s="932"/>
      <c r="N405" s="932"/>
      <c r="O405" s="932"/>
      <c r="P405" s="932"/>
      <c r="Q405" s="932"/>
      <c r="R405" s="932"/>
      <c r="S405" s="932"/>
      <c r="T405" s="932"/>
      <c r="U405" s="932"/>
      <c r="V405" s="932"/>
      <c r="W405" s="932"/>
      <c r="X405" s="932"/>
      <c r="Y405" s="932"/>
      <c r="Z405" s="932"/>
      <c r="AA405" s="932"/>
      <c r="AB405" s="932"/>
      <c r="AC405" s="932"/>
      <c r="AD405" s="932"/>
      <c r="AE405" s="932"/>
      <c r="AF405" s="932"/>
      <c r="AG405" s="932"/>
      <c r="AH405" s="932"/>
      <c r="AI405" s="932"/>
      <c r="AJ405" s="932"/>
      <c r="AK405" s="932"/>
      <c r="AL405" s="932"/>
      <c r="AM405" s="932"/>
      <c r="AN405" s="932"/>
      <c r="AO405" s="932"/>
      <c r="AP405" s="932"/>
      <c r="AQ405" s="932"/>
      <c r="AR405" s="932"/>
      <c r="AS405" s="932"/>
      <c r="AT405" s="932"/>
      <c r="AU405" s="932"/>
      <c r="AV405" s="932"/>
      <c r="AW405" s="932"/>
      <c r="AX405" s="932"/>
      <c r="AY405" s="932"/>
      <c r="AZ405" s="932"/>
      <c r="BA405" s="932"/>
      <c r="BB405" s="932"/>
      <c r="BC405" s="932"/>
      <c r="BD405" s="932"/>
      <c r="BE405" s="932"/>
      <c r="BF405" s="932"/>
    </row>
    <row r="406" spans="2:58" ht="15" x14ac:dyDescent="0.25">
      <c r="B406" s="932"/>
      <c r="C406" s="932"/>
      <c r="D406" s="932"/>
      <c r="E406" s="932"/>
      <c r="F406" s="932"/>
      <c r="G406" s="932"/>
      <c r="H406" s="932"/>
      <c r="I406" s="932"/>
      <c r="J406" s="932"/>
      <c r="K406" s="932"/>
      <c r="L406" s="932"/>
      <c r="M406" s="932"/>
      <c r="N406" s="932"/>
      <c r="O406" s="932"/>
      <c r="P406" s="932"/>
      <c r="Q406" s="932"/>
      <c r="R406" s="932"/>
      <c r="S406" s="932"/>
      <c r="T406" s="932"/>
      <c r="U406" s="932"/>
      <c r="V406" s="932"/>
      <c r="W406" s="932"/>
      <c r="X406" s="932"/>
      <c r="Y406" s="932"/>
      <c r="Z406" s="932"/>
      <c r="AA406" s="932"/>
      <c r="AB406" s="932"/>
      <c r="AC406" s="932"/>
      <c r="AD406" s="932"/>
      <c r="AE406" s="932"/>
      <c r="AF406" s="932"/>
      <c r="AG406" s="932"/>
      <c r="AH406" s="932"/>
      <c r="AI406" s="932"/>
      <c r="AJ406" s="932"/>
      <c r="AK406" s="932"/>
      <c r="AL406" s="932"/>
      <c r="AM406" s="932"/>
      <c r="AN406" s="932"/>
      <c r="AO406" s="932"/>
      <c r="AP406" s="932"/>
      <c r="AQ406" s="932"/>
      <c r="AR406" s="932"/>
      <c r="AS406" s="932"/>
      <c r="AT406" s="932"/>
      <c r="AU406" s="932"/>
      <c r="AV406" s="932"/>
      <c r="AW406" s="932"/>
      <c r="AX406" s="932"/>
      <c r="AY406" s="932"/>
      <c r="AZ406" s="932"/>
      <c r="BA406" s="932"/>
      <c r="BB406" s="932"/>
      <c r="BC406" s="932"/>
      <c r="BD406" s="932"/>
      <c r="BE406" s="932"/>
      <c r="BF406" s="932"/>
    </row>
    <row r="407" spans="2:58" ht="15" x14ac:dyDescent="0.25">
      <c r="B407" s="932"/>
      <c r="C407" s="932"/>
      <c r="D407" s="932"/>
      <c r="E407" s="932"/>
      <c r="F407" s="932"/>
      <c r="G407" s="932"/>
      <c r="H407" s="932"/>
      <c r="I407" s="932"/>
      <c r="J407" s="932"/>
      <c r="K407" s="932"/>
      <c r="L407" s="932"/>
      <c r="M407" s="932"/>
      <c r="N407" s="932"/>
      <c r="O407" s="932"/>
      <c r="P407" s="932"/>
      <c r="Q407" s="932"/>
      <c r="R407" s="932"/>
      <c r="S407" s="932"/>
      <c r="T407" s="932"/>
      <c r="U407" s="932"/>
      <c r="V407" s="932"/>
      <c r="W407" s="932"/>
      <c r="X407" s="932"/>
      <c r="Y407" s="932"/>
      <c r="Z407" s="932"/>
      <c r="AA407" s="932"/>
      <c r="AB407" s="932"/>
      <c r="AC407" s="932"/>
      <c r="AD407" s="932"/>
      <c r="AE407" s="932"/>
      <c r="AF407" s="932"/>
      <c r="AG407" s="932"/>
      <c r="AH407" s="932"/>
      <c r="AI407" s="932"/>
      <c r="AJ407" s="932"/>
      <c r="AK407" s="932"/>
      <c r="AL407" s="932"/>
      <c r="AM407" s="932"/>
      <c r="AN407" s="932"/>
      <c r="AO407" s="932"/>
      <c r="AP407" s="932"/>
      <c r="AQ407" s="932"/>
      <c r="AR407" s="932"/>
      <c r="AS407" s="932"/>
      <c r="AT407" s="932"/>
      <c r="AU407" s="932"/>
      <c r="AV407" s="932"/>
      <c r="AW407" s="932"/>
      <c r="AX407" s="932"/>
      <c r="AY407" s="932"/>
      <c r="AZ407" s="932"/>
      <c r="BA407" s="932"/>
      <c r="BB407" s="932"/>
      <c r="BC407" s="932"/>
      <c r="BD407" s="932"/>
      <c r="BE407" s="932"/>
      <c r="BF407" s="932"/>
    </row>
    <row r="408" spans="2:58" ht="15" x14ac:dyDescent="0.25">
      <c r="B408" s="932"/>
      <c r="C408" s="932"/>
      <c r="D408" s="932"/>
      <c r="E408" s="932"/>
      <c r="F408" s="932"/>
      <c r="G408" s="932"/>
      <c r="H408" s="932"/>
      <c r="I408" s="932"/>
      <c r="J408" s="932"/>
      <c r="K408" s="932"/>
      <c r="L408" s="932"/>
      <c r="M408" s="932"/>
      <c r="N408" s="932"/>
      <c r="O408" s="932"/>
      <c r="P408" s="932"/>
      <c r="Q408" s="932"/>
      <c r="R408" s="932"/>
      <c r="S408" s="932"/>
      <c r="T408" s="932"/>
      <c r="U408" s="932"/>
      <c r="V408" s="932"/>
      <c r="W408" s="932"/>
      <c r="X408" s="932"/>
      <c r="Y408" s="932"/>
      <c r="Z408" s="932"/>
      <c r="AA408" s="932"/>
      <c r="AB408" s="932"/>
      <c r="AC408" s="932"/>
      <c r="AD408" s="932"/>
      <c r="AE408" s="932"/>
      <c r="AF408" s="932"/>
      <c r="AG408" s="932"/>
      <c r="AH408" s="932"/>
      <c r="AI408" s="932"/>
      <c r="AJ408" s="932"/>
      <c r="AK408" s="932"/>
      <c r="AL408" s="932"/>
      <c r="AM408" s="932"/>
      <c r="AN408" s="932"/>
      <c r="AO408" s="932"/>
      <c r="AP408" s="932"/>
      <c r="AQ408" s="932"/>
      <c r="AR408" s="932"/>
      <c r="AS408" s="932"/>
      <c r="AT408" s="932"/>
      <c r="AU408" s="932"/>
      <c r="AV408" s="932"/>
      <c r="AW408" s="932"/>
      <c r="AX408" s="932"/>
      <c r="AY408" s="932"/>
      <c r="AZ408" s="932"/>
      <c r="BA408" s="932"/>
      <c r="BB408" s="932"/>
      <c r="BC408" s="932"/>
      <c r="BD408" s="932"/>
      <c r="BE408" s="932"/>
      <c r="BF408" s="932"/>
    </row>
    <row r="409" spans="2:58" ht="15" x14ac:dyDescent="0.25">
      <c r="B409" s="932"/>
      <c r="C409" s="932"/>
      <c r="D409" s="932"/>
      <c r="E409" s="932"/>
      <c r="F409" s="932"/>
      <c r="G409" s="932"/>
      <c r="H409" s="932"/>
      <c r="I409" s="932"/>
      <c r="J409" s="932"/>
      <c r="K409" s="932"/>
      <c r="L409" s="932"/>
      <c r="M409" s="932"/>
      <c r="N409" s="932"/>
      <c r="O409" s="932"/>
      <c r="P409" s="932"/>
      <c r="Q409" s="932"/>
      <c r="R409" s="932"/>
      <c r="S409" s="932"/>
      <c r="T409" s="932"/>
      <c r="U409" s="932"/>
      <c r="V409" s="932"/>
      <c r="W409" s="932"/>
      <c r="X409" s="932"/>
      <c r="Y409" s="932"/>
      <c r="Z409" s="932"/>
      <c r="AA409" s="932"/>
      <c r="AB409" s="932"/>
      <c r="AC409" s="932"/>
      <c r="AD409" s="932"/>
      <c r="AE409" s="932"/>
      <c r="AF409" s="932"/>
      <c r="AG409" s="932"/>
      <c r="AH409" s="932"/>
      <c r="AI409" s="932"/>
      <c r="AJ409" s="932"/>
      <c r="AK409" s="932"/>
      <c r="AL409" s="932"/>
      <c r="AM409" s="932"/>
      <c r="AN409" s="932"/>
      <c r="AO409" s="932"/>
      <c r="AP409" s="932"/>
      <c r="AQ409" s="932"/>
      <c r="AR409" s="932"/>
      <c r="AS409" s="932"/>
      <c r="AT409" s="932"/>
      <c r="AU409" s="932"/>
      <c r="AV409" s="932"/>
      <c r="AW409" s="932"/>
      <c r="AX409" s="932"/>
      <c r="AY409" s="932"/>
      <c r="AZ409" s="932"/>
      <c r="BA409" s="932"/>
      <c r="BB409" s="932"/>
      <c r="BC409" s="932"/>
      <c r="BD409" s="932"/>
      <c r="BE409" s="932"/>
      <c r="BF409" s="932"/>
    </row>
    <row r="410" spans="2:58" ht="15" x14ac:dyDescent="0.25">
      <c r="B410" s="932"/>
      <c r="C410" s="932"/>
      <c r="D410" s="932"/>
      <c r="E410" s="932"/>
      <c r="F410" s="932"/>
      <c r="G410" s="932"/>
      <c r="H410" s="932"/>
      <c r="I410" s="932"/>
      <c r="J410" s="932"/>
      <c r="K410" s="932"/>
      <c r="L410" s="932"/>
      <c r="M410" s="932"/>
      <c r="N410" s="932"/>
      <c r="O410" s="932"/>
      <c r="P410" s="932"/>
      <c r="Q410" s="932"/>
      <c r="R410" s="932"/>
      <c r="S410" s="932"/>
      <c r="T410" s="932"/>
      <c r="U410" s="932"/>
      <c r="V410" s="932"/>
      <c r="W410" s="932"/>
      <c r="X410" s="932"/>
      <c r="Y410" s="932"/>
      <c r="Z410" s="932"/>
      <c r="AA410" s="932"/>
      <c r="AB410" s="932"/>
      <c r="AC410" s="932"/>
      <c r="AD410" s="932"/>
      <c r="AE410" s="932"/>
      <c r="AF410" s="932"/>
      <c r="AG410" s="932"/>
      <c r="AH410" s="932"/>
      <c r="AI410" s="932"/>
      <c r="AJ410" s="932"/>
      <c r="AK410" s="932"/>
      <c r="AL410" s="932"/>
      <c r="AM410" s="932"/>
      <c r="AN410" s="932"/>
      <c r="AO410" s="932"/>
      <c r="AP410" s="932"/>
      <c r="AQ410" s="932"/>
      <c r="AR410" s="932"/>
      <c r="AS410" s="932"/>
      <c r="AT410" s="932"/>
      <c r="AU410" s="932"/>
      <c r="AV410" s="932"/>
      <c r="AW410" s="932"/>
      <c r="AX410" s="932"/>
      <c r="AY410" s="932"/>
      <c r="AZ410" s="932"/>
      <c r="BA410" s="932"/>
      <c r="BB410" s="932"/>
      <c r="BC410" s="932"/>
      <c r="BD410" s="932"/>
      <c r="BE410" s="932"/>
      <c r="BF410" s="932"/>
    </row>
    <row r="411" spans="2:58" ht="15" x14ac:dyDescent="0.25">
      <c r="B411" s="932"/>
      <c r="C411" s="932"/>
      <c r="D411" s="932"/>
      <c r="E411" s="932"/>
      <c r="F411" s="932"/>
      <c r="G411" s="932"/>
      <c r="H411" s="932"/>
      <c r="I411" s="932"/>
      <c r="J411" s="932"/>
      <c r="K411" s="932"/>
      <c r="L411" s="932"/>
      <c r="M411" s="932"/>
      <c r="N411" s="932"/>
      <c r="O411" s="932"/>
      <c r="P411" s="932"/>
      <c r="Q411" s="932"/>
      <c r="R411" s="932"/>
      <c r="S411" s="932"/>
      <c r="T411" s="932"/>
      <c r="U411" s="932"/>
      <c r="V411" s="932"/>
      <c r="W411" s="932"/>
      <c r="X411" s="932"/>
      <c r="Y411" s="932"/>
      <c r="Z411" s="932"/>
      <c r="AA411" s="932"/>
      <c r="AB411" s="932"/>
      <c r="AC411" s="932"/>
      <c r="AD411" s="932"/>
      <c r="AE411" s="932"/>
      <c r="AF411" s="932"/>
      <c r="AG411" s="932"/>
      <c r="AH411" s="932"/>
      <c r="AI411" s="932"/>
      <c r="AJ411" s="932"/>
      <c r="AK411" s="932"/>
      <c r="AL411" s="932"/>
      <c r="AM411" s="932"/>
      <c r="AN411" s="932"/>
      <c r="AO411" s="932"/>
      <c r="AP411" s="932"/>
      <c r="AQ411" s="932"/>
      <c r="AR411" s="932"/>
      <c r="AS411" s="932"/>
      <c r="AT411" s="932"/>
      <c r="AU411" s="932"/>
      <c r="AV411" s="932"/>
      <c r="AW411" s="932"/>
      <c r="AX411" s="932"/>
      <c r="AY411" s="932"/>
      <c r="AZ411" s="932"/>
      <c r="BA411" s="932"/>
      <c r="BB411" s="932"/>
      <c r="BC411" s="932"/>
      <c r="BD411" s="932"/>
      <c r="BE411" s="932"/>
      <c r="BF411" s="932"/>
    </row>
    <row r="412" spans="2:58" ht="15" x14ac:dyDescent="0.25">
      <c r="B412" s="932"/>
      <c r="C412" s="932"/>
      <c r="D412" s="932"/>
      <c r="E412" s="932"/>
      <c r="F412" s="932"/>
      <c r="G412" s="932"/>
      <c r="H412" s="932"/>
      <c r="I412" s="932"/>
      <c r="J412" s="932"/>
      <c r="K412" s="932"/>
      <c r="L412" s="932"/>
      <c r="M412" s="932"/>
      <c r="N412" s="932"/>
      <c r="O412" s="932"/>
      <c r="P412" s="932"/>
      <c r="Q412" s="932"/>
      <c r="R412" s="932"/>
      <c r="S412" s="932"/>
      <c r="T412" s="932"/>
      <c r="U412" s="932"/>
      <c r="V412" s="932"/>
      <c r="W412" s="932"/>
      <c r="X412" s="932"/>
      <c r="Y412" s="932"/>
      <c r="Z412" s="932"/>
      <c r="AA412" s="932"/>
      <c r="AB412" s="932"/>
      <c r="AC412" s="932"/>
      <c r="AD412" s="932"/>
      <c r="AE412" s="932"/>
      <c r="AF412" s="932"/>
      <c r="AG412" s="932"/>
      <c r="AH412" s="932"/>
      <c r="AI412" s="932"/>
      <c r="AJ412" s="932"/>
      <c r="AK412" s="932"/>
      <c r="AL412" s="932"/>
      <c r="AM412" s="932"/>
      <c r="AN412" s="932"/>
      <c r="AO412" s="932"/>
      <c r="AP412" s="932"/>
      <c r="AQ412" s="932"/>
      <c r="AR412" s="932"/>
      <c r="AS412" s="932"/>
      <c r="AT412" s="932"/>
      <c r="AU412" s="932"/>
      <c r="AV412" s="932"/>
      <c r="AW412" s="932"/>
      <c r="AX412" s="932"/>
      <c r="AY412" s="932"/>
      <c r="AZ412" s="932"/>
      <c r="BA412" s="932"/>
      <c r="BB412" s="932"/>
      <c r="BC412" s="932"/>
      <c r="BD412" s="932"/>
      <c r="BE412" s="932"/>
      <c r="BF412" s="932"/>
    </row>
    <row r="413" spans="2:58" ht="15" x14ac:dyDescent="0.25">
      <c r="B413" s="932"/>
      <c r="C413" s="932"/>
      <c r="D413" s="932"/>
      <c r="E413" s="932"/>
      <c r="F413" s="932"/>
      <c r="G413" s="932"/>
      <c r="H413" s="932"/>
      <c r="I413" s="932"/>
      <c r="J413" s="932"/>
      <c r="K413" s="932"/>
      <c r="L413" s="932"/>
      <c r="M413" s="932"/>
      <c r="N413" s="932"/>
      <c r="O413" s="932"/>
      <c r="P413" s="932"/>
      <c r="Q413" s="932"/>
      <c r="R413" s="932"/>
      <c r="S413" s="932"/>
      <c r="T413" s="932"/>
      <c r="U413" s="932"/>
      <c r="V413" s="932"/>
      <c r="W413" s="932"/>
      <c r="X413" s="932"/>
      <c r="Y413" s="932"/>
      <c r="Z413" s="932"/>
      <c r="AA413" s="932"/>
      <c r="AB413" s="932"/>
      <c r="AC413" s="932"/>
      <c r="AD413" s="932"/>
      <c r="AE413" s="932"/>
      <c r="AF413" s="932"/>
      <c r="AG413" s="932"/>
      <c r="AH413" s="932"/>
      <c r="AI413" s="932"/>
      <c r="AJ413" s="932"/>
      <c r="AK413" s="932"/>
      <c r="AL413" s="932"/>
      <c r="AM413" s="932"/>
      <c r="AN413" s="932"/>
      <c r="AO413" s="932"/>
      <c r="AP413" s="932"/>
      <c r="AQ413" s="932"/>
      <c r="AR413" s="932"/>
      <c r="AS413" s="932"/>
      <c r="AT413" s="932"/>
      <c r="AU413" s="932"/>
      <c r="AV413" s="932"/>
      <c r="AW413" s="932"/>
      <c r="AX413" s="932"/>
      <c r="AY413" s="932"/>
      <c r="AZ413" s="932"/>
      <c r="BA413" s="932"/>
      <c r="BB413" s="932"/>
      <c r="BC413" s="932"/>
      <c r="BD413" s="932"/>
      <c r="BE413" s="932"/>
      <c r="BF413" s="932"/>
    </row>
    <row r="414" spans="2:58" ht="15" x14ac:dyDescent="0.25">
      <c r="B414" s="932"/>
      <c r="C414" s="932"/>
      <c r="D414" s="932"/>
      <c r="E414" s="932"/>
      <c r="F414" s="932"/>
      <c r="G414" s="932"/>
      <c r="H414" s="932"/>
      <c r="I414" s="932"/>
      <c r="J414" s="932"/>
      <c r="K414" s="932"/>
      <c r="L414" s="932"/>
      <c r="M414" s="932"/>
      <c r="N414" s="932"/>
      <c r="O414" s="932"/>
      <c r="P414" s="932"/>
      <c r="Q414" s="932"/>
      <c r="R414" s="932"/>
      <c r="S414" s="932"/>
      <c r="T414" s="932"/>
      <c r="U414" s="932"/>
      <c r="V414" s="932"/>
      <c r="W414" s="932"/>
      <c r="X414" s="932"/>
      <c r="Y414" s="932"/>
      <c r="Z414" s="932"/>
      <c r="AA414" s="932"/>
      <c r="AB414" s="932"/>
      <c r="AC414" s="932"/>
      <c r="AD414" s="932"/>
      <c r="AE414" s="932"/>
      <c r="AF414" s="932"/>
      <c r="AG414" s="932"/>
      <c r="AH414" s="932"/>
      <c r="AI414" s="932"/>
      <c r="AJ414" s="932"/>
      <c r="AK414" s="932"/>
      <c r="AL414" s="932"/>
      <c r="AM414" s="932"/>
      <c r="AN414" s="932"/>
      <c r="AO414" s="932"/>
      <c r="AP414" s="932"/>
      <c r="AQ414" s="932"/>
      <c r="AR414" s="932"/>
      <c r="AS414" s="932"/>
      <c r="AT414" s="932"/>
      <c r="AU414" s="932"/>
      <c r="AV414" s="932"/>
      <c r="AW414" s="932"/>
      <c r="AX414" s="932"/>
      <c r="AY414" s="932"/>
      <c r="AZ414" s="932"/>
      <c r="BA414" s="932"/>
      <c r="BB414" s="932"/>
      <c r="BC414" s="932"/>
      <c r="BD414" s="932"/>
      <c r="BE414" s="932"/>
      <c r="BF414" s="932"/>
    </row>
    <row r="415" spans="2:58" ht="15" x14ac:dyDescent="0.25">
      <c r="B415" s="932"/>
      <c r="C415" s="932"/>
      <c r="D415" s="932"/>
      <c r="E415" s="932"/>
      <c r="F415" s="932"/>
      <c r="G415" s="932"/>
      <c r="H415" s="932"/>
      <c r="I415" s="932"/>
      <c r="J415" s="932"/>
      <c r="K415" s="932"/>
      <c r="L415" s="932"/>
      <c r="M415" s="932"/>
      <c r="N415" s="932"/>
      <c r="O415" s="932"/>
      <c r="P415" s="932"/>
      <c r="Q415" s="932"/>
      <c r="R415" s="932"/>
      <c r="S415" s="932"/>
      <c r="T415" s="932"/>
      <c r="U415" s="932"/>
      <c r="V415" s="932"/>
      <c r="W415" s="932"/>
      <c r="X415" s="932"/>
      <c r="Y415" s="932"/>
      <c r="Z415" s="932"/>
      <c r="AA415" s="932"/>
      <c r="AB415" s="932"/>
      <c r="AC415" s="932"/>
      <c r="AD415" s="932"/>
      <c r="AE415" s="932"/>
      <c r="AF415" s="932"/>
      <c r="AG415" s="932"/>
      <c r="AH415" s="932"/>
      <c r="AI415" s="932"/>
      <c r="AJ415" s="932"/>
      <c r="AK415" s="932"/>
      <c r="AL415" s="932"/>
      <c r="AM415" s="932"/>
      <c r="AN415" s="932"/>
      <c r="AO415" s="932"/>
      <c r="AP415" s="932"/>
      <c r="AQ415" s="932"/>
      <c r="AR415" s="932"/>
      <c r="AS415" s="932"/>
      <c r="AT415" s="932"/>
      <c r="AU415" s="932"/>
      <c r="AV415" s="932"/>
      <c r="AW415" s="932"/>
      <c r="AX415" s="932"/>
      <c r="AY415" s="932"/>
      <c r="AZ415" s="932"/>
      <c r="BA415" s="932"/>
      <c r="BB415" s="932"/>
      <c r="BC415" s="932"/>
      <c r="BD415" s="932"/>
      <c r="BE415" s="932"/>
      <c r="BF415" s="932"/>
    </row>
    <row r="416" spans="2:58" ht="15" x14ac:dyDescent="0.25">
      <c r="B416" s="932"/>
      <c r="C416" s="932"/>
      <c r="D416" s="932"/>
      <c r="E416" s="932"/>
      <c r="F416" s="932"/>
      <c r="G416" s="932"/>
      <c r="H416" s="932"/>
      <c r="I416" s="932"/>
      <c r="J416" s="932"/>
      <c r="K416" s="932"/>
      <c r="L416" s="932"/>
      <c r="M416" s="932"/>
      <c r="N416" s="932"/>
      <c r="O416" s="932"/>
      <c r="P416" s="932"/>
      <c r="Q416" s="932"/>
      <c r="R416" s="932"/>
      <c r="S416" s="932"/>
      <c r="T416" s="932"/>
      <c r="U416" s="932"/>
      <c r="V416" s="932"/>
      <c r="W416" s="932"/>
      <c r="X416" s="932"/>
      <c r="Y416" s="932"/>
      <c r="Z416" s="932"/>
      <c r="AA416" s="932"/>
      <c r="AB416" s="932"/>
      <c r="AC416" s="932"/>
      <c r="AD416" s="932"/>
      <c r="AE416" s="932"/>
      <c r="AF416" s="932"/>
      <c r="AG416" s="932"/>
      <c r="AH416" s="932"/>
      <c r="AI416" s="932"/>
      <c r="AJ416" s="932"/>
      <c r="AK416" s="932"/>
      <c r="AL416" s="932"/>
      <c r="AM416" s="932"/>
      <c r="AN416" s="932"/>
      <c r="AO416" s="932"/>
      <c r="AP416" s="932"/>
      <c r="AQ416" s="932"/>
      <c r="AR416" s="932"/>
      <c r="AS416" s="932"/>
      <c r="AT416" s="932"/>
      <c r="AU416" s="932"/>
      <c r="AV416" s="932"/>
      <c r="AW416" s="932"/>
      <c r="AX416" s="932"/>
      <c r="AY416" s="932"/>
      <c r="AZ416" s="932"/>
      <c r="BA416" s="932"/>
      <c r="BB416" s="932"/>
      <c r="BC416" s="932"/>
      <c r="BD416" s="932"/>
      <c r="BE416" s="932"/>
      <c r="BF416" s="932"/>
    </row>
    <row r="417" spans="2:58" ht="15" x14ac:dyDescent="0.25">
      <c r="B417" s="932"/>
      <c r="C417" s="932"/>
      <c r="D417" s="932"/>
      <c r="E417" s="932"/>
      <c r="F417" s="932"/>
      <c r="G417" s="932"/>
      <c r="H417" s="932"/>
      <c r="I417" s="932"/>
      <c r="J417" s="932"/>
      <c r="K417" s="932"/>
      <c r="L417" s="932"/>
      <c r="M417" s="932"/>
      <c r="N417" s="932"/>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M417" s="932"/>
      <c r="AN417" s="932"/>
      <c r="AO417" s="932"/>
      <c r="AP417" s="932"/>
      <c r="AQ417" s="932"/>
      <c r="AR417" s="932"/>
      <c r="AS417" s="932"/>
      <c r="AT417" s="932"/>
      <c r="AU417" s="932"/>
      <c r="AV417" s="932"/>
      <c r="AW417" s="932"/>
      <c r="AX417" s="932"/>
      <c r="AY417" s="932"/>
      <c r="AZ417" s="932"/>
      <c r="BA417" s="932"/>
      <c r="BB417" s="932"/>
      <c r="BC417" s="932"/>
      <c r="BD417" s="932"/>
      <c r="BE417" s="932"/>
      <c r="BF417" s="932"/>
    </row>
    <row r="418" spans="2:58" ht="15" x14ac:dyDescent="0.25">
      <c r="B418" s="932"/>
      <c r="C418" s="932"/>
      <c r="D418" s="932"/>
      <c r="E418" s="932"/>
      <c r="F418" s="932"/>
      <c r="G418" s="932"/>
      <c r="H418" s="932"/>
      <c r="I418" s="932"/>
      <c r="J418" s="932"/>
      <c r="K418" s="932"/>
      <c r="L418" s="932"/>
      <c r="M418" s="932"/>
      <c r="N418" s="932"/>
      <c r="O418" s="932"/>
      <c r="P418" s="932"/>
      <c r="Q418" s="932"/>
      <c r="R418" s="932"/>
      <c r="S418" s="932"/>
      <c r="T418" s="932"/>
      <c r="U418" s="932"/>
      <c r="V418" s="932"/>
      <c r="W418" s="932"/>
      <c r="X418" s="932"/>
      <c r="Y418" s="932"/>
      <c r="Z418" s="932"/>
      <c r="AA418" s="932"/>
      <c r="AB418" s="932"/>
      <c r="AC418" s="932"/>
      <c r="AD418" s="932"/>
      <c r="AE418" s="932"/>
      <c r="AF418" s="932"/>
      <c r="AG418" s="932"/>
      <c r="AH418" s="932"/>
      <c r="AI418" s="932"/>
      <c r="AJ418" s="932"/>
      <c r="AK418" s="932"/>
      <c r="AL418" s="932"/>
      <c r="AM418" s="932"/>
      <c r="AN418" s="932"/>
      <c r="AO418" s="932"/>
      <c r="AP418" s="932"/>
      <c r="AQ418" s="932"/>
      <c r="AR418" s="932"/>
      <c r="AS418" s="932"/>
      <c r="AT418" s="932"/>
      <c r="AU418" s="932"/>
      <c r="AV418" s="932"/>
      <c r="AW418" s="932"/>
      <c r="AX418" s="932"/>
      <c r="AY418" s="932"/>
      <c r="AZ418" s="932"/>
      <c r="BA418" s="932"/>
      <c r="BB418" s="932"/>
      <c r="BC418" s="932"/>
      <c r="BD418" s="932"/>
      <c r="BE418" s="932"/>
      <c r="BF418" s="932"/>
    </row>
    <row r="419" spans="2:58" ht="15" x14ac:dyDescent="0.25">
      <c r="B419" s="932"/>
      <c r="C419" s="932"/>
      <c r="D419" s="932"/>
      <c r="E419" s="932"/>
      <c r="F419" s="932"/>
      <c r="G419" s="932"/>
      <c r="H419" s="932"/>
      <c r="I419" s="932"/>
      <c r="J419" s="932"/>
      <c r="K419" s="932"/>
      <c r="L419" s="932"/>
      <c r="M419" s="932"/>
      <c r="N419" s="932"/>
      <c r="O419" s="932"/>
      <c r="P419" s="932"/>
      <c r="Q419" s="932"/>
      <c r="R419" s="932"/>
      <c r="S419" s="932"/>
      <c r="T419" s="932"/>
      <c r="U419" s="932"/>
      <c r="V419" s="932"/>
      <c r="W419" s="932"/>
      <c r="X419" s="932"/>
      <c r="Y419" s="932"/>
      <c r="Z419" s="932"/>
      <c r="AA419" s="932"/>
      <c r="AB419" s="932"/>
      <c r="AC419" s="932"/>
      <c r="AD419" s="932"/>
      <c r="AE419" s="932"/>
      <c r="AF419" s="932"/>
      <c r="AG419" s="932"/>
      <c r="AH419" s="932"/>
      <c r="AI419" s="932"/>
      <c r="AJ419" s="932"/>
      <c r="AK419" s="932"/>
      <c r="AL419" s="932"/>
      <c r="AM419" s="932"/>
      <c r="AN419" s="932"/>
      <c r="AO419" s="932"/>
      <c r="AP419" s="932"/>
      <c r="AQ419" s="932"/>
      <c r="AR419" s="932"/>
      <c r="AS419" s="932"/>
      <c r="AT419" s="932"/>
      <c r="AU419" s="932"/>
      <c r="AV419" s="932"/>
      <c r="AW419" s="932"/>
      <c r="AX419" s="932"/>
      <c r="AY419" s="932"/>
      <c r="AZ419" s="932"/>
      <c r="BA419" s="932"/>
      <c r="BB419" s="932"/>
      <c r="BC419" s="932"/>
      <c r="BD419" s="932"/>
      <c r="BE419" s="932"/>
      <c r="BF419" s="932"/>
    </row>
    <row r="420" spans="2:58" ht="15" x14ac:dyDescent="0.25">
      <c r="B420" s="932"/>
      <c r="C420" s="932"/>
      <c r="D420" s="932"/>
      <c r="E420" s="932"/>
      <c r="F420" s="932"/>
      <c r="G420" s="932"/>
      <c r="H420" s="932"/>
      <c r="I420" s="932"/>
      <c r="J420" s="932"/>
      <c r="K420" s="932"/>
      <c r="L420" s="932"/>
      <c r="M420" s="932"/>
      <c r="N420" s="932"/>
      <c r="O420" s="932"/>
      <c r="P420" s="932"/>
      <c r="Q420" s="932"/>
      <c r="R420" s="932"/>
      <c r="S420" s="932"/>
      <c r="T420" s="932"/>
      <c r="U420" s="932"/>
      <c r="V420" s="932"/>
      <c r="W420" s="932"/>
      <c r="X420" s="932"/>
      <c r="Y420" s="932"/>
      <c r="Z420" s="932"/>
      <c r="AA420" s="932"/>
      <c r="AB420" s="932"/>
      <c r="AC420" s="932"/>
      <c r="AD420" s="932"/>
      <c r="AE420" s="932"/>
      <c r="AF420" s="932"/>
      <c r="AG420" s="932"/>
      <c r="AH420" s="932"/>
      <c r="AI420" s="932"/>
      <c r="AJ420" s="932"/>
      <c r="AK420" s="932"/>
      <c r="AL420" s="932"/>
      <c r="AM420" s="932"/>
      <c r="AN420" s="932"/>
      <c r="AO420" s="932"/>
      <c r="AP420" s="932"/>
      <c r="AQ420" s="932"/>
      <c r="AR420" s="932"/>
      <c r="AS420" s="932"/>
      <c r="AT420" s="932"/>
      <c r="AU420" s="932"/>
      <c r="AV420" s="932"/>
      <c r="AW420" s="932"/>
      <c r="AX420" s="932"/>
      <c r="AY420" s="932"/>
      <c r="AZ420" s="932"/>
      <c r="BA420" s="932"/>
      <c r="BB420" s="932"/>
      <c r="BC420" s="932"/>
      <c r="BD420" s="932"/>
      <c r="BE420" s="932"/>
      <c r="BF420" s="932"/>
    </row>
    <row r="421" spans="2:58" ht="15" x14ac:dyDescent="0.25">
      <c r="B421" s="932"/>
      <c r="C421" s="932"/>
      <c r="D421" s="932"/>
      <c r="E421" s="932"/>
      <c r="F421" s="932"/>
      <c r="G421" s="932"/>
      <c r="H421" s="932"/>
      <c r="I421" s="932"/>
      <c r="J421" s="932"/>
      <c r="K421" s="932"/>
      <c r="L421" s="932"/>
      <c r="M421" s="932"/>
      <c r="N421" s="932"/>
      <c r="O421" s="932"/>
      <c r="P421" s="932"/>
      <c r="Q421" s="932"/>
      <c r="R421" s="932"/>
      <c r="S421" s="932"/>
      <c r="T421" s="932"/>
      <c r="U421" s="932"/>
      <c r="V421" s="932"/>
      <c r="W421" s="932"/>
      <c r="X421" s="932"/>
      <c r="Y421" s="932"/>
      <c r="Z421" s="932"/>
      <c r="AA421" s="932"/>
      <c r="AB421" s="932"/>
      <c r="AC421" s="932"/>
      <c r="AD421" s="932"/>
      <c r="AE421" s="932"/>
      <c r="AF421" s="932"/>
      <c r="AG421" s="932"/>
      <c r="AH421" s="932"/>
      <c r="AI421" s="932"/>
      <c r="AJ421" s="932"/>
      <c r="AK421" s="932"/>
      <c r="AL421" s="932"/>
      <c r="AM421" s="932"/>
      <c r="AN421" s="932"/>
      <c r="AO421" s="932"/>
      <c r="AP421" s="932"/>
      <c r="AQ421" s="932"/>
      <c r="AR421" s="932"/>
      <c r="AS421" s="932"/>
      <c r="AT421" s="932"/>
      <c r="AU421" s="932"/>
      <c r="AV421" s="932"/>
      <c r="AW421" s="932"/>
      <c r="AX421" s="932"/>
      <c r="AY421" s="932"/>
      <c r="AZ421" s="932"/>
      <c r="BA421" s="932"/>
      <c r="BB421" s="932"/>
      <c r="BC421" s="932"/>
      <c r="BD421" s="932"/>
      <c r="BE421" s="932"/>
      <c r="BF421" s="932"/>
    </row>
    <row r="422" spans="2:58" ht="15" x14ac:dyDescent="0.25">
      <c r="B422" s="932"/>
      <c r="C422" s="932"/>
      <c r="D422" s="932"/>
      <c r="E422" s="932"/>
      <c r="F422" s="932"/>
      <c r="G422" s="932"/>
      <c r="H422" s="932"/>
      <c r="I422" s="932"/>
      <c r="J422" s="932"/>
      <c r="K422" s="932"/>
      <c r="L422" s="932"/>
      <c r="M422" s="932"/>
      <c r="N422" s="932"/>
      <c r="O422" s="932"/>
      <c r="P422" s="932"/>
      <c r="Q422" s="932"/>
      <c r="R422" s="932"/>
      <c r="S422" s="932"/>
      <c r="T422" s="932"/>
      <c r="U422" s="932"/>
      <c r="V422" s="932"/>
      <c r="W422" s="932"/>
      <c r="X422" s="932"/>
      <c r="Y422" s="932"/>
      <c r="Z422" s="932"/>
      <c r="AA422" s="932"/>
      <c r="AB422" s="932"/>
      <c r="AC422" s="932"/>
      <c r="AD422" s="932"/>
      <c r="AE422" s="932"/>
      <c r="AF422" s="932"/>
      <c r="AG422" s="932"/>
      <c r="AH422" s="932"/>
      <c r="AI422" s="932"/>
      <c r="AJ422" s="932"/>
      <c r="AK422" s="932"/>
      <c r="AL422" s="932"/>
      <c r="AM422" s="932"/>
      <c r="AN422" s="932"/>
      <c r="AO422" s="932"/>
      <c r="AP422" s="932"/>
      <c r="AQ422" s="932"/>
      <c r="AR422" s="932"/>
      <c r="AS422" s="932"/>
      <c r="AT422" s="932"/>
      <c r="AU422" s="932"/>
      <c r="AV422" s="932"/>
      <c r="AW422" s="932"/>
      <c r="AX422" s="932"/>
      <c r="AY422" s="932"/>
      <c r="AZ422" s="932"/>
      <c r="BA422" s="932"/>
      <c r="BB422" s="932"/>
      <c r="BC422" s="932"/>
      <c r="BD422" s="932"/>
      <c r="BE422" s="932"/>
      <c r="BF422" s="932"/>
    </row>
    <row r="423" spans="2:58" ht="15" x14ac:dyDescent="0.25">
      <c r="B423" s="932"/>
      <c r="C423" s="932"/>
      <c r="D423" s="932"/>
      <c r="E423" s="932"/>
      <c r="F423" s="932"/>
      <c r="G423" s="932"/>
      <c r="H423" s="932"/>
      <c r="I423" s="932"/>
      <c r="J423" s="932"/>
      <c r="K423" s="932"/>
      <c r="L423" s="932"/>
      <c r="M423" s="932"/>
      <c r="N423" s="932"/>
      <c r="O423" s="932"/>
      <c r="P423" s="932"/>
      <c r="Q423" s="932"/>
      <c r="R423" s="932"/>
      <c r="S423" s="932"/>
      <c r="T423" s="932"/>
      <c r="U423" s="932"/>
      <c r="V423" s="932"/>
      <c r="W423" s="932"/>
      <c r="X423" s="932"/>
      <c r="Y423" s="932"/>
      <c r="Z423" s="932"/>
      <c r="AA423" s="932"/>
      <c r="AB423" s="932"/>
      <c r="AC423" s="932"/>
      <c r="AD423" s="932"/>
      <c r="AE423" s="932"/>
      <c r="AF423" s="932"/>
      <c r="AG423" s="932"/>
      <c r="AH423" s="932"/>
      <c r="AI423" s="932"/>
      <c r="AJ423" s="932"/>
      <c r="AK423" s="932"/>
      <c r="AL423" s="932"/>
      <c r="AM423" s="932"/>
      <c r="AN423" s="932"/>
      <c r="AO423" s="932"/>
      <c r="AP423" s="932"/>
      <c r="AQ423" s="932"/>
      <c r="AR423" s="932"/>
      <c r="AS423" s="932"/>
      <c r="AT423" s="932"/>
      <c r="AU423" s="932"/>
      <c r="AV423" s="932"/>
      <c r="AW423" s="932"/>
      <c r="AX423" s="932"/>
      <c r="AY423" s="932"/>
      <c r="AZ423" s="932"/>
      <c r="BA423" s="932"/>
      <c r="BB423" s="932"/>
      <c r="BC423" s="932"/>
      <c r="BD423" s="932"/>
      <c r="BE423" s="932"/>
      <c r="BF423" s="932"/>
    </row>
    <row r="424" spans="2:58" ht="15" x14ac:dyDescent="0.25">
      <c r="B424" s="932"/>
      <c r="C424" s="932"/>
      <c r="D424" s="932"/>
      <c r="E424" s="932"/>
      <c r="F424" s="932"/>
      <c r="G424" s="932"/>
      <c r="H424" s="932"/>
      <c r="I424" s="932"/>
      <c r="J424" s="932"/>
      <c r="K424" s="932"/>
      <c r="L424" s="932"/>
      <c r="M424" s="932"/>
      <c r="N424" s="932"/>
      <c r="O424" s="932"/>
      <c r="P424" s="932"/>
      <c r="Q424" s="932"/>
      <c r="R424" s="932"/>
      <c r="S424" s="932"/>
      <c r="T424" s="932"/>
      <c r="U424" s="932"/>
      <c r="V424" s="932"/>
      <c r="W424" s="932"/>
      <c r="X424" s="932"/>
      <c r="Y424" s="932"/>
      <c r="Z424" s="932"/>
      <c r="AA424" s="932"/>
      <c r="AB424" s="932"/>
      <c r="AC424" s="932"/>
      <c r="AD424" s="932"/>
      <c r="AE424" s="932"/>
      <c r="AF424" s="932"/>
      <c r="AG424" s="932"/>
      <c r="AH424" s="932"/>
      <c r="AI424" s="932"/>
      <c r="AJ424" s="932"/>
      <c r="AK424" s="932"/>
      <c r="AL424" s="932"/>
      <c r="AM424" s="932"/>
      <c r="AN424" s="932"/>
      <c r="AO424" s="932"/>
      <c r="AP424" s="932"/>
      <c r="AQ424" s="932"/>
      <c r="AR424" s="932"/>
      <c r="AS424" s="932"/>
      <c r="AT424" s="932"/>
      <c r="AU424" s="932"/>
      <c r="AV424" s="932"/>
      <c r="AW424" s="932"/>
      <c r="AX424" s="932"/>
      <c r="AY424" s="932"/>
      <c r="AZ424" s="932"/>
      <c r="BA424" s="932"/>
      <c r="BB424" s="932"/>
      <c r="BC424" s="932"/>
      <c r="BD424" s="932"/>
      <c r="BE424" s="932"/>
      <c r="BF424" s="932"/>
    </row>
    <row r="425" spans="2:58" ht="15" x14ac:dyDescent="0.25">
      <c r="B425" s="932"/>
      <c r="C425" s="932"/>
      <c r="D425" s="932"/>
      <c r="E425" s="932"/>
      <c r="F425" s="932"/>
      <c r="G425" s="932"/>
      <c r="H425" s="932"/>
      <c r="I425" s="932"/>
      <c r="J425" s="932"/>
      <c r="K425" s="932"/>
      <c r="L425" s="932"/>
      <c r="M425" s="932"/>
      <c r="N425" s="932"/>
      <c r="O425" s="932"/>
      <c r="P425" s="932"/>
      <c r="Q425" s="932"/>
      <c r="R425" s="932"/>
      <c r="S425" s="932"/>
      <c r="T425" s="932"/>
      <c r="U425" s="932"/>
      <c r="V425" s="932"/>
      <c r="W425" s="932"/>
      <c r="X425" s="932"/>
      <c r="Y425" s="932"/>
      <c r="Z425" s="932"/>
      <c r="AA425" s="932"/>
      <c r="AB425" s="932"/>
      <c r="AC425" s="932"/>
      <c r="AD425" s="932"/>
      <c r="AE425" s="932"/>
      <c r="AF425" s="932"/>
      <c r="AG425" s="932"/>
      <c r="AH425" s="932"/>
      <c r="AI425" s="932"/>
      <c r="AJ425" s="932"/>
      <c r="AK425" s="932"/>
      <c r="AL425" s="932"/>
      <c r="AM425" s="932"/>
      <c r="AN425" s="932"/>
      <c r="AO425" s="932"/>
      <c r="AP425" s="932"/>
      <c r="AQ425" s="932"/>
      <c r="AR425" s="932"/>
      <c r="AS425" s="932"/>
      <c r="AT425" s="932"/>
      <c r="AU425" s="932"/>
      <c r="AV425" s="932"/>
      <c r="AW425" s="932"/>
      <c r="AX425" s="932"/>
      <c r="AY425" s="932"/>
      <c r="AZ425" s="932"/>
      <c r="BA425" s="932"/>
      <c r="BB425" s="932"/>
      <c r="BC425" s="932"/>
      <c r="BD425" s="932"/>
      <c r="BE425" s="932"/>
      <c r="BF425" s="932"/>
    </row>
    <row r="426" spans="2:58" ht="15" x14ac:dyDescent="0.25">
      <c r="B426" s="932"/>
      <c r="C426" s="932"/>
      <c r="D426" s="932"/>
      <c r="E426" s="932"/>
      <c r="F426" s="932"/>
      <c r="G426" s="932"/>
      <c r="H426" s="932"/>
      <c r="I426" s="932"/>
      <c r="J426" s="932"/>
      <c r="K426" s="932"/>
      <c r="L426" s="932"/>
      <c r="M426" s="932"/>
      <c r="N426" s="932"/>
      <c r="O426" s="932"/>
      <c r="P426" s="932"/>
      <c r="Q426" s="932"/>
      <c r="R426" s="932"/>
      <c r="S426" s="932"/>
      <c r="T426" s="932"/>
      <c r="U426" s="932"/>
      <c r="V426" s="932"/>
      <c r="W426" s="932"/>
      <c r="X426" s="932"/>
      <c r="Y426" s="932"/>
      <c r="Z426" s="932"/>
      <c r="AA426" s="932"/>
      <c r="AB426" s="932"/>
      <c r="AC426" s="932"/>
      <c r="AD426" s="932"/>
      <c r="AE426" s="932"/>
      <c r="AF426" s="932"/>
      <c r="AG426" s="932"/>
      <c r="AH426" s="932"/>
      <c r="AI426" s="932"/>
      <c r="AJ426" s="932"/>
      <c r="AK426" s="932"/>
      <c r="AL426" s="932"/>
      <c r="AM426" s="932"/>
      <c r="AN426" s="932"/>
      <c r="AO426" s="932"/>
      <c r="AP426" s="932"/>
      <c r="AQ426" s="932"/>
      <c r="AR426" s="932"/>
      <c r="AS426" s="932"/>
      <c r="AT426" s="932"/>
      <c r="AU426" s="932"/>
      <c r="AV426" s="932"/>
      <c r="AW426" s="932"/>
      <c r="AX426" s="932"/>
      <c r="AY426" s="932"/>
      <c r="AZ426" s="932"/>
      <c r="BA426" s="932"/>
      <c r="BB426" s="932"/>
      <c r="BC426" s="932"/>
      <c r="BD426" s="932"/>
      <c r="BE426" s="932"/>
      <c r="BF426" s="932"/>
    </row>
    <row r="427" spans="2:58" ht="15" x14ac:dyDescent="0.25">
      <c r="B427" s="932"/>
      <c r="C427" s="932"/>
      <c r="D427" s="932"/>
      <c r="E427" s="932"/>
      <c r="F427" s="932"/>
      <c r="G427" s="932"/>
      <c r="H427" s="932"/>
      <c r="I427" s="932"/>
      <c r="J427" s="932"/>
      <c r="K427" s="932"/>
      <c r="L427" s="932"/>
      <c r="M427" s="932"/>
      <c r="N427" s="932"/>
      <c r="O427" s="932"/>
      <c r="P427" s="932"/>
      <c r="Q427" s="932"/>
      <c r="R427" s="932"/>
      <c r="S427" s="932"/>
      <c r="T427" s="932"/>
      <c r="U427" s="932"/>
      <c r="V427" s="932"/>
      <c r="W427" s="932"/>
      <c r="X427" s="932"/>
      <c r="Y427" s="932"/>
      <c r="Z427" s="932"/>
      <c r="AA427" s="932"/>
      <c r="AB427" s="932"/>
      <c r="AC427" s="932"/>
      <c r="AD427" s="932"/>
      <c r="AE427" s="932"/>
      <c r="AF427" s="932"/>
      <c r="AG427" s="932"/>
      <c r="AH427" s="932"/>
      <c r="AI427" s="932"/>
      <c r="AJ427" s="932"/>
      <c r="AK427" s="932"/>
      <c r="AL427" s="932"/>
      <c r="AM427" s="932"/>
      <c r="AN427" s="932"/>
      <c r="AO427" s="932"/>
      <c r="AP427" s="932"/>
      <c r="AQ427" s="932"/>
      <c r="AR427" s="932"/>
      <c r="AS427" s="932"/>
      <c r="AT427" s="932"/>
      <c r="AU427" s="932"/>
      <c r="AV427" s="932"/>
      <c r="AW427" s="932"/>
      <c r="AX427" s="932"/>
      <c r="AY427" s="932"/>
      <c r="AZ427" s="932"/>
      <c r="BA427" s="932"/>
      <c r="BB427" s="932"/>
      <c r="BC427" s="932"/>
      <c r="BD427" s="932"/>
      <c r="BE427" s="932"/>
      <c r="BF427" s="932"/>
    </row>
    <row r="428" spans="2:58" ht="15" x14ac:dyDescent="0.25">
      <c r="B428" s="932"/>
      <c r="C428" s="932"/>
      <c r="D428" s="932"/>
      <c r="E428" s="932"/>
      <c r="F428" s="932"/>
      <c r="G428" s="932"/>
      <c r="H428" s="932"/>
      <c r="I428" s="932"/>
      <c r="J428" s="932"/>
      <c r="K428" s="932"/>
      <c r="L428" s="932"/>
      <c r="M428" s="932"/>
      <c r="N428" s="932"/>
      <c r="O428" s="932"/>
      <c r="P428" s="932"/>
      <c r="Q428" s="932"/>
      <c r="R428" s="932"/>
      <c r="S428" s="932"/>
      <c r="T428" s="932"/>
      <c r="U428" s="932"/>
      <c r="V428" s="932"/>
      <c r="W428" s="932"/>
      <c r="X428" s="932"/>
      <c r="Y428" s="932"/>
      <c r="Z428" s="932"/>
      <c r="AA428" s="932"/>
      <c r="AB428" s="932"/>
      <c r="AC428" s="932"/>
      <c r="AD428" s="932"/>
      <c r="AE428" s="932"/>
      <c r="AF428" s="932"/>
      <c r="AG428" s="932"/>
      <c r="AH428" s="932"/>
      <c r="AI428" s="932"/>
      <c r="AJ428" s="932"/>
      <c r="AK428" s="932"/>
      <c r="AL428" s="932"/>
      <c r="AM428" s="932"/>
      <c r="AN428" s="932"/>
      <c r="AO428" s="932"/>
      <c r="AP428" s="932"/>
      <c r="AQ428" s="932"/>
      <c r="AR428" s="932"/>
      <c r="AS428" s="932"/>
      <c r="AT428" s="932"/>
      <c r="AU428" s="932"/>
      <c r="AV428" s="932"/>
      <c r="AW428" s="932"/>
      <c r="AX428" s="932"/>
      <c r="AY428" s="932"/>
      <c r="AZ428" s="932"/>
      <c r="BA428" s="932"/>
      <c r="BB428" s="932"/>
      <c r="BC428" s="932"/>
      <c r="BD428" s="932"/>
      <c r="BE428" s="932"/>
      <c r="BF428" s="932"/>
    </row>
    <row r="429" spans="2:58" ht="15" x14ac:dyDescent="0.25">
      <c r="B429" s="932"/>
      <c r="C429" s="932"/>
      <c r="D429" s="932"/>
      <c r="E429" s="932"/>
      <c r="F429" s="932"/>
      <c r="G429" s="932"/>
      <c r="H429" s="932"/>
      <c r="I429" s="932"/>
      <c r="J429" s="932"/>
      <c r="K429" s="932"/>
      <c r="L429" s="932"/>
      <c r="M429" s="932"/>
      <c r="N429" s="932"/>
      <c r="O429" s="932"/>
      <c r="P429" s="932"/>
      <c r="Q429" s="932"/>
      <c r="R429" s="932"/>
      <c r="S429" s="932"/>
      <c r="T429" s="932"/>
      <c r="U429" s="932"/>
      <c r="V429" s="932"/>
      <c r="W429" s="932"/>
      <c r="X429" s="932"/>
      <c r="Y429" s="932"/>
      <c r="Z429" s="932"/>
      <c r="AA429" s="932"/>
      <c r="AB429" s="932"/>
      <c r="AC429" s="932"/>
      <c r="AD429" s="932"/>
      <c r="AE429" s="932"/>
      <c r="AF429" s="932"/>
      <c r="AG429" s="932"/>
      <c r="AH429" s="932"/>
      <c r="AI429" s="932"/>
      <c r="AJ429" s="932"/>
      <c r="AK429" s="932"/>
      <c r="AL429" s="932"/>
      <c r="AM429" s="932"/>
      <c r="AN429" s="932"/>
      <c r="AO429" s="932"/>
      <c r="AP429" s="932"/>
      <c r="AQ429" s="932"/>
      <c r="AR429" s="932"/>
      <c r="AS429" s="932"/>
      <c r="AT429" s="932"/>
      <c r="AU429" s="932"/>
      <c r="AV429" s="932"/>
      <c r="AW429" s="932"/>
      <c r="AX429" s="932"/>
      <c r="AY429" s="932"/>
      <c r="AZ429" s="932"/>
      <c r="BA429" s="932"/>
      <c r="BB429" s="932"/>
      <c r="BC429" s="932"/>
      <c r="BD429" s="932"/>
      <c r="BE429" s="932"/>
      <c r="BF429" s="932"/>
    </row>
    <row r="430" spans="2:58" ht="15" x14ac:dyDescent="0.25">
      <c r="B430" s="932"/>
      <c r="C430" s="932"/>
      <c r="D430" s="932"/>
      <c r="E430" s="932"/>
      <c r="F430" s="932"/>
      <c r="G430" s="932"/>
      <c r="H430" s="932"/>
      <c r="I430" s="932"/>
      <c r="J430" s="932"/>
      <c r="K430" s="932"/>
      <c r="L430" s="932"/>
      <c r="M430" s="932"/>
      <c r="N430" s="932"/>
      <c r="O430" s="932"/>
      <c r="P430" s="932"/>
      <c r="Q430" s="932"/>
      <c r="R430" s="932"/>
      <c r="S430" s="932"/>
      <c r="T430" s="932"/>
      <c r="U430" s="932"/>
      <c r="V430" s="932"/>
      <c r="W430" s="932"/>
      <c r="X430" s="932"/>
      <c r="Y430" s="932"/>
      <c r="Z430" s="932"/>
      <c r="AA430" s="932"/>
      <c r="AB430" s="932"/>
      <c r="AC430" s="932"/>
      <c r="AD430" s="932"/>
      <c r="AE430" s="932"/>
      <c r="AF430" s="932"/>
      <c r="AG430" s="932"/>
      <c r="AH430" s="932"/>
      <c r="AI430" s="932"/>
      <c r="AJ430" s="932"/>
      <c r="AK430" s="932"/>
      <c r="AL430" s="932"/>
      <c r="AM430" s="932"/>
      <c r="AN430" s="932"/>
      <c r="AO430" s="932"/>
      <c r="AP430" s="932"/>
      <c r="AQ430" s="932"/>
      <c r="AR430" s="932"/>
      <c r="AS430" s="932"/>
      <c r="AT430" s="932"/>
      <c r="AU430" s="932"/>
      <c r="AV430" s="932"/>
      <c r="AW430" s="932"/>
      <c r="AX430" s="932"/>
      <c r="AY430" s="932"/>
      <c r="AZ430" s="932"/>
      <c r="BA430" s="932"/>
      <c r="BB430" s="932"/>
      <c r="BC430" s="932"/>
      <c r="BD430" s="932"/>
      <c r="BE430" s="932"/>
      <c r="BF430" s="932"/>
    </row>
    <row r="431" spans="2:58" ht="15" x14ac:dyDescent="0.25">
      <c r="B431" s="932"/>
      <c r="C431" s="932"/>
      <c r="D431" s="932"/>
      <c r="E431" s="932"/>
      <c r="F431" s="932"/>
      <c r="G431" s="932"/>
      <c r="H431" s="932"/>
      <c r="I431" s="932"/>
      <c r="J431" s="932"/>
      <c r="K431" s="932"/>
      <c r="L431" s="932"/>
      <c r="M431" s="932"/>
      <c r="N431" s="932"/>
      <c r="O431" s="932"/>
      <c r="P431" s="932"/>
      <c r="Q431" s="932"/>
      <c r="R431" s="932"/>
      <c r="S431" s="932"/>
      <c r="T431" s="932"/>
      <c r="U431" s="932"/>
      <c r="V431" s="932"/>
      <c r="W431" s="932"/>
      <c r="X431" s="932"/>
      <c r="Y431" s="932"/>
      <c r="Z431" s="932"/>
      <c r="AA431" s="932"/>
      <c r="AB431" s="932"/>
      <c r="AC431" s="932"/>
      <c r="AD431" s="932"/>
      <c r="AE431" s="932"/>
      <c r="AF431" s="932"/>
      <c r="AG431" s="932"/>
      <c r="AH431" s="932"/>
      <c r="AI431" s="932"/>
      <c r="AJ431" s="932"/>
      <c r="AK431" s="932"/>
      <c r="AL431" s="932"/>
      <c r="AM431" s="932"/>
      <c r="AN431" s="932"/>
      <c r="AO431" s="932"/>
      <c r="AP431" s="932"/>
      <c r="AQ431" s="932"/>
      <c r="AR431" s="932"/>
      <c r="AS431" s="932"/>
      <c r="AT431" s="932"/>
      <c r="AU431" s="932"/>
      <c r="AV431" s="932"/>
      <c r="AW431" s="932"/>
      <c r="AX431" s="932"/>
      <c r="AY431" s="932"/>
      <c r="AZ431" s="932"/>
      <c r="BA431" s="932"/>
      <c r="BB431" s="932"/>
      <c r="BC431" s="932"/>
      <c r="BD431" s="932"/>
      <c r="BE431" s="932"/>
      <c r="BF431" s="932"/>
    </row>
    <row r="432" spans="2:58" ht="15" x14ac:dyDescent="0.25">
      <c r="B432" s="932"/>
      <c r="C432" s="932"/>
      <c r="D432" s="932"/>
      <c r="E432" s="932"/>
      <c r="F432" s="932"/>
      <c r="G432" s="932"/>
      <c r="H432" s="932"/>
      <c r="I432" s="932"/>
      <c r="J432" s="932"/>
      <c r="K432" s="932"/>
      <c r="L432" s="932"/>
      <c r="M432" s="932"/>
      <c r="N432" s="932"/>
      <c r="O432" s="932"/>
      <c r="P432" s="932"/>
      <c r="Q432" s="932"/>
      <c r="R432" s="932"/>
      <c r="S432" s="932"/>
      <c r="T432" s="932"/>
      <c r="U432" s="932"/>
      <c r="V432" s="932"/>
      <c r="W432" s="932"/>
      <c r="X432" s="932"/>
      <c r="Y432" s="932"/>
      <c r="Z432" s="932"/>
      <c r="AA432" s="932"/>
      <c r="AB432" s="932"/>
      <c r="AC432" s="932"/>
      <c r="AD432" s="932"/>
      <c r="AE432" s="932"/>
      <c r="AF432" s="932"/>
      <c r="AG432" s="932"/>
      <c r="AH432" s="932"/>
      <c r="AI432" s="932"/>
      <c r="AJ432" s="932"/>
      <c r="AK432" s="932"/>
      <c r="AL432" s="932"/>
      <c r="AM432" s="932"/>
      <c r="AN432" s="932"/>
      <c r="AO432" s="932"/>
      <c r="AP432" s="932"/>
      <c r="AQ432" s="932"/>
      <c r="AR432" s="932"/>
      <c r="AS432" s="932"/>
      <c r="AT432" s="932"/>
      <c r="AU432" s="932"/>
      <c r="AV432" s="932"/>
      <c r="AW432" s="932"/>
      <c r="AX432" s="932"/>
      <c r="AY432" s="932"/>
      <c r="AZ432" s="932"/>
      <c r="BA432" s="932"/>
      <c r="BB432" s="932"/>
      <c r="BC432" s="932"/>
      <c r="BD432" s="932"/>
      <c r="BE432" s="932"/>
      <c r="BF432" s="932"/>
    </row>
    <row r="433" spans="2:58" ht="15" x14ac:dyDescent="0.25">
      <c r="B433" s="932"/>
      <c r="C433" s="932"/>
      <c r="D433" s="932"/>
      <c r="E433" s="932"/>
      <c r="F433" s="932"/>
      <c r="G433" s="932"/>
      <c r="H433" s="932"/>
      <c r="I433" s="932"/>
      <c r="J433" s="932"/>
      <c r="K433" s="932"/>
      <c r="L433" s="932"/>
      <c r="M433" s="932"/>
      <c r="N433" s="932"/>
      <c r="O433" s="932"/>
      <c r="P433" s="932"/>
      <c r="Q433" s="932"/>
      <c r="R433" s="932"/>
      <c r="S433" s="932"/>
      <c r="T433" s="932"/>
      <c r="U433" s="932"/>
      <c r="V433" s="932"/>
      <c r="W433" s="932"/>
      <c r="X433" s="932"/>
      <c r="Y433" s="932"/>
      <c r="Z433" s="932"/>
      <c r="AA433" s="932"/>
      <c r="AB433" s="932"/>
      <c r="AC433" s="932"/>
      <c r="AD433" s="932"/>
      <c r="AE433" s="932"/>
      <c r="AF433" s="932"/>
      <c r="AG433" s="932"/>
      <c r="AH433" s="932"/>
      <c r="AI433" s="932"/>
      <c r="AJ433" s="932"/>
      <c r="AK433" s="932"/>
      <c r="AL433" s="932"/>
      <c r="AM433" s="932"/>
      <c r="AN433" s="932"/>
      <c r="AO433" s="932"/>
      <c r="AP433" s="932"/>
      <c r="AQ433" s="932"/>
      <c r="AR433" s="932"/>
      <c r="AS433" s="932"/>
      <c r="AT433" s="932"/>
      <c r="AU433" s="932"/>
      <c r="AV433" s="932"/>
      <c r="AW433" s="932"/>
      <c r="AX433" s="932"/>
      <c r="AY433" s="932"/>
      <c r="AZ433" s="932"/>
      <c r="BA433" s="932"/>
      <c r="BB433" s="932"/>
      <c r="BC433" s="932"/>
      <c r="BD433" s="932"/>
      <c r="BE433" s="932"/>
      <c r="BF433" s="932"/>
    </row>
    <row r="434" spans="2:58" ht="15" x14ac:dyDescent="0.25">
      <c r="B434" s="932"/>
      <c r="C434" s="932"/>
      <c r="D434" s="932"/>
      <c r="E434" s="932"/>
      <c r="F434" s="932"/>
      <c r="G434" s="932"/>
      <c r="H434" s="932"/>
      <c r="I434" s="932"/>
      <c r="J434" s="932"/>
      <c r="K434" s="932"/>
      <c r="L434" s="932"/>
      <c r="M434" s="932"/>
      <c r="N434" s="932"/>
      <c r="O434" s="932"/>
      <c r="P434" s="932"/>
      <c r="Q434" s="932"/>
      <c r="R434" s="932"/>
      <c r="S434" s="932"/>
      <c r="T434" s="932"/>
      <c r="U434" s="932"/>
      <c r="V434" s="932"/>
      <c r="W434" s="932"/>
      <c r="X434" s="932"/>
      <c r="Y434" s="932"/>
      <c r="Z434" s="932"/>
      <c r="AA434" s="932"/>
      <c r="AB434" s="932"/>
      <c r="AC434" s="932"/>
      <c r="AD434" s="932"/>
      <c r="AE434" s="932"/>
      <c r="AF434" s="932"/>
      <c r="AG434" s="932"/>
      <c r="AH434" s="932"/>
      <c r="AI434" s="932"/>
      <c r="AJ434" s="932"/>
      <c r="AK434" s="932"/>
      <c r="AL434" s="932"/>
      <c r="AM434" s="932"/>
      <c r="AN434" s="932"/>
      <c r="AO434" s="932"/>
      <c r="AP434" s="932"/>
      <c r="AQ434" s="932"/>
      <c r="AR434" s="932"/>
      <c r="AS434" s="932"/>
      <c r="AT434" s="932"/>
      <c r="AU434" s="932"/>
      <c r="AV434" s="932"/>
      <c r="AW434" s="932"/>
      <c r="AX434" s="932"/>
      <c r="AY434" s="932"/>
      <c r="AZ434" s="932"/>
      <c r="BA434" s="932"/>
      <c r="BB434" s="932"/>
      <c r="BC434" s="932"/>
      <c r="BD434" s="932"/>
      <c r="BE434" s="932"/>
      <c r="BF434" s="932"/>
    </row>
    <row r="435" spans="2:58" ht="15" x14ac:dyDescent="0.25">
      <c r="B435" s="932"/>
      <c r="C435" s="932"/>
      <c r="D435" s="932"/>
      <c r="E435" s="932"/>
      <c r="F435" s="932"/>
      <c r="G435" s="932"/>
      <c r="H435" s="932"/>
      <c r="I435" s="932"/>
      <c r="J435" s="932"/>
      <c r="K435" s="932"/>
      <c r="L435" s="932"/>
      <c r="M435" s="932"/>
      <c r="N435" s="932"/>
      <c r="O435" s="932"/>
      <c r="P435" s="932"/>
      <c r="Q435" s="932"/>
      <c r="R435" s="932"/>
      <c r="S435" s="932"/>
      <c r="T435" s="932"/>
      <c r="U435" s="932"/>
      <c r="V435" s="932"/>
      <c r="W435" s="932"/>
      <c r="X435" s="932"/>
      <c r="Y435" s="932"/>
      <c r="Z435" s="932"/>
      <c r="AA435" s="932"/>
      <c r="AB435" s="932"/>
      <c r="AC435" s="932"/>
      <c r="AD435" s="932"/>
      <c r="AE435" s="932"/>
      <c r="AF435" s="932"/>
      <c r="AG435" s="932"/>
      <c r="AH435" s="932"/>
      <c r="AI435" s="932"/>
      <c r="AJ435" s="932"/>
      <c r="AK435" s="932"/>
      <c r="AL435" s="932"/>
      <c r="AM435" s="932"/>
      <c r="AN435" s="932"/>
      <c r="AO435" s="932"/>
      <c r="AP435" s="932"/>
      <c r="AQ435" s="932"/>
      <c r="AR435" s="932"/>
      <c r="AS435" s="932"/>
      <c r="AT435" s="932"/>
      <c r="AU435" s="932"/>
      <c r="AV435" s="932"/>
      <c r="AW435" s="932"/>
      <c r="AX435" s="932"/>
      <c r="AY435" s="932"/>
      <c r="AZ435" s="932"/>
      <c r="BA435" s="932"/>
      <c r="BB435" s="932"/>
      <c r="BC435" s="932"/>
      <c r="BD435" s="932"/>
      <c r="BE435" s="932"/>
      <c r="BF435" s="932"/>
    </row>
    <row r="436" spans="2:58" ht="15" x14ac:dyDescent="0.25">
      <c r="B436" s="932"/>
      <c r="C436" s="932"/>
      <c r="D436" s="932"/>
      <c r="E436" s="932"/>
      <c r="F436" s="932"/>
      <c r="G436" s="932"/>
      <c r="H436" s="932"/>
      <c r="I436" s="932"/>
      <c r="J436" s="932"/>
      <c r="K436" s="932"/>
      <c r="L436" s="932"/>
      <c r="M436" s="932"/>
      <c r="N436" s="932"/>
      <c r="O436" s="932"/>
      <c r="P436" s="932"/>
      <c r="Q436" s="932"/>
      <c r="R436" s="932"/>
      <c r="S436" s="932"/>
      <c r="T436" s="932"/>
      <c r="U436" s="932"/>
      <c r="V436" s="932"/>
      <c r="W436" s="932"/>
      <c r="X436" s="932"/>
      <c r="Y436" s="932"/>
      <c r="Z436" s="932"/>
      <c r="AA436" s="932"/>
      <c r="AB436" s="932"/>
      <c r="AC436" s="932"/>
      <c r="AD436" s="932"/>
      <c r="AE436" s="932"/>
      <c r="AF436" s="932"/>
      <c r="AG436" s="932"/>
      <c r="AH436" s="932"/>
      <c r="AI436" s="932"/>
      <c r="AJ436" s="932"/>
      <c r="AK436" s="932"/>
      <c r="AL436" s="932"/>
      <c r="AM436" s="932"/>
      <c r="AN436" s="932"/>
      <c r="AO436" s="932"/>
      <c r="AP436" s="932"/>
      <c r="AQ436" s="932"/>
      <c r="AR436" s="932"/>
      <c r="AS436" s="932"/>
      <c r="AT436" s="932"/>
      <c r="AU436" s="932"/>
      <c r="AV436" s="932"/>
      <c r="AW436" s="932"/>
      <c r="AX436" s="932"/>
      <c r="AY436" s="932"/>
      <c r="AZ436" s="932"/>
      <c r="BA436" s="932"/>
      <c r="BB436" s="932"/>
      <c r="BC436" s="932"/>
      <c r="BD436" s="932"/>
      <c r="BE436" s="932"/>
      <c r="BF436" s="932"/>
    </row>
    <row r="437" spans="2:58" ht="15" x14ac:dyDescent="0.25">
      <c r="B437" s="932"/>
      <c r="C437" s="932"/>
      <c r="D437" s="932"/>
      <c r="E437" s="932"/>
      <c r="F437" s="932"/>
      <c r="G437" s="932"/>
      <c r="H437" s="932"/>
      <c r="I437" s="932"/>
      <c r="J437" s="932"/>
      <c r="K437" s="932"/>
      <c r="L437" s="932"/>
      <c r="M437" s="932"/>
      <c r="N437" s="932"/>
      <c r="O437" s="932"/>
      <c r="P437" s="932"/>
      <c r="Q437" s="932"/>
      <c r="R437" s="932"/>
      <c r="S437" s="932"/>
      <c r="T437" s="932"/>
      <c r="U437" s="932"/>
      <c r="V437" s="932"/>
      <c r="W437" s="932"/>
      <c r="X437" s="932"/>
      <c r="Y437" s="932"/>
      <c r="Z437" s="932"/>
      <c r="AA437" s="932"/>
      <c r="AB437" s="932"/>
      <c r="AC437" s="932"/>
      <c r="AD437" s="932"/>
      <c r="AE437" s="932"/>
      <c r="AF437" s="932"/>
      <c r="AG437" s="932"/>
      <c r="AH437" s="932"/>
      <c r="AI437" s="932"/>
      <c r="AJ437" s="932"/>
      <c r="AK437" s="932"/>
      <c r="AL437" s="932"/>
      <c r="AM437" s="932"/>
      <c r="AN437" s="932"/>
      <c r="AO437" s="932"/>
      <c r="AP437" s="932"/>
      <c r="AQ437" s="932"/>
      <c r="AR437" s="932"/>
      <c r="AS437" s="932"/>
      <c r="AT437" s="932"/>
      <c r="AU437" s="932"/>
      <c r="AV437" s="932"/>
      <c r="AW437" s="932"/>
      <c r="AX437" s="932"/>
      <c r="AY437" s="932"/>
      <c r="AZ437" s="932"/>
      <c r="BA437" s="932"/>
      <c r="BB437" s="932"/>
      <c r="BC437" s="932"/>
      <c r="BD437" s="932"/>
      <c r="BE437" s="932"/>
      <c r="BF437" s="932"/>
    </row>
    <row r="438" spans="2:58" ht="15" x14ac:dyDescent="0.25">
      <c r="B438" s="932"/>
      <c r="C438" s="932"/>
      <c r="D438" s="932"/>
      <c r="E438" s="932"/>
      <c r="F438" s="932"/>
      <c r="G438" s="932"/>
      <c r="H438" s="932"/>
      <c r="I438" s="932"/>
      <c r="J438" s="932"/>
      <c r="K438" s="932"/>
      <c r="L438" s="932"/>
      <c r="M438" s="932"/>
      <c r="N438" s="932"/>
      <c r="O438" s="932"/>
      <c r="P438" s="932"/>
      <c r="Q438" s="932"/>
      <c r="R438" s="932"/>
      <c r="S438" s="932"/>
      <c r="T438" s="932"/>
      <c r="U438" s="932"/>
      <c r="V438" s="932"/>
      <c r="W438" s="932"/>
      <c r="X438" s="932"/>
      <c r="Y438" s="932"/>
      <c r="Z438" s="932"/>
      <c r="AA438" s="932"/>
      <c r="AB438" s="932"/>
      <c r="AC438" s="932"/>
      <c r="AD438" s="932"/>
      <c r="AE438" s="932"/>
      <c r="AF438" s="932"/>
      <c r="AG438" s="932"/>
      <c r="AH438" s="932"/>
      <c r="AI438" s="932"/>
      <c r="AJ438" s="932"/>
      <c r="AK438" s="932"/>
      <c r="AL438" s="932"/>
      <c r="AM438" s="932"/>
      <c r="AN438" s="932"/>
      <c r="AO438" s="932"/>
      <c r="AP438" s="932"/>
      <c r="AQ438" s="932"/>
      <c r="AR438" s="932"/>
      <c r="AS438" s="932"/>
      <c r="AT438" s="932"/>
      <c r="AU438" s="932"/>
      <c r="AV438" s="932"/>
      <c r="AW438" s="932"/>
      <c r="AX438" s="932"/>
      <c r="AY438" s="932"/>
      <c r="AZ438" s="932"/>
      <c r="BA438" s="932"/>
      <c r="BB438" s="932"/>
      <c r="BC438" s="932"/>
      <c r="BD438" s="932"/>
      <c r="BE438" s="932"/>
      <c r="BF438" s="932"/>
    </row>
    <row r="439" spans="2:58" ht="15" x14ac:dyDescent="0.25">
      <c r="B439" s="932"/>
      <c r="C439" s="932"/>
      <c r="D439" s="932"/>
      <c r="E439" s="932"/>
      <c r="F439" s="932"/>
      <c r="G439" s="932"/>
      <c r="H439" s="932"/>
      <c r="I439" s="932"/>
      <c r="J439" s="932"/>
      <c r="K439" s="932"/>
      <c r="L439" s="932"/>
      <c r="M439" s="932"/>
      <c r="N439" s="932"/>
      <c r="O439" s="932"/>
      <c r="P439" s="932"/>
      <c r="Q439" s="932"/>
      <c r="R439" s="932"/>
      <c r="S439" s="932"/>
      <c r="T439" s="932"/>
      <c r="U439" s="932"/>
      <c r="V439" s="932"/>
      <c r="W439" s="932"/>
      <c r="X439" s="932"/>
      <c r="Y439" s="932"/>
      <c r="Z439" s="932"/>
      <c r="AA439" s="932"/>
      <c r="AB439" s="932"/>
      <c r="AC439" s="932"/>
      <c r="AD439" s="932"/>
      <c r="AE439" s="932"/>
      <c r="AF439" s="932"/>
      <c r="AG439" s="932"/>
      <c r="AH439" s="932"/>
      <c r="AI439" s="932"/>
      <c r="AJ439" s="932"/>
      <c r="AK439" s="932"/>
      <c r="AL439" s="932"/>
      <c r="AM439" s="932"/>
      <c r="AN439" s="932"/>
      <c r="AO439" s="932"/>
      <c r="AP439" s="932"/>
      <c r="AQ439" s="932"/>
      <c r="AR439" s="932"/>
      <c r="AS439" s="932"/>
      <c r="AT439" s="932"/>
      <c r="AU439" s="932"/>
      <c r="AV439" s="932"/>
      <c r="AW439" s="932"/>
      <c r="AX439" s="932"/>
      <c r="AY439" s="932"/>
      <c r="AZ439" s="932"/>
      <c r="BA439" s="932"/>
      <c r="BB439" s="932"/>
      <c r="BC439" s="932"/>
      <c r="BD439" s="932"/>
      <c r="BE439" s="932"/>
      <c r="BF439" s="932"/>
    </row>
    <row r="440" spans="2:58" ht="15" x14ac:dyDescent="0.25">
      <c r="B440" s="932"/>
      <c r="C440" s="932"/>
      <c r="D440" s="932"/>
      <c r="E440" s="932"/>
      <c r="F440" s="932"/>
      <c r="G440" s="932"/>
      <c r="H440" s="932"/>
      <c r="I440" s="932"/>
      <c r="J440" s="932"/>
      <c r="K440" s="932"/>
      <c r="L440" s="932"/>
      <c r="M440" s="932"/>
      <c r="N440" s="932"/>
      <c r="O440" s="932"/>
      <c r="P440" s="932"/>
      <c r="Q440" s="932"/>
      <c r="R440" s="932"/>
      <c r="S440" s="932"/>
      <c r="T440" s="932"/>
      <c r="U440" s="932"/>
      <c r="V440" s="932"/>
      <c r="W440" s="932"/>
      <c r="X440" s="932"/>
      <c r="Y440" s="932"/>
      <c r="Z440" s="932"/>
      <c r="AA440" s="932"/>
      <c r="AB440" s="932"/>
      <c r="AC440" s="932"/>
      <c r="AD440" s="932"/>
      <c r="AE440" s="932"/>
      <c r="AF440" s="932"/>
      <c r="AG440" s="932"/>
      <c r="AH440" s="932"/>
      <c r="AI440" s="932"/>
      <c r="AJ440" s="932"/>
      <c r="AK440" s="932"/>
      <c r="AL440" s="932"/>
      <c r="AM440" s="932"/>
      <c r="AN440" s="932"/>
      <c r="AO440" s="932"/>
      <c r="AP440" s="932"/>
      <c r="AQ440" s="932"/>
      <c r="AR440" s="932"/>
      <c r="AS440" s="932"/>
      <c r="AT440" s="932"/>
      <c r="AU440" s="932"/>
      <c r="AV440" s="932"/>
      <c r="AW440" s="932"/>
      <c r="AX440" s="932"/>
      <c r="AY440" s="932"/>
      <c r="AZ440" s="932"/>
      <c r="BA440" s="932"/>
      <c r="BB440" s="932"/>
      <c r="BC440" s="932"/>
      <c r="BD440" s="932"/>
      <c r="BE440" s="932"/>
      <c r="BF440" s="932"/>
    </row>
    <row r="441" spans="2:58" ht="15" x14ac:dyDescent="0.25">
      <c r="B441" s="932"/>
      <c r="C441" s="932"/>
      <c r="D441" s="932"/>
      <c r="E441" s="932"/>
      <c r="F441" s="932"/>
      <c r="G441" s="932"/>
      <c r="H441" s="932"/>
      <c r="I441" s="932"/>
      <c r="J441" s="932"/>
      <c r="K441" s="932"/>
      <c r="L441" s="932"/>
      <c r="M441" s="932"/>
      <c r="N441" s="932"/>
      <c r="O441" s="932"/>
      <c r="P441" s="932"/>
      <c r="Q441" s="932"/>
      <c r="R441" s="932"/>
      <c r="S441" s="932"/>
      <c r="T441" s="932"/>
      <c r="U441" s="932"/>
      <c r="V441" s="932"/>
      <c r="W441" s="932"/>
      <c r="X441" s="932"/>
      <c r="Y441" s="932"/>
      <c r="Z441" s="932"/>
      <c r="AA441" s="932"/>
      <c r="AB441" s="932"/>
      <c r="AC441" s="932"/>
      <c r="AD441" s="932"/>
      <c r="AE441" s="932"/>
      <c r="AF441" s="932"/>
      <c r="AG441" s="932"/>
      <c r="AH441" s="932"/>
      <c r="AI441" s="932"/>
      <c r="AJ441" s="932"/>
      <c r="AK441" s="932"/>
      <c r="AL441" s="932"/>
      <c r="AM441" s="932"/>
      <c r="AN441" s="932"/>
      <c r="AO441" s="932"/>
      <c r="AP441" s="932"/>
      <c r="AQ441" s="932"/>
      <c r="AR441" s="932"/>
      <c r="AS441" s="932"/>
      <c r="AT441" s="932"/>
      <c r="AU441" s="932"/>
      <c r="AV441" s="932"/>
      <c r="AW441" s="932"/>
      <c r="AX441" s="932"/>
      <c r="AY441" s="932"/>
      <c r="AZ441" s="932"/>
      <c r="BA441" s="932"/>
      <c r="BB441" s="932"/>
      <c r="BC441" s="932"/>
      <c r="BD441" s="932"/>
      <c r="BE441" s="932"/>
      <c r="BF441" s="932"/>
    </row>
    <row r="442" spans="2:58" ht="15" x14ac:dyDescent="0.25">
      <c r="B442" s="932"/>
      <c r="C442" s="932"/>
      <c r="D442" s="932"/>
      <c r="E442" s="932"/>
      <c r="F442" s="932"/>
      <c r="G442" s="932"/>
      <c r="H442" s="932"/>
      <c r="I442" s="932"/>
      <c r="J442" s="932"/>
      <c r="K442" s="932"/>
      <c r="L442" s="932"/>
      <c r="M442" s="932"/>
      <c r="N442" s="932"/>
      <c r="O442" s="932"/>
      <c r="P442" s="932"/>
      <c r="Q442" s="932"/>
      <c r="R442" s="932"/>
      <c r="S442" s="932"/>
      <c r="T442" s="932"/>
      <c r="U442" s="932"/>
      <c r="V442" s="932"/>
      <c r="W442" s="932"/>
      <c r="X442" s="932"/>
      <c r="Y442" s="932"/>
      <c r="Z442" s="932"/>
      <c r="AA442" s="932"/>
      <c r="AB442" s="932"/>
      <c r="AC442" s="932"/>
      <c r="AD442" s="932"/>
      <c r="AE442" s="932"/>
      <c r="AF442" s="932"/>
      <c r="AG442" s="932"/>
      <c r="AH442" s="932"/>
      <c r="AI442" s="932"/>
      <c r="AJ442" s="932"/>
      <c r="AK442" s="932"/>
      <c r="AL442" s="932"/>
      <c r="AM442" s="932"/>
      <c r="AN442" s="932"/>
      <c r="AO442" s="932"/>
      <c r="AP442" s="932"/>
      <c r="AQ442" s="932"/>
      <c r="AR442" s="932"/>
      <c r="AS442" s="932"/>
      <c r="AT442" s="932"/>
      <c r="AU442" s="932"/>
      <c r="AV442" s="932"/>
      <c r="AW442" s="932"/>
      <c r="AX442" s="932"/>
      <c r="AY442" s="932"/>
      <c r="AZ442" s="932"/>
      <c r="BA442" s="932"/>
      <c r="BB442" s="932"/>
      <c r="BC442" s="932"/>
      <c r="BD442" s="932"/>
      <c r="BE442" s="932"/>
      <c r="BF442" s="932"/>
    </row>
    <row r="443" spans="2:58" ht="15" x14ac:dyDescent="0.25">
      <c r="B443" s="932"/>
      <c r="C443" s="932"/>
      <c r="D443" s="932"/>
      <c r="E443" s="932"/>
      <c r="F443" s="932"/>
      <c r="G443" s="932"/>
      <c r="H443" s="932"/>
      <c r="I443" s="932"/>
      <c r="J443" s="932"/>
      <c r="K443" s="932"/>
      <c r="L443" s="932"/>
      <c r="M443" s="932"/>
      <c r="N443" s="932"/>
      <c r="O443" s="932"/>
      <c r="P443" s="932"/>
      <c r="Q443" s="932"/>
      <c r="R443" s="932"/>
      <c r="S443" s="932"/>
      <c r="T443" s="932"/>
      <c r="U443" s="932"/>
      <c r="V443" s="932"/>
      <c r="W443" s="932"/>
      <c r="X443" s="932"/>
      <c r="Y443" s="932"/>
      <c r="Z443" s="932"/>
      <c r="AA443" s="932"/>
      <c r="AB443" s="932"/>
      <c r="AC443" s="932"/>
      <c r="AD443" s="932"/>
      <c r="AE443" s="932"/>
      <c r="AF443" s="932"/>
      <c r="AG443" s="932"/>
      <c r="AH443" s="932"/>
      <c r="AI443" s="932"/>
      <c r="AJ443" s="932"/>
      <c r="AK443" s="932"/>
      <c r="AL443" s="932"/>
      <c r="AM443" s="932"/>
      <c r="AN443" s="932"/>
      <c r="AO443" s="932"/>
      <c r="AP443" s="932"/>
      <c r="AQ443" s="932"/>
      <c r="AR443" s="932"/>
      <c r="AS443" s="932"/>
      <c r="AT443" s="932"/>
      <c r="AU443" s="932"/>
      <c r="AV443" s="932"/>
      <c r="AW443" s="932"/>
      <c r="AX443" s="932"/>
      <c r="AY443" s="932"/>
      <c r="AZ443" s="932"/>
      <c r="BA443" s="932"/>
      <c r="BB443" s="932"/>
      <c r="BC443" s="932"/>
      <c r="BD443" s="932"/>
      <c r="BE443" s="932"/>
      <c r="BF443" s="932"/>
    </row>
    <row r="444" spans="2:58" ht="15" x14ac:dyDescent="0.25">
      <c r="B444" s="932"/>
      <c r="C444" s="932"/>
      <c r="D444" s="932"/>
      <c r="E444" s="932"/>
      <c r="F444" s="932"/>
      <c r="G444" s="932"/>
      <c r="H444" s="932"/>
      <c r="I444" s="932"/>
      <c r="J444" s="932"/>
      <c r="K444" s="932"/>
      <c r="L444" s="932"/>
      <c r="M444" s="932"/>
      <c r="N444" s="932"/>
      <c r="O444" s="932"/>
      <c r="P444" s="932"/>
      <c r="Q444" s="932"/>
      <c r="R444" s="932"/>
      <c r="S444" s="932"/>
      <c r="T444" s="932"/>
      <c r="U444" s="932"/>
      <c r="V444" s="932"/>
      <c r="W444" s="932"/>
      <c r="X444" s="932"/>
      <c r="Y444" s="932"/>
      <c r="Z444" s="932"/>
      <c r="AA444" s="932"/>
      <c r="AB444" s="932"/>
      <c r="AC444" s="932"/>
      <c r="AD444" s="932"/>
      <c r="AE444" s="932"/>
      <c r="AF444" s="932"/>
      <c r="AG444" s="932"/>
      <c r="AH444" s="932"/>
      <c r="AI444" s="932"/>
      <c r="AJ444" s="932"/>
      <c r="AK444" s="932"/>
      <c r="AL444" s="932"/>
      <c r="AM444" s="932"/>
      <c r="AN444" s="932"/>
      <c r="AO444" s="932"/>
      <c r="AP444" s="932"/>
      <c r="AQ444" s="932"/>
      <c r="AR444" s="932"/>
      <c r="AS444" s="932"/>
      <c r="AT444" s="932"/>
      <c r="AU444" s="932"/>
      <c r="AV444" s="932"/>
      <c r="AW444" s="932"/>
      <c r="AX444" s="932"/>
      <c r="AY444" s="932"/>
      <c r="AZ444" s="932"/>
      <c r="BA444" s="932"/>
      <c r="BB444" s="932"/>
      <c r="BC444" s="932"/>
      <c r="BD444" s="932"/>
      <c r="BE444" s="932"/>
      <c r="BF444" s="932"/>
    </row>
    <row r="445" spans="2:58" ht="15" x14ac:dyDescent="0.25">
      <c r="B445" s="932"/>
      <c r="C445" s="932"/>
      <c r="D445" s="932"/>
      <c r="E445" s="932"/>
      <c r="F445" s="932"/>
      <c r="G445" s="932"/>
      <c r="H445" s="932"/>
      <c r="I445" s="932"/>
      <c r="J445" s="932"/>
      <c r="K445" s="932"/>
      <c r="L445" s="932"/>
      <c r="M445" s="932"/>
      <c r="N445" s="932"/>
      <c r="O445" s="932"/>
      <c r="P445" s="932"/>
      <c r="Q445" s="932"/>
      <c r="R445" s="932"/>
      <c r="S445" s="932"/>
      <c r="T445" s="932"/>
      <c r="U445" s="932"/>
      <c r="V445" s="932"/>
      <c r="W445" s="932"/>
      <c r="X445" s="932"/>
      <c r="Y445" s="932"/>
      <c r="Z445" s="932"/>
      <c r="AA445" s="932"/>
      <c r="AB445" s="932"/>
      <c r="AC445" s="932"/>
      <c r="AD445" s="932"/>
      <c r="AE445" s="932"/>
      <c r="AF445" s="932"/>
      <c r="AG445" s="932"/>
      <c r="AH445" s="932"/>
      <c r="AI445" s="932"/>
      <c r="AJ445" s="932"/>
      <c r="AK445" s="932"/>
      <c r="AL445" s="932"/>
      <c r="AM445" s="932"/>
      <c r="AN445" s="932"/>
      <c r="AO445" s="932"/>
      <c r="AP445" s="932"/>
      <c r="AQ445" s="932"/>
      <c r="AR445" s="932"/>
      <c r="AS445" s="932"/>
      <c r="AT445" s="932"/>
      <c r="AU445" s="932"/>
      <c r="AV445" s="932"/>
      <c r="AW445" s="932"/>
      <c r="AX445" s="932"/>
      <c r="AY445" s="932"/>
      <c r="AZ445" s="932"/>
      <c r="BA445" s="932"/>
      <c r="BB445" s="932"/>
      <c r="BC445" s="932"/>
      <c r="BD445" s="932"/>
      <c r="BE445" s="932"/>
      <c r="BF445" s="932"/>
    </row>
    <row r="446" spans="2:58" ht="15" x14ac:dyDescent="0.25">
      <c r="B446" s="932"/>
      <c r="C446" s="932"/>
      <c r="D446" s="932"/>
      <c r="E446" s="932"/>
      <c r="F446" s="932"/>
      <c r="G446" s="932"/>
      <c r="H446" s="932"/>
      <c r="I446" s="932"/>
      <c r="J446" s="932"/>
      <c r="K446" s="932"/>
      <c r="L446" s="932"/>
      <c r="M446" s="932"/>
      <c r="N446" s="932"/>
      <c r="O446" s="932"/>
      <c r="P446" s="932"/>
      <c r="Q446" s="932"/>
      <c r="R446" s="932"/>
      <c r="S446" s="932"/>
      <c r="T446" s="932"/>
      <c r="U446" s="932"/>
      <c r="V446" s="932"/>
      <c r="W446" s="932"/>
      <c r="X446" s="932"/>
      <c r="Y446" s="932"/>
      <c r="Z446" s="932"/>
      <c r="AA446" s="932"/>
      <c r="AB446" s="932"/>
      <c r="AC446" s="932"/>
      <c r="AD446" s="932"/>
      <c r="AE446" s="932"/>
      <c r="AF446" s="932"/>
      <c r="AG446" s="932"/>
      <c r="AH446" s="932"/>
      <c r="AI446" s="932"/>
      <c r="AJ446" s="932"/>
      <c r="AK446" s="932"/>
      <c r="AL446" s="932"/>
      <c r="AM446" s="932"/>
      <c r="AN446" s="932"/>
      <c r="AO446" s="932"/>
      <c r="AP446" s="932"/>
      <c r="AQ446" s="932"/>
      <c r="AR446" s="932"/>
      <c r="AS446" s="932"/>
      <c r="AT446" s="932"/>
      <c r="AU446" s="932"/>
      <c r="AV446" s="932"/>
      <c r="AW446" s="932"/>
      <c r="AX446" s="932"/>
      <c r="AY446" s="932"/>
      <c r="AZ446" s="932"/>
      <c r="BA446" s="932"/>
      <c r="BB446" s="932"/>
      <c r="BC446" s="932"/>
      <c r="BD446" s="932"/>
      <c r="BE446" s="932"/>
      <c r="BF446" s="932"/>
    </row>
    <row r="447" spans="2:58" ht="15" x14ac:dyDescent="0.25">
      <c r="B447" s="932"/>
      <c r="C447" s="932"/>
      <c r="D447" s="932"/>
      <c r="E447" s="932"/>
      <c r="F447" s="932"/>
      <c r="G447" s="932"/>
      <c r="H447" s="932"/>
      <c r="I447" s="932"/>
      <c r="J447" s="932"/>
      <c r="K447" s="932"/>
      <c r="L447" s="932"/>
      <c r="M447" s="932"/>
      <c r="N447" s="932"/>
      <c r="O447" s="932"/>
      <c r="P447" s="932"/>
      <c r="Q447" s="932"/>
      <c r="R447" s="932"/>
      <c r="S447" s="932"/>
      <c r="T447" s="932"/>
      <c r="U447" s="932"/>
      <c r="V447" s="932"/>
      <c r="W447" s="932"/>
      <c r="X447" s="932"/>
      <c r="Y447" s="932"/>
      <c r="Z447" s="932"/>
      <c r="AA447" s="932"/>
      <c r="AB447" s="932"/>
      <c r="AC447" s="932"/>
      <c r="AD447" s="932"/>
      <c r="AE447" s="932"/>
      <c r="AF447" s="932"/>
      <c r="AG447" s="932"/>
      <c r="AH447" s="932"/>
      <c r="AI447" s="932"/>
      <c r="AJ447" s="932"/>
      <c r="AK447" s="932"/>
      <c r="AL447" s="932"/>
      <c r="AM447" s="932"/>
      <c r="AN447" s="932"/>
      <c r="AO447" s="932"/>
      <c r="AP447" s="932"/>
      <c r="AQ447" s="932"/>
      <c r="AR447" s="932"/>
      <c r="AS447" s="932"/>
      <c r="AT447" s="932"/>
      <c r="AU447" s="932"/>
      <c r="AV447" s="932"/>
      <c r="AW447" s="932"/>
      <c r="AX447" s="932"/>
      <c r="AY447" s="932"/>
      <c r="AZ447" s="932"/>
      <c r="BA447" s="932"/>
      <c r="BB447" s="932"/>
      <c r="BC447" s="932"/>
      <c r="BD447" s="932"/>
      <c r="BE447" s="932"/>
      <c r="BF447" s="932"/>
    </row>
    <row r="448" spans="2:58" ht="15" x14ac:dyDescent="0.25">
      <c r="B448" s="932"/>
      <c r="C448" s="932"/>
      <c r="D448" s="932"/>
      <c r="E448" s="932"/>
      <c r="F448" s="932"/>
      <c r="G448" s="932"/>
      <c r="H448" s="932"/>
      <c r="I448" s="932"/>
      <c r="J448" s="932"/>
      <c r="K448" s="932"/>
      <c r="L448" s="932"/>
      <c r="M448" s="932"/>
      <c r="N448" s="932"/>
      <c r="O448" s="932"/>
      <c r="P448" s="932"/>
      <c r="Q448" s="932"/>
      <c r="R448" s="932"/>
      <c r="S448" s="932"/>
      <c r="T448" s="932"/>
      <c r="U448" s="932"/>
      <c r="V448" s="932"/>
      <c r="W448" s="932"/>
      <c r="X448" s="932"/>
      <c r="Y448" s="932"/>
      <c r="Z448" s="932"/>
      <c r="AA448" s="932"/>
      <c r="AB448" s="932"/>
      <c r="AC448" s="932"/>
      <c r="AD448" s="932"/>
      <c r="AE448" s="932"/>
      <c r="AF448" s="932"/>
      <c r="AG448" s="932"/>
      <c r="AH448" s="932"/>
      <c r="AI448" s="932"/>
      <c r="AJ448" s="932"/>
      <c r="AK448" s="932"/>
      <c r="AL448" s="932"/>
      <c r="AM448" s="932"/>
      <c r="AN448" s="932"/>
      <c r="AO448" s="932"/>
      <c r="AP448" s="932"/>
      <c r="AQ448" s="932"/>
      <c r="AR448" s="932"/>
      <c r="AS448" s="932"/>
      <c r="AT448" s="932"/>
      <c r="AU448" s="932"/>
      <c r="AV448" s="932"/>
      <c r="AW448" s="932"/>
      <c r="AX448" s="932"/>
      <c r="AY448" s="932"/>
      <c r="AZ448" s="932"/>
      <c r="BA448" s="932"/>
      <c r="BB448" s="932"/>
      <c r="BC448" s="932"/>
      <c r="BD448" s="932"/>
      <c r="BE448" s="932"/>
      <c r="BF448" s="932"/>
    </row>
    <row r="449" spans="2:58" ht="15" x14ac:dyDescent="0.25">
      <c r="B449" s="932"/>
      <c r="C449" s="932"/>
      <c r="D449" s="932"/>
      <c r="E449" s="932"/>
      <c r="F449" s="932"/>
      <c r="G449" s="932"/>
      <c r="H449" s="932"/>
      <c r="I449" s="932"/>
      <c r="J449" s="932"/>
      <c r="K449" s="932"/>
      <c r="L449" s="932"/>
      <c r="M449" s="932"/>
      <c r="N449" s="932"/>
      <c r="O449" s="932"/>
      <c r="P449" s="932"/>
      <c r="Q449" s="932"/>
      <c r="R449" s="932"/>
      <c r="S449" s="932"/>
      <c r="T449" s="932"/>
      <c r="U449" s="932"/>
      <c r="V449" s="932"/>
      <c r="W449" s="932"/>
      <c r="X449" s="932"/>
      <c r="Y449" s="932"/>
      <c r="Z449" s="932"/>
      <c r="AA449" s="932"/>
      <c r="AB449" s="932"/>
      <c r="AC449" s="932"/>
      <c r="AD449" s="932"/>
      <c r="AE449" s="932"/>
      <c r="AF449" s="932"/>
      <c r="AG449" s="932"/>
      <c r="AH449" s="932"/>
      <c r="AI449" s="932"/>
      <c r="AJ449" s="932"/>
      <c r="AK449" s="932"/>
      <c r="AL449" s="932"/>
      <c r="AM449" s="932"/>
      <c r="AN449" s="932"/>
      <c r="AO449" s="932"/>
      <c r="AP449" s="932"/>
      <c r="AQ449" s="932"/>
      <c r="AR449" s="932"/>
      <c r="AS449" s="932"/>
      <c r="AT449" s="932"/>
      <c r="AU449" s="932"/>
      <c r="AV449" s="932"/>
      <c r="AW449" s="932"/>
      <c r="AX449" s="932"/>
      <c r="AY449" s="932"/>
      <c r="AZ449" s="932"/>
      <c r="BA449" s="932"/>
      <c r="BB449" s="932"/>
      <c r="BC449" s="932"/>
      <c r="BD449" s="932"/>
      <c r="BE449" s="932"/>
      <c r="BF449" s="932"/>
    </row>
    <row r="450" spans="2:58" ht="15" x14ac:dyDescent="0.25">
      <c r="B450" s="932"/>
      <c r="C450" s="932"/>
      <c r="D450" s="932"/>
      <c r="E450" s="932"/>
      <c r="F450" s="932"/>
      <c r="G450" s="932"/>
      <c r="H450" s="932"/>
      <c r="I450" s="932"/>
      <c r="J450" s="932"/>
      <c r="K450" s="932"/>
      <c r="L450" s="932"/>
      <c r="M450" s="932"/>
      <c r="N450" s="932"/>
      <c r="O450" s="932"/>
      <c r="P450" s="932"/>
      <c r="Q450" s="932"/>
      <c r="R450" s="932"/>
      <c r="S450" s="932"/>
      <c r="T450" s="932"/>
      <c r="U450" s="932"/>
      <c r="V450" s="932"/>
      <c r="W450" s="932"/>
      <c r="X450" s="932"/>
      <c r="Y450" s="932"/>
      <c r="Z450" s="932"/>
      <c r="AA450" s="932"/>
      <c r="AB450" s="932"/>
      <c r="AC450" s="932"/>
      <c r="AD450" s="932"/>
      <c r="AE450" s="932"/>
      <c r="AF450" s="932"/>
      <c r="AG450" s="932"/>
      <c r="AH450" s="932"/>
      <c r="AI450" s="932"/>
      <c r="AJ450" s="932"/>
      <c r="AK450" s="932"/>
      <c r="AL450" s="932"/>
      <c r="AM450" s="932"/>
      <c r="AN450" s="932"/>
      <c r="AO450" s="932"/>
      <c r="AP450" s="932"/>
      <c r="AQ450" s="932"/>
      <c r="AR450" s="932"/>
      <c r="AS450" s="932"/>
      <c r="AT450" s="932"/>
      <c r="AU450" s="932"/>
      <c r="AV450" s="932"/>
      <c r="AW450" s="932"/>
      <c r="AX450" s="932"/>
      <c r="AY450" s="932"/>
      <c r="AZ450" s="932"/>
      <c r="BA450" s="932"/>
      <c r="BB450" s="932"/>
      <c r="BC450" s="932"/>
      <c r="BD450" s="932"/>
      <c r="BE450" s="932"/>
      <c r="BF450" s="932"/>
    </row>
    <row r="451" spans="2:58" ht="15" x14ac:dyDescent="0.25">
      <c r="B451" s="932"/>
      <c r="C451" s="932"/>
      <c r="D451" s="932"/>
      <c r="E451" s="932"/>
      <c r="F451" s="932"/>
      <c r="G451" s="932"/>
      <c r="H451" s="932"/>
      <c r="I451" s="932"/>
      <c r="J451" s="932"/>
      <c r="K451" s="932"/>
      <c r="L451" s="932"/>
      <c r="M451" s="932"/>
      <c r="N451" s="932"/>
      <c r="O451" s="932"/>
      <c r="P451" s="932"/>
      <c r="Q451" s="932"/>
      <c r="R451" s="932"/>
      <c r="S451" s="932"/>
      <c r="T451" s="932"/>
      <c r="U451" s="932"/>
      <c r="V451" s="932"/>
      <c r="W451" s="932"/>
      <c r="X451" s="932"/>
      <c r="Y451" s="932"/>
      <c r="Z451" s="932"/>
      <c r="AA451" s="932"/>
      <c r="AB451" s="932"/>
      <c r="AC451" s="932"/>
      <c r="AD451" s="932"/>
      <c r="AE451" s="932"/>
      <c r="AF451" s="932"/>
      <c r="AG451" s="932"/>
      <c r="AH451" s="932"/>
      <c r="AI451" s="932"/>
      <c r="AJ451" s="932"/>
      <c r="AK451" s="932"/>
      <c r="AL451" s="932"/>
      <c r="AM451" s="932"/>
      <c r="AN451" s="932"/>
      <c r="AO451" s="932"/>
      <c r="AP451" s="932"/>
      <c r="AQ451" s="932"/>
      <c r="AR451" s="932"/>
      <c r="AS451" s="932"/>
      <c r="AT451" s="932"/>
      <c r="AU451" s="932"/>
      <c r="AV451" s="932"/>
      <c r="AW451" s="932"/>
      <c r="AX451" s="932"/>
      <c r="AY451" s="932"/>
      <c r="AZ451" s="932"/>
      <c r="BA451" s="932"/>
      <c r="BB451" s="932"/>
      <c r="BC451" s="932"/>
      <c r="BD451" s="932"/>
      <c r="BE451" s="932"/>
      <c r="BF451" s="932"/>
    </row>
    <row r="452" spans="2:58" ht="15" x14ac:dyDescent="0.25">
      <c r="B452" s="932"/>
      <c r="C452" s="932"/>
      <c r="D452" s="932"/>
      <c r="E452" s="932"/>
      <c r="F452" s="932"/>
      <c r="G452" s="932"/>
      <c r="H452" s="932"/>
      <c r="I452" s="932"/>
      <c r="J452" s="932"/>
      <c r="K452" s="932"/>
      <c r="L452" s="932"/>
      <c r="M452" s="932"/>
      <c r="N452" s="932"/>
      <c r="O452" s="932"/>
      <c r="P452" s="932"/>
      <c r="Q452" s="932"/>
      <c r="R452" s="932"/>
      <c r="S452" s="932"/>
      <c r="T452" s="932"/>
      <c r="U452" s="932"/>
      <c r="V452" s="932"/>
      <c r="W452" s="932"/>
      <c r="X452" s="932"/>
      <c r="Y452" s="932"/>
      <c r="Z452" s="932"/>
      <c r="AA452" s="932"/>
      <c r="AB452" s="932"/>
      <c r="AC452" s="932"/>
      <c r="AD452" s="932"/>
      <c r="AE452" s="932"/>
      <c r="AF452" s="932"/>
      <c r="AG452" s="932"/>
      <c r="AH452" s="932"/>
      <c r="AI452" s="932"/>
      <c r="AJ452" s="932"/>
      <c r="AK452" s="932"/>
      <c r="AL452" s="932"/>
      <c r="AM452" s="932"/>
      <c r="AN452" s="932"/>
      <c r="AO452" s="932"/>
      <c r="AP452" s="932"/>
      <c r="AQ452" s="932"/>
      <c r="AR452" s="932"/>
      <c r="AS452" s="932"/>
      <c r="AT452" s="932"/>
      <c r="AU452" s="932"/>
      <c r="AV452" s="932"/>
      <c r="AW452" s="932"/>
      <c r="AX452" s="932"/>
      <c r="AY452" s="932"/>
      <c r="AZ452" s="932"/>
      <c r="BA452" s="932"/>
      <c r="BB452" s="932"/>
      <c r="BC452" s="932"/>
      <c r="BD452" s="932"/>
      <c r="BE452" s="932"/>
      <c r="BF452" s="932"/>
    </row>
    <row r="453" spans="2:58" ht="15" x14ac:dyDescent="0.25">
      <c r="B453" s="932"/>
      <c r="C453" s="932"/>
      <c r="D453" s="932"/>
      <c r="E453" s="932"/>
      <c r="F453" s="932"/>
      <c r="G453" s="932"/>
      <c r="H453" s="932"/>
      <c r="I453" s="932"/>
      <c r="J453" s="932"/>
      <c r="K453" s="932"/>
      <c r="L453" s="932"/>
      <c r="M453" s="932"/>
      <c r="N453" s="932"/>
      <c r="O453" s="932"/>
      <c r="P453" s="932"/>
      <c r="Q453" s="932"/>
      <c r="R453" s="932"/>
      <c r="S453" s="932"/>
      <c r="T453" s="932"/>
      <c r="U453" s="932"/>
      <c r="V453" s="932"/>
      <c r="W453" s="932"/>
      <c r="X453" s="932"/>
      <c r="Y453" s="932"/>
      <c r="Z453" s="932"/>
      <c r="AA453" s="932"/>
      <c r="AB453" s="932"/>
      <c r="AC453" s="932"/>
      <c r="AD453" s="932"/>
      <c r="AE453" s="932"/>
      <c r="AF453" s="932"/>
      <c r="AG453" s="932"/>
      <c r="AH453" s="932"/>
      <c r="AI453" s="932"/>
      <c r="AJ453" s="932"/>
      <c r="AK453" s="932"/>
      <c r="AL453" s="932"/>
      <c r="AM453" s="932"/>
      <c r="AN453" s="932"/>
      <c r="AO453" s="932"/>
      <c r="AP453" s="932"/>
      <c r="AQ453" s="932"/>
      <c r="AR453" s="932"/>
      <c r="AS453" s="932"/>
      <c r="AT453" s="932"/>
      <c r="AU453" s="932"/>
      <c r="AV453" s="932"/>
      <c r="AW453" s="932"/>
      <c r="AX453" s="932"/>
      <c r="AY453" s="932"/>
      <c r="AZ453" s="932"/>
      <c r="BA453" s="932"/>
      <c r="BB453" s="932"/>
      <c r="BC453" s="932"/>
      <c r="BD453" s="932"/>
      <c r="BE453" s="932"/>
      <c r="BF453" s="932"/>
    </row>
    <row r="454" spans="2:58" ht="15" x14ac:dyDescent="0.25">
      <c r="B454" s="932"/>
      <c r="C454" s="932"/>
      <c r="D454" s="932"/>
      <c r="E454" s="932"/>
      <c r="F454" s="932"/>
      <c r="G454" s="932"/>
      <c r="H454" s="932"/>
      <c r="I454" s="932"/>
      <c r="J454" s="932"/>
      <c r="K454" s="932"/>
      <c r="L454" s="932"/>
      <c r="M454" s="932"/>
      <c r="N454" s="932"/>
      <c r="O454" s="932"/>
      <c r="P454" s="932"/>
      <c r="Q454" s="932"/>
      <c r="R454" s="932"/>
      <c r="S454" s="932"/>
      <c r="T454" s="932"/>
      <c r="U454" s="932"/>
      <c r="V454" s="932"/>
      <c r="W454" s="932"/>
      <c r="X454" s="932"/>
      <c r="Y454" s="932"/>
      <c r="Z454" s="932"/>
      <c r="AA454" s="932"/>
      <c r="AB454" s="932"/>
      <c r="AC454" s="932"/>
      <c r="AD454" s="932"/>
      <c r="AE454" s="932"/>
      <c r="AF454" s="932"/>
      <c r="AG454" s="932"/>
      <c r="AH454" s="932"/>
      <c r="AI454" s="932"/>
      <c r="AJ454" s="932"/>
      <c r="AK454" s="932"/>
      <c r="AL454" s="932"/>
      <c r="AM454" s="932"/>
      <c r="AN454" s="932"/>
      <c r="AO454" s="932"/>
      <c r="AP454" s="932"/>
      <c r="AQ454" s="932"/>
      <c r="AR454" s="932"/>
      <c r="AS454" s="932"/>
      <c r="AT454" s="932"/>
      <c r="AU454" s="932"/>
      <c r="AV454" s="932"/>
      <c r="AW454" s="932"/>
      <c r="AX454" s="932"/>
      <c r="AY454" s="932"/>
      <c r="AZ454" s="932"/>
      <c r="BA454" s="932"/>
      <c r="BB454" s="932"/>
      <c r="BC454" s="932"/>
      <c r="BD454" s="932"/>
      <c r="BE454" s="932"/>
      <c r="BF454" s="932"/>
    </row>
    <row r="455" spans="2:58" ht="15" x14ac:dyDescent="0.25">
      <c r="B455" s="932"/>
      <c r="C455" s="932"/>
      <c r="D455" s="932"/>
      <c r="E455" s="932"/>
      <c r="F455" s="932"/>
      <c r="G455" s="932"/>
      <c r="H455" s="932"/>
      <c r="I455" s="932"/>
      <c r="J455" s="932"/>
      <c r="K455" s="932"/>
      <c r="L455" s="932"/>
      <c r="M455" s="932"/>
      <c r="N455" s="932"/>
      <c r="O455" s="932"/>
      <c r="P455" s="932"/>
      <c r="Q455" s="932"/>
      <c r="R455" s="932"/>
      <c r="S455" s="932"/>
      <c r="T455" s="932"/>
      <c r="U455" s="932"/>
      <c r="V455" s="932"/>
      <c r="W455" s="932"/>
      <c r="X455" s="932"/>
      <c r="Y455" s="932"/>
      <c r="Z455" s="932"/>
      <c r="AA455" s="932"/>
      <c r="AB455" s="932"/>
      <c r="AC455" s="932"/>
      <c r="AD455" s="932"/>
      <c r="AE455" s="932"/>
      <c r="AF455" s="932"/>
      <c r="AG455" s="932"/>
      <c r="AH455" s="932"/>
      <c r="AI455" s="932"/>
      <c r="AJ455" s="932"/>
      <c r="AK455" s="932"/>
      <c r="AL455" s="932"/>
      <c r="AM455" s="932"/>
      <c r="AN455" s="932"/>
      <c r="AO455" s="932"/>
      <c r="AP455" s="932"/>
      <c r="AQ455" s="932"/>
      <c r="AR455" s="932"/>
      <c r="AS455" s="932"/>
      <c r="AT455" s="932"/>
      <c r="AU455" s="932"/>
      <c r="AV455" s="932"/>
      <c r="AW455" s="932"/>
      <c r="AX455" s="932"/>
      <c r="AY455" s="932"/>
      <c r="AZ455" s="932"/>
      <c r="BA455" s="932"/>
      <c r="BB455" s="932"/>
      <c r="BC455" s="932"/>
      <c r="BD455" s="932"/>
      <c r="BE455" s="932"/>
      <c r="BF455" s="932"/>
    </row>
    <row r="456" spans="2:58" ht="15" x14ac:dyDescent="0.25">
      <c r="B456" s="932"/>
      <c r="C456" s="932"/>
      <c r="D456" s="932"/>
      <c r="E456" s="932"/>
      <c r="F456" s="932"/>
      <c r="G456" s="932"/>
      <c r="H456" s="932"/>
      <c r="I456" s="932"/>
      <c r="J456" s="932"/>
      <c r="K456" s="932"/>
      <c r="L456" s="932"/>
      <c r="M456" s="932"/>
      <c r="N456" s="932"/>
      <c r="O456" s="932"/>
      <c r="P456" s="932"/>
      <c r="Q456" s="932"/>
      <c r="R456" s="932"/>
      <c r="S456" s="932"/>
      <c r="T456" s="932"/>
      <c r="U456" s="932"/>
      <c r="V456" s="932"/>
      <c r="W456" s="932"/>
      <c r="X456" s="932"/>
      <c r="Y456" s="932"/>
      <c r="Z456" s="932"/>
      <c r="AA456" s="932"/>
      <c r="AB456" s="932"/>
      <c r="AC456" s="932"/>
      <c r="AD456" s="932"/>
      <c r="AE456" s="932"/>
      <c r="AF456" s="932"/>
      <c r="AG456" s="932"/>
      <c r="AH456" s="932"/>
      <c r="AI456" s="932"/>
      <c r="AJ456" s="932"/>
      <c r="AK456" s="932"/>
      <c r="AL456" s="932"/>
      <c r="AM456" s="932"/>
      <c r="AN456" s="932"/>
      <c r="AO456" s="932"/>
      <c r="AP456" s="932"/>
      <c r="AQ456" s="932"/>
      <c r="AR456" s="932"/>
      <c r="AS456" s="932"/>
      <c r="AT456" s="932"/>
      <c r="AU456" s="932"/>
      <c r="AV456" s="932"/>
      <c r="AW456" s="932"/>
      <c r="AX456" s="932"/>
      <c r="AY456" s="932"/>
      <c r="AZ456" s="932"/>
      <c r="BA456" s="932"/>
      <c r="BB456" s="932"/>
      <c r="BC456" s="932"/>
      <c r="BD456" s="932"/>
      <c r="BE456" s="932"/>
      <c r="BF456" s="932"/>
    </row>
    <row r="457" spans="2:58" ht="15" x14ac:dyDescent="0.25">
      <c r="B457" s="932"/>
      <c r="C457" s="932"/>
      <c r="D457" s="932"/>
      <c r="E457" s="932"/>
      <c r="F457" s="932"/>
      <c r="G457" s="932"/>
      <c r="H457" s="932"/>
      <c r="I457" s="932"/>
      <c r="J457" s="932"/>
      <c r="K457" s="932"/>
      <c r="L457" s="932"/>
      <c r="M457" s="932"/>
      <c r="N457" s="932"/>
      <c r="O457" s="932"/>
      <c r="P457" s="932"/>
      <c r="Q457" s="932"/>
      <c r="R457" s="932"/>
      <c r="S457" s="932"/>
      <c r="T457" s="932"/>
      <c r="U457" s="932"/>
      <c r="V457" s="932"/>
      <c r="W457" s="932"/>
      <c r="X457" s="932"/>
      <c r="Y457" s="932"/>
      <c r="Z457" s="932"/>
      <c r="AA457" s="932"/>
      <c r="AB457" s="932"/>
      <c r="AC457" s="932"/>
      <c r="AD457" s="932"/>
      <c r="AE457" s="932"/>
      <c r="AF457" s="932"/>
      <c r="AG457" s="932"/>
      <c r="AH457" s="932"/>
      <c r="AI457" s="932"/>
      <c r="AJ457" s="932"/>
      <c r="AK457" s="932"/>
      <c r="AL457" s="932"/>
      <c r="AM457" s="932"/>
      <c r="AN457" s="932"/>
      <c r="AO457" s="932"/>
      <c r="AP457" s="932"/>
      <c r="AQ457" s="932"/>
      <c r="AR457" s="932"/>
      <c r="AS457" s="932"/>
      <c r="AT457" s="932"/>
      <c r="AU457" s="932"/>
      <c r="AV457" s="932"/>
      <c r="AW457" s="932"/>
      <c r="AX457" s="932"/>
      <c r="AY457" s="932"/>
      <c r="AZ457" s="932"/>
      <c r="BA457" s="932"/>
      <c r="BB457" s="932"/>
      <c r="BC457" s="932"/>
      <c r="BD457" s="932"/>
      <c r="BE457" s="932"/>
      <c r="BF457" s="932"/>
    </row>
    <row r="458" spans="2:58" ht="15" x14ac:dyDescent="0.25">
      <c r="B458" s="932"/>
      <c r="C458" s="932"/>
      <c r="D458" s="932"/>
      <c r="E458" s="932"/>
      <c r="F458" s="932"/>
      <c r="G458" s="932"/>
      <c r="H458" s="932"/>
      <c r="I458" s="932"/>
      <c r="J458" s="932"/>
      <c r="K458" s="932"/>
      <c r="L458" s="932"/>
      <c r="M458" s="932"/>
      <c r="N458" s="932"/>
      <c r="O458" s="932"/>
      <c r="P458" s="932"/>
      <c r="Q458" s="932"/>
      <c r="R458" s="932"/>
      <c r="S458" s="932"/>
      <c r="T458" s="932"/>
      <c r="U458" s="932"/>
      <c r="V458" s="932"/>
      <c r="W458" s="932"/>
      <c r="X458" s="932"/>
      <c r="Y458" s="932"/>
      <c r="Z458" s="932"/>
      <c r="AA458" s="932"/>
      <c r="AB458" s="932"/>
      <c r="AC458" s="932"/>
      <c r="AD458" s="932"/>
      <c r="AE458" s="932"/>
      <c r="AF458" s="932"/>
      <c r="AG458" s="932"/>
      <c r="AH458" s="932"/>
      <c r="AI458" s="932"/>
      <c r="AJ458" s="932"/>
      <c r="AK458" s="932"/>
      <c r="AL458" s="932"/>
      <c r="AM458" s="932"/>
      <c r="AN458" s="932"/>
      <c r="AO458" s="932"/>
      <c r="AP458" s="932"/>
      <c r="AQ458" s="932"/>
      <c r="AR458" s="932"/>
      <c r="AS458" s="932"/>
      <c r="AT458" s="932"/>
      <c r="AU458" s="932"/>
      <c r="AV458" s="932"/>
      <c r="AW458" s="932"/>
      <c r="AX458" s="932"/>
      <c r="AY458" s="932"/>
      <c r="AZ458" s="932"/>
      <c r="BA458" s="932"/>
      <c r="BB458" s="932"/>
      <c r="BC458" s="932"/>
      <c r="BD458" s="932"/>
      <c r="BE458" s="932"/>
      <c r="BF458" s="932"/>
    </row>
    <row r="459" spans="2:58" ht="15" x14ac:dyDescent="0.25">
      <c r="B459" s="932"/>
      <c r="C459" s="932"/>
      <c r="D459" s="932"/>
      <c r="E459" s="932"/>
      <c r="F459" s="932"/>
      <c r="G459" s="932"/>
      <c r="H459" s="932"/>
      <c r="I459" s="932"/>
      <c r="J459" s="932"/>
      <c r="K459" s="932"/>
      <c r="L459" s="932"/>
      <c r="M459" s="932"/>
      <c r="N459" s="932"/>
      <c r="O459" s="932"/>
      <c r="P459" s="932"/>
      <c r="Q459" s="932"/>
      <c r="R459" s="932"/>
      <c r="S459" s="932"/>
      <c r="T459" s="932"/>
      <c r="U459" s="932"/>
      <c r="V459" s="932"/>
      <c r="W459" s="932"/>
      <c r="X459" s="932"/>
      <c r="Y459" s="932"/>
      <c r="Z459" s="932"/>
      <c r="AA459" s="932"/>
      <c r="AB459" s="932"/>
      <c r="AC459" s="932"/>
      <c r="AD459" s="932"/>
      <c r="AE459" s="932"/>
      <c r="AF459" s="932"/>
      <c r="AG459" s="932"/>
      <c r="AH459" s="932"/>
      <c r="AI459" s="932"/>
      <c r="AJ459" s="932"/>
      <c r="AK459" s="932"/>
      <c r="AL459" s="932"/>
      <c r="AM459" s="932"/>
      <c r="AN459" s="932"/>
      <c r="AO459" s="932"/>
      <c r="AP459" s="932"/>
      <c r="AQ459" s="932"/>
      <c r="AR459" s="932"/>
      <c r="AS459" s="932"/>
      <c r="AT459" s="932"/>
      <c r="AU459" s="932"/>
      <c r="AV459" s="932"/>
      <c r="AW459" s="932"/>
      <c r="AX459" s="932"/>
      <c r="AY459" s="932"/>
      <c r="AZ459" s="932"/>
      <c r="BA459" s="932"/>
      <c r="BB459" s="932"/>
      <c r="BC459" s="932"/>
      <c r="BD459" s="932"/>
      <c r="BE459" s="932"/>
      <c r="BF459" s="932"/>
    </row>
    <row r="460" spans="2:58" ht="15" x14ac:dyDescent="0.25">
      <c r="B460" s="932"/>
      <c r="C460" s="932"/>
      <c r="D460" s="932"/>
      <c r="E460" s="932"/>
      <c r="F460" s="932"/>
      <c r="G460" s="932"/>
      <c r="H460" s="932"/>
      <c r="I460" s="932"/>
      <c r="J460" s="932"/>
      <c r="K460" s="932"/>
      <c r="L460" s="932"/>
      <c r="M460" s="932"/>
      <c r="N460" s="932"/>
      <c r="O460" s="932"/>
      <c r="P460" s="932"/>
      <c r="Q460" s="932"/>
      <c r="R460" s="932"/>
      <c r="S460" s="932"/>
      <c r="T460" s="932"/>
      <c r="U460" s="932"/>
      <c r="V460" s="932"/>
      <c r="W460" s="932"/>
      <c r="X460" s="932"/>
      <c r="Y460" s="932"/>
      <c r="Z460" s="932"/>
      <c r="AA460" s="932"/>
      <c r="AB460" s="932"/>
      <c r="AC460" s="932"/>
      <c r="AD460" s="932"/>
      <c r="AE460" s="932"/>
      <c r="AF460" s="932"/>
      <c r="AG460" s="932"/>
      <c r="AH460" s="932"/>
      <c r="AI460" s="932"/>
      <c r="AJ460" s="932"/>
      <c r="AK460" s="932"/>
      <c r="AL460" s="932"/>
      <c r="AM460" s="932"/>
      <c r="AN460" s="932"/>
      <c r="AO460" s="932"/>
      <c r="AP460" s="932"/>
      <c r="AQ460" s="932"/>
      <c r="AR460" s="932"/>
      <c r="AS460" s="932"/>
      <c r="AT460" s="932"/>
      <c r="AU460" s="932"/>
      <c r="AV460" s="932"/>
      <c r="AW460" s="932"/>
      <c r="AX460" s="932"/>
      <c r="AY460" s="932"/>
      <c r="AZ460" s="932"/>
      <c r="BA460" s="932"/>
      <c r="BB460" s="932"/>
      <c r="BC460" s="932"/>
      <c r="BD460" s="932"/>
      <c r="BE460" s="932"/>
      <c r="BF460" s="932"/>
    </row>
    <row r="461" spans="2:58" ht="15" x14ac:dyDescent="0.25">
      <c r="B461" s="932"/>
      <c r="C461" s="932"/>
      <c r="D461" s="932"/>
      <c r="E461" s="932"/>
      <c r="F461" s="932"/>
      <c r="G461" s="932"/>
      <c r="H461" s="932"/>
      <c r="I461" s="932"/>
      <c r="J461" s="932"/>
      <c r="K461" s="932"/>
      <c r="L461" s="932"/>
      <c r="M461" s="932"/>
      <c r="N461" s="932"/>
      <c r="O461" s="932"/>
      <c r="P461" s="932"/>
      <c r="Q461" s="932"/>
      <c r="R461" s="932"/>
      <c r="S461" s="932"/>
      <c r="T461" s="932"/>
      <c r="U461" s="932"/>
      <c r="V461" s="932"/>
      <c r="W461" s="932"/>
      <c r="X461" s="932"/>
      <c r="Y461" s="932"/>
      <c r="Z461" s="932"/>
      <c r="AA461" s="932"/>
      <c r="AB461" s="932"/>
      <c r="AC461" s="932"/>
      <c r="AD461" s="932"/>
      <c r="AE461" s="932"/>
      <c r="AF461" s="932"/>
      <c r="AG461" s="932"/>
      <c r="AH461" s="932"/>
      <c r="AI461" s="932"/>
      <c r="AJ461" s="932"/>
      <c r="AK461" s="932"/>
      <c r="AL461" s="932"/>
      <c r="AM461" s="932"/>
      <c r="AN461" s="932"/>
      <c r="AO461" s="932"/>
      <c r="AP461" s="932"/>
      <c r="AQ461" s="932"/>
      <c r="AR461" s="932"/>
      <c r="AS461" s="932"/>
      <c r="AT461" s="932"/>
      <c r="AU461" s="932"/>
      <c r="AV461" s="932"/>
      <c r="AW461" s="932"/>
      <c r="AX461" s="932"/>
      <c r="AY461" s="932"/>
      <c r="AZ461" s="932"/>
      <c r="BA461" s="932"/>
      <c r="BB461" s="932"/>
      <c r="BC461" s="932"/>
      <c r="BD461" s="932"/>
      <c r="BE461" s="932"/>
      <c r="BF461" s="932"/>
    </row>
    <row r="462" spans="2:58" ht="15" x14ac:dyDescent="0.25">
      <c r="B462" s="932"/>
      <c r="C462" s="932"/>
      <c r="D462" s="932"/>
      <c r="E462" s="932"/>
      <c r="F462" s="932"/>
      <c r="G462" s="932"/>
      <c r="H462" s="932"/>
      <c r="I462" s="932"/>
      <c r="J462" s="932"/>
      <c r="K462" s="932"/>
      <c r="L462" s="932"/>
      <c r="M462" s="932"/>
      <c r="N462" s="932"/>
      <c r="O462" s="932"/>
      <c r="P462" s="932"/>
      <c r="Q462" s="932"/>
      <c r="R462" s="932"/>
      <c r="S462" s="932"/>
      <c r="T462" s="932"/>
      <c r="U462" s="932"/>
      <c r="V462" s="932"/>
      <c r="W462" s="932"/>
      <c r="X462" s="932"/>
      <c r="Y462" s="932"/>
      <c r="Z462" s="932"/>
      <c r="AA462" s="932"/>
      <c r="AB462" s="932"/>
      <c r="AC462" s="932"/>
      <c r="AD462" s="932"/>
      <c r="AE462" s="932"/>
      <c r="AF462" s="932"/>
      <c r="AG462" s="932"/>
      <c r="AH462" s="932"/>
      <c r="AI462" s="932"/>
      <c r="AJ462" s="932"/>
      <c r="AK462" s="932"/>
      <c r="AL462" s="932"/>
      <c r="AM462" s="932"/>
      <c r="AN462" s="932"/>
      <c r="AO462" s="932"/>
      <c r="AP462" s="932"/>
      <c r="AQ462" s="932"/>
      <c r="AR462" s="932"/>
      <c r="AS462" s="932"/>
      <c r="AT462" s="932"/>
      <c r="AU462" s="932"/>
      <c r="AV462" s="932"/>
      <c r="AW462" s="932"/>
      <c r="AX462" s="932"/>
      <c r="AY462" s="932"/>
      <c r="AZ462" s="932"/>
      <c r="BA462" s="932"/>
      <c r="BB462" s="932"/>
      <c r="BC462" s="932"/>
      <c r="BD462" s="932"/>
      <c r="BE462" s="932"/>
      <c r="BF462" s="932"/>
    </row>
    <row r="463" spans="2:58" ht="15" x14ac:dyDescent="0.25">
      <c r="B463" s="932"/>
      <c r="C463" s="932"/>
      <c r="D463" s="932"/>
      <c r="E463" s="932"/>
      <c r="F463" s="932"/>
      <c r="G463" s="932"/>
      <c r="H463" s="932"/>
      <c r="I463" s="932"/>
      <c r="J463" s="932"/>
      <c r="K463" s="932"/>
      <c r="L463" s="932"/>
      <c r="M463" s="932"/>
      <c r="N463" s="932"/>
      <c r="O463" s="932"/>
      <c r="P463" s="932"/>
      <c r="Q463" s="932"/>
      <c r="R463" s="932"/>
      <c r="S463" s="932"/>
      <c r="T463" s="932"/>
      <c r="U463" s="932"/>
      <c r="V463" s="932"/>
      <c r="W463" s="932"/>
      <c r="X463" s="932"/>
      <c r="Y463" s="932"/>
      <c r="Z463" s="932"/>
      <c r="AA463" s="932"/>
      <c r="AB463" s="932"/>
      <c r="AC463" s="932"/>
      <c r="AD463" s="932"/>
      <c r="AE463" s="932"/>
      <c r="AF463" s="932"/>
      <c r="AG463" s="932"/>
      <c r="AH463" s="932"/>
      <c r="AI463" s="932"/>
      <c r="AJ463" s="932"/>
      <c r="AK463" s="932"/>
      <c r="AL463" s="932"/>
      <c r="AM463" s="932"/>
      <c r="AN463" s="932"/>
      <c r="AO463" s="932"/>
      <c r="AP463" s="932"/>
      <c r="AQ463" s="932"/>
      <c r="AR463" s="932"/>
      <c r="AS463" s="932"/>
      <c r="AT463" s="932"/>
      <c r="AU463" s="932"/>
      <c r="AV463" s="932"/>
      <c r="AW463" s="932"/>
      <c r="AX463" s="932"/>
      <c r="AY463" s="932"/>
      <c r="AZ463" s="932"/>
      <c r="BA463" s="932"/>
      <c r="BB463" s="932"/>
      <c r="BC463" s="932"/>
      <c r="BD463" s="932"/>
      <c r="BE463" s="932"/>
      <c r="BF463" s="932"/>
    </row>
    <row r="464" spans="2:58" ht="15" x14ac:dyDescent="0.25">
      <c r="B464" s="932"/>
      <c r="C464" s="932"/>
      <c r="D464" s="932"/>
      <c r="E464" s="932"/>
      <c r="F464" s="932"/>
      <c r="G464" s="932"/>
      <c r="H464" s="932"/>
      <c r="I464" s="932"/>
      <c r="J464" s="932"/>
      <c r="K464" s="932"/>
      <c r="L464" s="932"/>
      <c r="M464" s="932"/>
      <c r="N464" s="932"/>
      <c r="O464" s="932"/>
      <c r="P464" s="932"/>
      <c r="Q464" s="932"/>
      <c r="R464" s="932"/>
      <c r="S464" s="932"/>
      <c r="T464" s="932"/>
      <c r="U464" s="932"/>
      <c r="V464" s="932"/>
      <c r="W464" s="932"/>
      <c r="X464" s="932"/>
      <c r="Y464" s="932"/>
      <c r="Z464" s="932"/>
      <c r="AA464" s="932"/>
      <c r="AB464" s="932"/>
      <c r="AC464" s="932"/>
      <c r="AD464" s="932"/>
      <c r="AE464" s="932"/>
      <c r="AF464" s="932"/>
      <c r="AG464" s="932"/>
      <c r="AH464" s="932"/>
      <c r="AI464" s="932"/>
      <c r="AJ464" s="932"/>
      <c r="AK464" s="932"/>
      <c r="AL464" s="932"/>
      <c r="AM464" s="932"/>
      <c r="AN464" s="932"/>
      <c r="AO464" s="932"/>
      <c r="AP464" s="932"/>
      <c r="AQ464" s="932"/>
      <c r="AR464" s="932"/>
      <c r="AS464" s="932"/>
      <c r="AT464" s="932"/>
      <c r="AU464" s="932"/>
      <c r="AV464" s="932"/>
      <c r="AW464" s="932"/>
      <c r="AX464" s="932"/>
      <c r="AY464" s="932"/>
      <c r="AZ464" s="932"/>
      <c r="BA464" s="932"/>
      <c r="BB464" s="932"/>
      <c r="BC464" s="932"/>
      <c r="BD464" s="932"/>
      <c r="BE464" s="932"/>
      <c r="BF464" s="932"/>
    </row>
    <row r="465" spans="2:58" ht="15" x14ac:dyDescent="0.25">
      <c r="B465" s="932"/>
      <c r="C465" s="932"/>
      <c r="D465" s="932"/>
      <c r="E465" s="932"/>
      <c r="F465" s="932"/>
      <c r="G465" s="932"/>
      <c r="H465" s="932"/>
      <c r="I465" s="932"/>
      <c r="J465" s="932"/>
      <c r="K465" s="932"/>
      <c r="L465" s="932"/>
      <c r="M465" s="932"/>
      <c r="N465" s="932"/>
      <c r="O465" s="932"/>
      <c r="P465" s="932"/>
      <c r="Q465" s="932"/>
      <c r="R465" s="932"/>
      <c r="S465" s="932"/>
      <c r="T465" s="932"/>
      <c r="U465" s="932"/>
      <c r="V465" s="932"/>
      <c r="W465" s="932"/>
      <c r="X465" s="932"/>
      <c r="Y465" s="932"/>
      <c r="Z465" s="932"/>
      <c r="AA465" s="932"/>
      <c r="AB465" s="932"/>
      <c r="AC465" s="932"/>
      <c r="AD465" s="932"/>
      <c r="AE465" s="932"/>
      <c r="AF465" s="932"/>
      <c r="AG465" s="932"/>
      <c r="AH465" s="932"/>
      <c r="AI465" s="932"/>
      <c r="AJ465" s="932"/>
      <c r="AK465" s="932"/>
      <c r="AL465" s="932"/>
      <c r="AM465" s="932"/>
      <c r="AN465" s="932"/>
      <c r="AO465" s="932"/>
      <c r="AP465" s="932"/>
      <c r="AQ465" s="932"/>
      <c r="AR465" s="932"/>
      <c r="AS465" s="932"/>
      <c r="AT465" s="932"/>
      <c r="AU465" s="932"/>
      <c r="AV465" s="932"/>
      <c r="AW465" s="932"/>
      <c r="AX465" s="932"/>
      <c r="AY465" s="932"/>
      <c r="AZ465" s="932"/>
      <c r="BA465" s="932"/>
      <c r="BB465" s="932"/>
      <c r="BC465" s="932"/>
      <c r="BD465" s="932"/>
      <c r="BE465" s="932"/>
      <c r="BF465" s="932"/>
    </row>
    <row r="466" spans="2:58" ht="15" x14ac:dyDescent="0.25">
      <c r="B466" s="932"/>
      <c r="C466" s="932"/>
      <c r="D466" s="932"/>
      <c r="E466" s="932"/>
      <c r="F466" s="932"/>
      <c r="G466" s="932"/>
      <c r="H466" s="932"/>
      <c r="I466" s="932"/>
      <c r="J466" s="932"/>
      <c r="K466" s="932"/>
      <c r="L466" s="932"/>
      <c r="M466" s="932"/>
      <c r="N466" s="932"/>
      <c r="O466" s="932"/>
      <c r="P466" s="932"/>
      <c r="Q466" s="932"/>
      <c r="R466" s="932"/>
      <c r="S466" s="932"/>
      <c r="T466" s="932"/>
      <c r="U466" s="932"/>
      <c r="V466" s="932"/>
      <c r="W466" s="932"/>
      <c r="X466" s="932"/>
      <c r="Y466" s="932"/>
      <c r="Z466" s="932"/>
      <c r="AA466" s="932"/>
      <c r="AB466" s="932"/>
      <c r="AC466" s="932"/>
      <c r="AD466" s="932"/>
      <c r="AE466" s="932"/>
      <c r="AF466" s="932"/>
      <c r="AG466" s="932"/>
      <c r="AH466" s="932"/>
      <c r="AI466" s="932"/>
      <c r="AJ466" s="932"/>
      <c r="AK466" s="932"/>
      <c r="AL466" s="932"/>
      <c r="AM466" s="932"/>
      <c r="AN466" s="932"/>
      <c r="AO466" s="932"/>
      <c r="AP466" s="932"/>
      <c r="AQ466" s="932"/>
      <c r="AR466" s="932"/>
      <c r="AS466" s="932"/>
      <c r="AT466" s="932"/>
      <c r="AU466" s="932"/>
      <c r="AV466" s="932"/>
      <c r="AW466" s="932"/>
      <c r="AX466" s="932"/>
      <c r="AY466" s="932"/>
      <c r="AZ466" s="932"/>
      <c r="BA466" s="932"/>
      <c r="BB466" s="932"/>
      <c r="BC466" s="932"/>
      <c r="BD466" s="932"/>
      <c r="BE466" s="932"/>
      <c r="BF466" s="932"/>
    </row>
    <row r="467" spans="2:58" ht="15" x14ac:dyDescent="0.25">
      <c r="B467" s="932"/>
      <c r="C467" s="932"/>
      <c r="D467" s="932"/>
      <c r="E467" s="932"/>
      <c r="F467" s="932"/>
      <c r="G467" s="932"/>
      <c r="H467" s="932"/>
      <c r="I467" s="932"/>
      <c r="J467" s="932"/>
      <c r="K467" s="932"/>
      <c r="L467" s="932"/>
      <c r="M467" s="932"/>
      <c r="N467" s="932"/>
      <c r="O467" s="932"/>
      <c r="P467" s="932"/>
      <c r="Q467" s="932"/>
      <c r="R467" s="932"/>
      <c r="S467" s="932"/>
      <c r="T467" s="932"/>
      <c r="U467" s="932"/>
      <c r="V467" s="932"/>
      <c r="W467" s="932"/>
      <c r="X467" s="932"/>
      <c r="Y467" s="932"/>
      <c r="Z467" s="932"/>
      <c r="AA467" s="932"/>
      <c r="AB467" s="932"/>
      <c r="AC467" s="932"/>
      <c r="AD467" s="932"/>
      <c r="AE467" s="932"/>
      <c r="AF467" s="932"/>
      <c r="AG467" s="932"/>
      <c r="AH467" s="932"/>
      <c r="AI467" s="932"/>
      <c r="AJ467" s="932"/>
      <c r="AK467" s="932"/>
      <c r="AL467" s="932"/>
      <c r="AM467" s="932"/>
      <c r="AN467" s="932"/>
      <c r="AO467" s="932"/>
      <c r="AP467" s="932"/>
      <c r="AQ467" s="932"/>
      <c r="AR467" s="932"/>
      <c r="AS467" s="932"/>
      <c r="AT467" s="932"/>
      <c r="AU467" s="932"/>
      <c r="AV467" s="932"/>
      <c r="AW467" s="932"/>
      <c r="AX467" s="932"/>
      <c r="AY467" s="932"/>
      <c r="AZ467" s="932"/>
      <c r="BA467" s="932"/>
      <c r="BB467" s="932"/>
      <c r="BC467" s="932"/>
      <c r="BD467" s="932"/>
      <c r="BE467" s="932"/>
      <c r="BF467" s="932"/>
    </row>
    <row r="468" spans="2:58" ht="15" x14ac:dyDescent="0.25">
      <c r="B468" s="932"/>
      <c r="C468" s="932"/>
      <c r="D468" s="932"/>
      <c r="E468" s="932"/>
      <c r="F468" s="932"/>
      <c r="G468" s="932"/>
      <c r="H468" s="932"/>
      <c r="I468" s="932"/>
      <c r="J468" s="932"/>
      <c r="K468" s="932"/>
      <c r="L468" s="932"/>
      <c r="M468" s="932"/>
      <c r="N468" s="932"/>
      <c r="O468" s="932"/>
      <c r="P468" s="932"/>
      <c r="Q468" s="932"/>
      <c r="R468" s="932"/>
      <c r="S468" s="932"/>
      <c r="T468" s="932"/>
      <c r="U468" s="932"/>
      <c r="V468" s="932"/>
      <c r="W468" s="932"/>
      <c r="X468" s="932"/>
      <c r="Y468" s="932"/>
      <c r="Z468" s="932"/>
      <c r="AA468" s="932"/>
      <c r="AB468" s="932"/>
      <c r="AC468" s="932"/>
      <c r="AD468" s="932"/>
      <c r="AE468" s="932"/>
      <c r="AF468" s="932"/>
      <c r="AG468" s="932"/>
      <c r="AH468" s="932"/>
      <c r="AI468" s="932"/>
      <c r="AJ468" s="932"/>
      <c r="AK468" s="932"/>
      <c r="AL468" s="932"/>
      <c r="AM468" s="932"/>
      <c r="AN468" s="932"/>
      <c r="AO468" s="932"/>
      <c r="AP468" s="932"/>
      <c r="AQ468" s="932"/>
      <c r="AR468" s="932"/>
      <c r="AS468" s="932"/>
      <c r="AT468" s="932"/>
      <c r="AU468" s="932"/>
      <c r="AV468" s="932"/>
      <c r="AW468" s="932"/>
      <c r="AX468" s="932"/>
      <c r="AY468" s="932"/>
      <c r="AZ468" s="932"/>
      <c r="BA468" s="932"/>
      <c r="BB468" s="932"/>
      <c r="BC468" s="932"/>
      <c r="BD468" s="932"/>
      <c r="BE468" s="932"/>
      <c r="BF468" s="932"/>
    </row>
    <row r="469" spans="2:58" ht="15" x14ac:dyDescent="0.25">
      <c r="B469" s="932"/>
      <c r="C469" s="932"/>
      <c r="D469" s="932"/>
      <c r="E469" s="932"/>
      <c r="F469" s="932"/>
      <c r="G469" s="932"/>
      <c r="H469" s="932"/>
      <c r="I469" s="932"/>
      <c r="J469" s="932"/>
      <c r="K469" s="932"/>
      <c r="L469" s="932"/>
      <c r="M469" s="932"/>
      <c r="N469" s="932"/>
      <c r="O469" s="932"/>
      <c r="P469" s="932"/>
      <c r="Q469" s="932"/>
      <c r="R469" s="932"/>
      <c r="S469" s="932"/>
      <c r="T469" s="932"/>
      <c r="U469" s="932"/>
      <c r="V469" s="932"/>
      <c r="W469" s="932"/>
      <c r="X469" s="932"/>
      <c r="Y469" s="932"/>
      <c r="Z469" s="932"/>
      <c r="AA469" s="932"/>
      <c r="AB469" s="932"/>
      <c r="AC469" s="932"/>
      <c r="AD469" s="932"/>
      <c r="AE469" s="932"/>
      <c r="AF469" s="932"/>
      <c r="AG469" s="932"/>
      <c r="AH469" s="932"/>
      <c r="AI469" s="932"/>
      <c r="AJ469" s="932"/>
      <c r="AK469" s="932"/>
      <c r="AL469" s="932"/>
      <c r="AM469" s="932"/>
      <c r="AN469" s="932"/>
      <c r="AO469" s="932"/>
      <c r="AP469" s="932"/>
      <c r="AQ469" s="932"/>
      <c r="AR469" s="932"/>
      <c r="AS469" s="932"/>
      <c r="AT469" s="932"/>
      <c r="AU469" s="932"/>
      <c r="AV469" s="932"/>
      <c r="AW469" s="932"/>
      <c r="AX469" s="932"/>
      <c r="AY469" s="932"/>
      <c r="AZ469" s="932"/>
      <c r="BA469" s="932"/>
      <c r="BB469" s="932"/>
      <c r="BC469" s="932"/>
      <c r="BD469" s="932"/>
      <c r="BE469" s="932"/>
      <c r="BF469" s="932"/>
    </row>
    <row r="470" spans="2:58" ht="15" x14ac:dyDescent="0.25">
      <c r="B470" s="932"/>
      <c r="C470" s="932"/>
      <c r="D470" s="932"/>
      <c r="E470" s="932"/>
      <c r="F470" s="932"/>
      <c r="G470" s="932"/>
      <c r="H470" s="932"/>
      <c r="I470" s="932"/>
      <c r="J470" s="932"/>
      <c r="K470" s="932"/>
      <c r="L470" s="932"/>
      <c r="M470" s="932"/>
      <c r="N470" s="932"/>
      <c r="O470" s="932"/>
      <c r="P470" s="932"/>
      <c r="Q470" s="932"/>
      <c r="R470" s="932"/>
      <c r="S470" s="932"/>
      <c r="T470" s="932"/>
      <c r="U470" s="932"/>
      <c r="V470" s="932"/>
      <c r="W470" s="932"/>
      <c r="X470" s="932"/>
      <c r="Y470" s="932"/>
      <c r="Z470" s="932"/>
      <c r="AA470" s="932"/>
      <c r="AB470" s="932"/>
      <c r="AC470" s="932"/>
      <c r="AD470" s="932"/>
      <c r="AE470" s="932"/>
      <c r="AF470" s="932"/>
      <c r="AG470" s="932"/>
      <c r="AH470" s="932"/>
      <c r="AI470" s="932"/>
      <c r="AJ470" s="932"/>
      <c r="AK470" s="932"/>
      <c r="AL470" s="932"/>
      <c r="AM470" s="932"/>
      <c r="AN470" s="932"/>
      <c r="AO470" s="932"/>
      <c r="AP470" s="932"/>
      <c r="AQ470" s="932"/>
      <c r="AR470" s="932"/>
      <c r="AS470" s="932"/>
      <c r="AT470" s="932"/>
      <c r="AU470" s="932"/>
      <c r="AV470" s="932"/>
      <c r="AW470" s="932"/>
      <c r="AX470" s="932"/>
      <c r="AY470" s="932"/>
      <c r="AZ470" s="932"/>
      <c r="BA470" s="932"/>
      <c r="BB470" s="932"/>
      <c r="BC470" s="932"/>
      <c r="BD470" s="932"/>
      <c r="BE470" s="932"/>
      <c r="BF470" s="932"/>
    </row>
    <row r="471" spans="2:58" ht="15" x14ac:dyDescent="0.25">
      <c r="B471" s="932"/>
      <c r="C471" s="932"/>
      <c r="D471" s="932"/>
      <c r="E471" s="932"/>
      <c r="F471" s="932"/>
      <c r="G471" s="932"/>
      <c r="H471" s="932"/>
      <c r="I471" s="932"/>
      <c r="J471" s="932"/>
      <c r="K471" s="932"/>
      <c r="L471" s="932"/>
      <c r="M471" s="932"/>
      <c r="N471" s="932"/>
      <c r="O471" s="932"/>
      <c r="P471" s="932"/>
      <c r="Q471" s="932"/>
      <c r="R471" s="932"/>
      <c r="S471" s="932"/>
      <c r="T471" s="932"/>
      <c r="U471" s="932"/>
      <c r="V471" s="932"/>
      <c r="W471" s="932"/>
      <c r="X471" s="932"/>
      <c r="Y471" s="932"/>
      <c r="Z471" s="932"/>
      <c r="AA471" s="932"/>
      <c r="AB471" s="932"/>
      <c r="AC471" s="932"/>
      <c r="AD471" s="932"/>
      <c r="AE471" s="932"/>
      <c r="AF471" s="932"/>
      <c r="AG471" s="932"/>
      <c r="AH471" s="932"/>
      <c r="AI471" s="932"/>
      <c r="AJ471" s="932"/>
      <c r="AK471" s="932"/>
      <c r="AL471" s="932"/>
      <c r="AM471" s="932"/>
      <c r="AN471" s="932"/>
      <c r="AO471" s="932"/>
      <c r="AP471" s="932"/>
      <c r="AQ471" s="932"/>
      <c r="AR471" s="932"/>
      <c r="AS471" s="932"/>
      <c r="AT471" s="932"/>
      <c r="AU471" s="932"/>
      <c r="AV471" s="932"/>
      <c r="AW471" s="932"/>
      <c r="AX471" s="932"/>
      <c r="AY471" s="932"/>
      <c r="AZ471" s="932"/>
      <c r="BA471" s="932"/>
      <c r="BB471" s="932"/>
      <c r="BC471" s="932"/>
      <c r="BD471" s="932"/>
      <c r="BE471" s="932"/>
      <c r="BF471" s="932"/>
    </row>
    <row r="472" spans="2:58" ht="15" x14ac:dyDescent="0.25">
      <c r="B472" s="932"/>
      <c r="C472" s="932"/>
      <c r="D472" s="932"/>
      <c r="E472" s="932"/>
      <c r="F472" s="932"/>
      <c r="G472" s="932"/>
      <c r="H472" s="932"/>
      <c r="I472" s="932"/>
      <c r="J472" s="932"/>
      <c r="K472" s="932"/>
      <c r="L472" s="932"/>
      <c r="M472" s="932"/>
      <c r="N472" s="932"/>
      <c r="O472" s="932"/>
      <c r="P472" s="932"/>
      <c r="Q472" s="932"/>
      <c r="R472" s="932"/>
      <c r="S472" s="932"/>
      <c r="T472" s="932"/>
      <c r="U472" s="932"/>
      <c r="V472" s="932"/>
      <c r="W472" s="932"/>
      <c r="X472" s="932"/>
      <c r="Y472" s="932"/>
      <c r="Z472" s="932"/>
      <c r="AA472" s="932"/>
      <c r="AB472" s="932"/>
      <c r="AC472" s="932"/>
      <c r="AD472" s="932"/>
      <c r="AE472" s="932"/>
      <c r="AF472" s="932"/>
      <c r="AG472" s="932"/>
      <c r="AH472" s="932"/>
      <c r="AI472" s="932"/>
      <c r="AJ472" s="932"/>
      <c r="AK472" s="932"/>
      <c r="AL472" s="932"/>
      <c r="AM472" s="932"/>
      <c r="AN472" s="932"/>
      <c r="AO472" s="932"/>
      <c r="AP472" s="932"/>
      <c r="AQ472" s="932"/>
      <c r="AR472" s="932"/>
      <c r="AS472" s="932"/>
      <c r="AT472" s="932"/>
      <c r="AU472" s="932"/>
      <c r="AV472" s="932"/>
      <c r="AW472" s="932"/>
      <c r="AX472" s="932"/>
      <c r="AY472" s="932"/>
      <c r="AZ472" s="932"/>
      <c r="BA472" s="932"/>
      <c r="BB472" s="932"/>
      <c r="BC472" s="932"/>
      <c r="BD472" s="932"/>
      <c r="BE472" s="932"/>
      <c r="BF472" s="932"/>
    </row>
    <row r="473" spans="2:58" ht="15" x14ac:dyDescent="0.25">
      <c r="B473" s="932"/>
      <c r="C473" s="932"/>
      <c r="D473" s="932"/>
      <c r="E473" s="932"/>
      <c r="F473" s="932"/>
      <c r="G473" s="932"/>
      <c r="H473" s="932"/>
      <c r="I473" s="932"/>
      <c r="J473" s="932"/>
      <c r="K473" s="932"/>
      <c r="L473" s="932"/>
      <c r="M473" s="932"/>
      <c r="N473" s="932"/>
      <c r="O473" s="932"/>
      <c r="P473" s="932"/>
      <c r="Q473" s="932"/>
      <c r="R473" s="932"/>
      <c r="S473" s="932"/>
      <c r="T473" s="932"/>
      <c r="U473" s="932"/>
      <c r="V473" s="932"/>
      <c r="W473" s="932"/>
      <c r="X473" s="932"/>
      <c r="Y473" s="932"/>
      <c r="Z473" s="932"/>
      <c r="AA473" s="932"/>
      <c r="AB473" s="932"/>
      <c r="AC473" s="932"/>
      <c r="AD473" s="932"/>
      <c r="AE473" s="932"/>
      <c r="AF473" s="932"/>
      <c r="AG473" s="932"/>
      <c r="AH473" s="932"/>
      <c r="AI473" s="932"/>
      <c r="AJ473" s="932"/>
      <c r="AK473" s="932"/>
      <c r="AL473" s="932"/>
      <c r="AM473" s="932"/>
      <c r="AN473" s="932"/>
      <c r="AO473" s="932"/>
      <c r="AP473" s="932"/>
      <c r="AQ473" s="932"/>
      <c r="AR473" s="932"/>
      <c r="AS473" s="932"/>
      <c r="AT473" s="932"/>
      <c r="AU473" s="932"/>
      <c r="AV473" s="932"/>
      <c r="AW473" s="932"/>
      <c r="AX473" s="932"/>
      <c r="AY473" s="932"/>
      <c r="AZ473" s="932"/>
      <c r="BA473" s="932"/>
      <c r="BB473" s="932"/>
      <c r="BC473" s="932"/>
      <c r="BD473" s="932"/>
      <c r="BE473" s="932"/>
      <c r="BF473" s="932"/>
    </row>
    <row r="474" spans="2:58" ht="15" x14ac:dyDescent="0.25">
      <c r="B474" s="932"/>
      <c r="C474" s="932"/>
      <c r="D474" s="932"/>
      <c r="E474" s="932"/>
      <c r="F474" s="932"/>
      <c r="G474" s="932"/>
      <c r="H474" s="932"/>
      <c r="I474" s="932"/>
      <c r="J474" s="932"/>
      <c r="K474" s="932"/>
      <c r="L474" s="932"/>
      <c r="M474" s="932"/>
      <c r="N474" s="932"/>
      <c r="O474" s="932"/>
      <c r="P474" s="932"/>
      <c r="Q474" s="932"/>
      <c r="R474" s="932"/>
      <c r="S474" s="932"/>
      <c r="T474" s="932"/>
      <c r="U474" s="932"/>
      <c r="V474" s="932"/>
      <c r="W474" s="932"/>
      <c r="X474" s="932"/>
      <c r="Y474" s="932"/>
      <c r="Z474" s="932"/>
      <c r="AA474" s="932"/>
      <c r="AB474" s="932"/>
      <c r="AC474" s="932"/>
      <c r="AD474" s="932"/>
      <c r="AE474" s="932"/>
      <c r="AF474" s="932"/>
      <c r="AG474" s="932"/>
      <c r="AH474" s="932"/>
      <c r="AI474" s="932"/>
      <c r="AJ474" s="932"/>
      <c r="AK474" s="932"/>
      <c r="AL474" s="932"/>
      <c r="AM474" s="932"/>
      <c r="AN474" s="932"/>
      <c r="AO474" s="932"/>
      <c r="AP474" s="932"/>
      <c r="AQ474" s="932"/>
      <c r="AR474" s="932"/>
      <c r="AS474" s="932"/>
      <c r="AT474" s="932"/>
      <c r="AU474" s="932"/>
      <c r="AV474" s="932"/>
      <c r="AW474" s="932"/>
      <c r="AX474" s="932"/>
      <c r="AY474" s="932"/>
      <c r="AZ474" s="932"/>
      <c r="BA474" s="932"/>
      <c r="BB474" s="932"/>
      <c r="BC474" s="932"/>
      <c r="BD474" s="932"/>
      <c r="BE474" s="932"/>
      <c r="BF474" s="932"/>
    </row>
    <row r="475" spans="2:58" ht="15" x14ac:dyDescent="0.25">
      <c r="B475" s="932"/>
      <c r="C475" s="932"/>
      <c r="D475" s="932"/>
      <c r="E475" s="932"/>
      <c r="F475" s="932"/>
      <c r="G475" s="932"/>
      <c r="H475" s="932"/>
      <c r="I475" s="932"/>
      <c r="J475" s="932"/>
      <c r="K475" s="932"/>
      <c r="L475" s="932"/>
      <c r="M475" s="932"/>
      <c r="N475" s="932"/>
      <c r="O475" s="932"/>
      <c r="P475" s="932"/>
      <c r="Q475" s="932"/>
      <c r="R475" s="932"/>
      <c r="S475" s="932"/>
      <c r="T475" s="932"/>
      <c r="U475" s="932"/>
      <c r="V475" s="932"/>
      <c r="W475" s="932"/>
      <c r="X475" s="932"/>
      <c r="Y475" s="932"/>
      <c r="Z475" s="932"/>
      <c r="AA475" s="932"/>
      <c r="AB475" s="932"/>
      <c r="AC475" s="932"/>
      <c r="AD475" s="932"/>
      <c r="AE475" s="932"/>
      <c r="AF475" s="932"/>
      <c r="AG475" s="932"/>
      <c r="AH475" s="932"/>
      <c r="AI475" s="932"/>
      <c r="AJ475" s="932"/>
      <c r="AK475" s="932"/>
      <c r="AL475" s="932"/>
      <c r="AM475" s="932"/>
      <c r="AN475" s="932"/>
      <c r="AO475" s="932"/>
      <c r="AP475" s="932"/>
      <c r="AQ475" s="932"/>
      <c r="AR475" s="932"/>
      <c r="AS475" s="932"/>
      <c r="AT475" s="932"/>
      <c r="AU475" s="932"/>
      <c r="AV475" s="932"/>
      <c r="AW475" s="932"/>
      <c r="AX475" s="932"/>
      <c r="AY475" s="932"/>
      <c r="AZ475" s="932"/>
      <c r="BA475" s="932"/>
      <c r="BB475" s="932"/>
      <c r="BC475" s="932"/>
      <c r="BD475" s="932"/>
      <c r="BE475" s="932"/>
      <c r="BF475" s="932"/>
    </row>
    <row r="476" spans="2:58" ht="15" x14ac:dyDescent="0.25">
      <c r="B476" s="932"/>
      <c r="C476" s="932"/>
      <c r="D476" s="932"/>
      <c r="E476" s="932"/>
      <c r="F476" s="932"/>
      <c r="G476" s="932"/>
      <c r="H476" s="932"/>
      <c r="I476" s="932"/>
      <c r="J476" s="932"/>
      <c r="K476" s="932"/>
      <c r="L476" s="932"/>
      <c r="M476" s="932"/>
      <c r="N476" s="932"/>
      <c r="O476" s="932"/>
      <c r="P476" s="932"/>
      <c r="Q476" s="932"/>
      <c r="R476" s="932"/>
      <c r="S476" s="932"/>
      <c r="T476" s="932"/>
      <c r="U476" s="932"/>
      <c r="V476" s="932"/>
      <c r="W476" s="932"/>
      <c r="X476" s="932"/>
      <c r="Y476" s="932"/>
      <c r="Z476" s="932"/>
      <c r="AA476" s="932"/>
      <c r="AB476" s="932"/>
      <c r="AC476" s="932"/>
      <c r="AD476" s="932"/>
      <c r="AE476" s="932"/>
      <c r="AF476" s="932"/>
      <c r="AG476" s="932"/>
      <c r="AH476" s="932"/>
      <c r="AI476" s="932"/>
      <c r="AJ476" s="932"/>
      <c r="AK476" s="932"/>
      <c r="AL476" s="932"/>
      <c r="AM476" s="932"/>
      <c r="AN476" s="932"/>
      <c r="AO476" s="932"/>
      <c r="AP476" s="932"/>
      <c r="AQ476" s="932"/>
      <c r="AR476" s="932"/>
      <c r="AS476" s="932"/>
      <c r="AT476" s="932"/>
      <c r="AU476" s="932"/>
      <c r="AV476" s="932"/>
      <c r="AW476" s="932"/>
      <c r="AX476" s="932"/>
      <c r="AY476" s="932"/>
      <c r="AZ476" s="932"/>
      <c r="BA476" s="932"/>
      <c r="BB476" s="932"/>
      <c r="BC476" s="932"/>
      <c r="BD476" s="932"/>
      <c r="BE476" s="932"/>
      <c r="BF476" s="932"/>
    </row>
    <row r="477" spans="2:58" ht="15" x14ac:dyDescent="0.25">
      <c r="B477" s="932"/>
      <c r="C477" s="932"/>
      <c r="D477" s="932"/>
      <c r="E477" s="932"/>
      <c r="F477" s="932"/>
      <c r="G477" s="932"/>
      <c r="H477" s="932"/>
      <c r="I477" s="932"/>
      <c r="J477" s="932"/>
      <c r="K477" s="932"/>
      <c r="L477" s="932"/>
      <c r="M477" s="932"/>
      <c r="N477" s="932"/>
      <c r="O477" s="932"/>
      <c r="P477" s="932"/>
      <c r="Q477" s="932"/>
      <c r="R477" s="932"/>
      <c r="S477" s="932"/>
      <c r="T477" s="932"/>
      <c r="U477" s="932"/>
      <c r="V477" s="932"/>
      <c r="W477" s="932"/>
      <c r="X477" s="932"/>
      <c r="Y477" s="932"/>
      <c r="Z477" s="932"/>
      <c r="AA477" s="932"/>
      <c r="AB477" s="932"/>
      <c r="AC477" s="932"/>
      <c r="AD477" s="932"/>
      <c r="AE477" s="932"/>
      <c r="AF477" s="932"/>
      <c r="AG477" s="932"/>
      <c r="AH477" s="932"/>
      <c r="AI477" s="932"/>
      <c r="AJ477" s="932"/>
      <c r="AK477" s="932"/>
      <c r="AL477" s="932"/>
      <c r="AM477" s="932"/>
      <c r="AN477" s="932"/>
      <c r="AO477" s="932"/>
      <c r="AP477" s="932"/>
      <c r="AQ477" s="932"/>
      <c r="AR477" s="932"/>
      <c r="AS477" s="932"/>
      <c r="AT477" s="932"/>
      <c r="AU477" s="932"/>
      <c r="AV477" s="932"/>
      <c r="AW477" s="932"/>
      <c r="AX477" s="932"/>
      <c r="AY477" s="932"/>
      <c r="AZ477" s="932"/>
      <c r="BA477" s="932"/>
      <c r="BB477" s="932"/>
      <c r="BC477" s="932"/>
      <c r="BD477" s="932"/>
      <c r="BE477" s="932"/>
      <c r="BF477" s="932"/>
    </row>
    <row r="478" spans="2:58" ht="15" x14ac:dyDescent="0.25">
      <c r="B478" s="932"/>
      <c r="C478" s="932"/>
      <c r="D478" s="932"/>
      <c r="E478" s="932"/>
      <c r="F478" s="932"/>
      <c r="G478" s="932"/>
      <c r="H478" s="932"/>
      <c r="I478" s="932"/>
      <c r="J478" s="932"/>
      <c r="K478" s="932"/>
      <c r="L478" s="932"/>
      <c r="M478" s="932"/>
      <c r="N478" s="932"/>
      <c r="O478" s="932"/>
      <c r="P478" s="932"/>
      <c r="Q478" s="932"/>
      <c r="R478" s="932"/>
      <c r="S478" s="932"/>
      <c r="T478" s="932"/>
      <c r="U478" s="932"/>
      <c r="V478" s="932"/>
      <c r="W478" s="932"/>
      <c r="X478" s="932"/>
      <c r="Y478" s="932"/>
      <c r="Z478" s="932"/>
      <c r="AA478" s="932"/>
      <c r="AB478" s="932"/>
      <c r="AC478" s="932"/>
      <c r="AD478" s="932"/>
      <c r="AE478" s="932"/>
      <c r="AF478" s="932"/>
      <c r="AG478" s="932"/>
      <c r="AH478" s="932"/>
      <c r="AI478" s="932"/>
      <c r="AJ478" s="932"/>
      <c r="AK478" s="932"/>
      <c r="AL478" s="932"/>
      <c r="AM478" s="932"/>
      <c r="AN478" s="932"/>
      <c r="AO478" s="932"/>
      <c r="AP478" s="932"/>
      <c r="AQ478" s="932"/>
      <c r="AR478" s="932"/>
      <c r="AS478" s="932"/>
      <c r="AT478" s="932"/>
      <c r="AU478" s="932"/>
      <c r="AV478" s="932"/>
      <c r="AW478" s="932"/>
      <c r="AX478" s="932"/>
      <c r="AY478" s="932"/>
      <c r="AZ478" s="932"/>
      <c r="BA478" s="932"/>
      <c r="BB478" s="932"/>
      <c r="BC478" s="932"/>
      <c r="BD478" s="932"/>
      <c r="BE478" s="932"/>
      <c r="BF478" s="932"/>
    </row>
    <row r="479" spans="2:58" ht="15" x14ac:dyDescent="0.25">
      <c r="B479" s="932"/>
      <c r="C479" s="932"/>
      <c r="D479" s="932"/>
      <c r="E479" s="932"/>
      <c r="F479" s="932"/>
      <c r="G479" s="932"/>
      <c r="H479" s="932"/>
      <c r="I479" s="932"/>
      <c r="J479" s="932"/>
      <c r="K479" s="932"/>
      <c r="L479" s="932"/>
      <c r="M479" s="932"/>
      <c r="N479" s="932"/>
      <c r="O479" s="932"/>
      <c r="P479" s="932"/>
      <c r="Q479" s="932"/>
      <c r="R479" s="932"/>
      <c r="S479" s="932"/>
      <c r="T479" s="932"/>
      <c r="U479" s="932"/>
      <c r="V479" s="932"/>
      <c r="W479" s="932"/>
      <c r="X479" s="932"/>
      <c r="Y479" s="932"/>
      <c r="Z479" s="932"/>
      <c r="AA479" s="932"/>
      <c r="AB479" s="932"/>
      <c r="AC479" s="932"/>
      <c r="AD479" s="932"/>
      <c r="AE479" s="932"/>
      <c r="AF479" s="932"/>
      <c r="AG479" s="932"/>
      <c r="AH479" s="932"/>
      <c r="AI479" s="932"/>
      <c r="AJ479" s="932"/>
      <c r="AK479" s="932"/>
      <c r="AL479" s="932"/>
      <c r="AM479" s="932"/>
      <c r="AN479" s="932"/>
      <c r="AO479" s="932"/>
      <c r="AP479" s="932"/>
      <c r="AQ479" s="932"/>
      <c r="AR479" s="932"/>
      <c r="AS479" s="932"/>
      <c r="AT479" s="932"/>
      <c r="AU479" s="932"/>
      <c r="AV479" s="932"/>
      <c r="AW479" s="932"/>
      <c r="AX479" s="932"/>
      <c r="AY479" s="932"/>
      <c r="AZ479" s="932"/>
      <c r="BA479" s="932"/>
      <c r="BB479" s="932"/>
      <c r="BC479" s="932"/>
      <c r="BD479" s="932"/>
      <c r="BE479" s="932"/>
      <c r="BF479" s="932"/>
    </row>
    <row r="480" spans="2:58" ht="15" x14ac:dyDescent="0.25">
      <c r="B480" s="932"/>
      <c r="C480" s="932"/>
      <c r="D480" s="932"/>
      <c r="E480" s="932"/>
      <c r="F480" s="932"/>
      <c r="G480" s="932"/>
      <c r="H480" s="932"/>
      <c r="I480" s="932"/>
      <c r="J480" s="932"/>
      <c r="K480" s="932"/>
      <c r="L480" s="932"/>
      <c r="M480" s="932"/>
      <c r="N480" s="932"/>
      <c r="O480" s="932"/>
      <c r="P480" s="932"/>
      <c r="Q480" s="932"/>
      <c r="R480" s="932"/>
      <c r="S480" s="932"/>
      <c r="T480" s="932"/>
      <c r="U480" s="932"/>
      <c r="V480" s="932"/>
      <c r="W480" s="932"/>
      <c r="X480" s="932"/>
      <c r="Y480" s="932"/>
      <c r="Z480" s="932"/>
      <c r="AA480" s="932"/>
      <c r="AB480" s="932"/>
      <c r="AC480" s="932"/>
      <c r="AD480" s="932"/>
      <c r="AE480" s="932"/>
      <c r="AF480" s="932"/>
      <c r="AG480" s="932"/>
      <c r="AH480" s="932"/>
      <c r="AI480" s="932"/>
      <c r="AJ480" s="932"/>
      <c r="AK480" s="932"/>
      <c r="AL480" s="932"/>
      <c r="AM480" s="932"/>
      <c r="AN480" s="932"/>
      <c r="AO480" s="932"/>
      <c r="AP480" s="932"/>
      <c r="AQ480" s="932"/>
      <c r="AR480" s="932"/>
      <c r="AS480" s="932"/>
      <c r="AT480" s="932"/>
      <c r="AU480" s="932"/>
      <c r="AV480" s="932"/>
      <c r="AW480" s="932"/>
      <c r="AX480" s="932"/>
      <c r="AY480" s="932"/>
      <c r="AZ480" s="932"/>
      <c r="BA480" s="932"/>
      <c r="BB480" s="932"/>
      <c r="BC480" s="932"/>
      <c r="BD480" s="932"/>
      <c r="BE480" s="932"/>
      <c r="BF480" s="932"/>
    </row>
    <row r="481" spans="2:58" ht="15" x14ac:dyDescent="0.25">
      <c r="B481" s="932"/>
      <c r="C481" s="932"/>
      <c r="D481" s="932"/>
      <c r="E481" s="932"/>
      <c r="F481" s="932"/>
      <c r="G481" s="932"/>
      <c r="H481" s="932"/>
      <c r="I481" s="932"/>
      <c r="J481" s="932"/>
      <c r="K481" s="932"/>
      <c r="L481" s="932"/>
      <c r="M481" s="932"/>
      <c r="N481" s="932"/>
      <c r="O481" s="932"/>
      <c r="P481" s="932"/>
      <c r="Q481" s="932"/>
      <c r="R481" s="932"/>
      <c r="S481" s="932"/>
      <c r="T481" s="932"/>
      <c r="U481" s="932"/>
      <c r="V481" s="932"/>
      <c r="W481" s="932"/>
      <c r="X481" s="932"/>
      <c r="Y481" s="932"/>
      <c r="Z481" s="932"/>
      <c r="AA481" s="932"/>
      <c r="AB481" s="932"/>
      <c r="AC481" s="932"/>
      <c r="AD481" s="932"/>
      <c r="AE481" s="932"/>
      <c r="AF481" s="932"/>
      <c r="AG481" s="932"/>
      <c r="AH481" s="932"/>
      <c r="AI481" s="932"/>
      <c r="AJ481" s="932"/>
      <c r="AK481" s="932"/>
      <c r="AL481" s="932"/>
      <c r="AM481" s="932"/>
      <c r="AN481" s="932"/>
      <c r="AO481" s="932"/>
      <c r="AP481" s="932"/>
      <c r="AQ481" s="932"/>
      <c r="AR481" s="932"/>
      <c r="AS481" s="932"/>
      <c r="AT481" s="932"/>
      <c r="AU481" s="932"/>
      <c r="AV481" s="932"/>
      <c r="AW481" s="932"/>
      <c r="AX481" s="932"/>
      <c r="AY481" s="932"/>
      <c r="AZ481" s="932"/>
      <c r="BA481" s="932"/>
      <c r="BB481" s="932"/>
      <c r="BC481" s="932"/>
      <c r="BD481" s="932"/>
      <c r="BE481" s="932"/>
      <c r="BF481" s="932"/>
    </row>
    <row r="482" spans="2:58" ht="15" x14ac:dyDescent="0.25">
      <c r="B482" s="932"/>
      <c r="C482" s="932"/>
      <c r="D482" s="932"/>
      <c r="E482" s="932"/>
      <c r="F482" s="932"/>
      <c r="G482" s="932"/>
      <c r="H482" s="932"/>
      <c r="I482" s="932"/>
      <c r="J482" s="932"/>
      <c r="K482" s="932"/>
      <c r="L482" s="932"/>
      <c r="M482" s="932"/>
      <c r="N482" s="932"/>
      <c r="O482" s="932"/>
      <c r="P482" s="932"/>
      <c r="Q482" s="932"/>
      <c r="R482" s="932"/>
      <c r="S482" s="932"/>
      <c r="T482" s="932"/>
      <c r="U482" s="932"/>
      <c r="V482" s="932"/>
      <c r="W482" s="932"/>
      <c r="X482" s="932"/>
      <c r="Y482" s="932"/>
      <c r="Z482" s="932"/>
      <c r="AA482" s="932"/>
      <c r="AB482" s="932"/>
      <c r="AC482" s="932"/>
      <c r="AD482" s="932"/>
      <c r="AE482" s="932"/>
      <c r="AF482" s="932"/>
      <c r="AG482" s="932"/>
      <c r="AH482" s="932"/>
      <c r="AI482" s="932"/>
      <c r="AJ482" s="932"/>
      <c r="AK482" s="932"/>
      <c r="AL482" s="932"/>
      <c r="AM482" s="932"/>
      <c r="AN482" s="932"/>
      <c r="AO482" s="932"/>
      <c r="AP482" s="932"/>
      <c r="AQ482" s="932"/>
      <c r="AR482" s="932"/>
      <c r="AS482" s="932"/>
      <c r="AT482" s="932"/>
      <c r="AU482" s="932"/>
      <c r="AV482" s="932"/>
      <c r="AW482" s="932"/>
      <c r="AX482" s="932"/>
      <c r="AY482" s="932"/>
      <c r="AZ482" s="932"/>
      <c r="BA482" s="932"/>
      <c r="BB482" s="932"/>
      <c r="BC482" s="932"/>
      <c r="BD482" s="932"/>
      <c r="BE482" s="932"/>
      <c r="BF482" s="932"/>
    </row>
    <row r="483" spans="2:58" ht="15" x14ac:dyDescent="0.25">
      <c r="B483" s="932"/>
      <c r="C483" s="932"/>
      <c r="D483" s="932"/>
      <c r="E483" s="932"/>
      <c r="F483" s="932"/>
      <c r="G483" s="932"/>
      <c r="H483" s="932"/>
      <c r="I483" s="932"/>
      <c r="J483" s="932"/>
      <c r="K483" s="932"/>
      <c r="L483" s="932"/>
      <c r="M483" s="932"/>
      <c r="N483" s="932"/>
      <c r="O483" s="932"/>
      <c r="P483" s="932"/>
      <c r="Q483" s="932"/>
      <c r="R483" s="932"/>
      <c r="S483" s="932"/>
      <c r="T483" s="932"/>
      <c r="U483" s="932"/>
      <c r="V483" s="932"/>
      <c r="W483" s="932"/>
      <c r="X483" s="932"/>
      <c r="Y483" s="932"/>
      <c r="Z483" s="932"/>
      <c r="AA483" s="932"/>
      <c r="AB483" s="932"/>
      <c r="AC483" s="932"/>
      <c r="AD483" s="932"/>
      <c r="AE483" s="932"/>
      <c r="AF483" s="932"/>
      <c r="AG483" s="932"/>
      <c r="AH483" s="932"/>
      <c r="AI483" s="932"/>
      <c r="AJ483" s="932"/>
      <c r="AK483" s="932"/>
      <c r="AL483" s="932"/>
      <c r="AM483" s="932"/>
      <c r="AN483" s="932"/>
      <c r="AO483" s="932"/>
      <c r="AP483" s="932"/>
      <c r="AQ483" s="932"/>
      <c r="AR483" s="932"/>
      <c r="AS483" s="932"/>
      <c r="AT483" s="932"/>
      <c r="AU483" s="932"/>
      <c r="AV483" s="932"/>
      <c r="AW483" s="932"/>
      <c r="AX483" s="932"/>
      <c r="AY483" s="932"/>
      <c r="AZ483" s="932"/>
      <c r="BA483" s="932"/>
      <c r="BB483" s="932"/>
      <c r="BC483" s="932"/>
      <c r="BD483" s="932"/>
      <c r="BE483" s="932"/>
      <c r="BF483" s="932"/>
    </row>
    <row r="484" spans="2:58" ht="15" x14ac:dyDescent="0.25">
      <c r="B484" s="932"/>
      <c r="C484" s="932"/>
      <c r="D484" s="932"/>
      <c r="E484" s="932"/>
      <c r="F484" s="932"/>
      <c r="G484" s="932"/>
      <c r="H484" s="932"/>
      <c r="I484" s="932"/>
      <c r="J484" s="932"/>
      <c r="K484" s="932"/>
      <c r="L484" s="932"/>
      <c r="M484" s="932"/>
      <c r="N484" s="932"/>
      <c r="O484" s="932"/>
      <c r="P484" s="932"/>
      <c r="Q484" s="932"/>
      <c r="R484" s="932"/>
      <c r="S484" s="932"/>
      <c r="T484" s="932"/>
      <c r="U484" s="932"/>
      <c r="V484" s="932"/>
      <c r="W484" s="932"/>
      <c r="X484" s="932"/>
      <c r="Y484" s="932"/>
      <c r="Z484" s="932"/>
      <c r="AA484" s="932"/>
      <c r="AB484" s="932"/>
      <c r="AC484" s="932"/>
      <c r="AD484" s="932"/>
      <c r="AE484" s="932"/>
      <c r="AF484" s="932"/>
      <c r="AG484" s="932"/>
      <c r="AH484" s="932"/>
      <c r="AI484" s="932"/>
      <c r="AJ484" s="932"/>
      <c r="AK484" s="932"/>
      <c r="AL484" s="932"/>
      <c r="AM484" s="932"/>
      <c r="AN484" s="932"/>
      <c r="AO484" s="932"/>
      <c r="AP484" s="932"/>
      <c r="AQ484" s="932"/>
      <c r="AR484" s="932"/>
      <c r="AS484" s="932"/>
      <c r="AT484" s="932"/>
      <c r="AU484" s="932"/>
      <c r="AV484" s="932"/>
      <c r="AW484" s="932"/>
      <c r="AX484" s="932"/>
      <c r="AY484" s="932"/>
      <c r="AZ484" s="932"/>
      <c r="BA484" s="932"/>
      <c r="BB484" s="932"/>
      <c r="BC484" s="932"/>
      <c r="BD484" s="932"/>
      <c r="BE484" s="932"/>
      <c r="BF484" s="932"/>
    </row>
    <row r="485" spans="2:58" ht="15" x14ac:dyDescent="0.25">
      <c r="B485" s="932"/>
      <c r="C485" s="932"/>
      <c r="D485" s="932"/>
      <c r="E485" s="932"/>
      <c r="F485" s="932"/>
      <c r="G485" s="932"/>
      <c r="H485" s="932"/>
      <c r="I485" s="932"/>
      <c r="J485" s="932"/>
      <c r="K485" s="932"/>
      <c r="L485" s="932"/>
      <c r="M485" s="932"/>
      <c r="N485" s="932"/>
      <c r="O485" s="932"/>
      <c r="P485" s="932"/>
      <c r="Q485" s="932"/>
      <c r="R485" s="932"/>
      <c r="S485" s="932"/>
      <c r="T485" s="932"/>
      <c r="U485" s="932"/>
      <c r="V485" s="932"/>
      <c r="W485" s="932"/>
      <c r="X485" s="932"/>
      <c r="Y485" s="932"/>
      <c r="Z485" s="932"/>
      <c r="AA485" s="932"/>
      <c r="AB485" s="932"/>
      <c r="AC485" s="932"/>
      <c r="AD485" s="932"/>
      <c r="AE485" s="932"/>
      <c r="AF485" s="932"/>
      <c r="AG485" s="932"/>
      <c r="AH485" s="932"/>
      <c r="AI485" s="932"/>
      <c r="AJ485" s="932"/>
      <c r="AK485" s="932"/>
      <c r="AL485" s="932"/>
      <c r="AM485" s="932"/>
      <c r="AN485" s="932"/>
      <c r="AO485" s="932"/>
      <c r="AP485" s="932"/>
      <c r="AQ485" s="932"/>
      <c r="AR485" s="932"/>
      <c r="AS485" s="932"/>
      <c r="AT485" s="932"/>
      <c r="AU485" s="932"/>
      <c r="AV485" s="932"/>
      <c r="AW485" s="932"/>
      <c r="AX485" s="932"/>
      <c r="AY485" s="932"/>
      <c r="AZ485" s="932"/>
      <c r="BA485" s="932"/>
      <c r="BB485" s="932"/>
      <c r="BC485" s="932"/>
      <c r="BD485" s="932"/>
      <c r="BE485" s="932"/>
      <c r="BF485" s="932"/>
    </row>
    <row r="486" spans="2:58" ht="15" x14ac:dyDescent="0.25">
      <c r="B486" s="932"/>
      <c r="C486" s="932"/>
      <c r="D486" s="932"/>
      <c r="E486" s="932"/>
      <c r="F486" s="932"/>
      <c r="G486" s="932"/>
      <c r="H486" s="932"/>
      <c r="I486" s="932"/>
      <c r="J486" s="932"/>
      <c r="K486" s="932"/>
      <c r="L486" s="932"/>
      <c r="M486" s="932"/>
      <c r="N486" s="932"/>
      <c r="O486" s="932"/>
      <c r="P486" s="932"/>
      <c r="Q486" s="932"/>
      <c r="R486" s="932"/>
      <c r="S486" s="932"/>
      <c r="T486" s="932"/>
      <c r="U486" s="932"/>
      <c r="V486" s="932"/>
      <c r="W486" s="932"/>
      <c r="X486" s="932"/>
      <c r="Y486" s="932"/>
      <c r="Z486" s="932"/>
      <c r="AA486" s="932"/>
      <c r="AB486" s="932"/>
      <c r="AC486" s="932"/>
      <c r="AD486" s="932"/>
      <c r="AE486" s="932"/>
      <c r="AF486" s="932"/>
      <c r="AG486" s="932"/>
      <c r="AH486" s="932"/>
      <c r="AI486" s="932"/>
      <c r="AJ486" s="932"/>
      <c r="AK486" s="932"/>
      <c r="AL486" s="932"/>
      <c r="AM486" s="932"/>
      <c r="AN486" s="932"/>
      <c r="AO486" s="932"/>
      <c r="AP486" s="932"/>
      <c r="AQ486" s="932"/>
      <c r="AR486" s="932"/>
      <c r="AS486" s="932"/>
      <c r="AT486" s="932"/>
      <c r="AU486" s="932"/>
      <c r="AV486" s="932"/>
      <c r="AW486" s="932"/>
      <c r="AX486" s="932"/>
      <c r="AY486" s="932"/>
      <c r="AZ486" s="932"/>
      <c r="BA486" s="932"/>
      <c r="BB486" s="932"/>
      <c r="BC486" s="932"/>
      <c r="BD486" s="932"/>
      <c r="BE486" s="932"/>
      <c r="BF486" s="932"/>
    </row>
    <row r="487" spans="2:58" ht="15" x14ac:dyDescent="0.25">
      <c r="B487" s="932"/>
      <c r="C487" s="932"/>
      <c r="D487" s="932"/>
      <c r="E487" s="932"/>
      <c r="F487" s="932"/>
      <c r="G487" s="932"/>
      <c r="H487" s="932"/>
      <c r="I487" s="932"/>
      <c r="J487" s="932"/>
      <c r="K487" s="932"/>
      <c r="L487" s="932"/>
      <c r="M487" s="932"/>
      <c r="N487" s="932"/>
      <c r="O487" s="932"/>
      <c r="P487" s="932"/>
      <c r="Q487" s="932"/>
      <c r="R487" s="932"/>
      <c r="S487" s="932"/>
      <c r="T487" s="932"/>
      <c r="U487" s="932"/>
      <c r="V487" s="932"/>
      <c r="W487" s="932"/>
      <c r="X487" s="932"/>
      <c r="Y487" s="932"/>
      <c r="Z487" s="932"/>
      <c r="AA487" s="932"/>
      <c r="AB487" s="932"/>
      <c r="AC487" s="932"/>
      <c r="AD487" s="932"/>
      <c r="AE487" s="932"/>
      <c r="AF487" s="932"/>
      <c r="AG487" s="932"/>
      <c r="AH487" s="932"/>
      <c r="AI487" s="932"/>
      <c r="AJ487" s="932"/>
      <c r="AK487" s="932"/>
      <c r="AL487" s="932"/>
      <c r="AM487" s="932"/>
      <c r="AN487" s="932"/>
      <c r="AO487" s="932"/>
      <c r="AP487" s="932"/>
      <c r="AQ487" s="932"/>
      <c r="AR487" s="932"/>
      <c r="AS487" s="932"/>
      <c r="AT487" s="932"/>
      <c r="AU487" s="932"/>
      <c r="AV487" s="932"/>
      <c r="AW487" s="932"/>
      <c r="AX487" s="932"/>
      <c r="AY487" s="932"/>
      <c r="AZ487" s="932"/>
      <c r="BA487" s="932"/>
      <c r="BB487" s="932"/>
      <c r="BC487" s="932"/>
      <c r="BD487" s="932"/>
      <c r="BE487" s="932"/>
      <c r="BF487" s="932"/>
    </row>
    <row r="488" spans="2:58" ht="15" x14ac:dyDescent="0.25">
      <c r="B488" s="932"/>
      <c r="C488" s="932"/>
      <c r="D488" s="932"/>
      <c r="E488" s="932"/>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932"/>
      <c r="AO488" s="932"/>
      <c r="AP488" s="932"/>
      <c r="AQ488" s="932"/>
      <c r="AR488" s="932"/>
      <c r="AS488" s="932"/>
      <c r="AT488" s="932"/>
      <c r="AU488" s="932"/>
      <c r="AV488" s="932"/>
      <c r="AW488" s="932"/>
      <c r="AX488" s="932"/>
      <c r="AY488" s="932"/>
      <c r="AZ488" s="932"/>
      <c r="BA488" s="932"/>
      <c r="BB488" s="932"/>
      <c r="BC488" s="932"/>
      <c r="BD488" s="932"/>
      <c r="BE488" s="932"/>
      <c r="BF488" s="932"/>
    </row>
    <row r="489" spans="2:58" ht="15" x14ac:dyDescent="0.25">
      <c r="B489" s="932"/>
      <c r="C489" s="932"/>
      <c r="D489" s="932"/>
      <c r="E489" s="932"/>
      <c r="F489" s="932"/>
      <c r="G489" s="932"/>
      <c r="H489" s="932"/>
      <c r="I489" s="932"/>
      <c r="J489" s="932"/>
      <c r="K489" s="932"/>
      <c r="L489" s="932"/>
      <c r="M489" s="932"/>
      <c r="N489" s="932"/>
      <c r="O489" s="932"/>
      <c r="P489" s="932"/>
      <c r="Q489" s="932"/>
      <c r="R489" s="932"/>
      <c r="S489" s="932"/>
      <c r="T489" s="932"/>
      <c r="U489" s="932"/>
      <c r="V489" s="932"/>
      <c r="W489" s="932"/>
      <c r="X489" s="932"/>
      <c r="Y489" s="932"/>
      <c r="Z489" s="932"/>
      <c r="AA489" s="932"/>
      <c r="AB489" s="932"/>
      <c r="AC489" s="932"/>
      <c r="AD489" s="932"/>
      <c r="AE489" s="932"/>
      <c r="AF489" s="932"/>
      <c r="AG489" s="932"/>
      <c r="AH489" s="932"/>
      <c r="AI489" s="932"/>
      <c r="AJ489" s="932"/>
      <c r="AK489" s="932"/>
      <c r="AL489" s="932"/>
      <c r="AM489" s="932"/>
      <c r="AN489" s="932"/>
      <c r="AO489" s="932"/>
      <c r="AP489" s="932"/>
      <c r="AQ489" s="932"/>
      <c r="AR489" s="932"/>
      <c r="AS489" s="932"/>
      <c r="AT489" s="932"/>
      <c r="AU489" s="932"/>
      <c r="AV489" s="932"/>
      <c r="AW489" s="932"/>
      <c r="AX489" s="932"/>
      <c r="AY489" s="932"/>
      <c r="AZ489" s="932"/>
      <c r="BA489" s="932"/>
      <c r="BB489" s="932"/>
      <c r="BC489" s="932"/>
      <c r="BD489" s="932"/>
      <c r="BE489" s="932"/>
      <c r="BF489" s="932"/>
    </row>
    <row r="490" spans="2:58" ht="15" x14ac:dyDescent="0.25">
      <c r="B490" s="932"/>
      <c r="C490" s="932"/>
      <c r="D490" s="932"/>
      <c r="E490" s="932"/>
      <c r="F490" s="932"/>
      <c r="G490" s="932"/>
      <c r="H490" s="932"/>
      <c r="I490" s="932"/>
      <c r="J490" s="932"/>
      <c r="K490" s="932"/>
      <c r="L490" s="932"/>
      <c r="M490" s="932"/>
      <c r="N490" s="932"/>
      <c r="O490" s="932"/>
      <c r="P490" s="932"/>
      <c r="Q490" s="932"/>
      <c r="R490" s="932"/>
      <c r="S490" s="932"/>
      <c r="T490" s="932"/>
      <c r="U490" s="932"/>
      <c r="V490" s="932"/>
      <c r="W490" s="932"/>
      <c r="X490" s="932"/>
      <c r="Y490" s="932"/>
      <c r="Z490" s="932"/>
      <c r="AA490" s="932"/>
      <c r="AB490" s="932"/>
      <c r="AC490" s="932"/>
      <c r="AD490" s="932"/>
      <c r="AE490" s="932"/>
      <c r="AF490" s="932"/>
      <c r="AG490" s="932"/>
      <c r="AH490" s="932"/>
      <c r="AI490" s="932"/>
      <c r="AJ490" s="932"/>
      <c r="AK490" s="932"/>
      <c r="AL490" s="932"/>
      <c r="AM490" s="932"/>
      <c r="AN490" s="932"/>
      <c r="AO490" s="932"/>
      <c r="AP490" s="932"/>
      <c r="AQ490" s="932"/>
      <c r="AR490" s="932"/>
      <c r="AS490" s="932"/>
      <c r="AT490" s="932"/>
      <c r="AU490" s="932"/>
      <c r="AV490" s="932"/>
      <c r="AW490" s="932"/>
      <c r="AX490" s="932"/>
      <c r="AY490" s="932"/>
      <c r="AZ490" s="932"/>
      <c r="BA490" s="932"/>
      <c r="BB490" s="932"/>
      <c r="BC490" s="932"/>
      <c r="BD490" s="932"/>
      <c r="BE490" s="932"/>
      <c r="BF490" s="932"/>
    </row>
    <row r="491" spans="2:58" ht="15" x14ac:dyDescent="0.25">
      <c r="B491" s="932"/>
      <c r="C491" s="932"/>
      <c r="D491" s="932"/>
      <c r="E491" s="932"/>
      <c r="F491" s="932"/>
      <c r="G491" s="932"/>
      <c r="H491" s="932"/>
      <c r="I491" s="932"/>
      <c r="J491" s="932"/>
      <c r="K491" s="932"/>
      <c r="L491" s="932"/>
      <c r="M491" s="932"/>
      <c r="N491" s="932"/>
      <c r="O491" s="932"/>
      <c r="P491" s="932"/>
      <c r="Q491" s="932"/>
      <c r="R491" s="932"/>
      <c r="S491" s="932"/>
      <c r="T491" s="932"/>
      <c r="U491" s="932"/>
      <c r="V491" s="932"/>
      <c r="W491" s="932"/>
      <c r="X491" s="932"/>
      <c r="Y491" s="932"/>
      <c r="Z491" s="932"/>
      <c r="AA491" s="932"/>
      <c r="AB491" s="932"/>
      <c r="AC491" s="932"/>
      <c r="AD491" s="932"/>
      <c r="AE491" s="932"/>
      <c r="AF491" s="932"/>
      <c r="AG491" s="932"/>
      <c r="AH491" s="932"/>
      <c r="AI491" s="932"/>
      <c r="AJ491" s="932"/>
      <c r="AK491" s="932"/>
      <c r="AL491" s="932"/>
      <c r="AM491" s="932"/>
      <c r="AN491" s="932"/>
      <c r="AO491" s="932"/>
      <c r="AP491" s="932"/>
      <c r="AQ491" s="932"/>
      <c r="AR491" s="932"/>
      <c r="AS491" s="932"/>
      <c r="AT491" s="932"/>
      <c r="AU491" s="932"/>
      <c r="AV491" s="932"/>
      <c r="AW491" s="932"/>
      <c r="AX491" s="932"/>
      <c r="AY491" s="932"/>
      <c r="AZ491" s="932"/>
      <c r="BA491" s="932"/>
      <c r="BB491" s="932"/>
      <c r="BC491" s="932"/>
      <c r="BD491" s="932"/>
      <c r="BE491" s="932"/>
      <c r="BF491" s="932"/>
    </row>
    <row r="492" spans="2:58" ht="15" x14ac:dyDescent="0.25">
      <c r="B492" s="932"/>
      <c r="C492" s="932"/>
      <c r="D492" s="932"/>
      <c r="E492" s="932"/>
      <c r="F492" s="932"/>
      <c r="G492" s="932"/>
      <c r="H492" s="932"/>
      <c r="I492" s="932"/>
      <c r="J492" s="932"/>
      <c r="K492" s="932"/>
      <c r="L492" s="932"/>
      <c r="M492" s="932"/>
      <c r="N492" s="932"/>
      <c r="O492" s="932"/>
      <c r="P492" s="932"/>
      <c r="Q492" s="932"/>
      <c r="R492" s="932"/>
      <c r="S492" s="932"/>
      <c r="T492" s="932"/>
      <c r="U492" s="932"/>
      <c r="V492" s="932"/>
      <c r="W492" s="932"/>
      <c r="X492" s="932"/>
      <c r="Y492" s="932"/>
      <c r="Z492" s="932"/>
      <c r="AA492" s="932"/>
      <c r="AB492" s="932"/>
      <c r="AC492" s="932"/>
      <c r="AD492" s="932"/>
      <c r="AE492" s="932"/>
      <c r="AF492" s="932"/>
      <c r="AG492" s="932"/>
      <c r="AH492" s="932"/>
      <c r="AI492" s="932"/>
      <c r="AJ492" s="932"/>
      <c r="AK492" s="932"/>
      <c r="AL492" s="932"/>
      <c r="AM492" s="932"/>
      <c r="AN492" s="932"/>
      <c r="AO492" s="932"/>
      <c r="AP492" s="932"/>
      <c r="AQ492" s="932"/>
      <c r="AR492" s="932"/>
      <c r="AS492" s="932"/>
      <c r="AT492" s="932"/>
      <c r="AU492" s="932"/>
      <c r="AV492" s="932"/>
      <c r="AW492" s="932"/>
      <c r="AX492" s="932"/>
      <c r="AY492" s="932"/>
      <c r="AZ492" s="932"/>
      <c r="BA492" s="932"/>
      <c r="BB492" s="932"/>
      <c r="BC492" s="932"/>
      <c r="BD492" s="932"/>
      <c r="BE492" s="932"/>
      <c r="BF492" s="932"/>
    </row>
    <row r="493" spans="2:58" ht="15" x14ac:dyDescent="0.25">
      <c r="B493" s="932"/>
      <c r="C493" s="932"/>
      <c r="D493" s="932"/>
      <c r="E493" s="932"/>
      <c r="F493" s="932"/>
      <c r="G493" s="932"/>
      <c r="H493" s="932"/>
      <c r="I493" s="932"/>
      <c r="J493" s="932"/>
      <c r="K493" s="932"/>
      <c r="L493" s="932"/>
      <c r="M493" s="932"/>
      <c r="N493" s="932"/>
      <c r="O493" s="932"/>
      <c r="P493" s="932"/>
      <c r="Q493" s="932"/>
      <c r="R493" s="932"/>
      <c r="S493" s="932"/>
      <c r="T493" s="932"/>
      <c r="U493" s="932"/>
      <c r="V493" s="932"/>
      <c r="W493" s="932"/>
      <c r="X493" s="932"/>
      <c r="Y493" s="932"/>
      <c r="Z493" s="932"/>
      <c r="AA493" s="932"/>
      <c r="AB493" s="932"/>
      <c r="AC493" s="932"/>
      <c r="AD493" s="932"/>
      <c r="AE493" s="932"/>
      <c r="AF493" s="932"/>
      <c r="AG493" s="932"/>
      <c r="AH493" s="932"/>
      <c r="AI493" s="932"/>
      <c r="AJ493" s="932"/>
      <c r="AK493" s="932"/>
      <c r="AL493" s="932"/>
      <c r="AM493" s="932"/>
      <c r="AN493" s="932"/>
      <c r="AO493" s="932"/>
      <c r="AP493" s="932"/>
      <c r="AQ493" s="932"/>
      <c r="AR493" s="932"/>
      <c r="AS493" s="932"/>
      <c r="AT493" s="932"/>
      <c r="AU493" s="932"/>
      <c r="AV493" s="932"/>
      <c r="AW493" s="932"/>
      <c r="AX493" s="932"/>
      <c r="AY493" s="932"/>
      <c r="AZ493" s="932"/>
      <c r="BA493" s="932"/>
      <c r="BB493" s="932"/>
      <c r="BC493" s="932"/>
      <c r="BD493" s="932"/>
      <c r="BE493" s="932"/>
      <c r="BF493" s="932"/>
    </row>
    <row r="494" spans="2:58" ht="15" x14ac:dyDescent="0.25">
      <c r="B494" s="932"/>
      <c r="C494" s="932"/>
      <c r="D494" s="932"/>
      <c r="E494" s="932"/>
      <c r="F494" s="932"/>
      <c r="G494" s="932"/>
      <c r="H494" s="932"/>
      <c r="I494" s="932"/>
      <c r="J494" s="932"/>
      <c r="K494" s="932"/>
      <c r="L494" s="932"/>
      <c r="M494" s="932"/>
      <c r="N494" s="932"/>
      <c r="O494" s="932"/>
      <c r="P494" s="932"/>
      <c r="Q494" s="932"/>
      <c r="R494" s="932"/>
      <c r="S494" s="932"/>
      <c r="T494" s="932"/>
      <c r="U494" s="932"/>
      <c r="V494" s="932"/>
      <c r="W494" s="932"/>
      <c r="X494" s="932"/>
      <c r="Y494" s="932"/>
      <c r="Z494" s="932"/>
      <c r="AA494" s="932"/>
      <c r="AB494" s="932"/>
      <c r="AC494" s="932"/>
      <c r="AD494" s="932"/>
      <c r="AE494" s="932"/>
      <c r="AF494" s="932"/>
      <c r="AG494" s="932"/>
      <c r="AH494" s="932"/>
      <c r="AI494" s="932"/>
      <c r="AJ494" s="932"/>
      <c r="AK494" s="932"/>
      <c r="AL494" s="932"/>
      <c r="AM494" s="932"/>
      <c r="AN494" s="932"/>
      <c r="AO494" s="932"/>
      <c r="AP494" s="932"/>
      <c r="AQ494" s="932"/>
      <c r="AR494" s="932"/>
      <c r="AS494" s="932"/>
      <c r="AT494" s="932"/>
      <c r="AU494" s="932"/>
      <c r="AV494" s="932"/>
      <c r="AW494" s="932"/>
      <c r="AX494" s="932"/>
      <c r="AY494" s="932"/>
      <c r="AZ494" s="932"/>
      <c r="BA494" s="932"/>
      <c r="BB494" s="932"/>
      <c r="BC494" s="932"/>
      <c r="BD494" s="932"/>
      <c r="BE494" s="932"/>
      <c r="BF494" s="932"/>
    </row>
    <row r="495" spans="2:58" ht="15" x14ac:dyDescent="0.25">
      <c r="B495" s="932"/>
      <c r="C495" s="932"/>
      <c r="D495" s="932"/>
      <c r="E495" s="932"/>
      <c r="F495" s="932"/>
      <c r="G495" s="932"/>
      <c r="H495" s="932"/>
      <c r="I495" s="932"/>
      <c r="J495" s="932"/>
      <c r="K495" s="932"/>
      <c r="L495" s="932"/>
      <c r="M495" s="932"/>
      <c r="N495" s="932"/>
      <c r="O495" s="932"/>
      <c r="P495" s="932"/>
      <c r="Q495" s="932"/>
      <c r="R495" s="932"/>
      <c r="S495" s="932"/>
      <c r="T495" s="932"/>
      <c r="U495" s="932"/>
      <c r="V495" s="932"/>
      <c r="W495" s="932"/>
      <c r="X495" s="932"/>
      <c r="Y495" s="932"/>
      <c r="Z495" s="932"/>
      <c r="AA495" s="932"/>
      <c r="AB495" s="932"/>
      <c r="AC495" s="932"/>
      <c r="AD495" s="932"/>
      <c r="AE495" s="932"/>
      <c r="AF495" s="932"/>
      <c r="AG495" s="932"/>
      <c r="AH495" s="932"/>
      <c r="AI495" s="932"/>
      <c r="AJ495" s="932"/>
      <c r="AK495" s="932"/>
      <c r="AL495" s="932"/>
      <c r="AM495" s="932"/>
      <c r="AN495" s="932"/>
      <c r="AO495" s="932"/>
      <c r="AP495" s="932"/>
      <c r="AQ495" s="932"/>
      <c r="AR495" s="932"/>
      <c r="AS495" s="932"/>
      <c r="AT495" s="932"/>
      <c r="AU495" s="932"/>
      <c r="AV495" s="932"/>
      <c r="AW495" s="932"/>
      <c r="AX495" s="932"/>
      <c r="AY495" s="932"/>
      <c r="AZ495" s="932"/>
      <c r="BA495" s="932"/>
      <c r="BB495" s="932"/>
      <c r="BC495" s="932"/>
      <c r="BD495" s="932"/>
      <c r="BE495" s="932"/>
      <c r="BF495" s="932"/>
    </row>
    <row r="496" spans="2:58" ht="15" x14ac:dyDescent="0.25">
      <c r="B496" s="932"/>
      <c r="C496" s="932"/>
      <c r="D496" s="932"/>
      <c r="E496" s="932"/>
      <c r="F496" s="932"/>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932"/>
      <c r="AD496" s="932"/>
      <c r="AE496" s="932"/>
      <c r="AF496" s="932"/>
      <c r="AG496" s="932"/>
      <c r="AH496" s="932"/>
      <c r="AI496" s="932"/>
      <c r="AJ496" s="932"/>
      <c r="AK496" s="932"/>
      <c r="AL496" s="932"/>
      <c r="AM496" s="932"/>
      <c r="AN496" s="932"/>
      <c r="AO496" s="932"/>
      <c r="AP496" s="932"/>
      <c r="AQ496" s="932"/>
      <c r="AR496" s="932"/>
      <c r="AS496" s="932"/>
      <c r="AT496" s="932"/>
      <c r="AU496" s="932"/>
      <c r="AV496" s="932"/>
      <c r="AW496" s="932"/>
      <c r="AX496" s="932"/>
      <c r="AY496" s="932"/>
      <c r="AZ496" s="932"/>
      <c r="BA496" s="932"/>
      <c r="BB496" s="932"/>
      <c r="BC496" s="932"/>
      <c r="BD496" s="932"/>
      <c r="BE496" s="932"/>
      <c r="BF496" s="932"/>
    </row>
    <row r="497" spans="2:58" ht="15" x14ac:dyDescent="0.25">
      <c r="B497" s="932"/>
      <c r="C497" s="932"/>
      <c r="D497" s="932"/>
      <c r="E497" s="932"/>
      <c r="F497" s="932"/>
      <c r="G497" s="932"/>
      <c r="H497" s="932"/>
      <c r="I497" s="932"/>
      <c r="J497" s="932"/>
      <c r="K497" s="932"/>
      <c r="L497" s="932"/>
      <c r="M497" s="932"/>
      <c r="N497" s="932"/>
      <c r="O497" s="932"/>
      <c r="P497" s="932"/>
      <c r="Q497" s="932"/>
      <c r="R497" s="932"/>
      <c r="S497" s="932"/>
      <c r="T497" s="932"/>
      <c r="U497" s="932"/>
      <c r="V497" s="932"/>
      <c r="W497" s="932"/>
      <c r="X497" s="932"/>
      <c r="Y497" s="932"/>
      <c r="Z497" s="932"/>
      <c r="AA497" s="932"/>
      <c r="AB497" s="932"/>
      <c r="AC497" s="932"/>
      <c r="AD497" s="932"/>
      <c r="AE497" s="932"/>
      <c r="AF497" s="932"/>
      <c r="AG497" s="932"/>
      <c r="AH497" s="932"/>
      <c r="AI497" s="932"/>
      <c r="AJ497" s="932"/>
      <c r="AK497" s="932"/>
      <c r="AL497" s="932"/>
      <c r="AM497" s="932"/>
      <c r="AN497" s="932"/>
      <c r="AO497" s="932"/>
      <c r="AP497" s="932"/>
      <c r="AQ497" s="932"/>
      <c r="AR497" s="932"/>
      <c r="AS497" s="932"/>
      <c r="AT497" s="932"/>
      <c r="AU497" s="932"/>
      <c r="AV497" s="932"/>
      <c r="AW497" s="932"/>
      <c r="AX497" s="932"/>
      <c r="AY497" s="932"/>
      <c r="AZ497" s="932"/>
      <c r="BA497" s="932"/>
      <c r="BB497" s="932"/>
      <c r="BC497" s="932"/>
      <c r="BD497" s="932"/>
      <c r="BE497" s="932"/>
      <c r="BF497" s="932"/>
    </row>
    <row r="498" spans="2:58" ht="15" x14ac:dyDescent="0.25">
      <c r="B498" s="932"/>
      <c r="C498" s="932"/>
      <c r="D498" s="932"/>
      <c r="E498" s="932"/>
      <c r="F498" s="932"/>
      <c r="G498" s="932"/>
      <c r="H498" s="932"/>
      <c r="I498" s="932"/>
      <c r="J498" s="932"/>
      <c r="K498" s="932"/>
      <c r="L498" s="932"/>
      <c r="M498" s="932"/>
      <c r="N498" s="932"/>
      <c r="O498" s="932"/>
      <c r="P498" s="932"/>
      <c r="Q498" s="932"/>
      <c r="R498" s="932"/>
      <c r="S498" s="932"/>
      <c r="T498" s="932"/>
      <c r="U498" s="932"/>
      <c r="V498" s="932"/>
      <c r="W498" s="932"/>
      <c r="X498" s="932"/>
      <c r="Y498" s="932"/>
      <c r="Z498" s="932"/>
      <c r="AA498" s="932"/>
      <c r="AB498" s="932"/>
      <c r="AC498" s="932"/>
      <c r="AD498" s="932"/>
      <c r="AE498" s="932"/>
      <c r="AF498" s="932"/>
      <c r="AG498" s="932"/>
      <c r="AH498" s="932"/>
      <c r="AI498" s="932"/>
      <c r="AJ498" s="932"/>
      <c r="AK498" s="932"/>
      <c r="AL498" s="932"/>
      <c r="AM498" s="932"/>
      <c r="AN498" s="932"/>
      <c r="AO498" s="932"/>
      <c r="AP498" s="932"/>
      <c r="AQ498" s="932"/>
      <c r="AR498" s="932"/>
      <c r="AS498" s="932"/>
      <c r="AT498" s="932"/>
      <c r="AU498" s="932"/>
      <c r="AV498" s="932"/>
      <c r="AW498" s="932"/>
      <c r="AX498" s="932"/>
      <c r="AY498" s="932"/>
      <c r="AZ498" s="932"/>
      <c r="BA498" s="932"/>
      <c r="BB498" s="932"/>
      <c r="BC498" s="932"/>
      <c r="BD498" s="932"/>
      <c r="BE498" s="932"/>
      <c r="BF498" s="932"/>
    </row>
    <row r="499" spans="2:58" ht="15" x14ac:dyDescent="0.25">
      <c r="B499" s="932"/>
      <c r="C499" s="932"/>
      <c r="D499" s="932"/>
      <c r="E499" s="932"/>
      <c r="F499" s="932"/>
      <c r="G499" s="932"/>
      <c r="H499" s="932"/>
      <c r="I499" s="932"/>
      <c r="J499" s="932"/>
      <c r="K499" s="932"/>
      <c r="L499" s="932"/>
      <c r="M499" s="932"/>
      <c r="N499" s="932"/>
      <c r="O499" s="932"/>
      <c r="P499" s="932"/>
      <c r="Q499" s="932"/>
      <c r="R499" s="932"/>
      <c r="S499" s="932"/>
      <c r="T499" s="932"/>
      <c r="U499" s="932"/>
      <c r="V499" s="932"/>
      <c r="W499" s="932"/>
      <c r="X499" s="932"/>
      <c r="Y499" s="932"/>
      <c r="Z499" s="932"/>
      <c r="AA499" s="932"/>
      <c r="AB499" s="932"/>
      <c r="AC499" s="932"/>
      <c r="AD499" s="932"/>
      <c r="AE499" s="932"/>
      <c r="AF499" s="932"/>
      <c r="AG499" s="932"/>
      <c r="AH499" s="932"/>
      <c r="AI499" s="932"/>
      <c r="AJ499" s="932"/>
      <c r="AK499" s="932"/>
      <c r="AL499" s="932"/>
      <c r="AM499" s="932"/>
      <c r="AN499" s="932"/>
      <c r="AO499" s="932"/>
      <c r="AP499" s="932"/>
      <c r="AQ499" s="932"/>
      <c r="AR499" s="932"/>
      <c r="AS499" s="932"/>
      <c r="AT499" s="932"/>
      <c r="AU499" s="932"/>
      <c r="AV499" s="932"/>
      <c r="AW499" s="932"/>
      <c r="AX499" s="932"/>
      <c r="AY499" s="932"/>
      <c r="AZ499" s="932"/>
      <c r="BA499" s="932"/>
      <c r="BB499" s="932"/>
      <c r="BC499" s="932"/>
      <c r="BD499" s="932"/>
      <c r="BE499" s="932"/>
      <c r="BF499" s="932"/>
    </row>
    <row r="500" spans="2:58" ht="15" x14ac:dyDescent="0.25">
      <c r="B500" s="932"/>
      <c r="C500" s="932"/>
      <c r="D500" s="932"/>
      <c r="E500" s="932"/>
      <c r="F500" s="932"/>
      <c r="G500" s="932"/>
      <c r="H500" s="932"/>
      <c r="I500" s="932"/>
      <c r="J500" s="932"/>
      <c r="K500" s="932"/>
      <c r="L500" s="932"/>
      <c r="M500" s="932"/>
      <c r="N500" s="932"/>
      <c r="O500" s="932"/>
      <c r="P500" s="932"/>
      <c r="Q500" s="932"/>
      <c r="R500" s="932"/>
      <c r="S500" s="932"/>
      <c r="T500" s="932"/>
      <c r="U500" s="932"/>
      <c r="V500" s="932"/>
      <c r="W500" s="932"/>
      <c r="X500" s="932"/>
      <c r="Y500" s="932"/>
      <c r="Z500" s="932"/>
      <c r="AA500" s="932"/>
      <c r="AB500" s="932"/>
      <c r="AC500" s="932"/>
      <c r="AD500" s="932"/>
      <c r="AE500" s="932"/>
      <c r="AF500" s="932"/>
      <c r="AG500" s="932"/>
      <c r="AH500" s="932"/>
      <c r="AI500" s="932"/>
      <c r="AJ500" s="932"/>
      <c r="AK500" s="932"/>
      <c r="AL500" s="932"/>
      <c r="AM500" s="932"/>
      <c r="AN500" s="932"/>
      <c r="AO500" s="932"/>
      <c r="AP500" s="932"/>
      <c r="AQ500" s="932"/>
      <c r="AR500" s="932"/>
      <c r="AS500" s="932"/>
      <c r="AT500" s="932"/>
      <c r="AU500" s="932"/>
      <c r="AV500" s="932"/>
      <c r="AW500" s="932"/>
      <c r="AX500" s="932"/>
      <c r="AY500" s="932"/>
      <c r="AZ500" s="932"/>
      <c r="BA500" s="932"/>
      <c r="BB500" s="932"/>
      <c r="BC500" s="932"/>
      <c r="BD500" s="932"/>
      <c r="BE500" s="932"/>
      <c r="BF500" s="932"/>
    </row>
    <row r="501" spans="2:58" ht="15" x14ac:dyDescent="0.25">
      <c r="B501" s="932"/>
      <c r="C501" s="932"/>
      <c r="D501" s="932"/>
      <c r="E501" s="932"/>
      <c r="F501" s="932"/>
      <c r="G501" s="932"/>
      <c r="H501" s="932"/>
      <c r="I501" s="932"/>
      <c r="J501" s="932"/>
      <c r="K501" s="932"/>
      <c r="L501" s="932"/>
      <c r="M501" s="932"/>
      <c r="N501" s="932"/>
      <c r="O501" s="932"/>
      <c r="P501" s="932"/>
      <c r="Q501" s="932"/>
      <c r="R501" s="932"/>
      <c r="S501" s="932"/>
      <c r="T501" s="932"/>
      <c r="U501" s="932"/>
      <c r="V501" s="932"/>
      <c r="W501" s="932"/>
      <c r="X501" s="932"/>
      <c r="Y501" s="932"/>
      <c r="Z501" s="932"/>
      <c r="AA501" s="932"/>
      <c r="AB501" s="932"/>
      <c r="AC501" s="932"/>
      <c r="AD501" s="932"/>
      <c r="AE501" s="932"/>
      <c r="AF501" s="932"/>
      <c r="AG501" s="932"/>
      <c r="AH501" s="932"/>
      <c r="AI501" s="932"/>
      <c r="AJ501" s="932"/>
      <c r="AK501" s="932"/>
      <c r="AL501" s="932"/>
      <c r="AM501" s="932"/>
      <c r="AN501" s="932"/>
      <c r="AO501" s="932"/>
      <c r="AP501" s="932"/>
      <c r="AQ501" s="932"/>
      <c r="AR501" s="932"/>
      <c r="AS501" s="932"/>
      <c r="AT501" s="932"/>
      <c r="AU501" s="932"/>
      <c r="AV501" s="932"/>
      <c r="AW501" s="932"/>
      <c r="AX501" s="932"/>
      <c r="AY501" s="932"/>
      <c r="AZ501" s="932"/>
      <c r="BA501" s="932"/>
      <c r="BB501" s="932"/>
      <c r="BC501" s="932"/>
      <c r="BD501" s="932"/>
      <c r="BE501" s="932"/>
      <c r="BF501" s="932"/>
    </row>
    <row r="502" spans="2:58" ht="15" x14ac:dyDescent="0.25">
      <c r="B502" s="932"/>
      <c r="C502" s="932"/>
      <c r="D502" s="932"/>
      <c r="E502" s="932"/>
      <c r="F502" s="932"/>
      <c r="G502" s="932"/>
      <c r="H502" s="932"/>
      <c r="I502" s="932"/>
      <c r="J502" s="932"/>
      <c r="K502" s="932"/>
      <c r="L502" s="932"/>
      <c r="M502" s="932"/>
      <c r="N502" s="932"/>
      <c r="O502" s="932"/>
      <c r="P502" s="932"/>
      <c r="Q502" s="932"/>
      <c r="R502" s="932"/>
      <c r="S502" s="932"/>
      <c r="T502" s="932"/>
      <c r="U502" s="932"/>
      <c r="V502" s="932"/>
      <c r="W502" s="932"/>
      <c r="X502" s="932"/>
      <c r="Y502" s="932"/>
      <c r="Z502" s="932"/>
      <c r="AA502" s="932"/>
      <c r="AB502" s="932"/>
      <c r="AC502" s="932"/>
      <c r="AD502" s="932"/>
      <c r="AE502" s="932"/>
      <c r="AF502" s="932"/>
      <c r="AG502" s="932"/>
      <c r="AH502" s="932"/>
      <c r="AI502" s="932"/>
      <c r="AJ502" s="932"/>
      <c r="AK502" s="932"/>
      <c r="AL502" s="932"/>
      <c r="AM502" s="932"/>
      <c r="AN502" s="932"/>
      <c r="AO502" s="932"/>
      <c r="AP502" s="932"/>
      <c r="AQ502" s="932"/>
      <c r="AR502" s="932"/>
      <c r="AS502" s="932"/>
      <c r="AT502" s="932"/>
      <c r="AU502" s="932"/>
      <c r="AV502" s="932"/>
      <c r="AW502" s="932"/>
      <c r="AX502" s="932"/>
      <c r="AY502" s="932"/>
      <c r="AZ502" s="932"/>
      <c r="BA502" s="932"/>
      <c r="BB502" s="932"/>
      <c r="BC502" s="932"/>
      <c r="BD502" s="932"/>
      <c r="BE502" s="932"/>
      <c r="BF502" s="932"/>
    </row>
    <row r="503" spans="2:58" ht="15" x14ac:dyDescent="0.25">
      <c r="B503" s="932"/>
      <c r="C503" s="932"/>
      <c r="D503" s="932"/>
      <c r="E503" s="932"/>
      <c r="F503" s="932"/>
      <c r="G503" s="932"/>
      <c r="H503" s="932"/>
      <c r="I503" s="932"/>
      <c r="J503" s="932"/>
      <c r="K503" s="932"/>
      <c r="L503" s="932"/>
      <c r="M503" s="932"/>
      <c r="N503" s="932"/>
      <c r="O503" s="932"/>
      <c r="P503" s="932"/>
      <c r="Q503" s="932"/>
      <c r="R503" s="932"/>
      <c r="S503" s="932"/>
      <c r="T503" s="932"/>
      <c r="U503" s="932"/>
      <c r="V503" s="932"/>
      <c r="W503" s="932"/>
      <c r="X503" s="932"/>
      <c r="Y503" s="932"/>
      <c r="Z503" s="932"/>
      <c r="AA503" s="932"/>
      <c r="AB503" s="932"/>
      <c r="AC503" s="932"/>
      <c r="AD503" s="932"/>
      <c r="AE503" s="932"/>
      <c r="AF503" s="932"/>
      <c r="AG503" s="932"/>
      <c r="AH503" s="932"/>
      <c r="AI503" s="932"/>
      <c r="AJ503" s="932"/>
      <c r="AK503" s="932"/>
      <c r="AL503" s="932"/>
      <c r="AM503" s="932"/>
      <c r="AN503" s="932"/>
      <c r="AO503" s="932"/>
      <c r="AP503" s="932"/>
      <c r="AQ503" s="932"/>
      <c r="AR503" s="932"/>
      <c r="AS503" s="932"/>
      <c r="AT503" s="932"/>
      <c r="AU503" s="932"/>
      <c r="AV503" s="932"/>
      <c r="AW503" s="932"/>
      <c r="AX503" s="932"/>
      <c r="AY503" s="932"/>
      <c r="AZ503" s="932"/>
      <c r="BA503" s="932"/>
      <c r="BB503" s="932"/>
      <c r="BC503" s="932"/>
      <c r="BD503" s="932"/>
      <c r="BE503" s="932"/>
      <c r="BF503" s="932"/>
    </row>
    <row r="504" spans="2:58" ht="15" x14ac:dyDescent="0.25">
      <c r="B504" s="932"/>
      <c r="C504" s="932"/>
      <c r="D504" s="932"/>
      <c r="E504" s="932"/>
      <c r="F504" s="932"/>
      <c r="G504" s="932"/>
      <c r="H504" s="932"/>
      <c r="I504" s="932"/>
      <c r="J504" s="932"/>
      <c r="K504" s="932"/>
      <c r="L504" s="932"/>
      <c r="M504" s="932"/>
      <c r="N504" s="932"/>
      <c r="O504" s="932"/>
      <c r="P504" s="932"/>
      <c r="Q504" s="932"/>
      <c r="R504" s="932"/>
      <c r="S504" s="932"/>
      <c r="T504" s="932"/>
      <c r="U504" s="932"/>
      <c r="V504" s="932"/>
      <c r="W504" s="932"/>
      <c r="X504" s="932"/>
      <c r="Y504" s="932"/>
      <c r="Z504" s="932"/>
      <c r="AA504" s="932"/>
      <c r="AB504" s="932"/>
      <c r="AC504" s="932"/>
      <c r="AD504" s="932"/>
      <c r="AE504" s="932"/>
      <c r="AF504" s="932"/>
      <c r="AG504" s="932"/>
      <c r="AH504" s="932"/>
      <c r="AI504" s="932"/>
      <c r="AJ504" s="932"/>
      <c r="AK504" s="932"/>
      <c r="AL504" s="932"/>
      <c r="AM504" s="932"/>
      <c r="AN504" s="932"/>
      <c r="AO504" s="932"/>
      <c r="AP504" s="932"/>
      <c r="AQ504" s="932"/>
      <c r="AR504" s="932"/>
      <c r="AS504" s="932"/>
      <c r="AT504" s="932"/>
      <c r="AU504" s="932"/>
      <c r="AV504" s="932"/>
      <c r="AW504" s="932"/>
      <c r="AX504" s="932"/>
      <c r="AY504" s="932"/>
      <c r="AZ504" s="932"/>
      <c r="BA504" s="932"/>
      <c r="BB504" s="932"/>
      <c r="BC504" s="932"/>
      <c r="BD504" s="932"/>
      <c r="BE504" s="932"/>
      <c r="BF504" s="932"/>
    </row>
    <row r="505" spans="2:58" ht="15" x14ac:dyDescent="0.25">
      <c r="B505" s="932"/>
      <c r="C505" s="932"/>
      <c r="D505" s="932"/>
      <c r="E505" s="932"/>
      <c r="F505" s="932"/>
      <c r="G505" s="932"/>
      <c r="H505" s="932"/>
      <c r="I505" s="932"/>
      <c r="J505" s="932"/>
      <c r="K505" s="932"/>
      <c r="L505" s="932"/>
      <c r="M505" s="932"/>
      <c r="N505" s="932"/>
      <c r="O505" s="932"/>
      <c r="P505" s="932"/>
      <c r="Q505" s="932"/>
      <c r="R505" s="932"/>
      <c r="S505" s="932"/>
      <c r="T505" s="932"/>
      <c r="U505" s="932"/>
      <c r="V505" s="932"/>
      <c r="W505" s="932"/>
      <c r="X505" s="932"/>
      <c r="Y505" s="932"/>
      <c r="Z505" s="932"/>
      <c r="AA505" s="932"/>
      <c r="AB505" s="932"/>
      <c r="AC505" s="932"/>
      <c r="AD505" s="932"/>
      <c r="AE505" s="932"/>
      <c r="AF505" s="932"/>
      <c r="AG505" s="932"/>
      <c r="AH505" s="932"/>
      <c r="AI505" s="932"/>
      <c r="AJ505" s="932"/>
      <c r="AK505" s="932"/>
      <c r="AL505" s="932"/>
      <c r="AM505" s="932"/>
      <c r="AN505" s="932"/>
      <c r="AO505" s="932"/>
      <c r="AP505" s="932"/>
      <c r="AQ505" s="932"/>
      <c r="AR505" s="932"/>
      <c r="AS505" s="932"/>
      <c r="AT505" s="932"/>
      <c r="AU505" s="932"/>
      <c r="AV505" s="932"/>
      <c r="AW505" s="932"/>
      <c r="AX505" s="932"/>
      <c r="AY505" s="932"/>
      <c r="AZ505" s="932"/>
      <c r="BA505" s="932"/>
      <c r="BB505" s="932"/>
      <c r="BC505" s="932"/>
      <c r="BD505" s="932"/>
      <c r="BE505" s="932"/>
      <c r="BF505" s="932"/>
    </row>
    <row r="506" spans="2:58" ht="15" x14ac:dyDescent="0.25">
      <c r="B506" s="932"/>
      <c r="C506" s="932"/>
      <c r="D506" s="932"/>
      <c r="E506" s="932"/>
      <c r="F506" s="932"/>
      <c r="G506" s="932"/>
      <c r="H506" s="932"/>
      <c r="I506" s="932"/>
      <c r="J506" s="932"/>
      <c r="K506" s="932"/>
      <c r="L506" s="932"/>
      <c r="M506" s="932"/>
      <c r="N506" s="932"/>
      <c r="O506" s="932"/>
      <c r="P506" s="932"/>
      <c r="Q506" s="932"/>
      <c r="R506" s="932"/>
      <c r="S506" s="932"/>
      <c r="T506" s="932"/>
      <c r="U506" s="932"/>
      <c r="V506" s="932"/>
      <c r="W506" s="932"/>
      <c r="X506" s="932"/>
      <c r="Y506" s="932"/>
      <c r="Z506" s="932"/>
      <c r="AA506" s="932"/>
      <c r="AB506" s="932"/>
      <c r="AC506" s="932"/>
      <c r="AD506" s="932"/>
      <c r="AE506" s="932"/>
      <c r="AF506" s="932"/>
      <c r="AG506" s="932"/>
      <c r="AH506" s="932"/>
      <c r="AI506" s="932"/>
      <c r="AJ506" s="932"/>
      <c r="AK506" s="932"/>
      <c r="AL506" s="932"/>
      <c r="AM506" s="932"/>
      <c r="AN506" s="932"/>
      <c r="AO506" s="932"/>
      <c r="AP506" s="932"/>
      <c r="AQ506" s="932"/>
      <c r="AR506" s="932"/>
      <c r="AS506" s="932"/>
      <c r="AT506" s="932"/>
      <c r="AU506" s="932"/>
      <c r="AV506" s="932"/>
      <c r="AW506" s="932"/>
      <c r="AX506" s="932"/>
      <c r="AY506" s="932"/>
      <c r="AZ506" s="932"/>
      <c r="BA506" s="932"/>
      <c r="BB506" s="932"/>
      <c r="BC506" s="932"/>
      <c r="BD506" s="932"/>
      <c r="BE506" s="932"/>
      <c r="BF506" s="932"/>
    </row>
    <row r="507" spans="2:58" ht="15" x14ac:dyDescent="0.25">
      <c r="B507" s="932"/>
      <c r="C507" s="932"/>
      <c r="D507" s="932"/>
      <c r="E507" s="932"/>
      <c r="F507" s="932"/>
      <c r="G507" s="932"/>
      <c r="H507" s="932"/>
      <c r="I507" s="932"/>
      <c r="J507" s="932"/>
      <c r="K507" s="932"/>
      <c r="L507" s="932"/>
      <c r="M507" s="932"/>
      <c r="N507" s="932"/>
      <c r="O507" s="932"/>
      <c r="P507" s="932"/>
      <c r="Q507" s="932"/>
      <c r="R507" s="932"/>
      <c r="S507" s="932"/>
      <c r="T507" s="932"/>
      <c r="U507" s="932"/>
      <c r="V507" s="932"/>
      <c r="W507" s="932"/>
      <c r="X507" s="932"/>
      <c r="Y507" s="932"/>
      <c r="Z507" s="932"/>
      <c r="AA507" s="932"/>
      <c r="AB507" s="932"/>
      <c r="AC507" s="932"/>
      <c r="AD507" s="932"/>
      <c r="AE507" s="932"/>
      <c r="AF507" s="932"/>
      <c r="AG507" s="932"/>
      <c r="AH507" s="932"/>
      <c r="AI507" s="932"/>
      <c r="AJ507" s="932"/>
      <c r="AK507" s="932"/>
      <c r="AL507" s="932"/>
      <c r="AM507" s="932"/>
      <c r="AN507" s="932"/>
      <c r="AO507" s="932"/>
      <c r="AP507" s="932"/>
      <c r="AQ507" s="932"/>
      <c r="AR507" s="932"/>
      <c r="AS507" s="932"/>
      <c r="AT507" s="932"/>
      <c r="AU507" s="932"/>
      <c r="AV507" s="932"/>
      <c r="AW507" s="932"/>
      <c r="AX507" s="932"/>
      <c r="AY507" s="932"/>
      <c r="AZ507" s="932"/>
      <c r="BA507" s="932"/>
      <c r="BB507" s="932"/>
      <c r="BC507" s="932"/>
      <c r="BD507" s="932"/>
      <c r="BE507" s="932"/>
      <c r="BF507" s="932"/>
    </row>
    <row r="508" spans="2:58" ht="15" x14ac:dyDescent="0.25">
      <c r="B508" s="932"/>
      <c r="C508" s="932"/>
      <c r="D508" s="932"/>
      <c r="E508" s="932"/>
      <c r="F508" s="932"/>
      <c r="G508" s="932"/>
      <c r="H508" s="932"/>
      <c r="I508" s="932"/>
      <c r="J508" s="932"/>
      <c r="K508" s="932"/>
      <c r="L508" s="932"/>
      <c r="M508" s="932"/>
      <c r="N508" s="932"/>
      <c r="O508" s="932"/>
      <c r="P508" s="932"/>
      <c r="Q508" s="932"/>
      <c r="R508" s="932"/>
      <c r="S508" s="932"/>
      <c r="T508" s="932"/>
      <c r="U508" s="932"/>
      <c r="V508" s="932"/>
      <c r="W508" s="932"/>
      <c r="X508" s="932"/>
      <c r="Y508" s="932"/>
      <c r="Z508" s="932"/>
      <c r="AA508" s="932"/>
      <c r="AB508" s="932"/>
      <c r="AC508" s="932"/>
      <c r="AD508" s="932"/>
      <c r="AE508" s="932"/>
      <c r="AF508" s="932"/>
      <c r="AG508" s="932"/>
      <c r="AH508" s="932"/>
      <c r="AI508" s="932"/>
      <c r="AJ508" s="932"/>
      <c r="AK508" s="932"/>
      <c r="AL508" s="932"/>
      <c r="AM508" s="932"/>
      <c r="AN508" s="932"/>
      <c r="AO508" s="932"/>
      <c r="AP508" s="932"/>
      <c r="AQ508" s="932"/>
      <c r="AR508" s="932"/>
      <c r="AS508" s="932"/>
      <c r="AT508" s="932"/>
      <c r="AU508" s="932"/>
      <c r="AV508" s="932"/>
      <c r="AW508" s="932"/>
      <c r="AX508" s="932"/>
      <c r="AY508" s="932"/>
      <c r="AZ508" s="932"/>
      <c r="BA508" s="932"/>
      <c r="BB508" s="932"/>
      <c r="BC508" s="932"/>
      <c r="BD508" s="932"/>
      <c r="BE508" s="932"/>
      <c r="BF508" s="932"/>
    </row>
    <row r="509" spans="2:58" ht="15" x14ac:dyDescent="0.25">
      <c r="B509" s="932"/>
      <c r="C509" s="932"/>
      <c r="D509" s="932"/>
      <c r="E509" s="932"/>
      <c r="F509" s="932"/>
      <c r="G509" s="932"/>
      <c r="H509" s="932"/>
      <c r="I509" s="932"/>
      <c r="J509" s="932"/>
      <c r="K509" s="932"/>
      <c r="L509" s="932"/>
      <c r="M509" s="932"/>
      <c r="N509" s="932"/>
      <c r="O509" s="932"/>
      <c r="P509" s="932"/>
      <c r="Q509" s="932"/>
      <c r="R509" s="932"/>
      <c r="S509" s="932"/>
      <c r="T509" s="932"/>
      <c r="U509" s="932"/>
      <c r="V509" s="932"/>
      <c r="W509" s="932"/>
      <c r="X509" s="932"/>
      <c r="Y509" s="932"/>
      <c r="Z509" s="932"/>
      <c r="AA509" s="932"/>
      <c r="AB509" s="932"/>
      <c r="AC509" s="932"/>
      <c r="AD509" s="932"/>
      <c r="AE509" s="932"/>
      <c r="AF509" s="932"/>
      <c r="AG509" s="932"/>
      <c r="AH509" s="932"/>
      <c r="AI509" s="932"/>
      <c r="AJ509" s="932"/>
      <c r="AK509" s="932"/>
      <c r="AL509" s="932"/>
      <c r="AM509" s="932"/>
      <c r="AN509" s="932"/>
      <c r="AO509" s="932"/>
      <c r="AP509" s="932"/>
      <c r="AQ509" s="932"/>
      <c r="AR509" s="932"/>
      <c r="AS509" s="932"/>
      <c r="AT509" s="932"/>
      <c r="AU509" s="932"/>
      <c r="AV509" s="932"/>
      <c r="AW509" s="932"/>
      <c r="AX509" s="932"/>
      <c r="AY509" s="932"/>
      <c r="AZ509" s="932"/>
      <c r="BA509" s="932"/>
      <c r="BB509" s="932"/>
      <c r="BC509" s="932"/>
      <c r="BD509" s="932"/>
      <c r="BE509" s="932"/>
      <c r="BF509" s="932"/>
    </row>
    <row r="510" spans="2:58" ht="15" x14ac:dyDescent="0.25">
      <c r="B510" s="932"/>
      <c r="C510" s="932"/>
      <c r="D510" s="932"/>
      <c r="E510" s="932"/>
      <c r="F510" s="932"/>
      <c r="G510" s="932"/>
      <c r="H510" s="932"/>
      <c r="I510" s="932"/>
      <c r="J510" s="932"/>
      <c r="K510" s="932"/>
      <c r="L510" s="932"/>
      <c r="M510" s="932"/>
      <c r="N510" s="932"/>
      <c r="O510" s="932"/>
      <c r="P510" s="932"/>
      <c r="Q510" s="932"/>
      <c r="R510" s="932"/>
      <c r="S510" s="932"/>
      <c r="T510" s="932"/>
      <c r="U510" s="932"/>
      <c r="V510" s="932"/>
      <c r="W510" s="932"/>
      <c r="X510" s="932"/>
      <c r="Y510" s="932"/>
      <c r="Z510" s="932"/>
      <c r="AA510" s="932"/>
      <c r="AB510" s="932"/>
      <c r="AC510" s="932"/>
      <c r="AD510" s="932"/>
      <c r="AE510" s="932"/>
      <c r="AF510" s="932"/>
      <c r="AG510" s="932"/>
      <c r="AH510" s="932"/>
      <c r="AI510" s="932"/>
      <c r="AJ510" s="932"/>
      <c r="AK510" s="932"/>
      <c r="AL510" s="932"/>
      <c r="AM510" s="932"/>
      <c r="AN510" s="932"/>
      <c r="AO510" s="932"/>
      <c r="AP510" s="932"/>
      <c r="AQ510" s="932"/>
      <c r="AR510" s="932"/>
      <c r="AS510" s="932"/>
      <c r="AT510" s="932"/>
      <c r="AU510" s="932"/>
      <c r="AV510" s="932"/>
      <c r="AW510" s="932"/>
      <c r="AX510" s="932"/>
      <c r="AY510" s="932"/>
      <c r="AZ510" s="932"/>
      <c r="BA510" s="932"/>
      <c r="BB510" s="932"/>
      <c r="BC510" s="932"/>
      <c r="BD510" s="932"/>
      <c r="BE510" s="932"/>
      <c r="BF510" s="932"/>
    </row>
    <row r="511" spans="2:58" ht="15" x14ac:dyDescent="0.25">
      <c r="B511" s="932"/>
      <c r="C511" s="932"/>
      <c r="D511" s="932"/>
      <c r="E511" s="932"/>
      <c r="F511" s="932"/>
      <c r="G511" s="932"/>
      <c r="H511" s="932"/>
      <c r="I511" s="932"/>
      <c r="J511" s="932"/>
      <c r="K511" s="932"/>
      <c r="L511" s="932"/>
      <c r="M511" s="932"/>
      <c r="N511" s="932"/>
      <c r="O511" s="932"/>
      <c r="P511" s="932"/>
      <c r="Q511" s="932"/>
      <c r="R511" s="932"/>
      <c r="S511" s="932"/>
      <c r="T511" s="932"/>
      <c r="U511" s="932"/>
      <c r="V511" s="932"/>
      <c r="W511" s="932"/>
      <c r="X511" s="932"/>
      <c r="Y511" s="932"/>
      <c r="Z511" s="932"/>
      <c r="AA511" s="932"/>
      <c r="AB511" s="932"/>
      <c r="AC511" s="932"/>
      <c r="AD511" s="932"/>
      <c r="AE511" s="932"/>
      <c r="AF511" s="932"/>
      <c r="AG511" s="932"/>
      <c r="AH511" s="932"/>
      <c r="AI511" s="932"/>
      <c r="AJ511" s="932"/>
      <c r="AK511" s="932"/>
      <c r="AL511" s="932"/>
      <c r="AM511" s="932"/>
      <c r="AN511" s="932"/>
      <c r="AO511" s="932"/>
      <c r="AP511" s="932"/>
      <c r="AQ511" s="932"/>
      <c r="AR511" s="932"/>
      <c r="AS511" s="932"/>
      <c r="AT511" s="932"/>
      <c r="AU511" s="932"/>
      <c r="AV511" s="932"/>
      <c r="AW511" s="932"/>
      <c r="AX511" s="932"/>
      <c r="AY511" s="932"/>
      <c r="AZ511" s="932"/>
      <c r="BA511" s="932"/>
      <c r="BB511" s="932"/>
      <c r="BC511" s="932"/>
      <c r="BD511" s="932"/>
      <c r="BE511" s="932"/>
      <c r="BF511" s="932"/>
    </row>
    <row r="512" spans="2:58" ht="15" x14ac:dyDescent="0.25">
      <c r="B512" s="932"/>
      <c r="C512" s="932"/>
      <c r="D512" s="932"/>
      <c r="E512" s="932"/>
      <c r="F512" s="932"/>
      <c r="G512" s="932"/>
      <c r="H512" s="932"/>
      <c r="I512" s="932"/>
      <c r="J512" s="932"/>
      <c r="K512" s="932"/>
      <c r="L512" s="932"/>
      <c r="M512" s="932"/>
      <c r="N512" s="932"/>
      <c r="O512" s="932"/>
      <c r="P512" s="932"/>
      <c r="Q512" s="932"/>
      <c r="R512" s="932"/>
      <c r="S512" s="932"/>
      <c r="T512" s="932"/>
      <c r="U512" s="932"/>
      <c r="V512" s="932"/>
      <c r="W512" s="932"/>
      <c r="X512" s="932"/>
      <c r="Y512" s="932"/>
      <c r="Z512" s="932"/>
      <c r="AA512" s="932"/>
      <c r="AB512" s="932"/>
      <c r="AC512" s="932"/>
      <c r="AD512" s="932"/>
      <c r="AE512" s="932"/>
      <c r="AF512" s="932"/>
      <c r="AG512" s="932"/>
      <c r="AH512" s="932"/>
      <c r="AI512" s="932"/>
      <c r="AJ512" s="932"/>
      <c r="AK512" s="932"/>
      <c r="AL512" s="932"/>
      <c r="AM512" s="932"/>
      <c r="AN512" s="932"/>
      <c r="AO512" s="932"/>
      <c r="AP512" s="932"/>
      <c r="AQ512" s="932"/>
      <c r="AR512" s="932"/>
      <c r="AS512" s="932"/>
      <c r="AT512" s="932"/>
      <c r="AU512" s="932"/>
      <c r="AV512" s="932"/>
      <c r="AW512" s="932"/>
      <c r="AX512" s="932"/>
      <c r="AY512" s="932"/>
      <c r="AZ512" s="932"/>
      <c r="BA512" s="932"/>
      <c r="BB512" s="932"/>
      <c r="BC512" s="932"/>
      <c r="BD512" s="932"/>
      <c r="BE512" s="932"/>
      <c r="BF512" s="932"/>
    </row>
    <row r="513" spans="2:58" ht="15" x14ac:dyDescent="0.25">
      <c r="B513" s="932"/>
      <c r="C513" s="932"/>
      <c r="D513" s="932"/>
      <c r="E513" s="932"/>
      <c r="F513" s="932"/>
      <c r="G513" s="932"/>
      <c r="H513" s="932"/>
      <c r="I513" s="932"/>
      <c r="J513" s="932"/>
      <c r="K513" s="932"/>
      <c r="L513" s="932"/>
      <c r="M513" s="932"/>
      <c r="N513" s="932"/>
      <c r="O513" s="932"/>
      <c r="P513" s="932"/>
      <c r="Q513" s="932"/>
      <c r="R513" s="932"/>
      <c r="S513" s="932"/>
      <c r="T513" s="932"/>
      <c r="U513" s="932"/>
      <c r="V513" s="932"/>
      <c r="W513" s="932"/>
      <c r="X513" s="932"/>
      <c r="Y513" s="932"/>
      <c r="Z513" s="932"/>
      <c r="AA513" s="932"/>
      <c r="AB513" s="932"/>
      <c r="AC513" s="932"/>
      <c r="AD513" s="932"/>
      <c r="AE513" s="932"/>
      <c r="AF513" s="932"/>
      <c r="AG513" s="932"/>
      <c r="AH513" s="932"/>
      <c r="AI513" s="932"/>
      <c r="AJ513" s="932"/>
      <c r="AK513" s="932"/>
      <c r="AL513" s="932"/>
      <c r="AM513" s="932"/>
      <c r="AN513" s="932"/>
      <c r="AO513" s="932"/>
      <c r="AP513" s="932"/>
      <c r="AQ513" s="932"/>
      <c r="AR513" s="932"/>
      <c r="AS513" s="932"/>
      <c r="AT513" s="932"/>
      <c r="AU513" s="932"/>
      <c r="AV513" s="932"/>
      <c r="AW513" s="932"/>
      <c r="AX513" s="932"/>
      <c r="AY513" s="932"/>
      <c r="AZ513" s="932"/>
      <c r="BA513" s="932"/>
      <c r="BB513" s="932"/>
      <c r="BC513" s="932"/>
      <c r="BD513" s="932"/>
      <c r="BE513" s="932"/>
      <c r="BF513" s="932"/>
    </row>
    <row r="514" spans="2:58" ht="15" x14ac:dyDescent="0.25">
      <c r="B514" s="932"/>
      <c r="C514" s="932"/>
      <c r="D514" s="932"/>
      <c r="E514" s="932"/>
      <c r="F514" s="932"/>
      <c r="G514" s="932"/>
      <c r="H514" s="932"/>
      <c r="I514" s="932"/>
      <c r="J514" s="932"/>
      <c r="K514" s="932"/>
      <c r="L514" s="932"/>
      <c r="M514" s="932"/>
      <c r="N514" s="932"/>
      <c r="O514" s="932"/>
      <c r="P514" s="932"/>
      <c r="Q514" s="932"/>
      <c r="R514" s="932"/>
      <c r="S514" s="932"/>
      <c r="T514" s="932"/>
      <c r="U514" s="932"/>
      <c r="V514" s="932"/>
      <c r="W514" s="932"/>
      <c r="X514" s="932"/>
      <c r="Y514" s="932"/>
      <c r="Z514" s="932"/>
      <c r="AA514" s="932"/>
      <c r="AB514" s="932"/>
      <c r="AC514" s="932"/>
      <c r="AD514" s="932"/>
      <c r="AE514" s="932"/>
      <c r="AF514" s="932"/>
      <c r="AG514" s="932"/>
      <c r="AH514" s="932"/>
      <c r="AI514" s="932"/>
      <c r="AJ514" s="932"/>
      <c r="AK514" s="932"/>
      <c r="AL514" s="932"/>
      <c r="AM514" s="932"/>
      <c r="AN514" s="932"/>
      <c r="AO514" s="932"/>
      <c r="AP514" s="932"/>
      <c r="AQ514" s="932"/>
      <c r="AR514" s="932"/>
      <c r="AS514" s="932"/>
      <c r="AT514" s="932"/>
      <c r="AU514" s="932"/>
      <c r="AV514" s="932"/>
      <c r="AW514" s="932"/>
      <c r="AX514" s="932"/>
      <c r="AY514" s="932"/>
      <c r="AZ514" s="932"/>
      <c r="BA514" s="932"/>
      <c r="BB514" s="932"/>
      <c r="BC514" s="932"/>
      <c r="BD514" s="932"/>
      <c r="BE514" s="932"/>
      <c r="BF514" s="932"/>
    </row>
    <row r="515" spans="2:58" ht="15" x14ac:dyDescent="0.25">
      <c r="B515" s="932"/>
      <c r="C515" s="932"/>
      <c r="D515" s="932"/>
      <c r="E515" s="932"/>
      <c r="F515" s="932"/>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932"/>
      <c r="AE515" s="932"/>
      <c r="AF515" s="932"/>
      <c r="AG515" s="932"/>
      <c r="AH515" s="932"/>
      <c r="AI515" s="932"/>
      <c r="AJ515" s="932"/>
      <c r="AK515" s="932"/>
      <c r="AL515" s="932"/>
      <c r="AM515" s="932"/>
      <c r="AN515" s="932"/>
      <c r="AO515" s="932"/>
      <c r="AP515" s="932"/>
      <c r="AQ515" s="932"/>
      <c r="AR515" s="932"/>
      <c r="AS515" s="932"/>
      <c r="AT515" s="932"/>
      <c r="AU515" s="932"/>
      <c r="AV515" s="932"/>
      <c r="AW515" s="932"/>
      <c r="AX515" s="932"/>
      <c r="AY515" s="932"/>
      <c r="AZ515" s="932"/>
      <c r="BA515" s="932"/>
      <c r="BB515" s="932"/>
      <c r="BC515" s="932"/>
      <c r="BD515" s="932"/>
      <c r="BE515" s="932"/>
      <c r="BF515" s="932"/>
    </row>
    <row r="516" spans="2:58" ht="15" x14ac:dyDescent="0.25">
      <c r="B516" s="932"/>
      <c r="C516" s="932"/>
      <c r="D516" s="932"/>
      <c r="E516" s="932"/>
      <c r="F516" s="932"/>
      <c r="G516" s="932"/>
      <c r="H516" s="932"/>
      <c r="I516" s="932"/>
      <c r="J516" s="932"/>
      <c r="K516" s="932"/>
      <c r="L516" s="932"/>
      <c r="M516" s="932"/>
      <c r="N516" s="932"/>
      <c r="O516" s="932"/>
      <c r="P516" s="932"/>
      <c r="Q516" s="932"/>
      <c r="R516" s="932"/>
      <c r="S516" s="932"/>
      <c r="T516" s="932"/>
      <c r="U516" s="932"/>
      <c r="V516" s="932"/>
      <c r="W516" s="932"/>
      <c r="X516" s="932"/>
      <c r="Y516" s="932"/>
      <c r="Z516" s="932"/>
      <c r="AA516" s="932"/>
      <c r="AB516" s="932"/>
      <c r="AC516" s="932"/>
      <c r="AD516" s="932"/>
      <c r="AE516" s="932"/>
      <c r="AF516" s="932"/>
      <c r="AG516" s="932"/>
      <c r="AH516" s="932"/>
      <c r="AI516" s="932"/>
      <c r="AJ516" s="932"/>
      <c r="AK516" s="932"/>
      <c r="AL516" s="932"/>
      <c r="AM516" s="932"/>
      <c r="AN516" s="932"/>
      <c r="AO516" s="932"/>
      <c r="AP516" s="932"/>
      <c r="AQ516" s="932"/>
      <c r="AR516" s="932"/>
      <c r="AS516" s="932"/>
      <c r="AT516" s="932"/>
      <c r="AU516" s="932"/>
      <c r="AV516" s="932"/>
      <c r="AW516" s="932"/>
      <c r="AX516" s="932"/>
      <c r="AY516" s="932"/>
      <c r="AZ516" s="932"/>
      <c r="BA516" s="932"/>
      <c r="BB516" s="932"/>
      <c r="BC516" s="932"/>
      <c r="BD516" s="932"/>
      <c r="BE516" s="932"/>
      <c r="BF516" s="932"/>
    </row>
    <row r="517" spans="2:58" ht="15" x14ac:dyDescent="0.25">
      <c r="B517" s="932"/>
      <c r="C517" s="932"/>
      <c r="D517" s="932"/>
      <c r="E517" s="932"/>
      <c r="F517" s="932"/>
      <c r="G517" s="932"/>
      <c r="H517" s="932"/>
      <c r="I517" s="932"/>
      <c r="J517" s="932"/>
      <c r="K517" s="932"/>
      <c r="L517" s="932"/>
      <c r="M517" s="932"/>
      <c r="N517" s="932"/>
      <c r="O517" s="932"/>
      <c r="P517" s="932"/>
      <c r="Q517" s="932"/>
      <c r="R517" s="932"/>
      <c r="S517" s="932"/>
      <c r="T517" s="932"/>
      <c r="U517" s="932"/>
      <c r="V517" s="932"/>
      <c r="W517" s="932"/>
      <c r="X517" s="932"/>
      <c r="Y517" s="932"/>
      <c r="Z517" s="932"/>
      <c r="AA517" s="932"/>
      <c r="AB517" s="932"/>
      <c r="AC517" s="932"/>
      <c r="AD517" s="932"/>
      <c r="AE517" s="932"/>
      <c r="AF517" s="932"/>
      <c r="AG517" s="932"/>
      <c r="AH517" s="932"/>
      <c r="AI517" s="932"/>
      <c r="AJ517" s="932"/>
      <c r="AK517" s="932"/>
      <c r="AL517" s="932"/>
      <c r="AM517" s="932"/>
      <c r="AN517" s="932"/>
      <c r="AO517" s="932"/>
      <c r="AP517" s="932"/>
      <c r="AQ517" s="932"/>
      <c r="AR517" s="932"/>
      <c r="AS517" s="932"/>
      <c r="AT517" s="932"/>
      <c r="AU517" s="932"/>
      <c r="AV517" s="932"/>
      <c r="AW517" s="932"/>
      <c r="AX517" s="932"/>
      <c r="AY517" s="932"/>
      <c r="AZ517" s="932"/>
      <c r="BA517" s="932"/>
      <c r="BB517" s="932"/>
      <c r="BC517" s="932"/>
      <c r="BD517" s="932"/>
      <c r="BE517" s="932"/>
      <c r="BF517" s="932"/>
    </row>
    <row r="518" spans="2:58" ht="15" x14ac:dyDescent="0.25">
      <c r="B518" s="932"/>
      <c r="C518" s="932"/>
      <c r="D518" s="932"/>
      <c r="E518" s="932"/>
      <c r="F518" s="932"/>
      <c r="G518" s="932"/>
      <c r="H518" s="932"/>
      <c r="I518" s="932"/>
      <c r="J518" s="932"/>
      <c r="K518" s="932"/>
      <c r="L518" s="932"/>
      <c r="M518" s="932"/>
      <c r="N518" s="932"/>
      <c r="O518" s="932"/>
      <c r="P518" s="932"/>
      <c r="Q518" s="932"/>
      <c r="R518" s="932"/>
      <c r="S518" s="932"/>
      <c r="T518" s="932"/>
      <c r="U518" s="932"/>
      <c r="V518" s="932"/>
      <c r="W518" s="932"/>
      <c r="X518" s="932"/>
      <c r="Y518" s="932"/>
      <c r="Z518" s="932"/>
      <c r="AA518" s="932"/>
      <c r="AB518" s="932"/>
      <c r="AC518" s="932"/>
      <c r="AD518" s="932"/>
      <c r="AE518" s="932"/>
      <c r="AF518" s="932"/>
      <c r="AG518" s="932"/>
      <c r="AH518" s="932"/>
      <c r="AI518" s="932"/>
      <c r="AJ518" s="932"/>
      <c r="AK518" s="932"/>
      <c r="AL518" s="932"/>
      <c r="AM518" s="932"/>
      <c r="AN518" s="932"/>
      <c r="AO518" s="932"/>
      <c r="AP518" s="932"/>
      <c r="AQ518" s="932"/>
      <c r="AR518" s="932"/>
      <c r="AS518" s="932"/>
      <c r="AT518" s="932"/>
      <c r="AU518" s="932"/>
      <c r="AV518" s="932"/>
      <c r="AW518" s="932"/>
      <c r="AX518" s="932"/>
      <c r="AY518" s="932"/>
      <c r="AZ518" s="932"/>
      <c r="BA518" s="932"/>
      <c r="BB518" s="932"/>
      <c r="BC518" s="932"/>
      <c r="BD518" s="932"/>
      <c r="BE518" s="932"/>
      <c r="BF518" s="932"/>
    </row>
    <row r="519" spans="2:58" ht="15" x14ac:dyDescent="0.25">
      <c r="B519" s="932"/>
      <c r="C519" s="932"/>
      <c r="D519" s="932"/>
      <c r="E519" s="932"/>
      <c r="F519" s="932"/>
      <c r="G519" s="932"/>
      <c r="H519" s="932"/>
      <c r="I519" s="932"/>
      <c r="J519" s="932"/>
      <c r="K519" s="932"/>
      <c r="L519" s="932"/>
      <c r="M519" s="932"/>
      <c r="N519" s="932"/>
      <c r="O519" s="932"/>
      <c r="P519" s="932"/>
      <c r="Q519" s="932"/>
      <c r="R519" s="932"/>
      <c r="S519" s="932"/>
      <c r="T519" s="932"/>
      <c r="U519" s="932"/>
      <c r="V519" s="932"/>
      <c r="W519" s="932"/>
      <c r="X519" s="932"/>
      <c r="Y519" s="932"/>
      <c r="Z519" s="932"/>
      <c r="AA519" s="932"/>
      <c r="AB519" s="932"/>
      <c r="AC519" s="932"/>
      <c r="AD519" s="932"/>
      <c r="AE519" s="932"/>
      <c r="AF519" s="932"/>
      <c r="AG519" s="932"/>
      <c r="AH519" s="932"/>
      <c r="AI519" s="932"/>
      <c r="AJ519" s="932"/>
      <c r="AK519" s="932"/>
      <c r="AL519" s="932"/>
      <c r="AM519" s="932"/>
      <c r="AN519" s="932"/>
      <c r="AO519" s="932"/>
      <c r="AP519" s="932"/>
      <c r="AQ519" s="932"/>
      <c r="AR519" s="932"/>
      <c r="AS519" s="932"/>
      <c r="AT519" s="932"/>
      <c r="AU519" s="932"/>
      <c r="AV519" s="932"/>
      <c r="AW519" s="932"/>
      <c r="AX519" s="932"/>
      <c r="AY519" s="932"/>
      <c r="AZ519" s="932"/>
      <c r="BA519" s="932"/>
      <c r="BB519" s="932"/>
      <c r="BC519" s="932"/>
      <c r="BD519" s="932"/>
      <c r="BE519" s="932"/>
      <c r="BF519" s="932"/>
    </row>
    <row r="520" spans="2:58" ht="15" x14ac:dyDescent="0.25">
      <c r="B520" s="932"/>
      <c r="C520" s="932"/>
      <c r="D520" s="932"/>
      <c r="E520" s="932"/>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932"/>
      <c r="AE520" s="932"/>
      <c r="AF520" s="932"/>
      <c r="AG520" s="932"/>
      <c r="AH520" s="932"/>
      <c r="AI520" s="932"/>
      <c r="AJ520" s="932"/>
      <c r="AK520" s="932"/>
      <c r="AL520" s="932"/>
      <c r="AM520" s="932"/>
      <c r="AN520" s="932"/>
      <c r="AO520" s="932"/>
      <c r="AP520" s="932"/>
      <c r="AQ520" s="932"/>
      <c r="AR520" s="932"/>
      <c r="AS520" s="932"/>
      <c r="AT520" s="932"/>
      <c r="AU520" s="932"/>
      <c r="AV520" s="932"/>
      <c r="AW520" s="932"/>
      <c r="AX520" s="932"/>
      <c r="AY520" s="932"/>
      <c r="AZ520" s="932"/>
      <c r="BA520" s="932"/>
      <c r="BB520" s="932"/>
      <c r="BC520" s="932"/>
      <c r="BD520" s="932"/>
      <c r="BE520" s="932"/>
      <c r="BF520" s="932"/>
    </row>
    <row r="521" spans="2:58" ht="15" x14ac:dyDescent="0.25">
      <c r="B521" s="932"/>
      <c r="C521" s="932"/>
      <c r="D521" s="932"/>
      <c r="E521" s="932"/>
      <c r="F521" s="932"/>
      <c r="G521" s="932"/>
      <c r="H521" s="932"/>
      <c r="I521" s="932"/>
      <c r="J521" s="932"/>
      <c r="K521" s="932"/>
      <c r="L521" s="932"/>
      <c r="M521" s="932"/>
      <c r="N521" s="932"/>
      <c r="O521" s="932"/>
      <c r="P521" s="932"/>
      <c r="Q521" s="932"/>
      <c r="R521" s="932"/>
      <c r="S521" s="932"/>
      <c r="T521" s="932"/>
      <c r="U521" s="932"/>
      <c r="V521" s="932"/>
      <c r="W521" s="932"/>
      <c r="X521" s="932"/>
      <c r="Y521" s="932"/>
      <c r="Z521" s="932"/>
      <c r="AA521" s="932"/>
      <c r="AB521" s="932"/>
      <c r="AC521" s="932"/>
      <c r="AD521" s="932"/>
      <c r="AE521" s="932"/>
      <c r="AF521" s="932"/>
      <c r="AG521" s="932"/>
      <c r="AH521" s="932"/>
      <c r="AI521" s="932"/>
      <c r="AJ521" s="932"/>
      <c r="AK521" s="932"/>
      <c r="AL521" s="932"/>
      <c r="AM521" s="932"/>
      <c r="AN521" s="932"/>
      <c r="AO521" s="932"/>
      <c r="AP521" s="932"/>
      <c r="AQ521" s="932"/>
      <c r="AR521" s="932"/>
      <c r="AS521" s="932"/>
      <c r="AT521" s="932"/>
      <c r="AU521" s="932"/>
      <c r="AV521" s="932"/>
      <c r="AW521" s="932"/>
      <c r="AX521" s="932"/>
      <c r="AY521" s="932"/>
      <c r="AZ521" s="932"/>
      <c r="BA521" s="932"/>
      <c r="BB521" s="932"/>
      <c r="BC521" s="932"/>
      <c r="BD521" s="932"/>
      <c r="BE521" s="932"/>
      <c r="BF521" s="932"/>
    </row>
    <row r="522" spans="2:58" ht="15" x14ac:dyDescent="0.25">
      <c r="B522" s="932"/>
      <c r="C522" s="932"/>
      <c r="D522" s="932"/>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932"/>
      <c r="AE522" s="932"/>
      <c r="AF522" s="932"/>
      <c r="AG522" s="932"/>
      <c r="AH522" s="932"/>
      <c r="AI522" s="932"/>
      <c r="AJ522" s="932"/>
      <c r="AK522" s="932"/>
      <c r="AL522" s="932"/>
      <c r="AM522" s="932"/>
      <c r="AN522" s="932"/>
      <c r="AO522" s="932"/>
      <c r="AP522" s="932"/>
      <c r="AQ522" s="932"/>
      <c r="AR522" s="932"/>
      <c r="AS522" s="932"/>
      <c r="AT522" s="932"/>
      <c r="AU522" s="932"/>
      <c r="AV522" s="932"/>
      <c r="AW522" s="932"/>
      <c r="AX522" s="932"/>
      <c r="AY522" s="932"/>
      <c r="AZ522" s="932"/>
      <c r="BA522" s="932"/>
      <c r="BB522" s="932"/>
      <c r="BC522" s="932"/>
      <c r="BD522" s="932"/>
      <c r="BE522" s="932"/>
      <c r="BF522" s="932"/>
    </row>
    <row r="523" spans="2:58" ht="15" x14ac:dyDescent="0.25">
      <c r="B523" s="932"/>
      <c r="C523" s="932"/>
      <c r="D523" s="932"/>
      <c r="E523" s="932"/>
      <c r="F523" s="932"/>
      <c r="G523" s="932"/>
      <c r="H523" s="932"/>
      <c r="I523" s="932"/>
      <c r="J523" s="932"/>
      <c r="K523" s="932"/>
      <c r="L523" s="932"/>
      <c r="M523" s="932"/>
      <c r="N523" s="932"/>
      <c r="O523" s="932"/>
      <c r="P523" s="932"/>
      <c r="Q523" s="932"/>
      <c r="R523" s="932"/>
      <c r="S523" s="932"/>
      <c r="T523" s="932"/>
      <c r="U523" s="932"/>
      <c r="V523" s="932"/>
      <c r="W523" s="932"/>
      <c r="X523" s="932"/>
      <c r="Y523" s="932"/>
      <c r="Z523" s="932"/>
      <c r="AA523" s="932"/>
      <c r="AB523" s="932"/>
      <c r="AC523" s="932"/>
      <c r="AD523" s="932"/>
      <c r="AE523" s="932"/>
      <c r="AF523" s="932"/>
      <c r="AG523" s="932"/>
      <c r="AH523" s="932"/>
      <c r="AI523" s="932"/>
      <c r="AJ523" s="932"/>
      <c r="AK523" s="932"/>
      <c r="AL523" s="932"/>
      <c r="AM523" s="932"/>
      <c r="AN523" s="932"/>
      <c r="AO523" s="932"/>
      <c r="AP523" s="932"/>
      <c r="AQ523" s="932"/>
      <c r="AR523" s="932"/>
      <c r="AS523" s="932"/>
      <c r="AT523" s="932"/>
      <c r="AU523" s="932"/>
      <c r="AV523" s="932"/>
      <c r="AW523" s="932"/>
      <c r="AX523" s="932"/>
      <c r="AY523" s="932"/>
      <c r="AZ523" s="932"/>
      <c r="BA523" s="932"/>
      <c r="BB523" s="932"/>
      <c r="BC523" s="932"/>
      <c r="BD523" s="932"/>
      <c r="BE523" s="932"/>
      <c r="BF523" s="932"/>
    </row>
    <row r="524" spans="2:58" ht="15" x14ac:dyDescent="0.25">
      <c r="B524" s="932"/>
      <c r="C524" s="932"/>
      <c r="D524" s="932"/>
      <c r="E524" s="932"/>
      <c r="F524" s="932"/>
      <c r="G524" s="932"/>
      <c r="H524" s="932"/>
      <c r="I524" s="932"/>
      <c r="J524" s="932"/>
      <c r="K524" s="932"/>
      <c r="L524" s="932"/>
      <c r="M524" s="932"/>
      <c r="N524" s="932"/>
      <c r="O524" s="932"/>
      <c r="P524" s="932"/>
      <c r="Q524" s="932"/>
      <c r="R524" s="932"/>
      <c r="S524" s="932"/>
      <c r="T524" s="932"/>
      <c r="U524" s="932"/>
      <c r="V524" s="932"/>
      <c r="W524" s="932"/>
      <c r="X524" s="932"/>
      <c r="Y524" s="932"/>
      <c r="Z524" s="932"/>
      <c r="AA524" s="932"/>
      <c r="AB524" s="932"/>
      <c r="AC524" s="932"/>
      <c r="AD524" s="932"/>
      <c r="AE524" s="932"/>
      <c r="AF524" s="932"/>
      <c r="AG524" s="932"/>
      <c r="AH524" s="932"/>
      <c r="AI524" s="932"/>
      <c r="AJ524" s="932"/>
      <c r="AK524" s="932"/>
      <c r="AL524" s="932"/>
      <c r="AM524" s="932"/>
      <c r="AN524" s="932"/>
      <c r="AO524" s="932"/>
      <c r="AP524" s="932"/>
      <c r="AQ524" s="932"/>
      <c r="AR524" s="932"/>
      <c r="AS524" s="932"/>
      <c r="AT524" s="932"/>
      <c r="AU524" s="932"/>
      <c r="AV524" s="932"/>
      <c r="AW524" s="932"/>
      <c r="AX524" s="932"/>
      <c r="AY524" s="932"/>
      <c r="AZ524" s="932"/>
      <c r="BA524" s="932"/>
      <c r="BB524" s="932"/>
      <c r="BC524" s="932"/>
      <c r="BD524" s="932"/>
      <c r="BE524" s="932"/>
      <c r="BF524" s="932"/>
    </row>
    <row r="525" spans="2:58" ht="15" x14ac:dyDescent="0.25">
      <c r="B525" s="932"/>
      <c r="C525" s="932"/>
      <c r="D525" s="932"/>
      <c r="E525" s="932"/>
      <c r="F525" s="932"/>
      <c r="G525" s="932"/>
      <c r="H525" s="932"/>
      <c r="I525" s="932"/>
      <c r="J525" s="932"/>
      <c r="K525" s="932"/>
      <c r="L525" s="932"/>
      <c r="M525" s="932"/>
      <c r="N525" s="932"/>
      <c r="O525" s="932"/>
      <c r="P525" s="932"/>
      <c r="Q525" s="932"/>
      <c r="R525" s="932"/>
      <c r="S525" s="932"/>
      <c r="T525" s="932"/>
      <c r="U525" s="932"/>
      <c r="V525" s="932"/>
      <c r="W525" s="932"/>
      <c r="X525" s="932"/>
      <c r="Y525" s="932"/>
      <c r="Z525" s="932"/>
      <c r="AA525" s="932"/>
      <c r="AB525" s="932"/>
      <c r="AC525" s="932"/>
      <c r="AD525" s="932"/>
      <c r="AE525" s="932"/>
      <c r="AF525" s="932"/>
      <c r="AG525" s="932"/>
      <c r="AH525" s="932"/>
      <c r="AI525" s="932"/>
      <c r="AJ525" s="932"/>
      <c r="AK525" s="932"/>
      <c r="AL525" s="932"/>
      <c r="AM525" s="932"/>
      <c r="AN525" s="932"/>
      <c r="AO525" s="932"/>
      <c r="AP525" s="932"/>
      <c r="AQ525" s="932"/>
      <c r="AR525" s="932"/>
      <c r="AS525" s="932"/>
      <c r="AT525" s="932"/>
      <c r="AU525" s="932"/>
      <c r="AV525" s="932"/>
      <c r="AW525" s="932"/>
      <c r="AX525" s="932"/>
      <c r="AY525" s="932"/>
      <c r="AZ525" s="932"/>
      <c r="BA525" s="932"/>
      <c r="BB525" s="932"/>
      <c r="BC525" s="932"/>
      <c r="BD525" s="932"/>
      <c r="BE525" s="932"/>
      <c r="BF525" s="932"/>
    </row>
    <row r="526" spans="2:58" ht="15" x14ac:dyDescent="0.25">
      <c r="B526" s="932"/>
      <c r="C526" s="932"/>
      <c r="D526" s="932"/>
      <c r="E526" s="932"/>
      <c r="F526" s="932"/>
      <c r="G526" s="932"/>
      <c r="H526" s="932"/>
      <c r="I526" s="932"/>
      <c r="J526" s="932"/>
      <c r="K526" s="932"/>
      <c r="L526" s="932"/>
      <c r="M526" s="932"/>
      <c r="N526" s="932"/>
      <c r="O526" s="932"/>
      <c r="P526" s="932"/>
      <c r="Q526" s="932"/>
      <c r="R526" s="932"/>
      <c r="S526" s="932"/>
      <c r="T526" s="932"/>
      <c r="U526" s="932"/>
      <c r="V526" s="932"/>
      <c r="W526" s="932"/>
      <c r="X526" s="932"/>
      <c r="Y526" s="932"/>
      <c r="Z526" s="932"/>
      <c r="AA526" s="932"/>
      <c r="AB526" s="932"/>
      <c r="AC526" s="932"/>
      <c r="AD526" s="932"/>
      <c r="AE526" s="932"/>
      <c r="AF526" s="932"/>
      <c r="AG526" s="932"/>
      <c r="AH526" s="932"/>
      <c r="AI526" s="932"/>
      <c r="AJ526" s="932"/>
      <c r="AK526" s="932"/>
      <c r="AL526" s="932"/>
      <c r="AM526" s="932"/>
      <c r="AN526" s="932"/>
      <c r="AO526" s="932"/>
      <c r="AP526" s="932"/>
      <c r="AQ526" s="932"/>
      <c r="AR526" s="932"/>
      <c r="AS526" s="932"/>
      <c r="AT526" s="932"/>
      <c r="AU526" s="932"/>
      <c r="AV526" s="932"/>
      <c r="AW526" s="932"/>
      <c r="AX526" s="932"/>
      <c r="AY526" s="932"/>
      <c r="AZ526" s="932"/>
      <c r="BA526" s="932"/>
      <c r="BB526" s="932"/>
      <c r="BC526" s="932"/>
      <c r="BD526" s="932"/>
      <c r="BE526" s="932"/>
      <c r="BF526" s="932"/>
    </row>
    <row r="527" spans="2:58" ht="15" x14ac:dyDescent="0.25">
      <c r="B527" s="932"/>
      <c r="C527" s="932"/>
      <c r="D527" s="932"/>
      <c r="E527" s="932"/>
      <c r="F527" s="932"/>
      <c r="G527" s="932"/>
      <c r="H527" s="932"/>
      <c r="I527" s="932"/>
      <c r="J527" s="932"/>
      <c r="K527" s="932"/>
      <c r="L527" s="932"/>
      <c r="M527" s="932"/>
      <c r="N527" s="932"/>
      <c r="O527" s="932"/>
      <c r="P527" s="932"/>
      <c r="Q527" s="932"/>
      <c r="R527" s="932"/>
      <c r="S527" s="932"/>
      <c r="T527" s="932"/>
      <c r="U527" s="932"/>
      <c r="V527" s="932"/>
      <c r="W527" s="932"/>
      <c r="X527" s="932"/>
      <c r="Y527" s="932"/>
      <c r="Z527" s="932"/>
      <c r="AA527" s="932"/>
      <c r="AB527" s="932"/>
      <c r="AC527" s="932"/>
      <c r="AD527" s="932"/>
      <c r="AE527" s="932"/>
      <c r="AF527" s="932"/>
      <c r="AG527" s="932"/>
      <c r="AH527" s="932"/>
      <c r="AI527" s="932"/>
      <c r="AJ527" s="932"/>
      <c r="AK527" s="932"/>
      <c r="AL527" s="932"/>
      <c r="AM527" s="932"/>
      <c r="AN527" s="932"/>
      <c r="AO527" s="932"/>
      <c r="AP527" s="932"/>
      <c r="AQ527" s="932"/>
      <c r="AR527" s="932"/>
      <c r="AS527" s="932"/>
      <c r="AT527" s="932"/>
      <c r="AU527" s="932"/>
      <c r="AV527" s="932"/>
      <c r="AW527" s="932"/>
      <c r="AX527" s="932"/>
      <c r="AY527" s="932"/>
      <c r="AZ527" s="932"/>
      <c r="BA527" s="932"/>
      <c r="BB527" s="932"/>
      <c r="BC527" s="932"/>
      <c r="BD527" s="932"/>
      <c r="BE527" s="932"/>
      <c r="BF527" s="932"/>
    </row>
    <row r="528" spans="2:58" ht="15" x14ac:dyDescent="0.25">
      <c r="B528" s="932"/>
      <c r="C528" s="932"/>
      <c r="D528" s="932"/>
      <c r="E528" s="932"/>
      <c r="F528" s="932"/>
      <c r="G528" s="932"/>
      <c r="H528" s="932"/>
      <c r="I528" s="932"/>
      <c r="J528" s="932"/>
      <c r="K528" s="932"/>
      <c r="L528" s="932"/>
      <c r="M528" s="932"/>
      <c r="N528" s="932"/>
      <c r="O528" s="932"/>
      <c r="P528" s="932"/>
      <c r="Q528" s="932"/>
      <c r="R528" s="932"/>
      <c r="S528" s="932"/>
      <c r="T528" s="932"/>
      <c r="U528" s="932"/>
      <c r="V528" s="932"/>
      <c r="W528" s="932"/>
      <c r="X528" s="932"/>
      <c r="Y528" s="932"/>
      <c r="Z528" s="932"/>
      <c r="AA528" s="932"/>
      <c r="AB528" s="932"/>
      <c r="AC528" s="932"/>
      <c r="AD528" s="932"/>
      <c r="AE528" s="932"/>
      <c r="AF528" s="932"/>
      <c r="AG528" s="932"/>
      <c r="AH528" s="932"/>
      <c r="AI528" s="932"/>
      <c r="AJ528" s="932"/>
      <c r="AK528" s="932"/>
      <c r="AL528" s="932"/>
      <c r="AM528" s="932"/>
      <c r="AN528" s="932"/>
      <c r="AO528" s="932"/>
      <c r="AP528" s="932"/>
      <c r="AQ528" s="932"/>
      <c r="AR528" s="932"/>
      <c r="AS528" s="932"/>
      <c r="AT528" s="932"/>
      <c r="AU528" s="932"/>
      <c r="AV528" s="932"/>
      <c r="AW528" s="932"/>
      <c r="AX528" s="932"/>
      <c r="AY528" s="932"/>
      <c r="AZ528" s="932"/>
      <c r="BA528" s="932"/>
      <c r="BB528" s="932"/>
      <c r="BC528" s="932"/>
      <c r="BD528" s="932"/>
      <c r="BE528" s="932"/>
      <c r="BF528" s="932"/>
    </row>
    <row r="529" spans="2:58" ht="15" x14ac:dyDescent="0.25">
      <c r="B529" s="932"/>
      <c r="C529" s="932"/>
      <c r="D529" s="932"/>
      <c r="E529" s="932"/>
      <c r="F529" s="932"/>
      <c r="G529" s="932"/>
      <c r="H529" s="932"/>
      <c r="I529" s="932"/>
      <c r="J529" s="932"/>
      <c r="K529" s="932"/>
      <c r="L529" s="932"/>
      <c r="M529" s="932"/>
      <c r="N529" s="932"/>
      <c r="O529" s="932"/>
      <c r="P529" s="932"/>
      <c r="Q529" s="932"/>
      <c r="R529" s="932"/>
      <c r="S529" s="932"/>
      <c r="T529" s="932"/>
      <c r="U529" s="932"/>
      <c r="V529" s="932"/>
      <c r="W529" s="932"/>
      <c r="X529" s="932"/>
      <c r="Y529" s="932"/>
      <c r="Z529" s="932"/>
      <c r="AA529" s="932"/>
      <c r="AB529" s="932"/>
      <c r="AC529" s="932"/>
      <c r="AD529" s="932"/>
      <c r="AE529" s="932"/>
      <c r="AF529" s="932"/>
      <c r="AG529" s="932"/>
      <c r="AH529" s="932"/>
      <c r="AI529" s="932"/>
      <c r="AJ529" s="932"/>
      <c r="AK529" s="932"/>
      <c r="AL529" s="932"/>
      <c r="AM529" s="932"/>
      <c r="AN529" s="932"/>
      <c r="AO529" s="932"/>
      <c r="AP529" s="932"/>
      <c r="AQ529" s="932"/>
      <c r="AR529" s="932"/>
      <c r="AS529" s="932"/>
      <c r="AT529" s="932"/>
      <c r="AU529" s="932"/>
      <c r="AV529" s="932"/>
      <c r="AW529" s="932"/>
      <c r="AX529" s="932"/>
      <c r="AY529" s="932"/>
      <c r="AZ529" s="932"/>
      <c r="BA529" s="932"/>
      <c r="BB529" s="932"/>
      <c r="BC529" s="932"/>
      <c r="BD529" s="932"/>
      <c r="BE529" s="932"/>
      <c r="BF529" s="932"/>
    </row>
    <row r="530" spans="2:58" ht="15" x14ac:dyDescent="0.25">
      <c r="B530" s="932"/>
      <c r="C530" s="932"/>
      <c r="D530" s="932"/>
      <c r="E530" s="932"/>
      <c r="F530" s="932"/>
      <c r="G530" s="932"/>
      <c r="H530" s="932"/>
      <c r="I530" s="932"/>
      <c r="J530" s="932"/>
      <c r="K530" s="932"/>
      <c r="L530" s="932"/>
      <c r="M530" s="932"/>
      <c r="N530" s="932"/>
      <c r="O530" s="932"/>
      <c r="P530" s="932"/>
      <c r="Q530" s="932"/>
      <c r="R530" s="932"/>
      <c r="S530" s="932"/>
      <c r="T530" s="932"/>
      <c r="U530" s="932"/>
      <c r="V530" s="932"/>
      <c r="W530" s="932"/>
      <c r="X530" s="932"/>
      <c r="Y530" s="932"/>
      <c r="Z530" s="932"/>
      <c r="AA530" s="932"/>
      <c r="AB530" s="932"/>
      <c r="AC530" s="932"/>
      <c r="AD530" s="932"/>
      <c r="AE530" s="932"/>
      <c r="AF530" s="932"/>
      <c r="AG530" s="932"/>
      <c r="AH530" s="932"/>
      <c r="AI530" s="932"/>
      <c r="AJ530" s="932"/>
      <c r="AK530" s="932"/>
      <c r="AL530" s="932"/>
      <c r="AM530" s="932"/>
      <c r="AN530" s="932"/>
      <c r="AO530" s="932"/>
      <c r="AP530" s="932"/>
      <c r="AQ530" s="932"/>
      <c r="AR530" s="932"/>
      <c r="AS530" s="932"/>
      <c r="AT530" s="932"/>
      <c r="AU530" s="932"/>
      <c r="AV530" s="932"/>
      <c r="AW530" s="932"/>
      <c r="AX530" s="932"/>
      <c r="AY530" s="932"/>
      <c r="AZ530" s="932"/>
      <c r="BA530" s="932"/>
      <c r="BB530" s="932"/>
      <c r="BC530" s="932"/>
      <c r="BD530" s="932"/>
      <c r="BE530" s="932"/>
      <c r="BF530" s="932"/>
    </row>
    <row r="531" spans="2:58" ht="15" x14ac:dyDescent="0.25">
      <c r="B531" s="932"/>
      <c r="C531" s="932"/>
      <c r="D531" s="932"/>
      <c r="E531" s="932"/>
      <c r="F531" s="932"/>
      <c r="G531" s="932"/>
      <c r="H531" s="932"/>
      <c r="I531" s="932"/>
      <c r="J531" s="932"/>
      <c r="K531" s="932"/>
      <c r="L531" s="932"/>
      <c r="M531" s="932"/>
      <c r="N531" s="932"/>
      <c r="O531" s="932"/>
      <c r="P531" s="932"/>
      <c r="Q531" s="932"/>
      <c r="R531" s="932"/>
      <c r="S531" s="932"/>
      <c r="T531" s="932"/>
      <c r="U531" s="932"/>
      <c r="V531" s="932"/>
      <c r="W531" s="932"/>
      <c r="X531" s="932"/>
      <c r="Y531" s="932"/>
      <c r="Z531" s="932"/>
      <c r="AA531" s="932"/>
      <c r="AB531" s="932"/>
      <c r="AC531" s="932"/>
      <c r="AD531" s="932"/>
      <c r="AE531" s="932"/>
      <c r="AF531" s="932"/>
      <c r="AG531" s="932"/>
      <c r="AH531" s="932"/>
      <c r="AI531" s="932"/>
      <c r="AJ531" s="932"/>
      <c r="AK531" s="932"/>
      <c r="AL531" s="932"/>
      <c r="AM531" s="932"/>
      <c r="AN531" s="932"/>
      <c r="AO531" s="932"/>
      <c r="AP531" s="932"/>
      <c r="AQ531" s="932"/>
      <c r="AR531" s="932"/>
      <c r="AS531" s="932"/>
      <c r="AT531" s="932"/>
      <c r="AU531" s="932"/>
      <c r="AV531" s="932"/>
      <c r="AW531" s="932"/>
      <c r="AX531" s="932"/>
      <c r="AY531" s="932"/>
      <c r="AZ531" s="932"/>
      <c r="BA531" s="932"/>
      <c r="BB531" s="932"/>
      <c r="BC531" s="932"/>
      <c r="BD531" s="932"/>
      <c r="BE531" s="932"/>
      <c r="BF531" s="932"/>
    </row>
    <row r="532" spans="2:58" ht="15" x14ac:dyDescent="0.25">
      <c r="B532" s="932"/>
      <c r="C532" s="932"/>
      <c r="D532" s="932"/>
      <c r="E532" s="932"/>
      <c r="F532" s="932"/>
      <c r="G532" s="932"/>
      <c r="H532" s="932"/>
      <c r="I532" s="932"/>
      <c r="J532" s="932"/>
      <c r="K532" s="932"/>
      <c r="L532" s="932"/>
      <c r="M532" s="932"/>
      <c r="N532" s="932"/>
      <c r="O532" s="932"/>
      <c r="P532" s="932"/>
      <c r="Q532" s="932"/>
      <c r="R532" s="932"/>
      <c r="S532" s="932"/>
      <c r="T532" s="932"/>
      <c r="U532" s="932"/>
      <c r="V532" s="932"/>
      <c r="W532" s="932"/>
      <c r="X532" s="932"/>
      <c r="Y532" s="932"/>
      <c r="Z532" s="932"/>
      <c r="AA532" s="932"/>
      <c r="AB532" s="932"/>
      <c r="AC532" s="932"/>
      <c r="AD532" s="932"/>
      <c r="AE532" s="932"/>
      <c r="AF532" s="932"/>
      <c r="AG532" s="932"/>
      <c r="AH532" s="932"/>
      <c r="AI532" s="932"/>
      <c r="AJ532" s="932"/>
      <c r="AK532" s="932"/>
      <c r="AL532" s="932"/>
      <c r="AM532" s="932"/>
      <c r="AN532" s="932"/>
      <c r="AO532" s="932"/>
      <c r="AP532" s="932"/>
      <c r="AQ532" s="932"/>
      <c r="AR532" s="932"/>
      <c r="AS532" s="932"/>
      <c r="AT532" s="932"/>
      <c r="AU532" s="932"/>
      <c r="AV532" s="932"/>
      <c r="AW532" s="932"/>
      <c r="AX532" s="932"/>
      <c r="AY532" s="932"/>
      <c r="AZ532" s="932"/>
      <c r="BA532" s="932"/>
      <c r="BB532" s="932"/>
      <c r="BC532" s="932"/>
      <c r="BD532" s="932"/>
      <c r="BE532" s="932"/>
      <c r="BF532" s="932"/>
    </row>
    <row r="533" spans="2:58" ht="15" x14ac:dyDescent="0.25">
      <c r="B533" s="932"/>
      <c r="C533" s="932"/>
      <c r="D533" s="932"/>
      <c r="E533" s="932"/>
      <c r="F533" s="932"/>
      <c r="G533" s="932"/>
      <c r="H533" s="932"/>
      <c r="I533" s="932"/>
      <c r="J533" s="932"/>
      <c r="K533" s="932"/>
      <c r="L533" s="932"/>
      <c r="M533" s="932"/>
      <c r="N533" s="932"/>
      <c r="O533" s="932"/>
      <c r="P533" s="932"/>
      <c r="Q533" s="932"/>
      <c r="R533" s="932"/>
      <c r="S533" s="932"/>
      <c r="T533" s="932"/>
      <c r="U533" s="932"/>
      <c r="V533" s="932"/>
      <c r="W533" s="932"/>
      <c r="X533" s="932"/>
      <c r="Y533" s="932"/>
      <c r="Z533" s="932"/>
      <c r="AA533" s="932"/>
      <c r="AB533" s="932"/>
      <c r="AC533" s="932"/>
      <c r="AD533" s="932"/>
      <c r="AE533" s="932"/>
      <c r="AF533" s="932"/>
      <c r="AG533" s="932"/>
      <c r="AH533" s="932"/>
      <c r="AI533" s="932"/>
      <c r="AJ533" s="932"/>
      <c r="AK533" s="932"/>
      <c r="AL533" s="932"/>
      <c r="AM533" s="932"/>
      <c r="AN533" s="932"/>
      <c r="AO533" s="932"/>
      <c r="AP533" s="932"/>
      <c r="AQ533" s="932"/>
      <c r="AR533" s="932"/>
      <c r="AS533" s="932"/>
      <c r="AT533" s="932"/>
      <c r="AU533" s="932"/>
      <c r="AV533" s="932"/>
      <c r="AW533" s="932"/>
      <c r="AX533" s="932"/>
      <c r="AY533" s="932"/>
      <c r="AZ533" s="932"/>
      <c r="BA533" s="932"/>
      <c r="BB533" s="932"/>
      <c r="BC533" s="932"/>
      <c r="BD533" s="932"/>
      <c r="BE533" s="932"/>
      <c r="BF533" s="932"/>
    </row>
    <row r="534" spans="2:58" ht="15" x14ac:dyDescent="0.25">
      <c r="B534" s="932"/>
      <c r="C534" s="932"/>
      <c r="D534" s="932"/>
      <c r="E534" s="932"/>
      <c r="F534" s="932"/>
      <c r="G534" s="932"/>
      <c r="H534" s="932"/>
      <c r="I534" s="932"/>
      <c r="J534" s="932"/>
      <c r="K534" s="932"/>
      <c r="L534" s="932"/>
      <c r="M534" s="932"/>
      <c r="N534" s="932"/>
      <c r="O534" s="932"/>
      <c r="P534" s="932"/>
      <c r="Q534" s="932"/>
      <c r="R534" s="932"/>
      <c r="S534" s="932"/>
      <c r="T534" s="932"/>
      <c r="U534" s="932"/>
      <c r="V534" s="932"/>
      <c r="W534" s="932"/>
      <c r="X534" s="932"/>
      <c r="Y534" s="932"/>
      <c r="Z534" s="932"/>
      <c r="AA534" s="932"/>
      <c r="AB534" s="932"/>
      <c r="AC534" s="932"/>
      <c r="AD534" s="932"/>
      <c r="AE534" s="932"/>
      <c r="AF534" s="932"/>
      <c r="AG534" s="932"/>
      <c r="AH534" s="932"/>
      <c r="AI534" s="932"/>
      <c r="AJ534" s="932"/>
      <c r="AK534" s="932"/>
      <c r="AL534" s="932"/>
      <c r="AM534" s="932"/>
      <c r="AN534" s="932"/>
      <c r="AO534" s="932"/>
      <c r="AP534" s="932"/>
      <c r="AQ534" s="932"/>
      <c r="AR534" s="932"/>
      <c r="AS534" s="932"/>
      <c r="AT534" s="932"/>
      <c r="AU534" s="932"/>
      <c r="AV534" s="932"/>
      <c r="AW534" s="932"/>
      <c r="AX534" s="932"/>
      <c r="AY534" s="932"/>
      <c r="AZ534" s="932"/>
      <c r="BA534" s="932"/>
      <c r="BB534" s="932"/>
      <c r="BC534" s="932"/>
      <c r="BD534" s="932"/>
      <c r="BE534" s="932"/>
      <c r="BF534" s="932"/>
    </row>
    <row r="535" spans="2:58" ht="15" x14ac:dyDescent="0.25">
      <c r="B535" s="932"/>
      <c r="C535" s="932"/>
      <c r="D535" s="932"/>
      <c r="E535" s="932"/>
      <c r="F535" s="932"/>
      <c r="G535" s="932"/>
      <c r="H535" s="932"/>
      <c r="I535" s="932"/>
      <c r="J535" s="932"/>
      <c r="K535" s="932"/>
      <c r="L535" s="932"/>
      <c r="M535" s="932"/>
      <c r="N535" s="932"/>
      <c r="O535" s="932"/>
      <c r="P535" s="932"/>
      <c r="Q535" s="932"/>
      <c r="R535" s="932"/>
      <c r="S535" s="932"/>
      <c r="T535" s="932"/>
      <c r="U535" s="932"/>
      <c r="V535" s="932"/>
      <c r="W535" s="932"/>
      <c r="X535" s="932"/>
      <c r="Y535" s="932"/>
      <c r="Z535" s="932"/>
      <c r="AA535" s="932"/>
      <c r="AB535" s="932"/>
      <c r="AC535" s="932"/>
      <c r="AD535" s="932"/>
      <c r="AE535" s="932"/>
      <c r="AF535" s="932"/>
      <c r="AG535" s="932"/>
      <c r="AH535" s="932"/>
      <c r="AI535" s="932"/>
      <c r="AJ535" s="932"/>
      <c r="AK535" s="932"/>
      <c r="AL535" s="932"/>
      <c r="AM535" s="932"/>
      <c r="AN535" s="932"/>
      <c r="AO535" s="932"/>
      <c r="AP535" s="932"/>
      <c r="AQ535" s="932"/>
      <c r="AR535" s="932"/>
      <c r="AS535" s="932"/>
      <c r="AT535" s="932"/>
      <c r="AU535" s="932"/>
      <c r="AV535" s="932"/>
      <c r="AW535" s="932"/>
      <c r="AX535" s="932"/>
      <c r="AY535" s="932"/>
      <c r="AZ535" s="932"/>
      <c r="BA535" s="932"/>
      <c r="BB535" s="932"/>
      <c r="BC535" s="932"/>
      <c r="BD535" s="932"/>
      <c r="BE535" s="932"/>
      <c r="BF535" s="932"/>
    </row>
    <row r="536" spans="2:58" ht="15" x14ac:dyDescent="0.25">
      <c r="B536" s="932"/>
      <c r="C536" s="932"/>
      <c r="D536" s="932"/>
      <c r="E536" s="932"/>
      <c r="F536" s="932"/>
      <c r="G536" s="932"/>
      <c r="H536" s="932"/>
      <c r="I536" s="932"/>
      <c r="J536" s="932"/>
      <c r="K536" s="932"/>
      <c r="L536" s="932"/>
      <c r="M536" s="932"/>
      <c r="N536" s="932"/>
      <c r="O536" s="932"/>
      <c r="P536" s="932"/>
      <c r="Q536" s="932"/>
      <c r="R536" s="932"/>
      <c r="S536" s="932"/>
      <c r="T536" s="932"/>
      <c r="U536" s="932"/>
      <c r="V536" s="932"/>
      <c r="W536" s="932"/>
      <c r="X536" s="932"/>
      <c r="Y536" s="932"/>
      <c r="Z536" s="932"/>
      <c r="AA536" s="932"/>
      <c r="AB536" s="932"/>
      <c r="AC536" s="932"/>
      <c r="AD536" s="932"/>
      <c r="AE536" s="932"/>
      <c r="AF536" s="932"/>
      <c r="AG536" s="932"/>
      <c r="AH536" s="932"/>
      <c r="AI536" s="932"/>
      <c r="AJ536" s="932"/>
      <c r="AK536" s="932"/>
      <c r="AL536" s="932"/>
      <c r="AM536" s="932"/>
      <c r="AN536" s="932"/>
      <c r="AO536" s="932"/>
      <c r="AP536" s="932"/>
      <c r="AQ536" s="932"/>
      <c r="AR536" s="932"/>
      <c r="AS536" s="932"/>
      <c r="AT536" s="932"/>
      <c r="AU536" s="932"/>
      <c r="AV536" s="932"/>
      <c r="AW536" s="932"/>
      <c r="AX536" s="932"/>
      <c r="AY536" s="932"/>
      <c r="AZ536" s="932"/>
      <c r="BA536" s="932"/>
      <c r="BB536" s="932"/>
      <c r="BC536" s="932"/>
      <c r="BD536" s="932"/>
      <c r="BE536" s="932"/>
      <c r="BF536" s="932"/>
    </row>
    <row r="537" spans="2:58" ht="15" x14ac:dyDescent="0.25">
      <c r="B537" s="932"/>
      <c r="C537" s="932"/>
      <c r="D537" s="932"/>
      <c r="E537" s="932"/>
      <c r="F537" s="932"/>
      <c r="G537" s="932"/>
      <c r="H537" s="932"/>
      <c r="I537" s="932"/>
      <c r="J537" s="932"/>
      <c r="K537" s="932"/>
      <c r="L537" s="932"/>
      <c r="M537" s="932"/>
      <c r="N537" s="932"/>
      <c r="O537" s="932"/>
      <c r="P537" s="932"/>
      <c r="Q537" s="932"/>
      <c r="R537" s="932"/>
      <c r="S537" s="932"/>
      <c r="T537" s="932"/>
      <c r="U537" s="932"/>
      <c r="V537" s="932"/>
      <c r="W537" s="932"/>
      <c r="X537" s="932"/>
      <c r="Y537" s="932"/>
      <c r="Z537" s="932"/>
      <c r="AA537" s="932"/>
      <c r="AB537" s="932"/>
      <c r="AC537" s="932"/>
      <c r="AD537" s="932"/>
      <c r="AE537" s="932"/>
      <c r="AF537" s="932"/>
      <c r="AG537" s="932"/>
      <c r="AH537" s="932"/>
      <c r="AI537" s="932"/>
      <c r="AJ537" s="932"/>
      <c r="AK537" s="932"/>
      <c r="AL537" s="932"/>
      <c r="AM537" s="932"/>
      <c r="AN537" s="932"/>
      <c r="AO537" s="932"/>
      <c r="AP537" s="932"/>
      <c r="AQ537" s="932"/>
      <c r="AR537" s="932"/>
      <c r="AS537" s="932"/>
      <c r="AT537" s="932"/>
      <c r="AU537" s="932"/>
      <c r="AV537" s="932"/>
      <c r="AW537" s="932"/>
      <c r="AX537" s="932"/>
      <c r="AY537" s="932"/>
      <c r="AZ537" s="932"/>
      <c r="BA537" s="932"/>
      <c r="BB537" s="932"/>
      <c r="BC537" s="932"/>
      <c r="BD537" s="932"/>
      <c r="BE537" s="932"/>
      <c r="BF537" s="932"/>
    </row>
    <row r="538" spans="2:58" ht="15" x14ac:dyDescent="0.25">
      <c r="B538" s="932"/>
      <c r="C538" s="932"/>
      <c r="D538" s="932"/>
      <c r="E538" s="932"/>
      <c r="F538" s="932"/>
      <c r="G538" s="932"/>
      <c r="H538" s="932"/>
      <c r="I538" s="932"/>
      <c r="J538" s="932"/>
      <c r="K538" s="932"/>
      <c r="L538" s="932"/>
      <c r="M538" s="932"/>
      <c r="N538" s="932"/>
      <c r="O538" s="932"/>
      <c r="P538" s="932"/>
      <c r="Q538" s="932"/>
      <c r="R538" s="932"/>
      <c r="S538" s="932"/>
      <c r="T538" s="932"/>
      <c r="U538" s="932"/>
      <c r="V538" s="932"/>
      <c r="W538" s="932"/>
      <c r="X538" s="932"/>
      <c r="Y538" s="932"/>
      <c r="Z538" s="932"/>
      <c r="AA538" s="932"/>
      <c r="AB538" s="932"/>
      <c r="AC538" s="932"/>
      <c r="AD538" s="932"/>
      <c r="AE538" s="932"/>
      <c r="AF538" s="932"/>
      <c r="AG538" s="932"/>
      <c r="AH538" s="932"/>
      <c r="AI538" s="932"/>
      <c r="AJ538" s="932"/>
      <c r="AK538" s="932"/>
      <c r="AL538" s="932"/>
      <c r="AM538" s="932"/>
      <c r="AN538" s="932"/>
      <c r="AO538" s="932"/>
      <c r="AP538" s="932"/>
      <c r="AQ538" s="932"/>
      <c r="AR538" s="932"/>
      <c r="AS538" s="932"/>
      <c r="AT538" s="932"/>
      <c r="AU538" s="932"/>
      <c r="AV538" s="932"/>
      <c r="AW538" s="932"/>
      <c r="AX538" s="932"/>
      <c r="AY538" s="932"/>
      <c r="AZ538" s="932"/>
      <c r="BA538" s="932"/>
      <c r="BB538" s="932"/>
      <c r="BC538" s="932"/>
      <c r="BD538" s="932"/>
      <c r="BE538" s="932"/>
      <c r="BF538" s="932"/>
    </row>
    <row r="539" spans="2:58" ht="15" x14ac:dyDescent="0.25">
      <c r="B539" s="932"/>
      <c r="C539" s="932"/>
      <c r="D539" s="932"/>
      <c r="E539" s="932"/>
      <c r="F539" s="932"/>
      <c r="G539" s="932"/>
      <c r="H539" s="932"/>
      <c r="I539" s="932"/>
      <c r="J539" s="932"/>
      <c r="K539" s="932"/>
      <c r="L539" s="932"/>
      <c r="M539" s="932"/>
      <c r="N539" s="932"/>
      <c r="O539" s="932"/>
      <c r="P539" s="932"/>
      <c r="Q539" s="932"/>
      <c r="R539" s="932"/>
      <c r="S539" s="932"/>
      <c r="T539" s="932"/>
      <c r="U539" s="932"/>
      <c r="V539" s="932"/>
      <c r="W539" s="932"/>
      <c r="X539" s="932"/>
      <c r="Y539" s="932"/>
      <c r="Z539" s="932"/>
      <c r="AA539" s="932"/>
      <c r="AB539" s="932"/>
      <c r="AC539" s="932"/>
      <c r="AD539" s="932"/>
      <c r="AE539" s="932"/>
      <c r="AF539" s="932"/>
      <c r="AG539" s="932"/>
      <c r="AH539" s="932"/>
      <c r="AI539" s="932"/>
      <c r="AJ539" s="932"/>
      <c r="AK539" s="932"/>
      <c r="AL539" s="932"/>
      <c r="AM539" s="932"/>
      <c r="AN539" s="932"/>
      <c r="AO539" s="932"/>
      <c r="AP539" s="932"/>
      <c r="AQ539" s="932"/>
      <c r="AR539" s="932"/>
      <c r="AS539" s="932"/>
      <c r="AT539" s="932"/>
      <c r="AU539" s="932"/>
      <c r="AV539" s="932"/>
      <c r="AW539" s="932"/>
      <c r="AX539" s="932"/>
      <c r="AY539" s="932"/>
      <c r="AZ539" s="932"/>
      <c r="BA539" s="932"/>
      <c r="BB539" s="932"/>
      <c r="BC539" s="932"/>
      <c r="BD539" s="932"/>
      <c r="BE539" s="932"/>
      <c r="BF539" s="932"/>
    </row>
    <row r="540" spans="2:58" ht="15" x14ac:dyDescent="0.25">
      <c r="B540" s="932"/>
      <c r="C540" s="932"/>
      <c r="D540" s="932"/>
      <c r="E540" s="932"/>
      <c r="F540" s="932"/>
      <c r="G540" s="932"/>
      <c r="H540" s="932"/>
      <c r="I540" s="932"/>
      <c r="J540" s="932"/>
      <c r="K540" s="932"/>
      <c r="L540" s="932"/>
      <c r="M540" s="932"/>
      <c r="N540" s="932"/>
      <c r="O540" s="932"/>
      <c r="P540" s="932"/>
      <c r="Q540" s="932"/>
      <c r="R540" s="932"/>
      <c r="S540" s="932"/>
      <c r="T540" s="932"/>
      <c r="U540" s="932"/>
      <c r="V540" s="932"/>
      <c r="W540" s="932"/>
      <c r="X540" s="932"/>
      <c r="Y540" s="932"/>
      <c r="Z540" s="932"/>
      <c r="AA540" s="932"/>
      <c r="AB540" s="932"/>
      <c r="AC540" s="932"/>
      <c r="AD540" s="932"/>
      <c r="AE540" s="932"/>
      <c r="AF540" s="932"/>
      <c r="AG540" s="932"/>
      <c r="AH540" s="932"/>
      <c r="AI540" s="932"/>
      <c r="AJ540" s="932"/>
      <c r="AK540" s="932"/>
      <c r="AL540" s="932"/>
      <c r="AM540" s="932"/>
      <c r="AN540" s="932"/>
      <c r="AO540" s="932"/>
      <c r="AP540" s="932"/>
      <c r="AQ540" s="932"/>
      <c r="AR540" s="932"/>
      <c r="AS540" s="932"/>
      <c r="AT540" s="932"/>
      <c r="AU540" s="932"/>
      <c r="AV540" s="932"/>
      <c r="AW540" s="932"/>
      <c r="AX540" s="932"/>
      <c r="AY540" s="932"/>
      <c r="AZ540" s="932"/>
      <c r="BA540" s="932"/>
      <c r="BB540" s="932"/>
      <c r="BC540" s="932"/>
      <c r="BD540" s="932"/>
      <c r="BE540" s="932"/>
      <c r="BF540" s="932"/>
    </row>
    <row r="541" spans="2:58" ht="15" x14ac:dyDescent="0.25">
      <c r="B541" s="932"/>
      <c r="C541" s="932"/>
      <c r="D541" s="932"/>
      <c r="E541" s="932"/>
      <c r="F541" s="932"/>
      <c r="G541" s="932"/>
      <c r="H541" s="932"/>
      <c r="I541" s="932"/>
      <c r="J541" s="932"/>
      <c r="K541" s="932"/>
      <c r="L541" s="932"/>
      <c r="M541" s="932"/>
      <c r="N541" s="932"/>
      <c r="O541" s="932"/>
      <c r="P541" s="932"/>
      <c r="Q541" s="932"/>
      <c r="R541" s="932"/>
      <c r="S541" s="932"/>
      <c r="T541" s="932"/>
      <c r="U541" s="932"/>
      <c r="V541" s="932"/>
      <c r="W541" s="932"/>
      <c r="X541" s="932"/>
      <c r="Y541" s="932"/>
      <c r="Z541" s="932"/>
      <c r="AA541" s="932"/>
      <c r="AB541" s="932"/>
      <c r="AC541" s="932"/>
      <c r="AD541" s="932"/>
      <c r="AE541" s="932"/>
      <c r="AF541" s="932"/>
      <c r="AG541" s="932"/>
      <c r="AH541" s="932"/>
      <c r="AI541" s="932"/>
      <c r="AJ541" s="932"/>
      <c r="AK541" s="932"/>
      <c r="AL541" s="932"/>
      <c r="AM541" s="932"/>
      <c r="AN541" s="932"/>
      <c r="AO541" s="932"/>
      <c r="AP541" s="932"/>
      <c r="AQ541" s="932"/>
      <c r="AR541" s="932"/>
      <c r="AS541" s="932"/>
      <c r="AT541" s="932"/>
      <c r="AU541" s="932"/>
      <c r="AV541" s="932"/>
      <c r="AW541" s="932"/>
      <c r="AX541" s="932"/>
      <c r="AY541" s="932"/>
      <c r="AZ541" s="932"/>
      <c r="BA541" s="932"/>
      <c r="BB541" s="932"/>
      <c r="BC541" s="932"/>
      <c r="BD541" s="932"/>
      <c r="BE541" s="932"/>
      <c r="BF541" s="932"/>
    </row>
    <row r="542" spans="2:58" ht="15" x14ac:dyDescent="0.25">
      <c r="B542" s="932"/>
      <c r="C542" s="932"/>
      <c r="D542" s="932"/>
      <c r="E542" s="932"/>
      <c r="F542" s="932"/>
      <c r="G542" s="932"/>
      <c r="H542" s="932"/>
      <c r="I542" s="932"/>
      <c r="J542" s="932"/>
      <c r="K542" s="932"/>
      <c r="L542" s="932"/>
      <c r="M542" s="932"/>
      <c r="N542" s="932"/>
      <c r="O542" s="932"/>
      <c r="P542" s="932"/>
      <c r="Q542" s="932"/>
      <c r="R542" s="932"/>
      <c r="S542" s="932"/>
      <c r="T542" s="932"/>
      <c r="U542" s="932"/>
      <c r="V542" s="932"/>
      <c r="W542" s="932"/>
      <c r="X542" s="932"/>
      <c r="Y542" s="932"/>
      <c r="Z542" s="932"/>
      <c r="AA542" s="932"/>
      <c r="AB542" s="932"/>
      <c r="AC542" s="932"/>
      <c r="AD542" s="932"/>
      <c r="AE542" s="932"/>
      <c r="AF542" s="932"/>
      <c r="AG542" s="932"/>
      <c r="AH542" s="932"/>
      <c r="AI542" s="932"/>
      <c r="AJ542" s="932"/>
      <c r="AK542" s="932"/>
      <c r="AL542" s="932"/>
      <c r="AM542" s="932"/>
      <c r="AN542" s="932"/>
      <c r="AO542" s="932"/>
      <c r="AP542" s="932"/>
      <c r="AQ542" s="932"/>
      <c r="AR542" s="932"/>
      <c r="AS542" s="932"/>
      <c r="AT542" s="932"/>
      <c r="AU542" s="932"/>
      <c r="AV542" s="932"/>
      <c r="AW542" s="932"/>
      <c r="AX542" s="932"/>
      <c r="AY542" s="932"/>
      <c r="AZ542" s="932"/>
      <c r="BA542" s="932"/>
      <c r="BB542" s="932"/>
      <c r="BC542" s="932"/>
      <c r="BD542" s="932"/>
      <c r="BE542" s="932"/>
      <c r="BF542" s="932"/>
    </row>
    <row r="543" spans="2:58" ht="15" x14ac:dyDescent="0.25">
      <c r="B543" s="932"/>
      <c r="C543" s="932"/>
      <c r="D543" s="932"/>
      <c r="E543" s="932"/>
      <c r="F543" s="932"/>
      <c r="G543" s="932"/>
      <c r="H543" s="932"/>
      <c r="I543" s="932"/>
      <c r="J543" s="932"/>
      <c r="K543" s="932"/>
      <c r="L543" s="932"/>
      <c r="M543" s="932"/>
      <c r="N543" s="932"/>
      <c r="O543" s="932"/>
      <c r="P543" s="932"/>
      <c r="Q543" s="932"/>
      <c r="R543" s="932"/>
      <c r="S543" s="932"/>
      <c r="T543" s="932"/>
      <c r="U543" s="932"/>
      <c r="V543" s="932"/>
      <c r="W543" s="932"/>
      <c r="X543" s="932"/>
      <c r="Y543" s="932"/>
      <c r="Z543" s="932"/>
      <c r="AA543" s="932"/>
      <c r="AB543" s="932"/>
      <c r="AC543" s="932"/>
      <c r="AD543" s="932"/>
      <c r="AE543" s="932"/>
      <c r="AF543" s="932"/>
      <c r="AG543" s="932"/>
      <c r="AH543" s="932"/>
      <c r="AI543" s="932"/>
      <c r="AJ543" s="932"/>
      <c r="AK543" s="932"/>
      <c r="AL543" s="932"/>
      <c r="AM543" s="932"/>
      <c r="AN543" s="932"/>
      <c r="AO543" s="932"/>
      <c r="AP543" s="932"/>
      <c r="AQ543" s="932"/>
      <c r="AR543" s="932"/>
      <c r="AS543" s="932"/>
      <c r="AT543" s="932"/>
      <c r="AU543" s="932"/>
      <c r="AV543" s="932"/>
      <c r="AW543" s="932"/>
      <c r="AX543" s="932"/>
      <c r="AY543" s="932"/>
      <c r="AZ543" s="932"/>
      <c r="BA543" s="932"/>
      <c r="BB543" s="932"/>
      <c r="BC543" s="932"/>
      <c r="BD543" s="932"/>
      <c r="BE543" s="932"/>
      <c r="BF543" s="932"/>
    </row>
    <row r="544" spans="2:58" ht="15" x14ac:dyDescent="0.25">
      <c r="B544" s="932"/>
      <c r="C544" s="932"/>
      <c r="D544" s="932"/>
      <c r="E544" s="932"/>
      <c r="F544" s="932"/>
      <c r="G544" s="932"/>
      <c r="H544" s="932"/>
      <c r="I544" s="932"/>
      <c r="J544" s="932"/>
      <c r="K544" s="932"/>
      <c r="L544" s="932"/>
      <c r="M544" s="932"/>
      <c r="N544" s="932"/>
      <c r="O544" s="932"/>
      <c r="P544" s="932"/>
      <c r="Q544" s="932"/>
      <c r="R544" s="932"/>
      <c r="S544" s="932"/>
      <c r="T544" s="932"/>
      <c r="U544" s="932"/>
      <c r="V544" s="932"/>
      <c r="W544" s="932"/>
      <c r="X544" s="932"/>
      <c r="Y544" s="932"/>
      <c r="Z544" s="932"/>
      <c r="AA544" s="932"/>
      <c r="AB544" s="932"/>
      <c r="AC544" s="932"/>
      <c r="AD544" s="932"/>
      <c r="AE544" s="932"/>
      <c r="AF544" s="932"/>
      <c r="AG544" s="932"/>
      <c r="AH544" s="932"/>
      <c r="AI544" s="932"/>
      <c r="AJ544" s="932"/>
      <c r="AK544" s="932"/>
      <c r="AL544" s="932"/>
      <c r="AM544" s="932"/>
      <c r="AN544" s="932"/>
      <c r="AO544" s="932"/>
      <c r="AP544" s="932"/>
      <c r="AQ544" s="932"/>
      <c r="AR544" s="932"/>
      <c r="AS544" s="932"/>
      <c r="AT544" s="932"/>
      <c r="AU544" s="932"/>
      <c r="AV544" s="932"/>
      <c r="AW544" s="932"/>
      <c r="AX544" s="932"/>
      <c r="AY544" s="932"/>
      <c r="AZ544" s="932"/>
      <c r="BA544" s="932"/>
      <c r="BB544" s="932"/>
      <c r="BC544" s="932"/>
      <c r="BD544" s="932"/>
      <c r="BE544" s="932"/>
      <c r="BF544" s="932"/>
    </row>
    <row r="545" spans="2:58" ht="15" x14ac:dyDescent="0.25">
      <c r="B545" s="932"/>
      <c r="C545" s="932"/>
      <c r="D545" s="932"/>
      <c r="E545" s="932"/>
      <c r="F545" s="932"/>
      <c r="G545" s="932"/>
      <c r="H545" s="932"/>
      <c r="I545" s="932"/>
      <c r="J545" s="932"/>
      <c r="K545" s="932"/>
      <c r="L545" s="932"/>
      <c r="M545" s="932"/>
      <c r="N545" s="932"/>
      <c r="O545" s="932"/>
      <c r="P545" s="932"/>
      <c r="Q545" s="932"/>
      <c r="R545" s="932"/>
      <c r="S545" s="932"/>
      <c r="T545" s="932"/>
      <c r="U545" s="932"/>
      <c r="V545" s="932"/>
      <c r="W545" s="932"/>
      <c r="X545" s="932"/>
      <c r="Y545" s="932"/>
      <c r="Z545" s="932"/>
      <c r="AA545" s="932"/>
      <c r="AB545" s="932"/>
      <c r="AC545" s="932"/>
      <c r="AD545" s="932"/>
      <c r="AE545" s="932"/>
      <c r="AF545" s="932"/>
      <c r="AG545" s="932"/>
      <c r="AH545" s="932"/>
      <c r="AI545" s="932"/>
      <c r="AJ545" s="932"/>
      <c r="AK545" s="932"/>
      <c r="AL545" s="932"/>
      <c r="AM545" s="932"/>
      <c r="AN545" s="932"/>
      <c r="AO545" s="932"/>
      <c r="AP545" s="932"/>
      <c r="AQ545" s="932"/>
      <c r="AR545" s="932"/>
      <c r="AS545" s="932"/>
      <c r="AT545" s="932"/>
      <c r="AU545" s="932"/>
      <c r="AV545" s="932"/>
      <c r="AW545" s="932"/>
      <c r="AX545" s="932"/>
      <c r="AY545" s="932"/>
      <c r="AZ545" s="932"/>
      <c r="BA545" s="932"/>
      <c r="BB545" s="932"/>
      <c r="BC545" s="932"/>
      <c r="BD545" s="932"/>
      <c r="BE545" s="932"/>
      <c r="BF545" s="932"/>
    </row>
    <row r="546" spans="2:58" ht="15" x14ac:dyDescent="0.25">
      <c r="B546" s="932"/>
      <c r="C546" s="932"/>
      <c r="D546" s="932"/>
      <c r="E546" s="932"/>
      <c r="F546" s="932"/>
      <c r="G546" s="932"/>
      <c r="H546" s="932"/>
      <c r="I546" s="932"/>
      <c r="J546" s="932"/>
      <c r="K546" s="932"/>
      <c r="L546" s="932"/>
      <c r="M546" s="932"/>
      <c r="N546" s="932"/>
      <c r="O546" s="932"/>
      <c r="P546" s="932"/>
      <c r="Q546" s="932"/>
      <c r="R546" s="932"/>
      <c r="S546" s="932"/>
      <c r="T546" s="932"/>
      <c r="U546" s="932"/>
      <c r="V546" s="932"/>
      <c r="W546" s="932"/>
      <c r="X546" s="932"/>
      <c r="Y546" s="932"/>
      <c r="Z546" s="932"/>
      <c r="AA546" s="932"/>
      <c r="AB546" s="932"/>
      <c r="AC546" s="932"/>
      <c r="AD546" s="932"/>
      <c r="AE546" s="932"/>
      <c r="AF546" s="932"/>
      <c r="AG546" s="932"/>
      <c r="AH546" s="932"/>
      <c r="AI546" s="932"/>
      <c r="AJ546" s="932"/>
      <c r="AK546" s="932"/>
      <c r="AL546" s="932"/>
      <c r="AM546" s="932"/>
      <c r="AN546" s="932"/>
      <c r="AO546" s="932"/>
      <c r="AP546" s="932"/>
      <c r="AQ546" s="932"/>
      <c r="AR546" s="932"/>
      <c r="AS546" s="932"/>
      <c r="AT546" s="932"/>
      <c r="AU546" s="932"/>
      <c r="AV546" s="932"/>
      <c r="AW546" s="932"/>
      <c r="AX546" s="932"/>
      <c r="AY546" s="932"/>
      <c r="AZ546" s="932"/>
      <c r="BA546" s="932"/>
      <c r="BB546" s="932"/>
      <c r="BC546" s="932"/>
      <c r="BD546" s="932"/>
      <c r="BE546" s="932"/>
      <c r="BF546" s="932"/>
    </row>
    <row r="547" spans="2:58" ht="15" x14ac:dyDescent="0.25">
      <c r="B547" s="932"/>
      <c r="C547" s="932"/>
      <c r="D547" s="932"/>
      <c r="E547" s="932"/>
      <c r="F547" s="932"/>
      <c r="G547" s="932"/>
      <c r="H547" s="932"/>
      <c r="I547" s="932"/>
      <c r="J547" s="932"/>
      <c r="K547" s="932"/>
      <c r="L547" s="932"/>
      <c r="M547" s="932"/>
      <c r="N547" s="932"/>
      <c r="O547" s="932"/>
      <c r="P547" s="932"/>
      <c r="Q547" s="932"/>
      <c r="R547" s="932"/>
      <c r="S547" s="932"/>
      <c r="T547" s="932"/>
      <c r="U547" s="932"/>
      <c r="V547" s="932"/>
      <c r="W547" s="932"/>
      <c r="X547" s="932"/>
      <c r="Y547" s="932"/>
      <c r="Z547" s="932"/>
      <c r="AA547" s="932"/>
      <c r="AB547" s="932"/>
      <c r="AC547" s="932"/>
      <c r="AD547" s="932"/>
      <c r="AE547" s="932"/>
      <c r="AF547" s="932"/>
      <c r="AG547" s="932"/>
      <c r="AH547" s="932"/>
      <c r="AI547" s="932"/>
      <c r="AJ547" s="932"/>
      <c r="AK547" s="932"/>
      <c r="AL547" s="932"/>
      <c r="AM547" s="932"/>
      <c r="AN547" s="932"/>
      <c r="AO547" s="932"/>
      <c r="AP547" s="932"/>
      <c r="AQ547" s="932"/>
      <c r="AR547" s="932"/>
      <c r="AS547" s="932"/>
      <c r="AT547" s="932"/>
      <c r="AU547" s="932"/>
      <c r="AV547" s="932"/>
      <c r="AW547" s="932"/>
      <c r="AX547" s="932"/>
      <c r="AY547" s="932"/>
      <c r="AZ547" s="932"/>
      <c r="BA547" s="932"/>
      <c r="BB547" s="932"/>
      <c r="BC547" s="932"/>
      <c r="BD547" s="932"/>
      <c r="BE547" s="932"/>
      <c r="BF547" s="932"/>
    </row>
    <row r="548" spans="2:58" ht="15" x14ac:dyDescent="0.25">
      <c r="B548" s="932"/>
      <c r="C548" s="932"/>
      <c r="D548" s="932"/>
      <c r="E548" s="932"/>
      <c r="F548" s="932"/>
      <c r="G548" s="932"/>
      <c r="H548" s="932"/>
      <c r="I548" s="932"/>
      <c r="J548" s="932"/>
      <c r="K548" s="932"/>
      <c r="L548" s="932"/>
      <c r="M548" s="932"/>
      <c r="N548" s="932"/>
      <c r="O548" s="932"/>
      <c r="P548" s="932"/>
      <c r="Q548" s="932"/>
      <c r="R548" s="932"/>
      <c r="S548" s="932"/>
      <c r="T548" s="932"/>
      <c r="U548" s="932"/>
      <c r="V548" s="932"/>
      <c r="W548" s="932"/>
      <c r="X548" s="932"/>
      <c r="Y548" s="932"/>
      <c r="Z548" s="932"/>
      <c r="AA548" s="932"/>
      <c r="AB548" s="932"/>
      <c r="AC548" s="932"/>
      <c r="AD548" s="932"/>
      <c r="AE548" s="932"/>
      <c r="AF548" s="932"/>
      <c r="AG548" s="932"/>
      <c r="AH548" s="932"/>
      <c r="AI548" s="932"/>
      <c r="AJ548" s="932"/>
      <c r="AK548" s="932"/>
      <c r="AL548" s="932"/>
      <c r="AM548" s="932"/>
      <c r="AN548" s="932"/>
      <c r="AO548" s="932"/>
      <c r="AP548" s="932"/>
      <c r="AQ548" s="932"/>
      <c r="AR548" s="932"/>
      <c r="AS548" s="932"/>
      <c r="AT548" s="932"/>
      <c r="AU548" s="932"/>
      <c r="AV548" s="932"/>
      <c r="AW548" s="932"/>
      <c r="AX548" s="932"/>
      <c r="AY548" s="932"/>
      <c r="AZ548" s="932"/>
      <c r="BA548" s="932"/>
      <c r="BB548" s="932"/>
      <c r="BC548" s="932"/>
      <c r="BD548" s="932"/>
      <c r="BE548" s="932"/>
      <c r="BF548" s="932"/>
    </row>
    <row r="549" spans="2:58" ht="15" x14ac:dyDescent="0.25">
      <c r="B549" s="932"/>
      <c r="C549" s="932"/>
      <c r="D549" s="932"/>
      <c r="E549" s="932"/>
      <c r="F549" s="932"/>
      <c r="G549" s="932"/>
      <c r="H549" s="932"/>
      <c r="I549" s="932"/>
      <c r="J549" s="932"/>
      <c r="K549" s="932"/>
      <c r="L549" s="932"/>
      <c r="M549" s="932"/>
      <c r="N549" s="932"/>
      <c r="O549" s="932"/>
      <c r="P549" s="932"/>
      <c r="Q549" s="932"/>
      <c r="R549" s="932"/>
      <c r="S549" s="932"/>
      <c r="T549" s="932"/>
      <c r="U549" s="932"/>
      <c r="V549" s="932"/>
      <c r="W549" s="932"/>
      <c r="X549" s="932"/>
      <c r="Y549" s="932"/>
      <c r="Z549" s="932"/>
      <c r="AA549" s="932"/>
      <c r="AB549" s="932"/>
      <c r="AC549" s="932"/>
      <c r="AD549" s="932"/>
      <c r="AE549" s="932"/>
      <c r="AF549" s="932"/>
      <c r="AG549" s="932"/>
      <c r="AH549" s="932"/>
      <c r="AI549" s="932"/>
      <c r="AJ549" s="932"/>
      <c r="AK549" s="932"/>
      <c r="AL549" s="932"/>
      <c r="AM549" s="932"/>
      <c r="AN549" s="932"/>
      <c r="AO549" s="932"/>
      <c r="AP549" s="932"/>
      <c r="AQ549" s="932"/>
      <c r="AR549" s="932"/>
      <c r="AS549" s="932"/>
      <c r="AT549" s="932"/>
      <c r="AU549" s="932"/>
      <c r="AV549" s="932"/>
      <c r="AW549" s="932"/>
      <c r="AX549" s="932"/>
      <c r="AY549" s="932"/>
      <c r="AZ549" s="932"/>
      <c r="BA549" s="932"/>
      <c r="BB549" s="932"/>
      <c r="BC549" s="932"/>
      <c r="BD549" s="932"/>
      <c r="BE549" s="932"/>
      <c r="BF549" s="932"/>
    </row>
    <row r="550" spans="2:58" ht="15" x14ac:dyDescent="0.25">
      <c r="B550" s="932"/>
      <c r="C550" s="932"/>
      <c r="D550" s="932"/>
      <c r="E550" s="932"/>
      <c r="F550" s="932"/>
      <c r="G550" s="932"/>
      <c r="H550" s="932"/>
      <c r="I550" s="932"/>
      <c r="J550" s="932"/>
      <c r="K550" s="932"/>
      <c r="L550" s="932"/>
      <c r="M550" s="932"/>
      <c r="N550" s="932"/>
      <c r="O550" s="932"/>
      <c r="P550" s="932"/>
      <c r="Q550" s="932"/>
      <c r="R550" s="932"/>
      <c r="S550" s="932"/>
      <c r="T550" s="932"/>
      <c r="U550" s="932"/>
      <c r="V550" s="932"/>
      <c r="W550" s="932"/>
      <c r="X550" s="932"/>
      <c r="Y550" s="932"/>
      <c r="Z550" s="932"/>
      <c r="AA550" s="932"/>
      <c r="AB550" s="932"/>
      <c r="AC550" s="932"/>
      <c r="AD550" s="932"/>
      <c r="AE550" s="932"/>
      <c r="AF550" s="932"/>
      <c r="AG550" s="932"/>
      <c r="AH550" s="932"/>
      <c r="AI550" s="932"/>
      <c r="AJ550" s="932"/>
      <c r="AK550" s="932"/>
      <c r="AL550" s="932"/>
      <c r="AM550" s="932"/>
      <c r="AN550" s="932"/>
      <c r="AO550" s="932"/>
      <c r="AP550" s="932"/>
      <c r="AQ550" s="932"/>
      <c r="AR550" s="932"/>
      <c r="AS550" s="932"/>
      <c r="AT550" s="932"/>
      <c r="AU550" s="932"/>
      <c r="AV550" s="932"/>
      <c r="AW550" s="932"/>
      <c r="AX550" s="932"/>
      <c r="AY550" s="932"/>
      <c r="AZ550" s="932"/>
      <c r="BA550" s="932"/>
      <c r="BB550" s="932"/>
      <c r="BC550" s="932"/>
      <c r="BD550" s="932"/>
      <c r="BE550" s="932"/>
      <c r="BF550" s="932"/>
    </row>
    <row r="551" spans="2:58" ht="15" x14ac:dyDescent="0.25">
      <c r="B551" s="932"/>
      <c r="C551" s="932"/>
      <c r="D551" s="932"/>
      <c r="E551" s="932"/>
      <c r="F551" s="932"/>
      <c r="G551" s="932"/>
      <c r="H551" s="932"/>
      <c r="I551" s="932"/>
      <c r="J551" s="932"/>
      <c r="K551" s="932"/>
      <c r="L551" s="932"/>
      <c r="M551" s="932"/>
      <c r="N551" s="932"/>
      <c r="O551" s="932"/>
      <c r="P551" s="932"/>
      <c r="Q551" s="932"/>
      <c r="R551" s="932"/>
      <c r="S551" s="932"/>
      <c r="T551" s="932"/>
      <c r="U551" s="932"/>
      <c r="V551" s="932"/>
      <c r="W551" s="932"/>
      <c r="X551" s="932"/>
      <c r="Y551" s="932"/>
      <c r="Z551" s="932"/>
      <c r="AA551" s="932"/>
      <c r="AB551" s="932"/>
      <c r="AC551" s="932"/>
      <c r="AD551" s="932"/>
      <c r="AE551" s="932"/>
      <c r="AF551" s="932"/>
      <c r="AG551" s="932"/>
      <c r="AH551" s="932"/>
      <c r="AI551" s="932"/>
      <c r="AJ551" s="932"/>
      <c r="AK551" s="932"/>
      <c r="AL551" s="932"/>
      <c r="AM551" s="932"/>
      <c r="AN551" s="932"/>
      <c r="AO551" s="932"/>
      <c r="AP551" s="932"/>
      <c r="AQ551" s="932"/>
      <c r="AR551" s="932"/>
      <c r="AS551" s="932"/>
      <c r="AT551" s="932"/>
      <c r="AU551" s="932"/>
      <c r="AV551" s="932"/>
      <c r="AW551" s="932"/>
      <c r="AX551" s="932"/>
      <c r="AY551" s="932"/>
      <c r="AZ551" s="932"/>
      <c r="BA551" s="932"/>
      <c r="BB551" s="932"/>
      <c r="BC551" s="932"/>
      <c r="BD551" s="932"/>
      <c r="BE551" s="932"/>
      <c r="BF551" s="932"/>
    </row>
    <row r="552" spans="2:58" ht="15" x14ac:dyDescent="0.25">
      <c r="B552" s="932"/>
      <c r="C552" s="932"/>
      <c r="D552" s="932"/>
      <c r="E552" s="932"/>
      <c r="F552" s="932"/>
      <c r="G552" s="932"/>
      <c r="H552" s="932"/>
      <c r="I552" s="932"/>
      <c r="J552" s="932"/>
      <c r="K552" s="932"/>
      <c r="L552" s="932"/>
      <c r="M552" s="932"/>
      <c r="N552" s="932"/>
      <c r="O552" s="932"/>
      <c r="P552" s="932"/>
      <c r="Q552" s="932"/>
      <c r="R552" s="932"/>
      <c r="S552" s="932"/>
      <c r="T552" s="932"/>
      <c r="U552" s="932"/>
      <c r="V552" s="932"/>
      <c r="W552" s="932"/>
      <c r="X552" s="932"/>
      <c r="Y552" s="932"/>
      <c r="Z552" s="932"/>
      <c r="AA552" s="932"/>
      <c r="AB552" s="932"/>
      <c r="AC552" s="932"/>
      <c r="AD552" s="932"/>
      <c r="AE552" s="932"/>
      <c r="AF552" s="932"/>
      <c r="AG552" s="932"/>
      <c r="AH552" s="932"/>
      <c r="AI552" s="932"/>
      <c r="AJ552" s="932"/>
      <c r="AK552" s="932"/>
      <c r="AL552" s="932"/>
      <c r="AM552" s="932"/>
      <c r="AN552" s="932"/>
      <c r="AO552" s="932"/>
      <c r="AP552" s="932"/>
      <c r="AQ552" s="932"/>
      <c r="AR552" s="932"/>
      <c r="AS552" s="932"/>
      <c r="AT552" s="932"/>
      <c r="AU552" s="932"/>
      <c r="AV552" s="932"/>
      <c r="AW552" s="932"/>
      <c r="AX552" s="932"/>
      <c r="AY552" s="932"/>
      <c r="AZ552" s="932"/>
      <c r="BA552" s="932"/>
      <c r="BB552" s="932"/>
      <c r="BC552" s="932"/>
      <c r="BD552" s="932"/>
      <c r="BE552" s="932"/>
      <c r="BF552" s="932"/>
    </row>
    <row r="553" spans="2:58" ht="15" x14ac:dyDescent="0.25">
      <c r="B553" s="932"/>
      <c r="C553" s="932"/>
      <c r="D553" s="932"/>
      <c r="E553" s="932"/>
      <c r="F553" s="932"/>
      <c r="G553" s="932"/>
      <c r="H553" s="932"/>
      <c r="I553" s="932"/>
      <c r="J553" s="932"/>
      <c r="K553" s="932"/>
      <c r="L553" s="932"/>
      <c r="M553" s="932"/>
      <c r="N553" s="932"/>
      <c r="O553" s="932"/>
      <c r="P553" s="932"/>
      <c r="Q553" s="932"/>
      <c r="R553" s="932"/>
      <c r="S553" s="932"/>
      <c r="T553" s="932"/>
      <c r="U553" s="932"/>
      <c r="V553" s="932"/>
      <c r="W553" s="932"/>
      <c r="X553" s="932"/>
      <c r="Y553" s="932"/>
      <c r="Z553" s="932"/>
      <c r="AA553" s="932"/>
      <c r="AB553" s="932"/>
      <c r="AC553" s="932"/>
      <c r="AD553" s="932"/>
      <c r="AE553" s="932"/>
      <c r="AF553" s="932"/>
      <c r="AG553" s="932"/>
      <c r="AH553" s="932"/>
      <c r="AI553" s="932"/>
      <c r="AJ553" s="932"/>
      <c r="AK553" s="932"/>
      <c r="AL553" s="932"/>
      <c r="AM553" s="932"/>
      <c r="AN553" s="932"/>
      <c r="AO553" s="932"/>
      <c r="AP553" s="932"/>
      <c r="AQ553" s="932"/>
      <c r="AR553" s="932"/>
      <c r="AS553" s="932"/>
      <c r="AT553" s="932"/>
      <c r="AU553" s="932"/>
      <c r="AV553" s="932"/>
      <c r="AW553" s="932"/>
      <c r="AX553" s="932"/>
      <c r="AY553" s="932"/>
      <c r="AZ553" s="932"/>
      <c r="BA553" s="932"/>
      <c r="BB553" s="932"/>
      <c r="BC553" s="932"/>
      <c r="BD553" s="932"/>
      <c r="BE553" s="932"/>
      <c r="BF553" s="932"/>
    </row>
    <row r="554" spans="2:58" ht="15" x14ac:dyDescent="0.25">
      <c r="B554" s="932"/>
      <c r="C554" s="932"/>
      <c r="D554" s="932"/>
      <c r="E554" s="932"/>
      <c r="F554" s="932"/>
      <c r="G554" s="932"/>
      <c r="H554" s="932"/>
      <c r="I554" s="932"/>
      <c r="J554" s="932"/>
      <c r="K554" s="932"/>
      <c r="L554" s="932"/>
      <c r="M554" s="932"/>
      <c r="N554" s="932"/>
      <c r="O554" s="932"/>
      <c r="P554" s="932"/>
      <c r="Q554" s="932"/>
      <c r="R554" s="932"/>
      <c r="S554" s="932"/>
      <c r="T554" s="932"/>
      <c r="U554" s="932"/>
      <c r="V554" s="932"/>
      <c r="W554" s="932"/>
      <c r="X554" s="932"/>
      <c r="Y554" s="932"/>
      <c r="Z554" s="932"/>
      <c r="AA554" s="932"/>
      <c r="AB554" s="932"/>
      <c r="AC554" s="932"/>
      <c r="AD554" s="932"/>
      <c r="AE554" s="932"/>
      <c r="AF554" s="932"/>
      <c r="AG554" s="932"/>
      <c r="AH554" s="932"/>
      <c r="AI554" s="932"/>
      <c r="AJ554" s="932"/>
      <c r="AK554" s="932"/>
      <c r="AL554" s="932"/>
      <c r="AM554" s="932"/>
      <c r="AN554" s="932"/>
      <c r="AO554" s="932"/>
      <c r="AP554" s="932"/>
      <c r="AQ554" s="932"/>
      <c r="AR554" s="932"/>
      <c r="AS554" s="932"/>
      <c r="AT554" s="932"/>
      <c r="AU554" s="932"/>
      <c r="AV554" s="932"/>
      <c r="AW554" s="932"/>
      <c r="AX554" s="932"/>
      <c r="AY554" s="932"/>
      <c r="AZ554" s="932"/>
      <c r="BA554" s="932"/>
      <c r="BB554" s="932"/>
      <c r="BC554" s="932"/>
      <c r="BD554" s="932"/>
      <c r="BE554" s="932"/>
      <c r="BF554" s="932"/>
    </row>
    <row r="555" spans="2:58" ht="15" x14ac:dyDescent="0.25">
      <c r="B555" s="932"/>
      <c r="C555" s="932"/>
      <c r="D555" s="932"/>
      <c r="E555" s="932"/>
      <c r="F555" s="932"/>
      <c r="G555" s="932"/>
      <c r="H555" s="932"/>
      <c r="I555" s="932"/>
      <c r="J555" s="932"/>
      <c r="K555" s="932"/>
      <c r="L555" s="932"/>
      <c r="M555" s="932"/>
      <c r="N555" s="932"/>
      <c r="O555" s="932"/>
      <c r="P555" s="932"/>
      <c r="Q555" s="932"/>
      <c r="R555" s="932"/>
      <c r="S555" s="932"/>
      <c r="T555" s="932"/>
      <c r="U555" s="932"/>
      <c r="V555" s="932"/>
      <c r="W555" s="932"/>
      <c r="X555" s="932"/>
      <c r="Y555" s="932"/>
      <c r="Z555" s="932"/>
      <c r="AA555" s="932"/>
      <c r="AB555" s="932"/>
      <c r="AC555" s="932"/>
      <c r="AD555" s="932"/>
      <c r="AE555" s="932"/>
      <c r="AF555" s="932"/>
      <c r="AG555" s="932"/>
      <c r="AH555" s="932"/>
      <c r="AI555" s="932"/>
      <c r="AJ555" s="932"/>
      <c r="AK555" s="932"/>
      <c r="AL555" s="932"/>
      <c r="AM555" s="932"/>
      <c r="AN555" s="932"/>
      <c r="AO555" s="932"/>
      <c r="AP555" s="932"/>
      <c r="AQ555" s="932"/>
      <c r="AR555" s="932"/>
      <c r="AS555" s="932"/>
      <c r="AT555" s="932"/>
      <c r="AU555" s="932"/>
      <c r="AV555" s="932"/>
      <c r="AW555" s="932"/>
      <c r="AX555" s="932"/>
      <c r="AY555" s="932"/>
      <c r="AZ555" s="932"/>
      <c r="BA555" s="932"/>
      <c r="BB555" s="932"/>
      <c r="BC555" s="932"/>
      <c r="BD555" s="932"/>
      <c r="BE555" s="932"/>
      <c r="BF555" s="932"/>
    </row>
    <row r="556" spans="2:58" ht="15" x14ac:dyDescent="0.25">
      <c r="B556" s="932"/>
      <c r="C556" s="932"/>
      <c r="D556" s="932"/>
      <c r="E556" s="932"/>
      <c r="F556" s="932"/>
      <c r="G556" s="932"/>
      <c r="H556" s="932"/>
      <c r="I556" s="932"/>
      <c r="J556" s="932"/>
      <c r="K556" s="932"/>
      <c r="L556" s="932"/>
      <c r="M556" s="932"/>
      <c r="N556" s="932"/>
      <c r="O556" s="932"/>
      <c r="P556" s="932"/>
      <c r="Q556" s="932"/>
      <c r="R556" s="932"/>
      <c r="S556" s="932"/>
      <c r="T556" s="932"/>
      <c r="U556" s="932"/>
      <c r="V556" s="932"/>
      <c r="W556" s="932"/>
      <c r="X556" s="932"/>
      <c r="Y556" s="932"/>
      <c r="Z556" s="932"/>
      <c r="AA556" s="932"/>
      <c r="AB556" s="932"/>
      <c r="AC556" s="932"/>
      <c r="AD556" s="932"/>
      <c r="AE556" s="932"/>
      <c r="AF556" s="932"/>
      <c r="AG556" s="932"/>
      <c r="AH556" s="932"/>
      <c r="AI556" s="932"/>
      <c r="AJ556" s="932"/>
      <c r="AK556" s="932"/>
      <c r="AL556" s="932"/>
      <c r="AM556" s="932"/>
      <c r="AN556" s="932"/>
      <c r="AO556" s="932"/>
      <c r="AP556" s="932"/>
      <c r="AQ556" s="932"/>
      <c r="AR556" s="932"/>
      <c r="AS556" s="932"/>
      <c r="AT556" s="932"/>
      <c r="AU556" s="932"/>
      <c r="AV556" s="932"/>
      <c r="AW556" s="932"/>
      <c r="AX556" s="932"/>
      <c r="AY556" s="932"/>
      <c r="AZ556" s="932"/>
      <c r="BA556" s="932"/>
      <c r="BB556" s="932"/>
      <c r="BC556" s="932"/>
      <c r="BD556" s="932"/>
      <c r="BE556" s="932"/>
      <c r="BF556" s="932"/>
    </row>
    <row r="557" spans="2:58" ht="15" x14ac:dyDescent="0.25">
      <c r="B557" s="932"/>
      <c r="C557" s="932"/>
      <c r="D557" s="932"/>
      <c r="E557" s="932"/>
      <c r="F557" s="932"/>
      <c r="G557" s="932"/>
      <c r="H557" s="932"/>
      <c r="I557" s="932"/>
      <c r="J557" s="932"/>
      <c r="K557" s="932"/>
      <c r="L557" s="932"/>
      <c r="M557" s="932"/>
      <c r="N557" s="932"/>
      <c r="O557" s="932"/>
      <c r="P557" s="932"/>
      <c r="Q557" s="932"/>
      <c r="R557" s="932"/>
      <c r="S557" s="932"/>
      <c r="T557" s="932"/>
      <c r="U557" s="932"/>
      <c r="V557" s="932"/>
      <c r="W557" s="932"/>
      <c r="X557" s="932"/>
      <c r="Y557" s="932"/>
      <c r="Z557" s="932"/>
      <c r="AA557" s="932"/>
      <c r="AB557" s="932"/>
      <c r="AC557" s="932"/>
      <c r="AD557" s="932"/>
      <c r="AE557" s="932"/>
      <c r="AF557" s="932"/>
      <c r="AG557" s="932"/>
      <c r="AH557" s="932"/>
      <c r="AI557" s="932"/>
      <c r="AJ557" s="932"/>
      <c r="AK557" s="932"/>
      <c r="AL557" s="932"/>
      <c r="AM557" s="932"/>
      <c r="AN557" s="932"/>
      <c r="AO557" s="932"/>
      <c r="AP557" s="932"/>
      <c r="AQ557" s="932"/>
      <c r="AR557" s="932"/>
      <c r="AS557" s="932"/>
      <c r="AT557" s="932"/>
      <c r="AU557" s="932"/>
      <c r="AV557" s="932"/>
      <c r="AW557" s="932"/>
      <c r="AX557" s="932"/>
      <c r="AY557" s="932"/>
      <c r="AZ557" s="932"/>
      <c r="BA557" s="932"/>
      <c r="BB557" s="932"/>
      <c r="BC557" s="932"/>
      <c r="BD557" s="932"/>
      <c r="BE557" s="932"/>
      <c r="BF557" s="932"/>
    </row>
    <row r="558" spans="2:58" ht="15" x14ac:dyDescent="0.25">
      <c r="B558" s="932"/>
      <c r="C558" s="932"/>
      <c r="D558" s="932"/>
      <c r="E558" s="932"/>
      <c r="F558" s="932"/>
      <c r="G558" s="932"/>
      <c r="H558" s="932"/>
      <c r="I558" s="932"/>
      <c r="J558" s="932"/>
      <c r="K558" s="932"/>
      <c r="L558" s="932"/>
      <c r="M558" s="932"/>
      <c r="N558" s="932"/>
      <c r="O558" s="932"/>
      <c r="P558" s="932"/>
      <c r="Q558" s="932"/>
      <c r="R558" s="932"/>
      <c r="S558" s="932"/>
      <c r="T558" s="932"/>
      <c r="U558" s="932"/>
      <c r="V558" s="932"/>
      <c r="W558" s="932"/>
      <c r="X558" s="932"/>
      <c r="Y558" s="932"/>
      <c r="Z558" s="932"/>
      <c r="AA558" s="932"/>
      <c r="AB558" s="932"/>
      <c r="AC558" s="932"/>
      <c r="AD558" s="932"/>
      <c r="AE558" s="932"/>
      <c r="AF558" s="932"/>
      <c r="AG558" s="932"/>
      <c r="AH558" s="932"/>
      <c r="AI558" s="932"/>
      <c r="AJ558" s="932"/>
      <c r="AK558" s="932"/>
      <c r="AL558" s="932"/>
      <c r="AM558" s="932"/>
      <c r="AN558" s="932"/>
      <c r="AO558" s="932"/>
      <c r="AP558" s="932"/>
      <c r="AQ558" s="932"/>
      <c r="AR558" s="932"/>
      <c r="AS558" s="932"/>
      <c r="AT558" s="932"/>
      <c r="AU558" s="932"/>
      <c r="AV558" s="932"/>
      <c r="AW558" s="932"/>
      <c r="AX558" s="932"/>
      <c r="AY558" s="932"/>
      <c r="AZ558" s="932"/>
      <c r="BA558" s="932"/>
      <c r="BB558" s="932"/>
      <c r="BC558" s="932"/>
      <c r="BD558" s="932"/>
      <c r="BE558" s="932"/>
      <c r="BF558" s="932"/>
    </row>
    <row r="559" spans="2:58" ht="15" x14ac:dyDescent="0.25">
      <c r="B559" s="932"/>
      <c r="C559" s="932"/>
      <c r="D559" s="932"/>
      <c r="E559" s="932"/>
      <c r="F559" s="932"/>
      <c r="G559" s="932"/>
      <c r="H559" s="932"/>
      <c r="I559" s="932"/>
      <c r="J559" s="932"/>
      <c r="K559" s="932"/>
      <c r="L559" s="932"/>
      <c r="M559" s="932"/>
      <c r="N559" s="932"/>
      <c r="O559" s="932"/>
      <c r="P559" s="932"/>
      <c r="Q559" s="932"/>
      <c r="R559" s="932"/>
      <c r="S559" s="932"/>
      <c r="T559" s="932"/>
      <c r="U559" s="932"/>
      <c r="V559" s="932"/>
      <c r="W559" s="932"/>
      <c r="X559" s="932"/>
      <c r="Y559" s="932"/>
      <c r="Z559" s="932"/>
      <c r="AA559" s="932"/>
      <c r="AB559" s="932"/>
      <c r="AC559" s="932"/>
      <c r="AD559" s="932"/>
      <c r="AE559" s="932"/>
      <c r="AF559" s="932"/>
      <c r="AG559" s="932"/>
      <c r="AH559" s="932"/>
      <c r="AI559" s="932"/>
      <c r="AJ559" s="932"/>
      <c r="AK559" s="932"/>
      <c r="AL559" s="932"/>
      <c r="AM559" s="932"/>
      <c r="AN559" s="932"/>
      <c r="AO559" s="932"/>
      <c r="AP559" s="932"/>
      <c r="AQ559" s="932"/>
      <c r="AR559" s="932"/>
      <c r="AS559" s="932"/>
      <c r="AT559" s="932"/>
      <c r="AU559" s="932"/>
      <c r="AV559" s="932"/>
      <c r="AW559" s="932"/>
      <c r="AX559" s="932"/>
      <c r="AY559" s="932"/>
      <c r="AZ559" s="932"/>
      <c r="BA559" s="932"/>
      <c r="BB559" s="932"/>
      <c r="BC559" s="932"/>
      <c r="BD559" s="932"/>
      <c r="BE559" s="932"/>
      <c r="BF559" s="932"/>
    </row>
    <row r="560" spans="2:58" ht="15" x14ac:dyDescent="0.25">
      <c r="B560" s="932"/>
      <c r="C560" s="932"/>
      <c r="D560" s="932"/>
      <c r="E560" s="932"/>
      <c r="F560" s="932"/>
      <c r="G560" s="932"/>
      <c r="H560" s="932"/>
      <c r="I560" s="932"/>
      <c r="J560" s="932"/>
      <c r="K560" s="932"/>
      <c r="L560" s="932"/>
      <c r="M560" s="932"/>
      <c r="N560" s="932"/>
      <c r="O560" s="932"/>
      <c r="P560" s="932"/>
      <c r="Q560" s="932"/>
      <c r="R560" s="932"/>
      <c r="S560" s="932"/>
      <c r="T560" s="932"/>
      <c r="U560" s="932"/>
      <c r="V560" s="932"/>
      <c r="W560" s="932"/>
      <c r="X560" s="932"/>
      <c r="Y560" s="932"/>
      <c r="Z560" s="932"/>
      <c r="AA560" s="932"/>
      <c r="AB560" s="932"/>
      <c r="AC560" s="932"/>
      <c r="AD560" s="932"/>
      <c r="AE560" s="932"/>
      <c r="AF560" s="932"/>
      <c r="AG560" s="932"/>
      <c r="AH560" s="932"/>
      <c r="AI560" s="932"/>
      <c r="AJ560" s="932"/>
      <c r="AK560" s="932"/>
      <c r="AL560" s="932"/>
      <c r="AM560" s="932"/>
      <c r="AN560" s="932"/>
      <c r="AO560" s="932"/>
      <c r="AP560" s="932"/>
      <c r="AQ560" s="932"/>
      <c r="AR560" s="932"/>
      <c r="AS560" s="932"/>
      <c r="AT560" s="932"/>
      <c r="AU560" s="932"/>
      <c r="AV560" s="932"/>
      <c r="AW560" s="932"/>
      <c r="AX560" s="932"/>
      <c r="AY560" s="932"/>
      <c r="AZ560" s="932"/>
      <c r="BA560" s="932"/>
      <c r="BB560" s="932"/>
      <c r="BC560" s="932"/>
      <c r="BD560" s="932"/>
      <c r="BE560" s="932"/>
      <c r="BF560" s="932"/>
    </row>
    <row r="561" spans="2:58" ht="15" x14ac:dyDescent="0.25">
      <c r="B561" s="932"/>
      <c r="C561" s="932"/>
      <c r="D561" s="932"/>
      <c r="E561" s="932"/>
      <c r="F561" s="932"/>
      <c r="G561" s="932"/>
      <c r="H561" s="932"/>
      <c r="I561" s="932"/>
      <c r="J561" s="932"/>
      <c r="K561" s="932"/>
      <c r="L561" s="932"/>
      <c r="M561" s="932"/>
      <c r="N561" s="932"/>
      <c r="O561" s="932"/>
      <c r="P561" s="932"/>
      <c r="Q561" s="932"/>
      <c r="R561" s="932"/>
      <c r="S561" s="932"/>
      <c r="T561" s="932"/>
      <c r="U561" s="932"/>
      <c r="V561" s="932"/>
      <c r="W561" s="932"/>
      <c r="X561" s="932"/>
      <c r="Y561" s="932"/>
      <c r="Z561" s="932"/>
      <c r="AA561" s="932"/>
      <c r="AB561" s="932"/>
      <c r="AC561" s="932"/>
      <c r="AD561" s="932"/>
      <c r="AE561" s="932"/>
      <c r="AF561" s="932"/>
      <c r="AG561" s="932"/>
      <c r="AH561" s="932"/>
      <c r="AI561" s="932"/>
      <c r="AJ561" s="932"/>
      <c r="AK561" s="932"/>
      <c r="AL561" s="932"/>
      <c r="AM561" s="932"/>
      <c r="AN561" s="932"/>
      <c r="AO561" s="932"/>
      <c r="AP561" s="932"/>
      <c r="AQ561" s="932"/>
      <c r="AR561" s="932"/>
      <c r="AS561" s="932"/>
      <c r="AT561" s="932"/>
      <c r="AU561" s="932"/>
      <c r="AV561" s="932"/>
      <c r="AW561" s="932"/>
      <c r="AX561" s="932"/>
      <c r="AY561" s="932"/>
      <c r="AZ561" s="932"/>
      <c r="BA561" s="932"/>
      <c r="BB561" s="932"/>
      <c r="BC561" s="932"/>
      <c r="BD561" s="932"/>
      <c r="BE561" s="932"/>
      <c r="BF561" s="932"/>
    </row>
    <row r="562" spans="2:58" ht="15" x14ac:dyDescent="0.25">
      <c r="B562" s="932"/>
      <c r="C562" s="932"/>
      <c r="D562" s="932"/>
      <c r="E562" s="932"/>
      <c r="F562" s="932"/>
      <c r="G562" s="932"/>
      <c r="H562" s="932"/>
      <c r="I562" s="932"/>
      <c r="J562" s="932"/>
      <c r="K562" s="932"/>
      <c r="L562" s="932"/>
      <c r="M562" s="932"/>
      <c r="N562" s="932"/>
      <c r="O562" s="932"/>
      <c r="P562" s="932"/>
      <c r="Q562" s="932"/>
      <c r="R562" s="932"/>
      <c r="S562" s="932"/>
      <c r="T562" s="932"/>
      <c r="U562" s="932"/>
      <c r="V562" s="932"/>
      <c r="W562" s="932"/>
      <c r="X562" s="932"/>
      <c r="Y562" s="932"/>
      <c r="Z562" s="932"/>
      <c r="AA562" s="932"/>
      <c r="AB562" s="932"/>
      <c r="AC562" s="932"/>
      <c r="AD562" s="932"/>
      <c r="AE562" s="932"/>
      <c r="AF562" s="932"/>
      <c r="AG562" s="932"/>
      <c r="AH562" s="932"/>
      <c r="AI562" s="932"/>
      <c r="AJ562" s="932"/>
      <c r="AK562" s="932"/>
      <c r="AL562" s="932"/>
      <c r="AM562" s="932"/>
      <c r="AN562" s="932"/>
      <c r="AO562" s="932"/>
      <c r="AP562" s="932"/>
      <c r="AQ562" s="932"/>
      <c r="AR562" s="932"/>
      <c r="AS562" s="932"/>
      <c r="AT562" s="932"/>
      <c r="AU562" s="932"/>
      <c r="AV562" s="932"/>
      <c r="AW562" s="932"/>
      <c r="AX562" s="932"/>
      <c r="AY562" s="932"/>
      <c r="AZ562" s="932"/>
      <c r="BA562" s="932"/>
      <c r="BB562" s="932"/>
      <c r="BC562" s="932"/>
      <c r="BD562" s="932"/>
      <c r="BE562" s="932"/>
      <c r="BF562" s="932"/>
    </row>
    <row r="563" spans="2:58" ht="15" x14ac:dyDescent="0.25">
      <c r="B563" s="932"/>
      <c r="C563" s="932"/>
      <c r="D563" s="932"/>
      <c r="E563" s="932"/>
      <c r="F563" s="932"/>
      <c r="G563" s="932"/>
      <c r="H563" s="932"/>
      <c r="I563" s="932"/>
      <c r="J563" s="932"/>
      <c r="K563" s="932"/>
      <c r="L563" s="932"/>
      <c r="M563" s="932"/>
      <c r="N563" s="932"/>
      <c r="O563" s="932"/>
      <c r="P563" s="932"/>
      <c r="Q563" s="932"/>
      <c r="R563" s="932"/>
      <c r="S563" s="932"/>
      <c r="T563" s="932"/>
      <c r="U563" s="932"/>
      <c r="V563" s="932"/>
      <c r="W563" s="932"/>
      <c r="X563" s="932"/>
      <c r="Y563" s="932"/>
      <c r="Z563" s="932"/>
      <c r="AA563" s="932"/>
      <c r="AB563" s="932"/>
      <c r="AC563" s="932"/>
      <c r="AD563" s="932"/>
      <c r="AE563" s="932"/>
      <c r="AF563" s="932"/>
      <c r="AG563" s="932"/>
      <c r="AH563" s="932"/>
      <c r="AI563" s="932"/>
      <c r="AJ563" s="932"/>
      <c r="AK563" s="932"/>
      <c r="AL563" s="932"/>
      <c r="AM563" s="932"/>
      <c r="AN563" s="932"/>
      <c r="AO563" s="932"/>
      <c r="AP563" s="932"/>
      <c r="AQ563" s="932"/>
      <c r="AR563" s="932"/>
      <c r="AS563" s="932"/>
      <c r="AT563" s="932"/>
      <c r="AU563" s="932"/>
      <c r="AV563" s="932"/>
      <c r="AW563" s="932"/>
      <c r="AX563" s="932"/>
      <c r="AY563" s="932"/>
      <c r="AZ563" s="932"/>
      <c r="BA563" s="932"/>
      <c r="BB563" s="932"/>
      <c r="BC563" s="932"/>
      <c r="BD563" s="932"/>
      <c r="BE563" s="932"/>
      <c r="BF563" s="932"/>
    </row>
    <row r="564" spans="2:58" ht="15" x14ac:dyDescent="0.25">
      <c r="B564" s="932"/>
      <c r="C564" s="932"/>
      <c r="D564" s="932"/>
      <c r="E564" s="932"/>
      <c r="F564" s="932"/>
      <c r="G564" s="932"/>
      <c r="H564" s="932"/>
      <c r="I564" s="932"/>
      <c r="J564" s="932"/>
      <c r="K564" s="932"/>
      <c r="L564" s="932"/>
      <c r="M564" s="932"/>
      <c r="N564" s="932"/>
      <c r="O564" s="932"/>
      <c r="P564" s="932"/>
      <c r="Q564" s="932"/>
      <c r="R564" s="932"/>
      <c r="S564" s="932"/>
      <c r="T564" s="932"/>
      <c r="U564" s="932"/>
      <c r="V564" s="932"/>
      <c r="W564" s="932"/>
      <c r="X564" s="932"/>
      <c r="Y564" s="932"/>
      <c r="Z564" s="932"/>
      <c r="AA564" s="932"/>
      <c r="AB564" s="932"/>
      <c r="AC564" s="932"/>
      <c r="AD564" s="932"/>
      <c r="AE564" s="932"/>
      <c r="AF564" s="932"/>
      <c r="AG564" s="932"/>
      <c r="AH564" s="932"/>
      <c r="AI564" s="932"/>
      <c r="AJ564" s="932"/>
      <c r="AK564" s="932"/>
      <c r="AL564" s="932"/>
      <c r="AM564" s="932"/>
      <c r="AN564" s="932"/>
      <c r="AO564" s="932"/>
      <c r="AP564" s="932"/>
      <c r="AQ564" s="932"/>
      <c r="AR564" s="932"/>
      <c r="AS564" s="932"/>
      <c r="AT564" s="932"/>
      <c r="AU564" s="932"/>
      <c r="AV564" s="932"/>
      <c r="AW564" s="932"/>
      <c r="AX564" s="932"/>
      <c r="AY564" s="932"/>
      <c r="AZ564" s="932"/>
      <c r="BA564" s="932"/>
      <c r="BB564" s="932"/>
      <c r="BC564" s="932"/>
      <c r="BD564" s="932"/>
      <c r="BE564" s="932"/>
      <c r="BF564" s="932"/>
    </row>
    <row r="565" spans="2:58" ht="15" x14ac:dyDescent="0.25">
      <c r="B565" s="932"/>
      <c r="C565" s="932"/>
      <c r="D565" s="932"/>
      <c r="E565" s="932"/>
      <c r="F565" s="932"/>
      <c r="G565" s="932"/>
      <c r="H565" s="932"/>
      <c r="I565" s="932"/>
      <c r="J565" s="932"/>
      <c r="K565" s="932"/>
      <c r="L565" s="932"/>
      <c r="M565" s="932"/>
      <c r="N565" s="932"/>
      <c r="O565" s="932"/>
      <c r="P565" s="932"/>
      <c r="Q565" s="932"/>
      <c r="R565" s="932"/>
      <c r="S565" s="932"/>
      <c r="T565" s="932"/>
      <c r="U565" s="932"/>
      <c r="V565" s="932"/>
      <c r="W565" s="932"/>
      <c r="X565" s="932"/>
      <c r="Y565" s="932"/>
      <c r="Z565" s="932"/>
      <c r="AA565" s="932"/>
      <c r="AB565" s="932"/>
      <c r="AC565" s="932"/>
      <c r="AD565" s="932"/>
      <c r="AE565" s="932"/>
      <c r="AF565" s="932"/>
      <c r="AG565" s="932"/>
      <c r="AH565" s="932"/>
      <c r="AI565" s="932"/>
      <c r="AJ565" s="932"/>
      <c r="AK565" s="932"/>
      <c r="AL565" s="932"/>
      <c r="AM565" s="932"/>
      <c r="AN565" s="932"/>
      <c r="AO565" s="932"/>
      <c r="AP565" s="932"/>
      <c r="AQ565" s="932"/>
      <c r="AR565" s="932"/>
      <c r="AS565" s="932"/>
      <c r="AT565" s="932"/>
      <c r="AU565" s="932"/>
      <c r="AV565" s="932"/>
      <c r="AW565" s="932"/>
      <c r="AX565" s="932"/>
      <c r="AY565" s="932"/>
      <c r="AZ565" s="932"/>
      <c r="BA565" s="932"/>
      <c r="BB565" s="932"/>
      <c r="BC565" s="932"/>
      <c r="BD565" s="932"/>
      <c r="BE565" s="932"/>
      <c r="BF565" s="932"/>
    </row>
    <row r="566" spans="2:58" ht="15" x14ac:dyDescent="0.25">
      <c r="B566" s="932"/>
      <c r="C566" s="932"/>
      <c r="D566" s="932"/>
      <c r="E566" s="932"/>
      <c r="F566" s="932"/>
      <c r="G566" s="932"/>
      <c r="H566" s="932"/>
      <c r="I566" s="932"/>
      <c r="J566" s="932"/>
      <c r="K566" s="932"/>
      <c r="L566" s="932"/>
      <c r="M566" s="932"/>
      <c r="N566" s="932"/>
      <c r="O566" s="932"/>
      <c r="P566" s="932"/>
      <c r="Q566" s="932"/>
      <c r="R566" s="932"/>
      <c r="S566" s="932"/>
      <c r="T566" s="932"/>
      <c r="U566" s="932"/>
      <c r="V566" s="932"/>
      <c r="W566" s="932"/>
      <c r="X566" s="932"/>
      <c r="Y566" s="932"/>
      <c r="Z566" s="932"/>
      <c r="AA566" s="932"/>
      <c r="AB566" s="932"/>
      <c r="AC566" s="932"/>
      <c r="AD566" s="932"/>
      <c r="AE566" s="932"/>
      <c r="AF566" s="932"/>
      <c r="AG566" s="932"/>
      <c r="AH566" s="932"/>
      <c r="AI566" s="932"/>
      <c r="AJ566" s="932"/>
      <c r="AK566" s="932"/>
      <c r="AL566" s="932"/>
      <c r="AM566" s="932"/>
      <c r="AN566" s="932"/>
      <c r="AO566" s="932"/>
      <c r="AP566" s="932"/>
      <c r="AQ566" s="932"/>
      <c r="AR566" s="932"/>
      <c r="AS566" s="932"/>
      <c r="AT566" s="932"/>
      <c r="AU566" s="932"/>
      <c r="AV566" s="932"/>
      <c r="AW566" s="932"/>
      <c r="AX566" s="932"/>
      <c r="AY566" s="932"/>
      <c r="AZ566" s="932"/>
      <c r="BA566" s="932"/>
      <c r="BB566" s="932"/>
      <c r="BC566" s="932"/>
      <c r="BD566" s="932"/>
      <c r="BE566" s="932"/>
      <c r="BF566" s="932"/>
    </row>
    <row r="567" spans="2:58" ht="15" x14ac:dyDescent="0.25">
      <c r="B567" s="932"/>
      <c r="C567" s="932"/>
      <c r="D567" s="932"/>
      <c r="E567" s="932"/>
      <c r="F567" s="932"/>
      <c r="G567" s="932"/>
      <c r="H567" s="932"/>
      <c r="I567" s="932"/>
      <c r="J567" s="932"/>
      <c r="K567" s="932"/>
      <c r="L567" s="932"/>
      <c r="M567" s="932"/>
      <c r="N567" s="932"/>
      <c r="O567" s="932"/>
      <c r="P567" s="932"/>
      <c r="Q567" s="932"/>
      <c r="R567" s="932"/>
      <c r="S567" s="932"/>
      <c r="T567" s="932"/>
      <c r="U567" s="932"/>
      <c r="V567" s="932"/>
      <c r="W567" s="932"/>
      <c r="X567" s="932"/>
      <c r="Y567" s="932"/>
      <c r="Z567" s="932"/>
      <c r="AA567" s="932"/>
      <c r="AB567" s="932"/>
      <c r="AC567" s="932"/>
      <c r="AD567" s="932"/>
      <c r="AE567" s="932"/>
      <c r="AF567" s="932"/>
      <c r="AG567" s="932"/>
      <c r="AH567" s="932"/>
      <c r="AI567" s="932"/>
      <c r="AJ567" s="932"/>
      <c r="AK567" s="932"/>
      <c r="AL567" s="932"/>
      <c r="AM567" s="932"/>
      <c r="AN567" s="932"/>
      <c r="AO567" s="932"/>
      <c r="AP567" s="932"/>
      <c r="AQ567" s="932"/>
      <c r="AR567" s="932"/>
      <c r="AS567" s="932"/>
      <c r="AT567" s="932"/>
      <c r="AU567" s="932"/>
      <c r="AV567" s="932"/>
      <c r="AW567" s="932"/>
      <c r="AX567" s="932"/>
      <c r="AY567" s="932"/>
      <c r="AZ567" s="932"/>
      <c r="BA567" s="932"/>
      <c r="BB567" s="932"/>
      <c r="BC567" s="932"/>
      <c r="BD567" s="932"/>
      <c r="BE567" s="932"/>
      <c r="BF567" s="932"/>
    </row>
    <row r="568" spans="2:58" ht="15" x14ac:dyDescent="0.25">
      <c r="B568" s="932"/>
      <c r="C568" s="932"/>
      <c r="D568" s="932"/>
      <c r="E568" s="932"/>
      <c r="F568" s="932"/>
      <c r="G568" s="932"/>
      <c r="H568" s="932"/>
      <c r="I568" s="932"/>
      <c r="J568" s="932"/>
      <c r="K568" s="932"/>
      <c r="L568" s="932"/>
      <c r="M568" s="932"/>
      <c r="N568" s="932"/>
      <c r="O568" s="932"/>
      <c r="P568" s="932"/>
      <c r="Q568" s="932"/>
      <c r="R568" s="932"/>
      <c r="S568" s="932"/>
      <c r="T568" s="932"/>
      <c r="U568" s="932"/>
      <c r="V568" s="932"/>
      <c r="W568" s="932"/>
      <c r="X568" s="932"/>
      <c r="Y568" s="932"/>
      <c r="Z568" s="932"/>
      <c r="AA568" s="932"/>
      <c r="AB568" s="932"/>
      <c r="AC568" s="932"/>
      <c r="AD568" s="932"/>
      <c r="AE568" s="932"/>
      <c r="AF568" s="932"/>
      <c r="AG568" s="932"/>
      <c r="AH568" s="932"/>
      <c r="AI568" s="932"/>
      <c r="AJ568" s="932"/>
      <c r="AK568" s="932"/>
      <c r="AL568" s="932"/>
      <c r="AM568" s="932"/>
      <c r="AN568" s="932"/>
      <c r="AO568" s="932"/>
      <c r="AP568" s="932"/>
      <c r="AQ568" s="932"/>
      <c r="AR568" s="932"/>
      <c r="AS568" s="932"/>
      <c r="AT568" s="932"/>
      <c r="AU568" s="932"/>
      <c r="AV568" s="932"/>
      <c r="AW568" s="932"/>
      <c r="AX568" s="932"/>
      <c r="AY568" s="932"/>
      <c r="AZ568" s="932"/>
      <c r="BA568" s="932"/>
      <c r="BB568" s="932"/>
      <c r="BC568" s="932"/>
      <c r="BD568" s="932"/>
      <c r="BE568" s="932"/>
      <c r="BF568" s="932"/>
    </row>
    <row r="569" spans="2:58" ht="15" x14ac:dyDescent="0.25">
      <c r="B569" s="932"/>
      <c r="C569" s="932"/>
      <c r="D569" s="932"/>
      <c r="E569" s="932"/>
      <c r="F569" s="932"/>
      <c r="G569" s="932"/>
      <c r="H569" s="932"/>
      <c r="I569" s="932"/>
      <c r="J569" s="932"/>
      <c r="K569" s="932"/>
      <c r="L569" s="932"/>
      <c r="M569" s="932"/>
      <c r="N569" s="932"/>
      <c r="O569" s="932"/>
      <c r="P569" s="932"/>
      <c r="Q569" s="932"/>
      <c r="R569" s="932"/>
      <c r="S569" s="932"/>
      <c r="T569" s="932"/>
      <c r="U569" s="932"/>
      <c r="V569" s="932"/>
      <c r="W569" s="932"/>
      <c r="X569" s="932"/>
      <c r="Y569" s="932"/>
      <c r="Z569" s="932"/>
      <c r="AA569" s="932"/>
      <c r="AB569" s="932"/>
      <c r="AC569" s="932"/>
      <c r="AD569" s="932"/>
      <c r="AE569" s="932"/>
      <c r="AF569" s="932"/>
      <c r="AG569" s="932"/>
      <c r="AH569" s="932"/>
      <c r="AI569" s="932"/>
      <c r="AJ569" s="932"/>
      <c r="AK569" s="932"/>
      <c r="AL569" s="932"/>
      <c r="AM569" s="932"/>
      <c r="AN569" s="932"/>
      <c r="AO569" s="932"/>
      <c r="AP569" s="932"/>
      <c r="AQ569" s="932"/>
      <c r="AR569" s="932"/>
      <c r="AS569" s="932"/>
      <c r="AT569" s="932"/>
      <c r="AU569" s="932"/>
      <c r="AV569" s="932"/>
      <c r="AW569" s="932"/>
      <c r="AX569" s="932"/>
      <c r="AY569" s="932"/>
      <c r="AZ569" s="932"/>
      <c r="BA569" s="932"/>
      <c r="BB569" s="932"/>
      <c r="BC569" s="932"/>
      <c r="BD569" s="932"/>
      <c r="BE569" s="932"/>
      <c r="BF569" s="932"/>
    </row>
    <row r="570" spans="2:58" ht="15" x14ac:dyDescent="0.25">
      <c r="B570" s="932"/>
      <c r="C570" s="932"/>
      <c r="D570" s="932"/>
      <c r="E570" s="932"/>
      <c r="F570" s="932"/>
      <c r="G570" s="932"/>
      <c r="H570" s="932"/>
      <c r="I570" s="932"/>
      <c r="J570" s="932"/>
      <c r="K570" s="932"/>
      <c r="L570" s="932"/>
      <c r="M570" s="932"/>
      <c r="N570" s="932"/>
      <c r="O570" s="932"/>
      <c r="P570" s="932"/>
      <c r="Q570" s="932"/>
      <c r="R570" s="932"/>
      <c r="S570" s="932"/>
      <c r="T570" s="932"/>
      <c r="U570" s="932"/>
      <c r="V570" s="932"/>
      <c r="W570" s="932"/>
      <c r="X570" s="932"/>
      <c r="Y570" s="932"/>
      <c r="Z570" s="932"/>
      <c r="AA570" s="932"/>
      <c r="AB570" s="932"/>
      <c r="AC570" s="932"/>
      <c r="AD570" s="932"/>
      <c r="AE570" s="932"/>
      <c r="AF570" s="932"/>
      <c r="AG570" s="932"/>
      <c r="AH570" s="932"/>
      <c r="AI570" s="932"/>
      <c r="AJ570" s="932"/>
      <c r="AK570" s="932"/>
      <c r="AL570" s="932"/>
      <c r="AM570" s="932"/>
      <c r="AN570" s="932"/>
      <c r="AO570" s="932"/>
      <c r="AP570" s="932"/>
      <c r="AQ570" s="932"/>
      <c r="AR570" s="932"/>
      <c r="AS570" s="932"/>
      <c r="AT570" s="932"/>
      <c r="AU570" s="932"/>
      <c r="AV570" s="932"/>
      <c r="AW570" s="932"/>
      <c r="AX570" s="932"/>
      <c r="AY570" s="932"/>
      <c r="AZ570" s="932"/>
      <c r="BA570" s="932"/>
      <c r="BB570" s="932"/>
      <c r="BC570" s="932"/>
      <c r="BD570" s="932"/>
      <c r="BE570" s="932"/>
      <c r="BF570" s="932"/>
    </row>
    <row r="571" spans="2:58" ht="15" x14ac:dyDescent="0.25">
      <c r="B571" s="932"/>
      <c r="C571" s="932"/>
      <c r="D571" s="932"/>
      <c r="E571" s="932"/>
      <c r="F571" s="932"/>
      <c r="G571" s="932"/>
      <c r="H571" s="932"/>
      <c r="I571" s="932"/>
      <c r="J571" s="932"/>
      <c r="K571" s="932"/>
      <c r="L571" s="932"/>
      <c r="M571" s="932"/>
      <c r="N571" s="932"/>
      <c r="O571" s="932"/>
      <c r="P571" s="932"/>
      <c r="Q571" s="932"/>
      <c r="R571" s="932"/>
      <c r="S571" s="932"/>
      <c r="T571" s="932"/>
      <c r="U571" s="932"/>
      <c r="V571" s="932"/>
      <c r="W571" s="932"/>
      <c r="X571" s="932"/>
      <c r="Y571" s="932"/>
      <c r="Z571" s="932"/>
      <c r="AA571" s="932"/>
      <c r="AB571" s="932"/>
      <c r="AC571" s="932"/>
      <c r="AD571" s="932"/>
      <c r="AE571" s="932"/>
      <c r="AF571" s="932"/>
      <c r="AG571" s="932"/>
      <c r="AH571" s="932"/>
      <c r="AI571" s="932"/>
      <c r="AJ571" s="932"/>
      <c r="AK571" s="932"/>
      <c r="AL571" s="932"/>
      <c r="AM571" s="932"/>
      <c r="AN571" s="932"/>
      <c r="AO571" s="932"/>
      <c r="AP571" s="932"/>
      <c r="AQ571" s="932"/>
      <c r="AR571" s="932"/>
      <c r="AS571" s="932"/>
      <c r="AT571" s="932"/>
      <c r="AU571" s="932"/>
      <c r="AV571" s="932"/>
      <c r="AW571" s="932"/>
      <c r="AX571" s="932"/>
      <c r="AY571" s="932"/>
      <c r="AZ571" s="932"/>
      <c r="BA571" s="932"/>
      <c r="BB571" s="932"/>
      <c r="BC571" s="932"/>
      <c r="BD571" s="932"/>
      <c r="BE571" s="932"/>
      <c r="BF571" s="932"/>
    </row>
    <row r="572" spans="2:58" ht="15" x14ac:dyDescent="0.25">
      <c r="B572" s="932"/>
      <c r="C572" s="932"/>
      <c r="D572" s="932"/>
      <c r="E572" s="932"/>
      <c r="F572" s="932"/>
      <c r="G572" s="932"/>
      <c r="H572" s="932"/>
      <c r="I572" s="932"/>
      <c r="J572" s="932"/>
      <c r="K572" s="932"/>
      <c r="L572" s="932"/>
      <c r="M572" s="932"/>
      <c r="N572" s="932"/>
      <c r="O572" s="932"/>
      <c r="P572" s="932"/>
      <c r="Q572" s="932"/>
      <c r="R572" s="932"/>
      <c r="S572" s="932"/>
      <c r="T572" s="932"/>
      <c r="U572" s="932"/>
      <c r="V572" s="932"/>
      <c r="W572" s="932"/>
      <c r="X572" s="932"/>
      <c r="Y572" s="932"/>
      <c r="Z572" s="932"/>
      <c r="AA572" s="932"/>
      <c r="AB572" s="932"/>
      <c r="AC572" s="932"/>
      <c r="AD572" s="932"/>
      <c r="AE572" s="932"/>
      <c r="AF572" s="932"/>
      <c r="AG572" s="932"/>
      <c r="AH572" s="932"/>
      <c r="AI572" s="932"/>
      <c r="AJ572" s="932"/>
      <c r="AK572" s="932"/>
      <c r="AL572" s="932"/>
      <c r="AM572" s="932"/>
      <c r="AN572" s="932"/>
      <c r="AO572" s="932"/>
      <c r="AP572" s="932"/>
      <c r="AQ572" s="932"/>
      <c r="AR572" s="932"/>
      <c r="AS572" s="932"/>
      <c r="AT572" s="932"/>
      <c r="AU572" s="932"/>
      <c r="AV572" s="932"/>
      <c r="AW572" s="932"/>
      <c r="AX572" s="932"/>
      <c r="AY572" s="932"/>
      <c r="AZ572" s="932"/>
      <c r="BA572" s="932"/>
      <c r="BB572" s="932"/>
      <c r="BC572" s="932"/>
      <c r="BD572" s="932"/>
      <c r="BE572" s="932"/>
      <c r="BF572" s="932"/>
    </row>
    <row r="573" spans="2:58" ht="15" x14ac:dyDescent="0.25">
      <c r="B573" s="932"/>
      <c r="C573" s="932"/>
      <c r="D573" s="932"/>
      <c r="E573" s="932"/>
      <c r="F573" s="932"/>
      <c r="G573" s="932"/>
      <c r="H573" s="932"/>
      <c r="I573" s="932"/>
      <c r="J573" s="932"/>
      <c r="K573" s="932"/>
      <c r="L573" s="932"/>
      <c r="M573" s="932"/>
      <c r="N573" s="932"/>
      <c r="O573" s="932"/>
      <c r="P573" s="932"/>
      <c r="Q573" s="932"/>
      <c r="R573" s="932"/>
      <c r="S573" s="932"/>
      <c r="T573" s="932"/>
      <c r="U573" s="932"/>
      <c r="V573" s="932"/>
      <c r="W573" s="932"/>
      <c r="X573" s="932"/>
      <c r="Y573" s="932"/>
      <c r="Z573" s="932"/>
      <c r="AA573" s="932"/>
      <c r="AB573" s="932"/>
      <c r="AC573" s="932"/>
      <c r="AD573" s="932"/>
      <c r="AE573" s="932"/>
      <c r="AF573" s="932"/>
      <c r="AG573" s="932"/>
      <c r="AH573" s="932"/>
      <c r="AI573" s="932"/>
      <c r="AJ573" s="932"/>
      <c r="AK573" s="932"/>
      <c r="AL573" s="932"/>
      <c r="AM573" s="932"/>
      <c r="AN573" s="932"/>
      <c r="AO573" s="932"/>
      <c r="AP573" s="932"/>
      <c r="AQ573" s="932"/>
      <c r="AR573" s="932"/>
      <c r="AS573" s="932"/>
      <c r="AT573" s="932"/>
      <c r="AU573" s="932"/>
      <c r="AV573" s="932"/>
      <c r="AW573" s="932"/>
      <c r="AX573" s="932"/>
      <c r="AY573" s="932"/>
      <c r="AZ573" s="932"/>
      <c r="BA573" s="932"/>
      <c r="BB573" s="932"/>
      <c r="BC573" s="932"/>
      <c r="BD573" s="932"/>
      <c r="BE573" s="932"/>
      <c r="BF573" s="932"/>
    </row>
    <row r="574" spans="2:58" ht="15" x14ac:dyDescent="0.25">
      <c r="B574" s="932"/>
      <c r="C574" s="932"/>
      <c r="D574" s="932"/>
      <c r="E574" s="932"/>
      <c r="F574" s="932"/>
      <c r="G574" s="932"/>
      <c r="H574" s="932"/>
      <c r="I574" s="932"/>
      <c r="J574" s="932"/>
      <c r="K574" s="932"/>
      <c r="L574" s="932"/>
      <c r="M574" s="932"/>
      <c r="N574" s="932"/>
      <c r="O574" s="932"/>
      <c r="P574" s="932"/>
      <c r="Q574" s="932"/>
      <c r="R574" s="932"/>
      <c r="S574" s="932"/>
      <c r="T574" s="932"/>
      <c r="U574" s="932"/>
      <c r="V574" s="932"/>
      <c r="W574" s="932"/>
      <c r="X574" s="932"/>
      <c r="Y574" s="932"/>
      <c r="Z574" s="932"/>
      <c r="AA574" s="932"/>
      <c r="AB574" s="932"/>
      <c r="AC574" s="932"/>
      <c r="AD574" s="932"/>
      <c r="AE574" s="932"/>
      <c r="AF574" s="932"/>
      <c r="AG574" s="932"/>
      <c r="AH574" s="932"/>
      <c r="AI574" s="932"/>
      <c r="AJ574" s="932"/>
      <c r="AK574" s="932"/>
      <c r="AL574" s="932"/>
      <c r="AM574" s="932"/>
      <c r="AN574" s="932"/>
      <c r="AO574" s="932"/>
      <c r="AP574" s="932"/>
      <c r="AQ574" s="932"/>
      <c r="AR574" s="932"/>
      <c r="AS574" s="932"/>
      <c r="AT574" s="932"/>
      <c r="AU574" s="932"/>
      <c r="AV574" s="932"/>
      <c r="AW574" s="932"/>
      <c r="AX574" s="932"/>
      <c r="AY574" s="932"/>
      <c r="AZ574" s="932"/>
      <c r="BA574" s="932"/>
      <c r="BB574" s="932"/>
      <c r="BC574" s="932"/>
      <c r="BD574" s="932"/>
      <c r="BE574" s="932"/>
      <c r="BF574" s="932"/>
    </row>
    <row r="575" spans="2:58" ht="15" x14ac:dyDescent="0.25">
      <c r="B575" s="932"/>
      <c r="C575" s="932"/>
      <c r="D575" s="932"/>
      <c r="E575" s="932"/>
      <c r="F575" s="932"/>
      <c r="G575" s="932"/>
      <c r="H575" s="932"/>
      <c r="I575" s="932"/>
      <c r="J575" s="932"/>
      <c r="K575" s="932"/>
      <c r="L575" s="932"/>
      <c r="M575" s="932"/>
      <c r="N575" s="932"/>
      <c r="O575" s="932"/>
      <c r="P575" s="932"/>
      <c r="Q575" s="932"/>
      <c r="R575" s="932"/>
      <c r="S575" s="932"/>
      <c r="T575" s="932"/>
      <c r="U575" s="932"/>
      <c r="V575" s="932"/>
      <c r="W575" s="932"/>
      <c r="X575" s="932"/>
      <c r="Y575" s="932"/>
      <c r="Z575" s="932"/>
      <c r="AA575" s="932"/>
      <c r="AB575" s="932"/>
      <c r="AC575" s="932"/>
      <c r="AD575" s="932"/>
      <c r="AE575" s="932"/>
      <c r="AF575" s="932"/>
      <c r="AG575" s="932"/>
      <c r="AH575" s="932"/>
      <c r="AI575" s="932"/>
      <c r="AJ575" s="932"/>
      <c r="AK575" s="932"/>
      <c r="AL575" s="932"/>
      <c r="AM575" s="932"/>
      <c r="AN575" s="932"/>
      <c r="AO575" s="932"/>
      <c r="AP575" s="932"/>
      <c r="AQ575" s="932"/>
      <c r="AR575" s="932"/>
      <c r="AS575" s="932"/>
      <c r="AT575" s="932"/>
      <c r="AU575" s="932"/>
      <c r="AV575" s="932"/>
      <c r="AW575" s="932"/>
      <c r="AX575" s="932"/>
      <c r="AY575" s="932"/>
      <c r="AZ575" s="932"/>
      <c r="BA575" s="932"/>
      <c r="BB575" s="932"/>
      <c r="BC575" s="932"/>
      <c r="BD575" s="932"/>
      <c r="BE575" s="932"/>
      <c r="BF575" s="932"/>
    </row>
    <row r="576" spans="2:58" ht="15" x14ac:dyDescent="0.25">
      <c r="B576" s="932"/>
      <c r="C576" s="932"/>
      <c r="D576" s="932"/>
      <c r="E576" s="932"/>
      <c r="F576" s="932"/>
      <c r="G576" s="932"/>
      <c r="H576" s="932"/>
      <c r="I576" s="932"/>
      <c r="J576" s="932"/>
      <c r="K576" s="932"/>
      <c r="L576" s="932"/>
      <c r="M576" s="932"/>
      <c r="N576" s="932"/>
      <c r="O576" s="932"/>
      <c r="P576" s="932"/>
      <c r="Q576" s="932"/>
      <c r="R576" s="932"/>
      <c r="S576" s="932"/>
      <c r="T576" s="932"/>
      <c r="U576" s="932"/>
      <c r="V576" s="932"/>
      <c r="W576" s="932"/>
      <c r="X576" s="932"/>
      <c r="Y576" s="932"/>
      <c r="Z576" s="932"/>
      <c r="AA576" s="932"/>
      <c r="AB576" s="932"/>
      <c r="AC576" s="932"/>
      <c r="AD576" s="932"/>
      <c r="AE576" s="932"/>
      <c r="AF576" s="932"/>
      <c r="AG576" s="932"/>
      <c r="AH576" s="932"/>
      <c r="AI576" s="932"/>
      <c r="AJ576" s="932"/>
      <c r="AK576" s="932"/>
      <c r="AL576" s="932"/>
      <c r="AM576" s="932"/>
      <c r="AN576" s="932"/>
      <c r="AO576" s="932"/>
      <c r="AP576" s="932"/>
      <c r="AQ576" s="932"/>
      <c r="AR576" s="932"/>
      <c r="AS576" s="932"/>
      <c r="AT576" s="932"/>
      <c r="AU576" s="932"/>
      <c r="AV576" s="932"/>
      <c r="AW576" s="932"/>
      <c r="AX576" s="932"/>
      <c r="AY576" s="932"/>
      <c r="AZ576" s="932"/>
      <c r="BA576" s="932"/>
      <c r="BB576" s="932"/>
      <c r="BC576" s="932"/>
      <c r="BD576" s="932"/>
      <c r="BE576" s="932"/>
      <c r="BF576" s="932"/>
    </row>
    <row r="577" spans="2:58" ht="15" x14ac:dyDescent="0.25">
      <c r="B577" s="932"/>
      <c r="C577" s="932"/>
      <c r="D577" s="932"/>
      <c r="E577" s="932"/>
      <c r="F577" s="932"/>
      <c r="G577" s="932"/>
      <c r="H577" s="932"/>
      <c r="I577" s="932"/>
      <c r="J577" s="932"/>
      <c r="K577" s="932"/>
      <c r="L577" s="932"/>
      <c r="M577" s="932"/>
      <c r="N577" s="932"/>
      <c r="O577" s="932"/>
      <c r="P577" s="932"/>
      <c r="Q577" s="932"/>
      <c r="R577" s="932"/>
      <c r="S577" s="932"/>
      <c r="T577" s="932"/>
      <c r="U577" s="932"/>
      <c r="V577" s="932"/>
      <c r="W577" s="932"/>
      <c r="X577" s="932"/>
      <c r="Y577" s="932"/>
      <c r="Z577" s="932"/>
      <c r="AA577" s="932"/>
      <c r="AB577" s="932"/>
      <c r="AC577" s="932"/>
      <c r="AD577" s="932"/>
      <c r="AE577" s="932"/>
      <c r="AF577" s="932"/>
      <c r="AG577" s="932"/>
      <c r="AH577" s="932"/>
      <c r="AI577" s="932"/>
      <c r="AJ577" s="932"/>
      <c r="AK577" s="932"/>
      <c r="AL577" s="932"/>
      <c r="AM577" s="932"/>
      <c r="AN577" s="932"/>
      <c r="AO577" s="932"/>
      <c r="AP577" s="932"/>
      <c r="AQ577" s="932"/>
      <c r="AR577" s="932"/>
      <c r="AS577" s="932"/>
      <c r="AT577" s="932"/>
      <c r="AU577" s="932"/>
      <c r="AV577" s="932"/>
      <c r="AW577" s="932"/>
      <c r="AX577" s="932"/>
      <c r="AY577" s="932"/>
      <c r="AZ577" s="932"/>
      <c r="BA577" s="932"/>
      <c r="BB577" s="932"/>
      <c r="BC577" s="932"/>
      <c r="BD577" s="932"/>
      <c r="BE577" s="932"/>
      <c r="BF577" s="932"/>
    </row>
    <row r="578" spans="2:58" ht="15" x14ac:dyDescent="0.25">
      <c r="B578" s="932"/>
      <c r="C578" s="932"/>
      <c r="D578" s="932"/>
      <c r="E578" s="932"/>
      <c r="F578" s="932"/>
      <c r="G578" s="932"/>
      <c r="H578" s="932"/>
      <c r="I578" s="932"/>
      <c r="J578" s="932"/>
      <c r="K578" s="932"/>
      <c r="L578" s="932"/>
      <c r="M578" s="932"/>
      <c r="N578" s="932"/>
      <c r="O578" s="932"/>
      <c r="P578" s="932"/>
      <c r="Q578" s="932"/>
      <c r="R578" s="932"/>
      <c r="S578" s="932"/>
      <c r="T578" s="932"/>
      <c r="U578" s="932"/>
      <c r="V578" s="932"/>
      <c r="W578" s="932"/>
      <c r="X578" s="932"/>
      <c r="Y578" s="932"/>
      <c r="Z578" s="932"/>
      <c r="AA578" s="932"/>
      <c r="AB578" s="932"/>
      <c r="AC578" s="932"/>
      <c r="AD578" s="932"/>
      <c r="AE578" s="932"/>
      <c r="AF578" s="932"/>
      <c r="AG578" s="932"/>
      <c r="AH578" s="932"/>
      <c r="AI578" s="932"/>
      <c r="AJ578" s="932"/>
      <c r="AK578" s="932"/>
      <c r="AL578" s="932"/>
      <c r="AM578" s="932"/>
      <c r="AN578" s="932"/>
      <c r="AO578" s="932"/>
      <c r="AP578" s="932"/>
      <c r="AQ578" s="932"/>
      <c r="AR578" s="932"/>
      <c r="AS578" s="932"/>
      <c r="AT578" s="932"/>
      <c r="AU578" s="932"/>
      <c r="AV578" s="932"/>
      <c r="AW578" s="932"/>
      <c r="AX578" s="932"/>
      <c r="AY578" s="932"/>
      <c r="AZ578" s="932"/>
      <c r="BA578" s="932"/>
      <c r="BB578" s="932"/>
      <c r="BC578" s="932"/>
      <c r="BD578" s="932"/>
      <c r="BE578" s="932"/>
      <c r="BF578" s="932"/>
    </row>
    <row r="579" spans="2:58" ht="15" x14ac:dyDescent="0.25">
      <c r="B579" s="932"/>
      <c r="C579" s="932"/>
      <c r="D579" s="932"/>
      <c r="E579" s="932"/>
      <c r="F579" s="932"/>
      <c r="G579" s="932"/>
      <c r="H579" s="932"/>
      <c r="I579" s="932"/>
      <c r="J579" s="932"/>
      <c r="K579" s="932"/>
      <c r="L579" s="932"/>
      <c r="M579" s="932"/>
      <c r="N579" s="932"/>
      <c r="O579" s="932"/>
      <c r="P579" s="932"/>
      <c r="Q579" s="932"/>
      <c r="R579" s="932"/>
      <c r="S579" s="932"/>
      <c r="T579" s="932"/>
      <c r="U579" s="932"/>
      <c r="V579" s="932"/>
      <c r="W579" s="932"/>
      <c r="X579" s="932"/>
      <c r="Y579" s="932"/>
      <c r="Z579" s="932"/>
      <c r="AA579" s="932"/>
      <c r="AB579" s="932"/>
      <c r="AC579" s="932"/>
      <c r="AD579" s="932"/>
      <c r="AE579" s="932"/>
      <c r="AF579" s="932"/>
      <c r="AG579" s="932"/>
      <c r="AH579" s="932"/>
      <c r="AI579" s="932"/>
      <c r="AJ579" s="932"/>
      <c r="AK579" s="932"/>
      <c r="AL579" s="932"/>
      <c r="AM579" s="932"/>
      <c r="AN579" s="932"/>
      <c r="AO579" s="932"/>
      <c r="AP579" s="932"/>
      <c r="AQ579" s="932"/>
      <c r="AR579" s="932"/>
      <c r="AS579" s="932"/>
      <c r="AT579" s="932"/>
      <c r="AU579" s="932"/>
      <c r="AV579" s="932"/>
      <c r="AW579" s="932"/>
      <c r="AX579" s="932"/>
      <c r="AY579" s="932"/>
      <c r="AZ579" s="932"/>
      <c r="BA579" s="932"/>
      <c r="BB579" s="932"/>
      <c r="BC579" s="932"/>
      <c r="BD579" s="932"/>
      <c r="BE579" s="932"/>
      <c r="BF579" s="932"/>
    </row>
    <row r="580" spans="2:58" ht="15" x14ac:dyDescent="0.25">
      <c r="B580" s="932"/>
      <c r="C580" s="932"/>
      <c r="D580" s="932"/>
      <c r="E580" s="932"/>
      <c r="F580" s="932"/>
      <c r="G580" s="932"/>
      <c r="H580" s="932"/>
      <c r="I580" s="932"/>
      <c r="J580" s="932"/>
      <c r="K580" s="932"/>
      <c r="L580" s="932"/>
      <c r="M580" s="932"/>
      <c r="N580" s="932"/>
      <c r="O580" s="932"/>
      <c r="P580" s="932"/>
      <c r="Q580" s="932"/>
      <c r="R580" s="932"/>
      <c r="S580" s="932"/>
      <c r="T580" s="932"/>
      <c r="U580" s="932"/>
      <c r="V580" s="932"/>
      <c r="W580" s="932"/>
      <c r="X580" s="932"/>
      <c r="Y580" s="932"/>
      <c r="Z580" s="932"/>
      <c r="AA580" s="932"/>
      <c r="AB580" s="932"/>
      <c r="AC580" s="932"/>
      <c r="AD580" s="932"/>
      <c r="AE580" s="932"/>
      <c r="AF580" s="932"/>
      <c r="AG580" s="932"/>
      <c r="AH580" s="932"/>
      <c r="AI580" s="932"/>
      <c r="AJ580" s="932"/>
      <c r="AK580" s="932"/>
      <c r="AL580" s="932"/>
      <c r="AM580" s="932"/>
      <c r="AN580" s="932"/>
      <c r="AO580" s="932"/>
      <c r="AP580" s="932"/>
      <c r="AQ580" s="932"/>
      <c r="AR580" s="932"/>
      <c r="AS580" s="932"/>
      <c r="AT580" s="932"/>
      <c r="AU580" s="932"/>
      <c r="AV580" s="932"/>
      <c r="AW580" s="932"/>
      <c r="AX580" s="932"/>
      <c r="AY580" s="932"/>
      <c r="AZ580" s="932"/>
      <c r="BA580" s="932"/>
      <c r="BB580" s="932"/>
      <c r="BC580" s="932"/>
      <c r="BD580" s="932"/>
      <c r="BE580" s="932"/>
      <c r="BF580" s="932"/>
    </row>
    <row r="581" spans="2:58" ht="15" x14ac:dyDescent="0.25">
      <c r="B581" s="932"/>
      <c r="C581" s="932"/>
      <c r="D581" s="932"/>
      <c r="E581" s="932"/>
      <c r="F581" s="932"/>
      <c r="G581" s="932"/>
      <c r="H581" s="932"/>
      <c r="I581" s="932"/>
      <c r="J581" s="932"/>
      <c r="K581" s="932"/>
      <c r="L581" s="932"/>
      <c r="M581" s="932"/>
      <c r="N581" s="932"/>
      <c r="O581" s="932"/>
      <c r="P581" s="932"/>
      <c r="Q581" s="932"/>
      <c r="R581" s="932"/>
      <c r="S581" s="932"/>
      <c r="T581" s="932"/>
      <c r="U581" s="932"/>
      <c r="V581" s="932"/>
      <c r="W581" s="932"/>
      <c r="X581" s="932"/>
      <c r="Y581" s="932"/>
      <c r="Z581" s="932"/>
      <c r="AA581" s="932"/>
      <c r="AB581" s="932"/>
      <c r="AC581" s="932"/>
      <c r="AD581" s="932"/>
      <c r="AE581" s="932"/>
      <c r="AF581" s="932"/>
      <c r="AG581" s="932"/>
      <c r="AH581" s="932"/>
      <c r="AI581" s="932"/>
      <c r="AJ581" s="932"/>
      <c r="AK581" s="932"/>
      <c r="AL581" s="932"/>
      <c r="AM581" s="932"/>
      <c r="AN581" s="932"/>
      <c r="AO581" s="932"/>
      <c r="AP581" s="932"/>
      <c r="AQ581" s="932"/>
      <c r="AR581" s="932"/>
      <c r="AS581" s="932"/>
      <c r="AT581" s="932"/>
      <c r="AU581" s="932"/>
      <c r="AV581" s="932"/>
      <c r="AW581" s="932"/>
      <c r="AX581" s="932"/>
      <c r="AY581" s="932"/>
      <c r="AZ581" s="932"/>
      <c r="BA581" s="932"/>
      <c r="BB581" s="932"/>
      <c r="BC581" s="932"/>
      <c r="BD581" s="932"/>
      <c r="BE581" s="932"/>
      <c r="BF581" s="932"/>
    </row>
    <row r="582" spans="2:58" ht="15" x14ac:dyDescent="0.25">
      <c r="B582" s="932"/>
      <c r="C582" s="932"/>
      <c r="D582" s="932"/>
      <c r="E582" s="932"/>
      <c r="F582" s="932"/>
      <c r="G582" s="932"/>
      <c r="H582" s="932"/>
      <c r="I582" s="932"/>
      <c r="J582" s="932"/>
      <c r="K582" s="932"/>
      <c r="L582" s="932"/>
      <c r="M582" s="932"/>
      <c r="N582" s="932"/>
      <c r="O582" s="932"/>
      <c r="P582" s="932"/>
      <c r="Q582" s="932"/>
      <c r="R582" s="932"/>
      <c r="S582" s="932"/>
      <c r="T582" s="932"/>
      <c r="U582" s="932"/>
      <c r="V582" s="932"/>
      <c r="W582" s="932"/>
      <c r="X582" s="932"/>
      <c r="Y582" s="932"/>
      <c r="Z582" s="932"/>
      <c r="AA582" s="932"/>
      <c r="AB582" s="932"/>
      <c r="AC582" s="932"/>
      <c r="AD582" s="932"/>
      <c r="AE582" s="932"/>
      <c r="AF582" s="932"/>
      <c r="AG582" s="932"/>
      <c r="AH582" s="932"/>
      <c r="AI582" s="932"/>
      <c r="AJ582" s="932"/>
      <c r="AK582" s="932"/>
      <c r="AL582" s="932"/>
      <c r="AM582" s="932"/>
      <c r="AN582" s="932"/>
      <c r="AO582" s="932"/>
      <c r="AP582" s="932"/>
      <c r="AQ582" s="932"/>
      <c r="AR582" s="932"/>
      <c r="AS582" s="932"/>
      <c r="AT582" s="932"/>
      <c r="AU582" s="932"/>
      <c r="AV582" s="932"/>
      <c r="AW582" s="932"/>
      <c r="AX582" s="932"/>
      <c r="AY582" s="932"/>
      <c r="AZ582" s="932"/>
      <c r="BA582" s="932"/>
      <c r="BB582" s="932"/>
      <c r="BC582" s="932"/>
      <c r="BD582" s="932"/>
      <c r="BE582" s="932"/>
      <c r="BF582" s="932"/>
    </row>
    <row r="583" spans="2:58" ht="15" x14ac:dyDescent="0.25">
      <c r="B583" s="932"/>
      <c r="C583" s="932"/>
      <c r="D583" s="932"/>
      <c r="E583" s="932"/>
      <c r="F583" s="932"/>
      <c r="G583" s="932"/>
      <c r="H583" s="932"/>
      <c r="I583" s="932"/>
      <c r="J583" s="932"/>
      <c r="K583" s="932"/>
      <c r="L583" s="932"/>
      <c r="M583" s="932"/>
      <c r="N583" s="932"/>
      <c r="O583" s="932"/>
      <c r="P583" s="932"/>
      <c r="Q583" s="932"/>
      <c r="R583" s="932"/>
      <c r="S583" s="932"/>
      <c r="T583" s="932"/>
      <c r="U583" s="932"/>
      <c r="V583" s="932"/>
      <c r="W583" s="932"/>
      <c r="X583" s="932"/>
      <c r="Y583" s="932"/>
      <c r="Z583" s="932"/>
      <c r="AA583" s="932"/>
      <c r="AB583" s="932"/>
      <c r="AC583" s="932"/>
      <c r="AD583" s="932"/>
      <c r="AE583" s="932"/>
      <c r="AF583" s="932"/>
      <c r="AG583" s="932"/>
      <c r="AH583" s="932"/>
      <c r="AI583" s="932"/>
      <c r="AJ583" s="932"/>
      <c r="AK583" s="932"/>
      <c r="AL583" s="932"/>
      <c r="AM583" s="932"/>
      <c r="AN583" s="932"/>
      <c r="AO583" s="932"/>
      <c r="AP583" s="932"/>
      <c r="AQ583" s="932"/>
      <c r="AR583" s="932"/>
      <c r="AS583" s="932"/>
      <c r="AT583" s="932"/>
      <c r="AU583" s="932"/>
      <c r="AV583" s="932"/>
      <c r="AW583" s="932"/>
      <c r="AX583" s="932"/>
      <c r="AY583" s="932"/>
      <c r="AZ583" s="932"/>
      <c r="BA583" s="932"/>
      <c r="BB583" s="932"/>
      <c r="BC583" s="932"/>
      <c r="BD583" s="932"/>
      <c r="BE583" s="932"/>
      <c r="BF583" s="932"/>
    </row>
    <row r="584" spans="2:58" ht="15" x14ac:dyDescent="0.25">
      <c r="B584" s="932"/>
      <c r="C584" s="932"/>
      <c r="D584" s="932"/>
      <c r="E584" s="932"/>
      <c r="F584" s="932"/>
      <c r="G584" s="932"/>
      <c r="H584" s="932"/>
      <c r="I584" s="932"/>
      <c r="J584" s="932"/>
      <c r="K584" s="932"/>
      <c r="L584" s="932"/>
      <c r="M584" s="932"/>
      <c r="N584" s="932"/>
      <c r="O584" s="932"/>
      <c r="P584" s="932"/>
      <c r="Q584" s="932"/>
      <c r="R584" s="932"/>
      <c r="S584" s="932"/>
      <c r="T584" s="932"/>
      <c r="U584" s="932"/>
      <c r="V584" s="932"/>
      <c r="W584" s="932"/>
      <c r="X584" s="932"/>
      <c r="Y584" s="932"/>
      <c r="Z584" s="932"/>
      <c r="AA584" s="932"/>
      <c r="AB584" s="932"/>
      <c r="AC584" s="932"/>
      <c r="AD584" s="932"/>
      <c r="AE584" s="932"/>
      <c r="AF584" s="932"/>
      <c r="AG584" s="932"/>
      <c r="AH584" s="932"/>
      <c r="AI584" s="932"/>
      <c r="AJ584" s="932"/>
      <c r="AK584" s="932"/>
      <c r="AL584" s="932"/>
      <c r="AM584" s="932"/>
      <c r="AN584" s="932"/>
      <c r="AO584" s="932"/>
      <c r="AP584" s="932"/>
      <c r="AQ584" s="932"/>
      <c r="AR584" s="932"/>
      <c r="AS584" s="932"/>
      <c r="AT584" s="932"/>
      <c r="AU584" s="932"/>
      <c r="AV584" s="932"/>
      <c r="AW584" s="932"/>
      <c r="AX584" s="932"/>
      <c r="AY584" s="932"/>
      <c r="AZ584" s="932"/>
      <c r="BA584" s="932"/>
      <c r="BB584" s="932"/>
      <c r="BC584" s="932"/>
      <c r="BD584" s="932"/>
      <c r="BE584" s="932"/>
      <c r="BF584" s="932"/>
    </row>
    <row r="585" spans="2:58" ht="15" x14ac:dyDescent="0.25">
      <c r="B585" s="932"/>
      <c r="C585" s="932"/>
      <c r="D585" s="932"/>
      <c r="E585" s="932"/>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932"/>
      <c r="AD585" s="932"/>
      <c r="AE585" s="932"/>
      <c r="AF585" s="932"/>
      <c r="AG585" s="932"/>
      <c r="AH585" s="932"/>
      <c r="AI585" s="932"/>
      <c r="AJ585" s="932"/>
      <c r="AK585" s="932"/>
      <c r="AL585" s="932"/>
      <c r="AM585" s="932"/>
      <c r="AN585" s="932"/>
      <c r="AO585" s="932"/>
      <c r="AP585" s="932"/>
      <c r="AQ585" s="932"/>
      <c r="AR585" s="932"/>
      <c r="AS585" s="932"/>
      <c r="AT585" s="932"/>
      <c r="AU585" s="932"/>
      <c r="AV585" s="932"/>
      <c r="AW585" s="932"/>
      <c r="AX585" s="932"/>
      <c r="AY585" s="932"/>
      <c r="AZ585" s="932"/>
      <c r="BA585" s="932"/>
      <c r="BB585" s="932"/>
      <c r="BC585" s="932"/>
      <c r="BD585" s="932"/>
      <c r="BE585" s="932"/>
      <c r="BF585" s="932"/>
    </row>
    <row r="586" spans="2:58" ht="15" x14ac:dyDescent="0.25">
      <c r="B586" s="932"/>
      <c r="C586" s="932"/>
      <c r="D586" s="932"/>
      <c r="E586" s="932"/>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932"/>
      <c r="AD586" s="932"/>
      <c r="AE586" s="932"/>
      <c r="AF586" s="932"/>
      <c r="AG586" s="932"/>
      <c r="AH586" s="932"/>
      <c r="AI586" s="932"/>
      <c r="AJ586" s="932"/>
      <c r="AK586" s="932"/>
      <c r="AL586" s="932"/>
      <c r="AM586" s="932"/>
      <c r="AN586" s="932"/>
      <c r="AO586" s="932"/>
      <c r="AP586" s="932"/>
      <c r="AQ586" s="932"/>
      <c r="AR586" s="932"/>
      <c r="AS586" s="932"/>
      <c r="AT586" s="932"/>
      <c r="AU586" s="932"/>
      <c r="AV586" s="932"/>
      <c r="AW586" s="932"/>
      <c r="AX586" s="932"/>
      <c r="AY586" s="932"/>
      <c r="AZ586" s="932"/>
      <c r="BA586" s="932"/>
      <c r="BB586" s="932"/>
      <c r="BC586" s="932"/>
      <c r="BD586" s="932"/>
      <c r="BE586" s="932"/>
      <c r="BF586" s="932"/>
    </row>
    <row r="587" spans="2:58" ht="15" x14ac:dyDescent="0.25">
      <c r="B587" s="932"/>
      <c r="C587" s="932"/>
      <c r="D587" s="932"/>
      <c r="E587" s="932"/>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932"/>
      <c r="AD587" s="932"/>
      <c r="AE587" s="932"/>
      <c r="AF587" s="932"/>
      <c r="AG587" s="932"/>
      <c r="AH587" s="932"/>
      <c r="AI587" s="932"/>
      <c r="AJ587" s="932"/>
      <c r="AK587" s="932"/>
      <c r="AL587" s="932"/>
      <c r="AM587" s="932"/>
      <c r="AN587" s="932"/>
      <c r="AO587" s="932"/>
      <c r="AP587" s="932"/>
      <c r="AQ587" s="932"/>
      <c r="AR587" s="932"/>
      <c r="AS587" s="932"/>
      <c r="AT587" s="932"/>
      <c r="AU587" s="932"/>
      <c r="AV587" s="932"/>
      <c r="AW587" s="932"/>
      <c r="AX587" s="932"/>
      <c r="AY587" s="932"/>
      <c r="AZ587" s="932"/>
      <c r="BA587" s="932"/>
      <c r="BB587" s="932"/>
      <c r="BC587" s="932"/>
      <c r="BD587" s="932"/>
      <c r="BE587" s="932"/>
      <c r="BF587" s="932"/>
    </row>
    <row r="588" spans="2:58" ht="15" x14ac:dyDescent="0.25">
      <c r="B588" s="932"/>
      <c r="C588" s="932"/>
      <c r="D588" s="932"/>
      <c r="E588" s="932"/>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932"/>
      <c r="AD588" s="932"/>
      <c r="AE588" s="932"/>
      <c r="AF588" s="932"/>
      <c r="AG588" s="932"/>
      <c r="AH588" s="932"/>
      <c r="AI588" s="932"/>
      <c r="AJ588" s="932"/>
      <c r="AK588" s="932"/>
      <c r="AL588" s="932"/>
      <c r="AM588" s="932"/>
      <c r="AN588" s="932"/>
      <c r="AO588" s="932"/>
      <c r="AP588" s="932"/>
      <c r="AQ588" s="932"/>
      <c r="AR588" s="932"/>
      <c r="AS588" s="932"/>
      <c r="AT588" s="932"/>
      <c r="AU588" s="932"/>
      <c r="AV588" s="932"/>
      <c r="AW588" s="932"/>
      <c r="AX588" s="932"/>
      <c r="AY588" s="932"/>
      <c r="AZ588" s="932"/>
      <c r="BA588" s="932"/>
      <c r="BB588" s="932"/>
      <c r="BC588" s="932"/>
      <c r="BD588" s="932"/>
      <c r="BE588" s="932"/>
      <c r="BF588" s="932"/>
    </row>
    <row r="589" spans="2:58" ht="15" x14ac:dyDescent="0.25">
      <c r="B589" s="932"/>
      <c r="C589" s="932"/>
      <c r="D589" s="932"/>
      <c r="E589" s="932"/>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932"/>
      <c r="AD589" s="932"/>
      <c r="AE589" s="932"/>
      <c r="AF589" s="932"/>
      <c r="AG589" s="932"/>
      <c r="AH589" s="932"/>
      <c r="AI589" s="932"/>
      <c r="AJ589" s="932"/>
      <c r="AK589" s="932"/>
      <c r="AL589" s="932"/>
      <c r="AM589" s="932"/>
      <c r="AN589" s="932"/>
      <c r="AO589" s="932"/>
      <c r="AP589" s="932"/>
      <c r="AQ589" s="932"/>
      <c r="AR589" s="932"/>
      <c r="AS589" s="932"/>
      <c r="AT589" s="932"/>
      <c r="AU589" s="932"/>
      <c r="AV589" s="932"/>
      <c r="AW589" s="932"/>
      <c r="AX589" s="932"/>
      <c r="AY589" s="932"/>
      <c r="AZ589" s="932"/>
      <c r="BA589" s="932"/>
      <c r="BB589" s="932"/>
      <c r="BC589" s="932"/>
      <c r="BD589" s="932"/>
      <c r="BE589" s="932"/>
      <c r="BF589" s="932"/>
    </row>
    <row r="590" spans="2:58" ht="15" x14ac:dyDescent="0.25">
      <c r="B590" s="932"/>
      <c r="C590" s="932"/>
      <c r="D590" s="932"/>
      <c r="E590" s="932"/>
      <c r="F590" s="932"/>
      <c r="G590" s="932"/>
      <c r="H590" s="932"/>
      <c r="I590" s="932"/>
      <c r="J590" s="932"/>
      <c r="K590" s="932"/>
      <c r="L590" s="932"/>
      <c r="M590" s="932"/>
      <c r="N590" s="932"/>
      <c r="O590" s="932"/>
      <c r="P590" s="932"/>
      <c r="Q590" s="932"/>
      <c r="R590" s="932"/>
      <c r="S590" s="932"/>
      <c r="T590" s="932"/>
      <c r="U590" s="932"/>
      <c r="V590" s="932"/>
      <c r="W590" s="932"/>
      <c r="X590" s="932"/>
      <c r="Y590" s="932"/>
      <c r="Z590" s="932"/>
      <c r="AA590" s="932"/>
      <c r="AB590" s="932"/>
      <c r="AC590" s="932"/>
      <c r="AD590" s="932"/>
      <c r="AE590" s="932"/>
      <c r="AF590" s="932"/>
      <c r="AG590" s="932"/>
      <c r="AH590" s="932"/>
      <c r="AI590" s="932"/>
      <c r="AJ590" s="932"/>
      <c r="AK590" s="932"/>
      <c r="AL590" s="932"/>
      <c r="AM590" s="932"/>
      <c r="AN590" s="932"/>
      <c r="AO590" s="932"/>
      <c r="AP590" s="932"/>
      <c r="AQ590" s="932"/>
      <c r="AR590" s="932"/>
      <c r="AS590" s="932"/>
      <c r="AT590" s="932"/>
      <c r="AU590" s="932"/>
      <c r="AV590" s="932"/>
      <c r="AW590" s="932"/>
      <c r="AX590" s="932"/>
      <c r="AY590" s="932"/>
      <c r="AZ590" s="932"/>
      <c r="BA590" s="932"/>
      <c r="BB590" s="932"/>
      <c r="BC590" s="932"/>
      <c r="BD590" s="932"/>
      <c r="BE590" s="932"/>
      <c r="BF590" s="932"/>
    </row>
    <row r="591" spans="2:58" ht="15" x14ac:dyDescent="0.25">
      <c r="B591" s="932"/>
      <c r="C591" s="932"/>
      <c r="D591" s="932"/>
      <c r="E591" s="932"/>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932"/>
      <c r="AD591" s="932"/>
      <c r="AE591" s="932"/>
      <c r="AF591" s="932"/>
      <c r="AG591" s="932"/>
      <c r="AH591" s="932"/>
      <c r="AI591" s="932"/>
      <c r="AJ591" s="932"/>
      <c r="AK591" s="932"/>
      <c r="AL591" s="932"/>
      <c r="AM591" s="932"/>
      <c r="AN591" s="932"/>
      <c r="AO591" s="932"/>
      <c r="AP591" s="932"/>
      <c r="AQ591" s="932"/>
      <c r="AR591" s="932"/>
      <c r="AS591" s="932"/>
      <c r="AT591" s="932"/>
      <c r="AU591" s="932"/>
      <c r="AV591" s="932"/>
      <c r="AW591" s="932"/>
      <c r="AX591" s="932"/>
      <c r="AY591" s="932"/>
      <c r="AZ591" s="932"/>
      <c r="BA591" s="932"/>
      <c r="BB591" s="932"/>
      <c r="BC591" s="932"/>
      <c r="BD591" s="932"/>
      <c r="BE591" s="932"/>
      <c r="BF591" s="932"/>
    </row>
    <row r="592" spans="2:58" ht="15" x14ac:dyDescent="0.25">
      <c r="B592" s="932"/>
      <c r="C592" s="932"/>
      <c r="D592" s="932"/>
      <c r="E592" s="932"/>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932"/>
      <c r="AD592" s="932"/>
      <c r="AE592" s="932"/>
      <c r="AF592" s="932"/>
      <c r="AG592" s="932"/>
      <c r="AH592" s="932"/>
      <c r="AI592" s="932"/>
      <c r="AJ592" s="932"/>
      <c r="AK592" s="932"/>
      <c r="AL592" s="932"/>
      <c r="AM592" s="932"/>
      <c r="AN592" s="932"/>
      <c r="AO592" s="932"/>
      <c r="AP592" s="932"/>
      <c r="AQ592" s="932"/>
      <c r="AR592" s="932"/>
      <c r="AS592" s="932"/>
      <c r="AT592" s="932"/>
      <c r="AU592" s="932"/>
      <c r="AV592" s="932"/>
      <c r="AW592" s="932"/>
      <c r="AX592" s="932"/>
      <c r="AY592" s="932"/>
      <c r="AZ592" s="932"/>
      <c r="BA592" s="932"/>
      <c r="BB592" s="932"/>
      <c r="BC592" s="932"/>
      <c r="BD592" s="932"/>
      <c r="BE592" s="932"/>
      <c r="BF592" s="932"/>
    </row>
    <row r="593" spans="2:58" ht="15" x14ac:dyDescent="0.25">
      <c r="B593" s="932"/>
      <c r="C593" s="932"/>
      <c r="D593" s="932"/>
      <c r="E593" s="932"/>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932"/>
      <c r="AD593" s="932"/>
      <c r="AE593" s="932"/>
      <c r="AF593" s="932"/>
      <c r="AG593" s="932"/>
      <c r="AH593" s="932"/>
      <c r="AI593" s="932"/>
      <c r="AJ593" s="932"/>
      <c r="AK593" s="932"/>
      <c r="AL593" s="932"/>
      <c r="AM593" s="932"/>
      <c r="AN593" s="932"/>
      <c r="AO593" s="932"/>
      <c r="AP593" s="932"/>
      <c r="AQ593" s="932"/>
      <c r="AR593" s="932"/>
      <c r="AS593" s="932"/>
      <c r="AT593" s="932"/>
      <c r="AU593" s="932"/>
      <c r="AV593" s="932"/>
      <c r="AW593" s="932"/>
      <c r="AX593" s="932"/>
      <c r="AY593" s="932"/>
      <c r="AZ593" s="932"/>
      <c r="BA593" s="932"/>
      <c r="BB593" s="932"/>
      <c r="BC593" s="932"/>
      <c r="BD593" s="932"/>
      <c r="BE593" s="932"/>
      <c r="BF593" s="932"/>
    </row>
    <row r="594" spans="2:58" ht="15" x14ac:dyDescent="0.25">
      <c r="B594" s="932"/>
      <c r="C594" s="932"/>
      <c r="D594" s="932"/>
      <c r="E594" s="932"/>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932"/>
      <c r="AD594" s="932"/>
      <c r="AE594" s="932"/>
      <c r="AF594" s="932"/>
      <c r="AG594" s="932"/>
      <c r="AH594" s="932"/>
      <c r="AI594" s="932"/>
      <c r="AJ594" s="932"/>
      <c r="AK594" s="932"/>
      <c r="AL594" s="932"/>
      <c r="AM594" s="932"/>
      <c r="AN594" s="932"/>
      <c r="AO594" s="932"/>
      <c r="AP594" s="932"/>
      <c r="AQ594" s="932"/>
      <c r="AR594" s="932"/>
      <c r="AS594" s="932"/>
      <c r="AT594" s="932"/>
      <c r="AU594" s="932"/>
      <c r="AV594" s="932"/>
      <c r="AW594" s="932"/>
      <c r="AX594" s="932"/>
      <c r="AY594" s="932"/>
      <c r="AZ594" s="932"/>
      <c r="BA594" s="932"/>
      <c r="BB594" s="932"/>
      <c r="BC594" s="932"/>
      <c r="BD594" s="932"/>
      <c r="BE594" s="932"/>
      <c r="BF594" s="932"/>
    </row>
    <row r="595" spans="2:58" ht="15" x14ac:dyDescent="0.25">
      <c r="B595" s="932"/>
      <c r="C595" s="932"/>
      <c r="D595" s="932"/>
      <c r="E595" s="932"/>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932"/>
      <c r="AD595" s="932"/>
      <c r="AE595" s="932"/>
      <c r="AF595" s="932"/>
      <c r="AG595" s="932"/>
      <c r="AH595" s="932"/>
      <c r="AI595" s="932"/>
      <c r="AJ595" s="932"/>
      <c r="AK595" s="932"/>
      <c r="AL595" s="932"/>
      <c r="AM595" s="932"/>
      <c r="AN595" s="932"/>
      <c r="AO595" s="932"/>
      <c r="AP595" s="932"/>
      <c r="AQ595" s="932"/>
      <c r="AR595" s="932"/>
      <c r="AS595" s="932"/>
      <c r="AT595" s="932"/>
      <c r="AU595" s="932"/>
      <c r="AV595" s="932"/>
      <c r="AW595" s="932"/>
      <c r="AX595" s="932"/>
      <c r="AY595" s="932"/>
      <c r="AZ595" s="932"/>
      <c r="BA595" s="932"/>
      <c r="BB595" s="932"/>
      <c r="BC595" s="932"/>
      <c r="BD595" s="932"/>
      <c r="BE595" s="932"/>
      <c r="BF595" s="932"/>
    </row>
    <row r="596" spans="2:58" ht="15" x14ac:dyDescent="0.25">
      <c r="B596" s="932"/>
      <c r="C596" s="932"/>
      <c r="D596" s="932"/>
      <c r="E596" s="932"/>
      <c r="F596" s="932"/>
      <c r="G596" s="932"/>
      <c r="H596" s="932"/>
      <c r="I596" s="932"/>
      <c r="J596" s="932"/>
      <c r="K596" s="932"/>
      <c r="L596" s="932"/>
      <c r="M596" s="932"/>
      <c r="N596" s="932"/>
      <c r="O596" s="932"/>
      <c r="P596" s="932"/>
      <c r="Q596" s="932"/>
      <c r="R596" s="932"/>
      <c r="S596" s="932"/>
      <c r="T596" s="932"/>
      <c r="U596" s="932"/>
      <c r="V596" s="932"/>
      <c r="W596" s="932"/>
      <c r="X596" s="932"/>
      <c r="Y596" s="932"/>
      <c r="Z596" s="932"/>
      <c r="AA596" s="932"/>
      <c r="AB596" s="932"/>
      <c r="AC596" s="932"/>
      <c r="AD596" s="932"/>
      <c r="AE596" s="932"/>
      <c r="AF596" s="932"/>
      <c r="AG596" s="932"/>
      <c r="AH596" s="932"/>
      <c r="AI596" s="932"/>
      <c r="AJ596" s="932"/>
      <c r="AK596" s="932"/>
      <c r="AL596" s="932"/>
      <c r="AM596" s="932"/>
      <c r="AN596" s="932"/>
      <c r="AO596" s="932"/>
      <c r="AP596" s="932"/>
      <c r="AQ596" s="932"/>
      <c r="AR596" s="932"/>
      <c r="AS596" s="932"/>
      <c r="AT596" s="932"/>
      <c r="AU596" s="932"/>
      <c r="AV596" s="932"/>
      <c r="AW596" s="932"/>
      <c r="AX596" s="932"/>
      <c r="AY596" s="932"/>
      <c r="AZ596" s="932"/>
      <c r="BA596" s="932"/>
      <c r="BB596" s="932"/>
      <c r="BC596" s="932"/>
      <c r="BD596" s="932"/>
      <c r="BE596" s="932"/>
      <c r="BF596" s="932"/>
    </row>
    <row r="597" spans="2:58" ht="15" x14ac:dyDescent="0.25">
      <c r="B597" s="932"/>
      <c r="C597" s="932"/>
      <c r="D597" s="932"/>
      <c r="E597" s="932"/>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932"/>
      <c r="AD597" s="932"/>
      <c r="AE597" s="932"/>
      <c r="AF597" s="932"/>
      <c r="AG597" s="932"/>
      <c r="AH597" s="932"/>
      <c r="AI597" s="932"/>
      <c r="AJ597" s="932"/>
      <c r="AK597" s="932"/>
      <c r="AL597" s="932"/>
      <c r="AM597" s="932"/>
      <c r="AN597" s="932"/>
      <c r="AO597" s="932"/>
      <c r="AP597" s="932"/>
      <c r="AQ597" s="932"/>
      <c r="AR597" s="932"/>
      <c r="AS597" s="932"/>
      <c r="AT597" s="932"/>
      <c r="AU597" s="932"/>
      <c r="AV597" s="932"/>
      <c r="AW597" s="932"/>
      <c r="AX597" s="932"/>
      <c r="AY597" s="932"/>
      <c r="AZ597" s="932"/>
      <c r="BA597" s="932"/>
      <c r="BB597" s="932"/>
      <c r="BC597" s="932"/>
      <c r="BD597" s="932"/>
      <c r="BE597" s="932"/>
      <c r="BF597" s="932"/>
    </row>
    <row r="598" spans="2:58" ht="15" x14ac:dyDescent="0.25">
      <c r="B598" s="932"/>
      <c r="C598" s="932"/>
      <c r="D598" s="932"/>
      <c r="E598" s="932"/>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932"/>
      <c r="AD598" s="932"/>
      <c r="AE598" s="932"/>
      <c r="AF598" s="932"/>
      <c r="AG598" s="932"/>
      <c r="AH598" s="932"/>
      <c r="AI598" s="932"/>
      <c r="AJ598" s="932"/>
      <c r="AK598" s="932"/>
      <c r="AL598" s="932"/>
      <c r="AM598" s="932"/>
      <c r="AN598" s="932"/>
      <c r="AO598" s="932"/>
      <c r="AP598" s="932"/>
      <c r="AQ598" s="932"/>
      <c r="AR598" s="932"/>
      <c r="AS598" s="932"/>
      <c r="AT598" s="932"/>
      <c r="AU598" s="932"/>
      <c r="AV598" s="932"/>
      <c r="AW598" s="932"/>
      <c r="AX598" s="932"/>
      <c r="AY598" s="932"/>
      <c r="AZ598" s="932"/>
      <c r="BA598" s="932"/>
      <c r="BB598" s="932"/>
      <c r="BC598" s="932"/>
      <c r="BD598" s="932"/>
      <c r="BE598" s="932"/>
      <c r="BF598" s="932"/>
    </row>
    <row r="599" spans="2:58" ht="15" x14ac:dyDescent="0.25">
      <c r="B599" s="932"/>
      <c r="C599" s="932"/>
      <c r="D599" s="932"/>
      <c r="E599" s="932"/>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932"/>
      <c r="AD599" s="932"/>
      <c r="AE599" s="932"/>
      <c r="AF599" s="932"/>
      <c r="AG599" s="932"/>
      <c r="AH599" s="932"/>
      <c r="AI599" s="932"/>
      <c r="AJ599" s="932"/>
      <c r="AK599" s="932"/>
      <c r="AL599" s="932"/>
      <c r="AM599" s="932"/>
      <c r="AN599" s="932"/>
      <c r="AO599" s="932"/>
      <c r="AP599" s="932"/>
      <c r="AQ599" s="932"/>
      <c r="AR599" s="932"/>
      <c r="AS599" s="932"/>
      <c r="AT599" s="932"/>
      <c r="AU599" s="932"/>
      <c r="AV599" s="932"/>
      <c r="AW599" s="932"/>
      <c r="AX599" s="932"/>
      <c r="AY599" s="932"/>
      <c r="AZ599" s="932"/>
      <c r="BA599" s="932"/>
      <c r="BB599" s="932"/>
      <c r="BC599" s="932"/>
      <c r="BD599" s="932"/>
      <c r="BE599" s="932"/>
      <c r="BF599" s="932"/>
    </row>
    <row r="600" spans="2:58" ht="15" x14ac:dyDescent="0.25">
      <c r="B600" s="932"/>
      <c r="C600" s="932"/>
      <c r="D600" s="932"/>
      <c r="E600" s="932"/>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932"/>
      <c r="AD600" s="932"/>
      <c r="AE600" s="932"/>
      <c r="AF600" s="932"/>
      <c r="AG600" s="932"/>
      <c r="AH600" s="932"/>
      <c r="AI600" s="932"/>
      <c r="AJ600" s="932"/>
      <c r="AK600" s="932"/>
      <c r="AL600" s="932"/>
      <c r="AM600" s="932"/>
      <c r="AN600" s="932"/>
      <c r="AO600" s="932"/>
      <c r="AP600" s="932"/>
      <c r="AQ600" s="932"/>
      <c r="AR600" s="932"/>
      <c r="AS600" s="932"/>
      <c r="AT600" s="932"/>
      <c r="AU600" s="932"/>
      <c r="AV600" s="932"/>
      <c r="AW600" s="932"/>
      <c r="AX600" s="932"/>
      <c r="AY600" s="932"/>
      <c r="AZ600" s="932"/>
      <c r="BA600" s="932"/>
      <c r="BB600" s="932"/>
      <c r="BC600" s="932"/>
      <c r="BD600" s="932"/>
      <c r="BE600" s="932"/>
      <c r="BF600" s="932"/>
    </row>
    <row r="601" spans="2:58" ht="15" x14ac:dyDescent="0.25">
      <c r="B601" s="932"/>
      <c r="C601" s="932"/>
      <c r="D601" s="932"/>
      <c r="E601" s="932"/>
      <c r="F601" s="932"/>
      <c r="G601" s="932"/>
      <c r="H601" s="932"/>
      <c r="I601" s="932"/>
      <c r="J601" s="932"/>
      <c r="K601" s="932"/>
      <c r="L601" s="932"/>
      <c r="M601" s="932"/>
      <c r="N601" s="932"/>
      <c r="O601" s="932"/>
      <c r="P601" s="932"/>
      <c r="Q601" s="932"/>
      <c r="R601" s="932"/>
      <c r="S601" s="932"/>
      <c r="T601" s="932"/>
      <c r="U601" s="932"/>
      <c r="V601" s="932"/>
      <c r="W601" s="932"/>
      <c r="X601" s="932"/>
      <c r="Y601" s="932"/>
      <c r="Z601" s="932"/>
      <c r="AA601" s="932"/>
      <c r="AB601" s="932"/>
      <c r="AC601" s="932"/>
      <c r="AD601" s="932"/>
      <c r="AE601" s="932"/>
      <c r="AF601" s="932"/>
      <c r="AG601" s="932"/>
      <c r="AH601" s="932"/>
      <c r="AI601" s="932"/>
      <c r="AJ601" s="932"/>
      <c r="AK601" s="932"/>
      <c r="AL601" s="932"/>
      <c r="AM601" s="932"/>
      <c r="AN601" s="932"/>
      <c r="AO601" s="932"/>
      <c r="AP601" s="932"/>
      <c r="AQ601" s="932"/>
      <c r="AR601" s="932"/>
      <c r="AS601" s="932"/>
      <c r="AT601" s="932"/>
      <c r="AU601" s="932"/>
      <c r="AV601" s="932"/>
      <c r="AW601" s="932"/>
      <c r="AX601" s="932"/>
      <c r="AY601" s="932"/>
      <c r="AZ601" s="932"/>
      <c r="BA601" s="932"/>
      <c r="BB601" s="932"/>
      <c r="BC601" s="932"/>
      <c r="BD601" s="932"/>
      <c r="BE601" s="932"/>
      <c r="BF601" s="932"/>
    </row>
    <row r="602" spans="2:58" ht="15" x14ac:dyDescent="0.25">
      <c r="B602" s="932"/>
      <c r="C602" s="932"/>
      <c r="D602" s="932"/>
      <c r="E602" s="932"/>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932"/>
      <c r="AD602" s="932"/>
      <c r="AE602" s="932"/>
      <c r="AF602" s="932"/>
      <c r="AG602" s="932"/>
      <c r="AH602" s="932"/>
      <c r="AI602" s="932"/>
      <c r="AJ602" s="932"/>
      <c r="AK602" s="932"/>
      <c r="AL602" s="932"/>
      <c r="AM602" s="932"/>
      <c r="AN602" s="932"/>
      <c r="AO602" s="932"/>
      <c r="AP602" s="932"/>
      <c r="AQ602" s="932"/>
      <c r="AR602" s="932"/>
      <c r="AS602" s="932"/>
      <c r="AT602" s="932"/>
      <c r="AU602" s="932"/>
      <c r="AV602" s="932"/>
      <c r="AW602" s="932"/>
      <c r="AX602" s="932"/>
      <c r="AY602" s="932"/>
      <c r="AZ602" s="932"/>
      <c r="BA602" s="932"/>
      <c r="BB602" s="932"/>
      <c r="BC602" s="932"/>
      <c r="BD602" s="932"/>
      <c r="BE602" s="932"/>
      <c r="BF602" s="932"/>
    </row>
    <row r="603" spans="2:58" ht="15" x14ac:dyDescent="0.25">
      <c r="B603" s="932"/>
      <c r="C603" s="932"/>
      <c r="D603" s="932"/>
      <c r="E603" s="932"/>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932"/>
      <c r="AD603" s="932"/>
      <c r="AE603" s="932"/>
      <c r="AF603" s="932"/>
      <c r="AG603" s="932"/>
      <c r="AH603" s="932"/>
      <c r="AI603" s="932"/>
      <c r="AJ603" s="932"/>
      <c r="AK603" s="932"/>
      <c r="AL603" s="932"/>
      <c r="AM603" s="932"/>
      <c r="AN603" s="932"/>
      <c r="AO603" s="932"/>
      <c r="AP603" s="932"/>
      <c r="AQ603" s="932"/>
      <c r="AR603" s="932"/>
      <c r="AS603" s="932"/>
      <c r="AT603" s="932"/>
      <c r="AU603" s="932"/>
      <c r="AV603" s="932"/>
      <c r="AW603" s="932"/>
      <c r="AX603" s="932"/>
      <c r="AY603" s="932"/>
      <c r="AZ603" s="932"/>
      <c r="BA603" s="932"/>
      <c r="BB603" s="932"/>
      <c r="BC603" s="932"/>
      <c r="BD603" s="932"/>
      <c r="BE603" s="932"/>
      <c r="BF603" s="932"/>
    </row>
    <row r="604" spans="2:58" ht="15" x14ac:dyDescent="0.25">
      <c r="B604" s="932"/>
      <c r="C604" s="932"/>
      <c r="D604" s="932"/>
      <c r="E604" s="932"/>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932"/>
      <c r="AD604" s="932"/>
      <c r="AE604" s="932"/>
      <c r="AF604" s="932"/>
      <c r="AG604" s="932"/>
      <c r="AH604" s="932"/>
      <c r="AI604" s="932"/>
      <c r="AJ604" s="932"/>
      <c r="AK604" s="932"/>
      <c r="AL604" s="932"/>
      <c r="AM604" s="932"/>
      <c r="AN604" s="932"/>
      <c r="AO604" s="932"/>
      <c r="AP604" s="932"/>
      <c r="AQ604" s="932"/>
      <c r="AR604" s="932"/>
      <c r="AS604" s="932"/>
      <c r="AT604" s="932"/>
      <c r="AU604" s="932"/>
      <c r="AV604" s="932"/>
      <c r="AW604" s="932"/>
      <c r="AX604" s="932"/>
      <c r="AY604" s="932"/>
      <c r="AZ604" s="932"/>
      <c r="BA604" s="932"/>
      <c r="BB604" s="932"/>
      <c r="BC604" s="932"/>
      <c r="BD604" s="932"/>
      <c r="BE604" s="932"/>
      <c r="BF604" s="932"/>
    </row>
    <row r="605" spans="2:58" ht="15" x14ac:dyDescent="0.25">
      <c r="B605" s="932"/>
      <c r="C605" s="932"/>
      <c r="D605" s="932"/>
      <c r="E605" s="932"/>
      <c r="F605" s="932"/>
      <c r="G605" s="932"/>
      <c r="H605" s="932"/>
      <c r="I605" s="932"/>
      <c r="J605" s="932"/>
      <c r="K605" s="932"/>
      <c r="L605" s="932"/>
      <c r="M605" s="932"/>
      <c r="N605" s="932"/>
      <c r="O605" s="932"/>
      <c r="P605" s="932"/>
      <c r="Q605" s="932"/>
      <c r="R605" s="932"/>
      <c r="S605" s="932"/>
      <c r="T605" s="932"/>
      <c r="U605" s="932"/>
      <c r="V605" s="932"/>
      <c r="W605" s="932"/>
      <c r="X605" s="932"/>
      <c r="Y605" s="932"/>
      <c r="Z605" s="932"/>
      <c r="AA605" s="932"/>
      <c r="AB605" s="932"/>
      <c r="AC605" s="932"/>
      <c r="AD605" s="932"/>
      <c r="AE605" s="932"/>
      <c r="AF605" s="932"/>
      <c r="AG605" s="932"/>
      <c r="AH605" s="932"/>
      <c r="AI605" s="932"/>
      <c r="AJ605" s="932"/>
      <c r="AK605" s="932"/>
      <c r="AL605" s="932"/>
      <c r="AM605" s="932"/>
      <c r="AN605" s="932"/>
      <c r="AO605" s="932"/>
      <c r="AP605" s="932"/>
      <c r="AQ605" s="932"/>
      <c r="AR605" s="932"/>
      <c r="AS605" s="932"/>
      <c r="AT605" s="932"/>
      <c r="AU605" s="932"/>
      <c r="AV605" s="932"/>
      <c r="AW605" s="932"/>
      <c r="AX605" s="932"/>
      <c r="AY605" s="932"/>
      <c r="AZ605" s="932"/>
      <c r="BA605" s="932"/>
      <c r="BB605" s="932"/>
      <c r="BC605" s="932"/>
      <c r="BD605" s="932"/>
      <c r="BE605" s="932"/>
      <c r="BF605" s="932"/>
    </row>
    <row r="606" spans="2:58" ht="15" x14ac:dyDescent="0.25">
      <c r="B606" s="932"/>
      <c r="C606" s="932"/>
      <c r="D606" s="932"/>
      <c r="E606" s="932"/>
      <c r="F606" s="932"/>
      <c r="G606" s="932"/>
      <c r="H606" s="932"/>
      <c r="I606" s="932"/>
      <c r="J606" s="932"/>
      <c r="K606" s="932"/>
      <c r="L606" s="932"/>
      <c r="M606" s="932"/>
      <c r="N606" s="932"/>
      <c r="O606" s="932"/>
      <c r="P606" s="932"/>
      <c r="Q606" s="932"/>
      <c r="R606" s="932"/>
      <c r="S606" s="932"/>
      <c r="T606" s="932"/>
      <c r="U606" s="932"/>
      <c r="V606" s="932"/>
      <c r="W606" s="932"/>
      <c r="X606" s="932"/>
      <c r="Y606" s="932"/>
      <c r="Z606" s="932"/>
      <c r="AA606" s="932"/>
      <c r="AB606" s="932"/>
      <c r="AC606" s="932"/>
      <c r="AD606" s="932"/>
      <c r="AE606" s="932"/>
      <c r="AF606" s="932"/>
      <c r="AG606" s="932"/>
      <c r="AH606" s="932"/>
      <c r="AI606" s="932"/>
      <c r="AJ606" s="932"/>
      <c r="AK606" s="932"/>
      <c r="AL606" s="932"/>
      <c r="AM606" s="932"/>
      <c r="AN606" s="932"/>
      <c r="AO606" s="932"/>
      <c r="AP606" s="932"/>
      <c r="AQ606" s="932"/>
      <c r="AR606" s="932"/>
      <c r="AS606" s="932"/>
      <c r="AT606" s="932"/>
      <c r="AU606" s="932"/>
      <c r="AV606" s="932"/>
      <c r="AW606" s="932"/>
      <c r="AX606" s="932"/>
      <c r="AY606" s="932"/>
      <c r="AZ606" s="932"/>
      <c r="BA606" s="932"/>
      <c r="BB606" s="932"/>
      <c r="BC606" s="932"/>
      <c r="BD606" s="932"/>
      <c r="BE606" s="932"/>
      <c r="BF606" s="932"/>
    </row>
    <row r="607" spans="2:58" ht="15" x14ac:dyDescent="0.25">
      <c r="B607" s="932"/>
      <c r="C607" s="932"/>
      <c r="D607" s="932"/>
      <c r="E607" s="932"/>
      <c r="F607" s="932"/>
      <c r="G607" s="932"/>
      <c r="H607" s="932"/>
      <c r="I607" s="932"/>
      <c r="J607" s="932"/>
      <c r="K607" s="932"/>
      <c r="L607" s="932"/>
      <c r="M607" s="932"/>
      <c r="N607" s="932"/>
      <c r="O607" s="932"/>
      <c r="P607" s="932"/>
      <c r="Q607" s="932"/>
      <c r="R607" s="932"/>
      <c r="S607" s="932"/>
      <c r="T607" s="932"/>
      <c r="U607" s="932"/>
      <c r="V607" s="932"/>
      <c r="W607" s="932"/>
      <c r="X607" s="932"/>
      <c r="Y607" s="932"/>
      <c r="Z607" s="932"/>
      <c r="AA607" s="932"/>
      <c r="AB607" s="932"/>
      <c r="AC607" s="932"/>
      <c r="AD607" s="932"/>
      <c r="AE607" s="932"/>
      <c r="AF607" s="932"/>
      <c r="AG607" s="932"/>
      <c r="AH607" s="932"/>
      <c r="AI607" s="932"/>
      <c r="AJ607" s="932"/>
      <c r="AK607" s="932"/>
      <c r="AL607" s="932"/>
      <c r="AM607" s="932"/>
      <c r="AN607" s="932"/>
      <c r="AO607" s="932"/>
      <c r="AP607" s="932"/>
      <c r="AQ607" s="932"/>
      <c r="AR607" s="932"/>
      <c r="AS607" s="932"/>
      <c r="AT607" s="932"/>
      <c r="AU607" s="932"/>
      <c r="AV607" s="932"/>
      <c r="AW607" s="932"/>
      <c r="AX607" s="932"/>
      <c r="AY607" s="932"/>
      <c r="AZ607" s="932"/>
      <c r="BA607" s="932"/>
      <c r="BB607" s="932"/>
      <c r="BC607" s="932"/>
      <c r="BD607" s="932"/>
      <c r="BE607" s="932"/>
      <c r="BF607" s="932"/>
    </row>
    <row r="608" spans="2:58" ht="15" x14ac:dyDescent="0.25">
      <c r="B608" s="932"/>
      <c r="C608" s="932"/>
      <c r="D608" s="932"/>
      <c r="E608" s="932"/>
      <c r="F608" s="932"/>
      <c r="G608" s="932"/>
      <c r="H608" s="932"/>
      <c r="I608" s="932"/>
      <c r="J608" s="932"/>
      <c r="K608" s="932"/>
      <c r="L608" s="932"/>
      <c r="M608" s="932"/>
      <c r="N608" s="932"/>
      <c r="O608" s="932"/>
      <c r="P608" s="932"/>
      <c r="Q608" s="932"/>
      <c r="R608" s="932"/>
      <c r="S608" s="932"/>
      <c r="T608" s="932"/>
      <c r="U608" s="932"/>
      <c r="V608" s="932"/>
      <c r="W608" s="932"/>
      <c r="X608" s="932"/>
      <c r="Y608" s="932"/>
      <c r="Z608" s="932"/>
      <c r="AA608" s="932"/>
      <c r="AB608" s="932"/>
      <c r="AC608" s="932"/>
      <c r="AD608" s="932"/>
      <c r="AE608" s="932"/>
      <c r="AF608" s="932"/>
      <c r="AG608" s="932"/>
      <c r="AH608" s="932"/>
      <c r="AI608" s="932"/>
      <c r="AJ608" s="932"/>
      <c r="AK608" s="932"/>
      <c r="AL608" s="932"/>
      <c r="AM608" s="932"/>
      <c r="AN608" s="932"/>
      <c r="AO608" s="932"/>
      <c r="AP608" s="932"/>
      <c r="AQ608" s="932"/>
      <c r="AR608" s="932"/>
      <c r="AS608" s="932"/>
      <c r="AT608" s="932"/>
      <c r="AU608" s="932"/>
      <c r="AV608" s="932"/>
      <c r="AW608" s="932"/>
      <c r="AX608" s="932"/>
      <c r="AY608" s="932"/>
      <c r="AZ608" s="932"/>
      <c r="BA608" s="932"/>
      <c r="BB608" s="932"/>
      <c r="BC608" s="932"/>
      <c r="BD608" s="932"/>
      <c r="BE608" s="932"/>
      <c r="BF608" s="932"/>
    </row>
    <row r="609" spans="2:58" ht="15" x14ac:dyDescent="0.25">
      <c r="B609" s="932"/>
      <c r="C609" s="932"/>
      <c r="D609" s="932"/>
      <c r="E609" s="932"/>
      <c r="F609" s="932"/>
      <c r="G609" s="932"/>
      <c r="H609" s="932"/>
      <c r="I609" s="932"/>
      <c r="J609" s="932"/>
      <c r="K609" s="932"/>
      <c r="L609" s="932"/>
      <c r="M609" s="932"/>
      <c r="N609" s="932"/>
      <c r="O609" s="932"/>
      <c r="P609" s="932"/>
      <c r="Q609" s="932"/>
      <c r="R609" s="932"/>
      <c r="S609" s="932"/>
      <c r="T609" s="932"/>
      <c r="U609" s="932"/>
      <c r="V609" s="932"/>
      <c r="W609" s="932"/>
      <c r="X609" s="932"/>
      <c r="Y609" s="932"/>
      <c r="Z609" s="932"/>
      <c r="AA609" s="932"/>
      <c r="AB609" s="932"/>
      <c r="AC609" s="932"/>
      <c r="AD609" s="932"/>
      <c r="AE609" s="932"/>
      <c r="AF609" s="932"/>
      <c r="AG609" s="932"/>
      <c r="AH609" s="932"/>
      <c r="AI609" s="932"/>
      <c r="AJ609" s="932"/>
      <c r="AK609" s="932"/>
      <c r="AL609" s="932"/>
      <c r="AM609" s="932"/>
      <c r="AN609" s="932"/>
      <c r="AO609" s="932"/>
      <c r="AP609" s="932"/>
      <c r="AQ609" s="932"/>
      <c r="AR609" s="932"/>
      <c r="AS609" s="932"/>
      <c r="AT609" s="932"/>
      <c r="AU609" s="932"/>
      <c r="AV609" s="932"/>
      <c r="AW609" s="932"/>
      <c r="AX609" s="932"/>
      <c r="AY609" s="932"/>
      <c r="AZ609" s="932"/>
      <c r="BA609" s="932"/>
      <c r="BB609" s="932"/>
      <c r="BC609" s="932"/>
      <c r="BD609" s="932"/>
      <c r="BE609" s="932"/>
      <c r="BF609" s="932"/>
    </row>
    <row r="610" spans="2:58" ht="15" x14ac:dyDescent="0.25">
      <c r="B610" s="932"/>
      <c r="C610" s="932"/>
      <c r="D610" s="932"/>
      <c r="E610" s="932"/>
      <c r="F610" s="932"/>
      <c r="G610" s="932"/>
      <c r="H610" s="932"/>
      <c r="I610" s="932"/>
      <c r="J610" s="932"/>
      <c r="K610" s="932"/>
      <c r="L610" s="932"/>
      <c r="M610" s="932"/>
      <c r="N610" s="932"/>
      <c r="O610" s="932"/>
      <c r="P610" s="932"/>
      <c r="Q610" s="932"/>
      <c r="R610" s="932"/>
      <c r="S610" s="932"/>
      <c r="T610" s="932"/>
      <c r="U610" s="932"/>
      <c r="V610" s="932"/>
      <c r="W610" s="932"/>
      <c r="X610" s="932"/>
      <c r="Y610" s="932"/>
      <c r="Z610" s="932"/>
      <c r="AA610" s="932"/>
      <c r="AB610" s="932"/>
      <c r="AC610" s="932"/>
      <c r="AD610" s="932"/>
      <c r="AE610" s="932"/>
      <c r="AF610" s="932"/>
      <c r="AG610" s="932"/>
      <c r="AH610" s="932"/>
      <c r="AI610" s="932"/>
      <c r="AJ610" s="932"/>
      <c r="AK610" s="932"/>
      <c r="AL610" s="932"/>
      <c r="AM610" s="932"/>
      <c r="AN610" s="932"/>
      <c r="AO610" s="932"/>
      <c r="AP610" s="932"/>
      <c r="AQ610" s="932"/>
      <c r="AR610" s="932"/>
      <c r="AS610" s="932"/>
      <c r="AT610" s="932"/>
      <c r="AU610" s="932"/>
      <c r="AV610" s="932"/>
      <c r="AW610" s="932"/>
      <c r="AX610" s="932"/>
      <c r="AY610" s="932"/>
      <c r="AZ610" s="932"/>
      <c r="BA610" s="932"/>
      <c r="BB610" s="932"/>
      <c r="BC610" s="932"/>
      <c r="BD610" s="932"/>
      <c r="BE610" s="932"/>
      <c r="BF610" s="932"/>
    </row>
    <row r="611" spans="2:58" ht="15" x14ac:dyDescent="0.25">
      <c r="B611" s="932"/>
      <c r="C611" s="932"/>
      <c r="D611" s="932"/>
      <c r="E611" s="932"/>
      <c r="F611" s="932"/>
      <c r="G611" s="932"/>
      <c r="H611" s="932"/>
      <c r="I611" s="932"/>
      <c r="J611" s="932"/>
      <c r="K611" s="932"/>
      <c r="L611" s="932"/>
      <c r="M611" s="932"/>
      <c r="N611" s="932"/>
      <c r="O611" s="932"/>
      <c r="P611" s="932"/>
      <c r="Q611" s="932"/>
      <c r="R611" s="932"/>
      <c r="S611" s="932"/>
      <c r="T611" s="932"/>
      <c r="U611" s="932"/>
      <c r="V611" s="932"/>
      <c r="W611" s="932"/>
      <c r="X611" s="932"/>
      <c r="Y611" s="932"/>
      <c r="Z611" s="932"/>
      <c r="AA611" s="932"/>
      <c r="AB611" s="932"/>
      <c r="AC611" s="932"/>
      <c r="AD611" s="932"/>
      <c r="AE611" s="932"/>
      <c r="AF611" s="932"/>
      <c r="AG611" s="932"/>
      <c r="AH611" s="932"/>
      <c r="AI611" s="932"/>
      <c r="AJ611" s="932"/>
      <c r="AK611" s="932"/>
      <c r="AL611" s="932"/>
      <c r="AM611" s="932"/>
      <c r="AN611" s="932"/>
      <c r="AO611" s="932"/>
      <c r="AP611" s="932"/>
      <c r="AQ611" s="932"/>
      <c r="AR611" s="932"/>
      <c r="AS611" s="932"/>
      <c r="AT611" s="932"/>
      <c r="AU611" s="932"/>
      <c r="AV611" s="932"/>
      <c r="AW611" s="932"/>
      <c r="AX611" s="932"/>
      <c r="AY611" s="932"/>
      <c r="AZ611" s="932"/>
      <c r="BA611" s="932"/>
      <c r="BB611" s="932"/>
      <c r="BC611" s="932"/>
      <c r="BD611" s="932"/>
      <c r="BE611" s="932"/>
      <c r="BF611" s="932"/>
    </row>
    <row r="612" spans="2:58" ht="15" x14ac:dyDescent="0.25">
      <c r="B612" s="932"/>
      <c r="C612" s="932"/>
      <c r="D612" s="932"/>
      <c r="E612" s="932"/>
      <c r="F612" s="932"/>
      <c r="G612" s="932"/>
      <c r="H612" s="932"/>
      <c r="I612" s="932"/>
      <c r="J612" s="932"/>
      <c r="K612" s="932"/>
      <c r="L612" s="932"/>
      <c r="M612" s="932"/>
      <c r="N612" s="932"/>
      <c r="O612" s="932"/>
      <c r="P612" s="932"/>
      <c r="Q612" s="932"/>
      <c r="R612" s="932"/>
      <c r="S612" s="932"/>
      <c r="T612" s="932"/>
      <c r="U612" s="932"/>
      <c r="V612" s="932"/>
      <c r="W612" s="932"/>
      <c r="X612" s="932"/>
      <c r="Y612" s="932"/>
      <c r="Z612" s="932"/>
      <c r="AA612" s="932"/>
      <c r="AB612" s="932"/>
      <c r="AC612" s="932"/>
      <c r="AD612" s="932"/>
      <c r="AE612" s="932"/>
      <c r="AF612" s="932"/>
      <c r="AG612" s="932"/>
      <c r="AH612" s="932"/>
      <c r="AI612" s="932"/>
      <c r="AJ612" s="932"/>
      <c r="AK612" s="932"/>
      <c r="AL612" s="932"/>
      <c r="AM612" s="932"/>
      <c r="AN612" s="932"/>
      <c r="AO612" s="932"/>
      <c r="AP612" s="932"/>
      <c r="AQ612" s="932"/>
      <c r="AR612" s="932"/>
      <c r="AS612" s="932"/>
      <c r="AT612" s="932"/>
      <c r="AU612" s="932"/>
      <c r="AV612" s="932"/>
      <c r="AW612" s="932"/>
      <c r="AX612" s="932"/>
      <c r="AY612" s="932"/>
      <c r="AZ612" s="932"/>
      <c r="BA612" s="932"/>
      <c r="BB612" s="932"/>
      <c r="BC612" s="932"/>
      <c r="BD612" s="932"/>
      <c r="BE612" s="932"/>
      <c r="BF612" s="932"/>
    </row>
    <row r="613" spans="2:58" ht="15" x14ac:dyDescent="0.25">
      <c r="B613" s="932"/>
      <c r="C613" s="932"/>
      <c r="D613" s="932"/>
      <c r="E613" s="932"/>
      <c r="F613" s="932"/>
      <c r="G613" s="932"/>
      <c r="H613" s="932"/>
      <c r="I613" s="932"/>
      <c r="J613" s="932"/>
      <c r="K613" s="932"/>
      <c r="L613" s="932"/>
      <c r="M613" s="932"/>
      <c r="N613" s="932"/>
      <c r="O613" s="932"/>
      <c r="P613" s="932"/>
      <c r="Q613" s="932"/>
      <c r="R613" s="932"/>
      <c r="S613" s="932"/>
      <c r="T613" s="932"/>
      <c r="U613" s="932"/>
      <c r="V613" s="932"/>
      <c r="W613" s="932"/>
      <c r="X613" s="932"/>
      <c r="Y613" s="932"/>
      <c r="Z613" s="932"/>
      <c r="AA613" s="932"/>
      <c r="AB613" s="932"/>
      <c r="AC613" s="932"/>
      <c r="AD613" s="932"/>
      <c r="AE613" s="932"/>
      <c r="AF613" s="932"/>
      <c r="AG613" s="932"/>
      <c r="AH613" s="932"/>
      <c r="AI613" s="932"/>
      <c r="AJ613" s="932"/>
      <c r="AK613" s="932"/>
      <c r="AL613" s="932"/>
      <c r="AM613" s="932"/>
      <c r="AN613" s="932"/>
      <c r="AO613" s="932"/>
      <c r="AP613" s="932"/>
      <c r="AQ613" s="932"/>
      <c r="AR613" s="932"/>
      <c r="AS613" s="932"/>
      <c r="AT613" s="932"/>
      <c r="AU613" s="932"/>
      <c r="AV613" s="932"/>
      <c r="AW613" s="932"/>
      <c r="AX613" s="932"/>
      <c r="AY613" s="932"/>
      <c r="AZ613" s="932"/>
      <c r="BA613" s="932"/>
      <c r="BB613" s="932"/>
      <c r="BC613" s="932"/>
      <c r="BD613" s="932"/>
      <c r="BE613" s="932"/>
      <c r="BF613" s="932"/>
    </row>
    <row r="614" spans="2:58" ht="15" x14ac:dyDescent="0.25">
      <c r="B614" s="932"/>
      <c r="C614" s="932"/>
      <c r="D614" s="932"/>
      <c r="E614" s="932"/>
      <c r="F614" s="932"/>
      <c r="G614" s="932"/>
      <c r="H614" s="932"/>
      <c r="I614" s="932"/>
      <c r="J614" s="932"/>
      <c r="K614" s="932"/>
      <c r="L614" s="932"/>
      <c r="M614" s="932"/>
      <c r="N614" s="932"/>
      <c r="O614" s="932"/>
      <c r="P614" s="932"/>
      <c r="Q614" s="932"/>
      <c r="R614" s="932"/>
      <c r="S614" s="932"/>
      <c r="T614" s="932"/>
      <c r="U614" s="932"/>
      <c r="V614" s="932"/>
      <c r="W614" s="932"/>
      <c r="X614" s="932"/>
      <c r="Y614" s="932"/>
      <c r="Z614" s="932"/>
      <c r="AA614" s="932"/>
      <c r="AB614" s="932"/>
      <c r="AC614" s="932"/>
      <c r="AD614" s="932"/>
      <c r="AE614" s="932"/>
      <c r="AF614" s="932"/>
      <c r="AG614" s="932"/>
      <c r="AH614" s="932"/>
      <c r="AI614" s="932"/>
      <c r="AJ614" s="932"/>
      <c r="AK614" s="932"/>
      <c r="AL614" s="932"/>
      <c r="AM614" s="932"/>
      <c r="AN614" s="932"/>
      <c r="AO614" s="932"/>
      <c r="AP614" s="932"/>
      <c r="AQ614" s="932"/>
      <c r="AR614" s="932"/>
      <c r="AS614" s="932"/>
      <c r="AT614" s="932"/>
      <c r="AU614" s="932"/>
      <c r="AV614" s="932"/>
      <c r="AW614" s="932"/>
      <c r="AX614" s="932"/>
      <c r="AY614" s="932"/>
      <c r="AZ614" s="932"/>
      <c r="BA614" s="932"/>
      <c r="BB614" s="932"/>
      <c r="BC614" s="932"/>
      <c r="BD614" s="932"/>
      <c r="BE614" s="932"/>
      <c r="BF614" s="932"/>
    </row>
    <row r="615" spans="2:58" ht="15" x14ac:dyDescent="0.25">
      <c r="B615" s="932"/>
      <c r="C615" s="932"/>
      <c r="D615" s="932"/>
      <c r="E615" s="932"/>
      <c r="F615" s="932"/>
      <c r="G615" s="932"/>
      <c r="H615" s="932"/>
      <c r="I615" s="932"/>
      <c r="J615" s="932"/>
      <c r="K615" s="932"/>
      <c r="L615" s="932"/>
      <c r="M615" s="932"/>
      <c r="N615" s="932"/>
      <c r="O615" s="932"/>
      <c r="P615" s="932"/>
      <c r="Q615" s="932"/>
      <c r="R615" s="932"/>
      <c r="S615" s="932"/>
      <c r="T615" s="932"/>
      <c r="U615" s="932"/>
      <c r="V615" s="932"/>
      <c r="W615" s="932"/>
      <c r="X615" s="932"/>
      <c r="Y615" s="932"/>
      <c r="Z615" s="932"/>
      <c r="AA615" s="932"/>
      <c r="AB615" s="932"/>
      <c r="AC615" s="932"/>
      <c r="AD615" s="932"/>
      <c r="AE615" s="932"/>
      <c r="AF615" s="932"/>
      <c r="AG615" s="932"/>
      <c r="AH615" s="932"/>
      <c r="AI615" s="932"/>
      <c r="AJ615" s="932"/>
      <c r="AK615" s="932"/>
      <c r="AL615" s="932"/>
      <c r="AM615" s="932"/>
      <c r="AN615" s="932"/>
      <c r="AO615" s="932"/>
      <c r="AP615" s="932"/>
      <c r="AQ615" s="932"/>
      <c r="AR615" s="932"/>
      <c r="AS615" s="932"/>
      <c r="AT615" s="932"/>
      <c r="AU615" s="932"/>
      <c r="AV615" s="932"/>
      <c r="AW615" s="932"/>
      <c r="AX615" s="932"/>
      <c r="AY615" s="932"/>
      <c r="AZ615" s="932"/>
      <c r="BA615" s="932"/>
      <c r="BB615" s="932"/>
      <c r="BC615" s="932"/>
      <c r="BD615" s="932"/>
      <c r="BE615" s="932"/>
      <c r="BF615" s="932"/>
    </row>
    <row r="616" spans="2:58" ht="15" x14ac:dyDescent="0.25">
      <c r="B616" s="932"/>
      <c r="C616" s="932"/>
      <c r="D616" s="932"/>
      <c r="E616" s="932"/>
      <c r="F616" s="932"/>
      <c r="G616" s="932"/>
      <c r="H616" s="932"/>
      <c r="I616" s="932"/>
      <c r="J616" s="932"/>
      <c r="K616" s="932"/>
      <c r="L616" s="932"/>
      <c r="M616" s="932"/>
      <c r="N616" s="932"/>
      <c r="O616" s="932"/>
      <c r="P616" s="932"/>
      <c r="Q616" s="932"/>
      <c r="R616" s="932"/>
      <c r="S616" s="932"/>
      <c r="T616" s="932"/>
      <c r="U616" s="932"/>
      <c r="V616" s="932"/>
      <c r="W616" s="932"/>
      <c r="X616" s="932"/>
      <c r="Y616" s="932"/>
      <c r="Z616" s="932"/>
      <c r="AA616" s="932"/>
      <c r="AB616" s="932"/>
      <c r="AC616" s="932"/>
      <c r="AD616" s="932"/>
      <c r="AE616" s="932"/>
      <c r="AF616" s="932"/>
      <c r="AG616" s="932"/>
      <c r="AH616" s="932"/>
      <c r="AI616" s="932"/>
      <c r="AJ616" s="932"/>
      <c r="AK616" s="932"/>
      <c r="AL616" s="932"/>
      <c r="AM616" s="932"/>
      <c r="AN616" s="932"/>
      <c r="AO616" s="932"/>
      <c r="AP616" s="932"/>
      <c r="AQ616" s="932"/>
      <c r="AR616" s="932"/>
      <c r="AS616" s="932"/>
      <c r="AT616" s="932"/>
      <c r="AU616" s="932"/>
      <c r="AV616" s="932"/>
      <c r="AW616" s="932"/>
      <c r="AX616" s="932"/>
      <c r="AY616" s="932"/>
      <c r="AZ616" s="932"/>
      <c r="BA616" s="932"/>
      <c r="BB616" s="932"/>
      <c r="BC616" s="932"/>
      <c r="BD616" s="932"/>
      <c r="BE616" s="932"/>
      <c r="BF616" s="932"/>
    </row>
    <row r="617" spans="2:58" ht="15" x14ac:dyDescent="0.25">
      <c r="B617" s="932"/>
      <c r="C617" s="932"/>
      <c r="D617" s="932"/>
      <c r="E617" s="932"/>
      <c r="F617" s="932"/>
      <c r="G617" s="932"/>
      <c r="H617" s="932"/>
      <c r="I617" s="932"/>
      <c r="J617" s="932"/>
      <c r="K617" s="932"/>
      <c r="L617" s="932"/>
      <c r="M617" s="932"/>
      <c r="N617" s="932"/>
      <c r="O617" s="932"/>
      <c r="P617" s="932"/>
      <c r="Q617" s="932"/>
      <c r="R617" s="932"/>
      <c r="S617" s="932"/>
      <c r="T617" s="932"/>
      <c r="U617" s="932"/>
      <c r="V617" s="932"/>
      <c r="W617" s="932"/>
      <c r="X617" s="932"/>
      <c r="Y617" s="932"/>
      <c r="Z617" s="932"/>
      <c r="AA617" s="932"/>
      <c r="AB617" s="932"/>
      <c r="AC617" s="932"/>
      <c r="AD617" s="932"/>
      <c r="AE617" s="932"/>
      <c r="AF617" s="932"/>
      <c r="AG617" s="932"/>
      <c r="AH617" s="932"/>
      <c r="AI617" s="932"/>
      <c r="AJ617" s="932"/>
      <c r="AK617" s="932"/>
      <c r="AL617" s="932"/>
      <c r="AM617" s="932"/>
      <c r="AN617" s="932"/>
      <c r="AO617" s="932"/>
      <c r="AP617" s="932"/>
      <c r="AQ617" s="932"/>
      <c r="AR617" s="932"/>
      <c r="AS617" s="932"/>
      <c r="AT617" s="932"/>
      <c r="AU617" s="932"/>
      <c r="AV617" s="932"/>
      <c r="AW617" s="932"/>
      <c r="AX617" s="932"/>
      <c r="AY617" s="932"/>
      <c r="AZ617" s="932"/>
      <c r="BA617" s="932"/>
      <c r="BB617" s="932"/>
      <c r="BC617" s="932"/>
      <c r="BD617" s="932"/>
      <c r="BE617" s="932"/>
      <c r="BF617" s="932"/>
    </row>
    <row r="618" spans="2:58" ht="15" x14ac:dyDescent="0.25">
      <c r="B618" s="932"/>
      <c r="C618" s="932"/>
      <c r="D618" s="932"/>
      <c r="E618" s="932"/>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932"/>
      <c r="AD618" s="932"/>
      <c r="AE618" s="932"/>
      <c r="AF618" s="932"/>
      <c r="AG618" s="932"/>
      <c r="AH618" s="932"/>
      <c r="AI618" s="932"/>
      <c r="AJ618" s="932"/>
      <c r="AK618" s="932"/>
      <c r="AL618" s="932"/>
      <c r="AM618" s="932"/>
      <c r="AN618" s="932"/>
      <c r="AO618" s="932"/>
      <c r="AP618" s="932"/>
      <c r="AQ618" s="932"/>
      <c r="AR618" s="932"/>
      <c r="AS618" s="932"/>
      <c r="AT618" s="932"/>
      <c r="AU618" s="932"/>
      <c r="AV618" s="932"/>
      <c r="AW618" s="932"/>
      <c r="AX618" s="932"/>
      <c r="AY618" s="932"/>
      <c r="AZ618" s="932"/>
      <c r="BA618" s="932"/>
      <c r="BB618" s="932"/>
      <c r="BC618" s="932"/>
      <c r="BD618" s="932"/>
      <c r="BE618" s="932"/>
      <c r="BF618" s="932"/>
    </row>
    <row r="619" spans="2:58" ht="15" x14ac:dyDescent="0.25">
      <c r="B619" s="932"/>
      <c r="C619" s="932"/>
      <c r="D619" s="932"/>
      <c r="E619" s="932"/>
      <c r="F619" s="932"/>
      <c r="G619" s="932"/>
      <c r="H619" s="932"/>
      <c r="I619" s="932"/>
      <c r="J619" s="932"/>
      <c r="K619" s="932"/>
      <c r="L619" s="932"/>
      <c r="M619" s="932"/>
      <c r="N619" s="932"/>
      <c r="O619" s="932"/>
      <c r="P619" s="932"/>
      <c r="Q619" s="932"/>
      <c r="R619" s="932"/>
      <c r="S619" s="932"/>
      <c r="T619" s="932"/>
      <c r="U619" s="932"/>
      <c r="V619" s="932"/>
      <c r="W619" s="932"/>
      <c r="X619" s="932"/>
      <c r="Y619" s="932"/>
      <c r="Z619" s="932"/>
      <c r="AA619" s="932"/>
      <c r="AB619" s="932"/>
      <c r="AC619" s="932"/>
      <c r="AD619" s="932"/>
      <c r="AE619" s="932"/>
      <c r="AF619" s="932"/>
      <c r="AG619" s="932"/>
      <c r="AH619" s="932"/>
      <c r="AI619" s="932"/>
      <c r="AJ619" s="932"/>
      <c r="AK619" s="932"/>
      <c r="AL619" s="932"/>
      <c r="AM619" s="932"/>
      <c r="AN619" s="932"/>
      <c r="AO619" s="932"/>
      <c r="AP619" s="932"/>
      <c r="AQ619" s="932"/>
      <c r="AR619" s="932"/>
      <c r="AS619" s="932"/>
      <c r="AT619" s="932"/>
      <c r="AU619" s="932"/>
      <c r="AV619" s="932"/>
      <c r="AW619" s="932"/>
      <c r="AX619" s="932"/>
      <c r="AY619" s="932"/>
      <c r="AZ619" s="932"/>
      <c r="BA619" s="932"/>
      <c r="BB619" s="932"/>
      <c r="BC619" s="932"/>
      <c r="BD619" s="932"/>
      <c r="BE619" s="932"/>
      <c r="BF619" s="932"/>
    </row>
    <row r="620" spans="2:58" ht="15" x14ac:dyDescent="0.25">
      <c r="B620" s="932"/>
      <c r="C620" s="932"/>
      <c r="D620" s="932"/>
      <c r="E620" s="932"/>
      <c r="F620" s="932"/>
      <c r="G620" s="932"/>
      <c r="H620" s="932"/>
      <c r="I620" s="932"/>
      <c r="J620" s="932"/>
      <c r="K620" s="932"/>
      <c r="L620" s="932"/>
      <c r="M620" s="932"/>
      <c r="N620" s="932"/>
      <c r="O620" s="932"/>
      <c r="P620" s="932"/>
      <c r="Q620" s="932"/>
      <c r="R620" s="932"/>
      <c r="S620" s="932"/>
      <c r="T620" s="932"/>
      <c r="U620" s="932"/>
      <c r="V620" s="932"/>
      <c r="W620" s="932"/>
      <c r="X620" s="932"/>
      <c r="Y620" s="932"/>
      <c r="Z620" s="932"/>
      <c r="AA620" s="932"/>
      <c r="AB620" s="932"/>
      <c r="AC620" s="932"/>
      <c r="AD620" s="932"/>
      <c r="AE620" s="932"/>
      <c r="AF620" s="932"/>
      <c r="AG620" s="932"/>
      <c r="AH620" s="932"/>
      <c r="AI620" s="932"/>
      <c r="AJ620" s="932"/>
      <c r="AK620" s="932"/>
      <c r="AL620" s="932"/>
      <c r="AM620" s="932"/>
      <c r="AN620" s="932"/>
      <c r="AO620" s="932"/>
      <c r="AP620" s="932"/>
      <c r="AQ620" s="932"/>
      <c r="AR620" s="932"/>
      <c r="AS620" s="932"/>
      <c r="AT620" s="932"/>
      <c r="AU620" s="932"/>
      <c r="AV620" s="932"/>
      <c r="AW620" s="932"/>
      <c r="AX620" s="932"/>
      <c r="AY620" s="932"/>
      <c r="AZ620" s="932"/>
      <c r="BA620" s="932"/>
      <c r="BB620" s="932"/>
      <c r="BC620" s="932"/>
      <c r="BD620" s="932"/>
      <c r="BE620" s="932"/>
      <c r="BF620" s="932"/>
    </row>
    <row r="621" spans="2:58" ht="15" x14ac:dyDescent="0.25">
      <c r="B621" s="932"/>
      <c r="C621" s="932"/>
      <c r="D621" s="932"/>
      <c r="E621" s="932"/>
      <c r="F621" s="932"/>
      <c r="G621" s="932"/>
      <c r="H621" s="932"/>
      <c r="I621" s="932"/>
      <c r="J621" s="932"/>
      <c r="K621" s="932"/>
      <c r="L621" s="932"/>
      <c r="M621" s="932"/>
      <c r="N621" s="932"/>
      <c r="O621" s="932"/>
      <c r="P621" s="932"/>
      <c r="Q621" s="932"/>
      <c r="R621" s="932"/>
      <c r="S621" s="932"/>
      <c r="T621" s="932"/>
      <c r="U621" s="932"/>
      <c r="V621" s="932"/>
      <c r="W621" s="932"/>
      <c r="X621" s="932"/>
      <c r="Y621" s="932"/>
      <c r="Z621" s="932"/>
      <c r="AA621" s="932"/>
      <c r="AB621" s="932"/>
      <c r="AC621" s="932"/>
      <c r="AD621" s="932"/>
      <c r="AE621" s="932"/>
      <c r="AF621" s="932"/>
      <c r="AG621" s="932"/>
      <c r="AH621" s="932"/>
      <c r="AI621" s="932"/>
      <c r="AJ621" s="932"/>
      <c r="AK621" s="932"/>
      <c r="AL621" s="932"/>
      <c r="AM621" s="932"/>
      <c r="AN621" s="932"/>
      <c r="AO621" s="932"/>
      <c r="AP621" s="932"/>
      <c r="AQ621" s="932"/>
      <c r="AR621" s="932"/>
      <c r="AS621" s="932"/>
      <c r="AT621" s="932"/>
      <c r="AU621" s="932"/>
      <c r="AV621" s="932"/>
      <c r="AW621" s="932"/>
      <c r="AX621" s="932"/>
      <c r="AY621" s="932"/>
      <c r="AZ621" s="932"/>
      <c r="BA621" s="932"/>
      <c r="BB621" s="932"/>
      <c r="BC621" s="932"/>
      <c r="BD621" s="932"/>
      <c r="BE621" s="932"/>
      <c r="BF621" s="932"/>
    </row>
    <row r="622" spans="2:58" ht="15" x14ac:dyDescent="0.25">
      <c r="B622" s="932"/>
      <c r="C622" s="932"/>
      <c r="D622" s="932"/>
      <c r="E622" s="932"/>
      <c r="F622" s="932"/>
      <c r="G622" s="932"/>
      <c r="H622" s="932"/>
      <c r="I622" s="932"/>
      <c r="J622" s="932"/>
      <c r="K622" s="932"/>
      <c r="L622" s="932"/>
      <c r="M622" s="932"/>
      <c r="N622" s="932"/>
      <c r="O622" s="932"/>
      <c r="P622" s="932"/>
      <c r="Q622" s="932"/>
      <c r="R622" s="932"/>
      <c r="S622" s="932"/>
      <c r="T622" s="932"/>
      <c r="U622" s="932"/>
      <c r="V622" s="932"/>
      <c r="W622" s="932"/>
      <c r="X622" s="932"/>
      <c r="Y622" s="932"/>
      <c r="Z622" s="932"/>
      <c r="AA622" s="932"/>
      <c r="AB622" s="932"/>
      <c r="AC622" s="932"/>
      <c r="AD622" s="932"/>
      <c r="AE622" s="932"/>
      <c r="AF622" s="932"/>
      <c r="AG622" s="932"/>
      <c r="AH622" s="932"/>
      <c r="AI622" s="932"/>
      <c r="AJ622" s="932"/>
      <c r="AK622" s="932"/>
      <c r="AL622" s="932"/>
      <c r="AM622" s="932"/>
      <c r="AN622" s="932"/>
      <c r="AO622" s="932"/>
      <c r="AP622" s="932"/>
      <c r="AQ622" s="932"/>
      <c r="AR622" s="932"/>
      <c r="AS622" s="932"/>
      <c r="AT622" s="932"/>
      <c r="AU622" s="932"/>
      <c r="AV622" s="932"/>
      <c r="AW622" s="932"/>
      <c r="AX622" s="932"/>
      <c r="AY622" s="932"/>
      <c r="AZ622" s="932"/>
      <c r="BA622" s="932"/>
      <c r="BB622" s="932"/>
      <c r="BC622" s="932"/>
      <c r="BD622" s="932"/>
      <c r="BE622" s="932"/>
      <c r="BF622" s="932"/>
    </row>
    <row r="623" spans="2:58" ht="15" x14ac:dyDescent="0.25">
      <c r="B623" s="932"/>
      <c r="C623" s="932"/>
      <c r="D623" s="932"/>
      <c r="E623" s="932"/>
      <c r="F623" s="932"/>
      <c r="G623" s="932"/>
      <c r="H623" s="932"/>
      <c r="I623" s="932"/>
      <c r="J623" s="932"/>
      <c r="K623" s="932"/>
      <c r="L623" s="932"/>
      <c r="M623" s="932"/>
      <c r="N623" s="932"/>
      <c r="O623" s="932"/>
      <c r="P623" s="932"/>
      <c r="Q623" s="932"/>
      <c r="R623" s="932"/>
      <c r="S623" s="932"/>
      <c r="T623" s="932"/>
      <c r="U623" s="932"/>
      <c r="V623" s="932"/>
      <c r="W623" s="932"/>
      <c r="X623" s="932"/>
      <c r="Y623" s="932"/>
      <c r="Z623" s="932"/>
      <c r="AA623" s="932"/>
      <c r="AB623" s="932"/>
      <c r="AC623" s="932"/>
      <c r="AD623" s="932"/>
      <c r="AE623" s="932"/>
      <c r="AF623" s="932"/>
      <c r="AG623" s="932"/>
      <c r="AH623" s="932"/>
      <c r="AI623" s="932"/>
      <c r="AJ623" s="932"/>
      <c r="AK623" s="932"/>
      <c r="AL623" s="932"/>
      <c r="AM623" s="932"/>
      <c r="AN623" s="932"/>
      <c r="AO623" s="932"/>
      <c r="AP623" s="932"/>
      <c r="AQ623" s="932"/>
      <c r="AR623" s="932"/>
      <c r="AS623" s="932"/>
      <c r="AT623" s="932"/>
      <c r="AU623" s="932"/>
      <c r="AV623" s="932"/>
      <c r="AW623" s="932"/>
      <c r="AX623" s="932"/>
      <c r="AY623" s="932"/>
      <c r="AZ623" s="932"/>
      <c r="BA623" s="932"/>
      <c r="BB623" s="932"/>
      <c r="BC623" s="932"/>
      <c r="BD623" s="932"/>
      <c r="BE623" s="932"/>
      <c r="BF623" s="932"/>
    </row>
    <row r="624" spans="2:58" ht="15" x14ac:dyDescent="0.25">
      <c r="B624" s="932"/>
      <c r="C624" s="932"/>
      <c r="D624" s="932"/>
      <c r="E624" s="932"/>
      <c r="F624" s="932"/>
      <c r="G624" s="932"/>
      <c r="H624" s="932"/>
      <c r="I624" s="932"/>
      <c r="J624" s="932"/>
      <c r="K624" s="932"/>
      <c r="L624" s="932"/>
      <c r="M624" s="932"/>
      <c r="N624" s="932"/>
      <c r="O624" s="932"/>
      <c r="P624" s="932"/>
      <c r="Q624" s="932"/>
      <c r="R624" s="932"/>
      <c r="S624" s="932"/>
      <c r="T624" s="932"/>
      <c r="U624" s="932"/>
      <c r="V624" s="932"/>
      <c r="W624" s="932"/>
      <c r="X624" s="932"/>
      <c r="Y624" s="932"/>
      <c r="Z624" s="932"/>
      <c r="AA624" s="932"/>
      <c r="AB624" s="932"/>
      <c r="AC624" s="932"/>
      <c r="AD624" s="932"/>
      <c r="AE624" s="932"/>
      <c r="AF624" s="932"/>
      <c r="AG624" s="932"/>
      <c r="AH624" s="932"/>
      <c r="AI624" s="932"/>
      <c r="AJ624" s="932"/>
      <c r="AK624" s="932"/>
      <c r="AL624" s="932"/>
      <c r="AM624" s="932"/>
      <c r="AN624" s="932"/>
      <c r="AO624" s="932"/>
      <c r="AP624" s="932"/>
      <c r="AQ624" s="932"/>
      <c r="AR624" s="932"/>
      <c r="AS624" s="932"/>
      <c r="AT624" s="932"/>
      <c r="AU624" s="932"/>
      <c r="AV624" s="932"/>
      <c r="AW624" s="932"/>
      <c r="AX624" s="932"/>
      <c r="AY624" s="932"/>
      <c r="AZ624" s="932"/>
      <c r="BA624" s="932"/>
      <c r="BB624" s="932"/>
      <c r="BC624" s="932"/>
      <c r="BD624" s="932"/>
      <c r="BE624" s="932"/>
      <c r="BF624" s="932"/>
    </row>
    <row r="625" spans="2:58" ht="15" x14ac:dyDescent="0.25">
      <c r="B625" s="932"/>
      <c r="C625" s="932"/>
      <c r="D625" s="932"/>
      <c r="E625" s="932"/>
      <c r="F625" s="932"/>
      <c r="G625" s="932"/>
      <c r="H625" s="932"/>
      <c r="I625" s="932"/>
      <c r="J625" s="932"/>
      <c r="K625" s="932"/>
      <c r="L625" s="932"/>
      <c r="M625" s="932"/>
      <c r="N625" s="932"/>
      <c r="O625" s="932"/>
      <c r="P625" s="932"/>
      <c r="Q625" s="932"/>
      <c r="R625" s="932"/>
      <c r="S625" s="932"/>
      <c r="T625" s="932"/>
      <c r="U625" s="932"/>
      <c r="V625" s="932"/>
      <c r="W625" s="932"/>
      <c r="X625" s="932"/>
      <c r="Y625" s="932"/>
      <c r="Z625" s="932"/>
      <c r="AA625" s="932"/>
      <c r="AB625" s="932"/>
      <c r="AC625" s="932"/>
      <c r="AD625" s="932"/>
      <c r="AE625" s="932"/>
      <c r="AF625" s="932"/>
      <c r="AG625" s="932"/>
      <c r="AH625" s="932"/>
      <c r="AI625" s="932"/>
      <c r="AJ625" s="932"/>
      <c r="AK625" s="932"/>
      <c r="AL625" s="932"/>
      <c r="AM625" s="932"/>
      <c r="AN625" s="932"/>
      <c r="AO625" s="932"/>
      <c r="AP625" s="932"/>
      <c r="AQ625" s="932"/>
      <c r="AR625" s="932"/>
      <c r="AS625" s="932"/>
      <c r="AT625" s="932"/>
      <c r="AU625" s="932"/>
      <c r="AV625" s="932"/>
      <c r="AW625" s="932"/>
      <c r="AX625" s="932"/>
      <c r="AY625" s="932"/>
      <c r="AZ625" s="932"/>
      <c r="BA625" s="932"/>
      <c r="BB625" s="932"/>
      <c r="BC625" s="932"/>
      <c r="BD625" s="932"/>
      <c r="BE625" s="932"/>
      <c r="BF625" s="932"/>
    </row>
    <row r="626" spans="2:58" ht="15" x14ac:dyDescent="0.25">
      <c r="B626" s="932"/>
      <c r="C626" s="932"/>
      <c r="D626" s="932"/>
      <c r="E626" s="932"/>
      <c r="F626" s="932"/>
      <c r="G626" s="932"/>
      <c r="H626" s="932"/>
      <c r="I626" s="932"/>
      <c r="J626" s="932"/>
      <c r="K626" s="932"/>
      <c r="L626" s="932"/>
      <c r="M626" s="932"/>
      <c r="N626" s="932"/>
      <c r="O626" s="932"/>
      <c r="P626" s="932"/>
      <c r="Q626" s="932"/>
      <c r="R626" s="932"/>
      <c r="S626" s="932"/>
      <c r="T626" s="932"/>
      <c r="U626" s="932"/>
      <c r="V626" s="932"/>
      <c r="W626" s="932"/>
      <c r="X626" s="932"/>
      <c r="Y626" s="932"/>
      <c r="Z626" s="932"/>
      <c r="AA626" s="932"/>
      <c r="AB626" s="932"/>
      <c r="AC626" s="932"/>
      <c r="AD626" s="932"/>
      <c r="AE626" s="932"/>
      <c r="AF626" s="932"/>
      <c r="AG626" s="932"/>
      <c r="AH626" s="932"/>
      <c r="AI626" s="932"/>
      <c r="AJ626" s="932"/>
      <c r="AK626" s="932"/>
      <c r="AL626" s="932"/>
      <c r="AM626" s="932"/>
      <c r="AN626" s="932"/>
      <c r="AO626" s="932"/>
      <c r="AP626" s="932"/>
      <c r="AQ626" s="932"/>
      <c r="AR626" s="932"/>
      <c r="AS626" s="932"/>
      <c r="AT626" s="932"/>
      <c r="AU626" s="932"/>
      <c r="AV626" s="932"/>
      <c r="AW626" s="932"/>
      <c r="AX626" s="932"/>
      <c r="AY626" s="932"/>
      <c r="AZ626" s="932"/>
      <c r="BA626" s="932"/>
      <c r="BB626" s="932"/>
      <c r="BC626" s="932"/>
      <c r="BD626" s="932"/>
      <c r="BE626" s="932"/>
      <c r="BF626" s="932"/>
    </row>
    <row r="627" spans="2:58" ht="15" x14ac:dyDescent="0.25">
      <c r="B627" s="932"/>
      <c r="C627" s="932"/>
      <c r="D627" s="932"/>
      <c r="E627" s="932"/>
      <c r="F627" s="932"/>
      <c r="G627" s="932"/>
      <c r="H627" s="932"/>
      <c r="I627" s="932"/>
      <c r="J627" s="932"/>
      <c r="K627" s="932"/>
      <c r="L627" s="932"/>
      <c r="M627" s="932"/>
      <c r="N627" s="932"/>
      <c r="O627" s="932"/>
      <c r="P627" s="932"/>
      <c r="Q627" s="932"/>
      <c r="R627" s="932"/>
      <c r="S627" s="932"/>
      <c r="T627" s="932"/>
      <c r="U627" s="932"/>
      <c r="V627" s="932"/>
      <c r="W627" s="932"/>
      <c r="X627" s="932"/>
      <c r="Y627" s="932"/>
      <c r="Z627" s="932"/>
      <c r="AA627" s="932"/>
      <c r="AB627" s="932"/>
      <c r="AC627" s="932"/>
      <c r="AD627" s="932"/>
      <c r="AE627" s="932"/>
      <c r="AF627" s="932"/>
      <c r="AG627" s="932"/>
      <c r="AH627" s="932"/>
      <c r="AI627" s="932"/>
      <c r="AJ627" s="932"/>
      <c r="AK627" s="932"/>
      <c r="AL627" s="932"/>
      <c r="AM627" s="932"/>
      <c r="AN627" s="932"/>
      <c r="AO627" s="932"/>
      <c r="AP627" s="932"/>
      <c r="AQ627" s="932"/>
      <c r="AR627" s="932"/>
      <c r="AS627" s="932"/>
      <c r="AT627" s="932"/>
      <c r="AU627" s="932"/>
      <c r="AV627" s="932"/>
      <c r="AW627" s="932"/>
      <c r="AX627" s="932"/>
      <c r="AY627" s="932"/>
      <c r="AZ627" s="932"/>
      <c r="BA627" s="932"/>
      <c r="BB627" s="932"/>
      <c r="BC627" s="932"/>
      <c r="BD627" s="932"/>
      <c r="BE627" s="932"/>
      <c r="BF627" s="932"/>
    </row>
    <row r="628" spans="2:58" ht="15" x14ac:dyDescent="0.25">
      <c r="B628" s="932"/>
      <c r="C628" s="932"/>
      <c r="D628" s="932"/>
      <c r="E628" s="932"/>
      <c r="F628" s="932"/>
      <c r="G628" s="932"/>
      <c r="H628" s="932"/>
      <c r="I628" s="932"/>
      <c r="J628" s="932"/>
      <c r="K628" s="932"/>
      <c r="L628" s="932"/>
      <c r="M628" s="932"/>
      <c r="N628" s="932"/>
      <c r="O628" s="932"/>
      <c r="P628" s="932"/>
      <c r="Q628" s="932"/>
      <c r="R628" s="932"/>
      <c r="S628" s="932"/>
      <c r="T628" s="932"/>
      <c r="U628" s="932"/>
      <c r="V628" s="932"/>
      <c r="W628" s="932"/>
      <c r="X628" s="932"/>
      <c r="Y628" s="932"/>
      <c r="Z628" s="932"/>
      <c r="AA628" s="932"/>
      <c r="AB628" s="932"/>
      <c r="AC628" s="932"/>
      <c r="AD628" s="932"/>
      <c r="AE628" s="932"/>
      <c r="AF628" s="932"/>
      <c r="AG628" s="932"/>
      <c r="AH628" s="932"/>
      <c r="AI628" s="932"/>
      <c r="AJ628" s="932"/>
      <c r="AK628" s="932"/>
      <c r="AL628" s="932"/>
      <c r="AM628" s="932"/>
      <c r="AN628" s="932"/>
      <c r="AO628" s="932"/>
      <c r="AP628" s="932"/>
      <c r="AQ628" s="932"/>
      <c r="AR628" s="932"/>
      <c r="AS628" s="932"/>
      <c r="AT628" s="932"/>
      <c r="AU628" s="932"/>
      <c r="AV628" s="932"/>
      <c r="AW628" s="932"/>
      <c r="AX628" s="932"/>
      <c r="AY628" s="932"/>
      <c r="AZ628" s="932"/>
      <c r="BA628" s="932"/>
      <c r="BB628" s="932"/>
      <c r="BC628" s="932"/>
      <c r="BD628" s="932"/>
      <c r="BE628" s="932"/>
      <c r="BF628" s="932"/>
    </row>
    <row r="629" spans="2:58" ht="15" x14ac:dyDescent="0.25">
      <c r="B629" s="932"/>
      <c r="C629" s="932"/>
      <c r="D629" s="932"/>
      <c r="E629" s="932"/>
      <c r="F629" s="932"/>
      <c r="G629" s="932"/>
      <c r="H629" s="932"/>
      <c r="I629" s="932"/>
      <c r="J629" s="932"/>
      <c r="K629" s="932"/>
      <c r="L629" s="932"/>
      <c r="M629" s="932"/>
      <c r="N629" s="932"/>
      <c r="O629" s="932"/>
      <c r="P629" s="932"/>
      <c r="Q629" s="932"/>
      <c r="R629" s="932"/>
      <c r="S629" s="932"/>
      <c r="T629" s="932"/>
      <c r="U629" s="932"/>
      <c r="V629" s="932"/>
      <c r="W629" s="932"/>
      <c r="X629" s="932"/>
      <c r="Y629" s="932"/>
      <c r="Z629" s="932"/>
      <c r="AA629" s="932"/>
      <c r="AB629" s="932"/>
      <c r="AC629" s="932"/>
      <c r="AD629" s="932"/>
      <c r="AE629" s="932"/>
      <c r="AF629" s="932"/>
      <c r="AG629" s="932"/>
      <c r="AH629" s="932"/>
      <c r="AI629" s="932"/>
      <c r="AJ629" s="932"/>
      <c r="AK629" s="932"/>
      <c r="AL629" s="932"/>
      <c r="AM629" s="932"/>
      <c r="AN629" s="932"/>
      <c r="AO629" s="932"/>
      <c r="AP629" s="932"/>
      <c r="AQ629" s="932"/>
      <c r="AR629" s="932"/>
      <c r="AS629" s="932"/>
      <c r="AT629" s="932"/>
      <c r="AU629" s="932"/>
      <c r="AV629" s="932"/>
      <c r="AW629" s="932"/>
      <c r="AX629" s="932"/>
      <c r="AY629" s="932"/>
      <c r="AZ629" s="932"/>
      <c r="BA629" s="932"/>
      <c r="BB629" s="932"/>
      <c r="BC629" s="932"/>
      <c r="BD629" s="932"/>
      <c r="BE629" s="932"/>
      <c r="BF629" s="932"/>
    </row>
    <row r="630" spans="2:58" ht="15" x14ac:dyDescent="0.25">
      <c r="B630" s="932"/>
      <c r="C630" s="932"/>
      <c r="D630" s="932"/>
      <c r="E630" s="932"/>
      <c r="F630" s="932"/>
      <c r="G630" s="932"/>
      <c r="H630" s="932"/>
      <c r="I630" s="932"/>
      <c r="J630" s="932"/>
      <c r="K630" s="932"/>
      <c r="L630" s="932"/>
      <c r="M630" s="932"/>
      <c r="N630" s="932"/>
      <c r="O630" s="932"/>
      <c r="P630" s="932"/>
      <c r="Q630" s="932"/>
      <c r="R630" s="932"/>
      <c r="S630" s="932"/>
      <c r="T630" s="932"/>
      <c r="U630" s="932"/>
      <c r="V630" s="932"/>
      <c r="W630" s="932"/>
      <c r="X630" s="932"/>
      <c r="Y630" s="932"/>
      <c r="Z630" s="932"/>
      <c r="AA630" s="932"/>
      <c r="AB630" s="932"/>
      <c r="AC630" s="932"/>
      <c r="AD630" s="932"/>
      <c r="AE630" s="932"/>
      <c r="AF630" s="932"/>
      <c r="AG630" s="932"/>
      <c r="AH630" s="932"/>
      <c r="AI630" s="932"/>
      <c r="AJ630" s="932"/>
      <c r="AK630" s="932"/>
      <c r="AL630" s="932"/>
      <c r="AM630" s="932"/>
      <c r="AN630" s="932"/>
      <c r="AO630" s="932"/>
      <c r="AP630" s="932"/>
      <c r="AQ630" s="932"/>
      <c r="AR630" s="932"/>
      <c r="AS630" s="932"/>
      <c r="AT630" s="932"/>
      <c r="AU630" s="932"/>
      <c r="AV630" s="932"/>
      <c r="AW630" s="932"/>
      <c r="AX630" s="932"/>
      <c r="AY630" s="932"/>
      <c r="AZ630" s="932"/>
      <c r="BA630" s="932"/>
      <c r="BB630" s="932"/>
      <c r="BC630" s="932"/>
      <c r="BD630" s="932"/>
      <c r="BE630" s="932"/>
      <c r="BF630" s="932"/>
    </row>
    <row r="631" spans="2:58" ht="15" x14ac:dyDescent="0.25">
      <c r="B631" s="932"/>
      <c r="C631" s="932"/>
      <c r="D631" s="932"/>
      <c r="E631" s="932"/>
      <c r="F631" s="932"/>
      <c r="G631" s="932"/>
      <c r="H631" s="932"/>
      <c r="I631" s="932"/>
      <c r="J631" s="932"/>
      <c r="K631" s="932"/>
      <c r="L631" s="932"/>
      <c r="M631" s="932"/>
      <c r="N631" s="932"/>
      <c r="O631" s="932"/>
      <c r="P631" s="932"/>
      <c r="Q631" s="932"/>
      <c r="R631" s="932"/>
      <c r="S631" s="932"/>
      <c r="T631" s="932"/>
      <c r="U631" s="932"/>
      <c r="V631" s="932"/>
      <c r="W631" s="932"/>
      <c r="X631" s="932"/>
      <c r="Y631" s="932"/>
      <c r="Z631" s="932"/>
      <c r="AA631" s="932"/>
      <c r="AB631" s="932"/>
      <c r="AC631" s="932"/>
      <c r="AD631" s="932"/>
      <c r="AE631" s="932"/>
      <c r="AF631" s="932"/>
      <c r="AG631" s="932"/>
      <c r="AH631" s="932"/>
      <c r="AI631" s="932"/>
      <c r="AJ631" s="932"/>
      <c r="AK631" s="932"/>
      <c r="AL631" s="932"/>
      <c r="AM631" s="932"/>
      <c r="AN631" s="932"/>
      <c r="AO631" s="932"/>
      <c r="AP631" s="932"/>
      <c r="AQ631" s="932"/>
      <c r="AR631" s="932"/>
      <c r="AS631" s="932"/>
      <c r="AT631" s="932"/>
      <c r="AU631" s="932"/>
      <c r="AV631" s="932"/>
      <c r="AW631" s="932"/>
      <c r="AX631" s="932"/>
      <c r="AY631" s="932"/>
      <c r="AZ631" s="932"/>
      <c r="BA631" s="932"/>
      <c r="BB631" s="932"/>
      <c r="BC631" s="932"/>
      <c r="BD631" s="932"/>
      <c r="BE631" s="932"/>
      <c r="BF631" s="932"/>
    </row>
    <row r="632" spans="2:58" ht="15" x14ac:dyDescent="0.25">
      <c r="B632" s="932"/>
      <c r="C632" s="932"/>
      <c r="D632" s="932"/>
      <c r="E632" s="932"/>
      <c r="F632" s="932"/>
      <c r="G632" s="932"/>
      <c r="H632" s="932"/>
      <c r="I632" s="932"/>
      <c r="J632" s="932"/>
      <c r="K632" s="932"/>
      <c r="L632" s="932"/>
      <c r="M632" s="932"/>
      <c r="N632" s="932"/>
      <c r="O632" s="932"/>
      <c r="P632" s="932"/>
      <c r="Q632" s="932"/>
      <c r="R632" s="932"/>
      <c r="S632" s="932"/>
      <c r="T632" s="932"/>
      <c r="U632" s="932"/>
      <c r="V632" s="932"/>
      <c r="W632" s="932"/>
      <c r="X632" s="932"/>
      <c r="Y632" s="932"/>
      <c r="Z632" s="932"/>
      <c r="AA632" s="932"/>
      <c r="AB632" s="932"/>
      <c r="AC632" s="932"/>
      <c r="AD632" s="932"/>
      <c r="AE632" s="932"/>
      <c r="AF632" s="932"/>
      <c r="AG632" s="932"/>
      <c r="AH632" s="932"/>
      <c r="AI632" s="932"/>
      <c r="AJ632" s="932"/>
      <c r="AK632" s="932"/>
      <c r="AL632" s="932"/>
      <c r="AM632" s="932"/>
      <c r="AN632" s="932"/>
      <c r="AO632" s="932"/>
      <c r="AP632" s="932"/>
      <c r="AQ632" s="932"/>
      <c r="AR632" s="932"/>
      <c r="AS632" s="932"/>
      <c r="AT632" s="932"/>
      <c r="AU632" s="932"/>
      <c r="AV632" s="932"/>
      <c r="AW632" s="932"/>
      <c r="AX632" s="932"/>
      <c r="AY632" s="932"/>
      <c r="AZ632" s="932"/>
      <c r="BA632" s="932"/>
      <c r="BB632" s="932"/>
      <c r="BC632" s="932"/>
      <c r="BD632" s="932"/>
      <c r="BE632" s="932"/>
      <c r="BF632" s="932"/>
    </row>
    <row r="633" spans="2:58" ht="15" x14ac:dyDescent="0.25">
      <c r="B633" s="932"/>
      <c r="C633" s="932"/>
      <c r="D633" s="932"/>
      <c r="E633" s="932"/>
      <c r="F633" s="932"/>
      <c r="G633" s="932"/>
      <c r="H633" s="932"/>
      <c r="I633" s="932"/>
      <c r="J633" s="932"/>
      <c r="K633" s="932"/>
      <c r="L633" s="932"/>
      <c r="M633" s="932"/>
      <c r="N633" s="932"/>
      <c r="O633" s="932"/>
      <c r="P633" s="932"/>
      <c r="Q633" s="932"/>
      <c r="R633" s="932"/>
      <c r="S633" s="932"/>
      <c r="T633" s="932"/>
      <c r="U633" s="932"/>
      <c r="V633" s="932"/>
      <c r="W633" s="932"/>
      <c r="X633" s="932"/>
      <c r="Y633" s="932"/>
      <c r="Z633" s="932"/>
      <c r="AA633" s="932"/>
      <c r="AB633" s="932"/>
      <c r="AC633" s="932"/>
      <c r="AD633" s="932"/>
      <c r="AE633" s="932"/>
      <c r="AF633" s="932"/>
      <c r="AG633" s="932"/>
      <c r="AH633" s="932"/>
      <c r="AI633" s="932"/>
      <c r="AJ633" s="932"/>
      <c r="AK633" s="932"/>
      <c r="AL633" s="932"/>
      <c r="AM633" s="932"/>
      <c r="AN633" s="932"/>
      <c r="AO633" s="932"/>
      <c r="AP633" s="932"/>
      <c r="AQ633" s="932"/>
      <c r="AR633" s="932"/>
      <c r="AS633" s="932"/>
      <c r="AT633" s="932"/>
      <c r="AU633" s="932"/>
      <c r="AV633" s="932"/>
      <c r="AW633" s="932"/>
      <c r="AX633" s="932"/>
      <c r="AY633" s="932"/>
      <c r="AZ633" s="932"/>
      <c r="BA633" s="932"/>
      <c r="BB633" s="932"/>
      <c r="BC633" s="932"/>
      <c r="BD633" s="932"/>
      <c r="BE633" s="932"/>
      <c r="BF633" s="932"/>
    </row>
    <row r="634" spans="2:58" ht="15" x14ac:dyDescent="0.25">
      <c r="B634" s="932"/>
      <c r="C634" s="932"/>
      <c r="D634" s="932"/>
      <c r="E634" s="932"/>
      <c r="F634" s="932"/>
      <c r="G634" s="932"/>
      <c r="H634" s="932"/>
      <c r="I634" s="932"/>
      <c r="J634" s="932"/>
      <c r="K634" s="932"/>
      <c r="L634" s="932"/>
      <c r="M634" s="932"/>
      <c r="N634" s="932"/>
      <c r="O634" s="932"/>
      <c r="P634" s="932"/>
      <c r="Q634" s="932"/>
      <c r="R634" s="932"/>
      <c r="S634" s="932"/>
      <c r="T634" s="932"/>
      <c r="U634" s="932"/>
      <c r="V634" s="932"/>
      <c r="W634" s="932"/>
      <c r="X634" s="932"/>
      <c r="Y634" s="932"/>
      <c r="Z634" s="932"/>
      <c r="AA634" s="932"/>
      <c r="AB634" s="932"/>
      <c r="AC634" s="932"/>
      <c r="AD634" s="932"/>
      <c r="AE634" s="932"/>
      <c r="AF634" s="932"/>
      <c r="AG634" s="932"/>
      <c r="AH634" s="932"/>
      <c r="AI634" s="932"/>
      <c r="AJ634" s="932"/>
      <c r="AK634" s="932"/>
      <c r="AL634" s="932"/>
      <c r="AM634" s="932"/>
      <c r="AN634" s="932"/>
      <c r="AO634" s="932"/>
      <c r="AP634" s="932"/>
      <c r="AQ634" s="932"/>
      <c r="AR634" s="932"/>
      <c r="AS634" s="932"/>
      <c r="AT634" s="932"/>
      <c r="AU634" s="932"/>
      <c r="AV634" s="932"/>
      <c r="AW634" s="932"/>
      <c r="AX634" s="932"/>
      <c r="AY634" s="932"/>
      <c r="AZ634" s="932"/>
      <c r="BA634" s="932"/>
      <c r="BB634" s="932"/>
      <c r="BC634" s="932"/>
      <c r="BD634" s="932"/>
      <c r="BE634" s="932"/>
      <c r="BF634" s="932"/>
    </row>
    <row r="635" spans="2:58" ht="15" x14ac:dyDescent="0.25">
      <c r="B635" s="932"/>
      <c r="C635" s="932"/>
      <c r="D635" s="932"/>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932"/>
      <c r="AD635" s="932"/>
      <c r="AE635" s="932"/>
      <c r="AF635" s="932"/>
      <c r="AG635" s="932"/>
      <c r="AH635" s="932"/>
      <c r="AI635" s="932"/>
      <c r="AJ635" s="932"/>
      <c r="AK635" s="932"/>
      <c r="AL635" s="932"/>
      <c r="AM635" s="932"/>
      <c r="AN635" s="932"/>
      <c r="AO635" s="932"/>
      <c r="AP635" s="932"/>
      <c r="AQ635" s="932"/>
      <c r="AR635" s="932"/>
      <c r="AS635" s="932"/>
      <c r="AT635" s="932"/>
      <c r="AU635" s="932"/>
      <c r="AV635" s="932"/>
      <c r="AW635" s="932"/>
      <c r="AX635" s="932"/>
      <c r="AY635" s="932"/>
      <c r="AZ635" s="932"/>
      <c r="BA635" s="932"/>
      <c r="BB635" s="932"/>
      <c r="BC635" s="932"/>
      <c r="BD635" s="932"/>
      <c r="BE635" s="932"/>
      <c r="BF635" s="932"/>
    </row>
    <row r="636" spans="2:58" ht="15" x14ac:dyDescent="0.25">
      <c r="B636" s="932"/>
      <c r="C636" s="932"/>
      <c r="D636" s="932"/>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932"/>
      <c r="AD636" s="932"/>
      <c r="AE636" s="932"/>
      <c r="AF636" s="932"/>
      <c r="AG636" s="932"/>
      <c r="AH636" s="932"/>
      <c r="AI636" s="932"/>
      <c r="AJ636" s="932"/>
      <c r="AK636" s="932"/>
      <c r="AL636" s="932"/>
      <c r="AM636" s="932"/>
      <c r="AN636" s="932"/>
      <c r="AO636" s="932"/>
      <c r="AP636" s="932"/>
      <c r="AQ636" s="932"/>
      <c r="AR636" s="932"/>
      <c r="AS636" s="932"/>
      <c r="AT636" s="932"/>
      <c r="AU636" s="932"/>
      <c r="AV636" s="932"/>
      <c r="AW636" s="932"/>
      <c r="AX636" s="932"/>
      <c r="AY636" s="932"/>
      <c r="AZ636" s="932"/>
      <c r="BA636" s="932"/>
      <c r="BB636" s="932"/>
      <c r="BC636" s="932"/>
      <c r="BD636" s="932"/>
      <c r="BE636" s="932"/>
      <c r="BF636" s="932"/>
    </row>
    <row r="637" spans="2:58" ht="15" x14ac:dyDescent="0.25">
      <c r="B637" s="932"/>
      <c r="C637" s="932"/>
      <c r="D637" s="932"/>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932"/>
      <c r="AD637" s="932"/>
      <c r="AE637" s="932"/>
      <c r="AF637" s="932"/>
      <c r="AG637" s="932"/>
      <c r="AH637" s="932"/>
      <c r="AI637" s="932"/>
      <c r="AJ637" s="932"/>
      <c r="AK637" s="932"/>
      <c r="AL637" s="932"/>
      <c r="AM637" s="932"/>
      <c r="AN637" s="932"/>
      <c r="AO637" s="932"/>
      <c r="AP637" s="932"/>
      <c r="AQ637" s="932"/>
      <c r="AR637" s="932"/>
      <c r="AS637" s="932"/>
      <c r="AT637" s="932"/>
      <c r="AU637" s="932"/>
      <c r="AV637" s="932"/>
      <c r="AW637" s="932"/>
      <c r="AX637" s="932"/>
      <c r="AY637" s="932"/>
      <c r="AZ637" s="932"/>
      <c r="BA637" s="932"/>
      <c r="BB637" s="932"/>
      <c r="BC637" s="932"/>
      <c r="BD637" s="932"/>
      <c r="BE637" s="932"/>
      <c r="BF637" s="932"/>
    </row>
    <row r="638" spans="2:58" ht="15" x14ac:dyDescent="0.25">
      <c r="B638" s="932"/>
      <c r="C638" s="932"/>
      <c r="D638" s="932"/>
      <c r="E638" s="932"/>
      <c r="F638" s="932"/>
      <c r="G638" s="932"/>
      <c r="H638" s="932"/>
      <c r="I638" s="932"/>
      <c r="J638" s="932"/>
      <c r="K638" s="932"/>
      <c r="L638" s="932"/>
      <c r="M638" s="932"/>
      <c r="N638" s="932"/>
      <c r="O638" s="932"/>
      <c r="P638" s="932"/>
      <c r="Q638" s="932"/>
      <c r="R638" s="932"/>
      <c r="S638" s="932"/>
      <c r="T638" s="932"/>
      <c r="U638" s="932"/>
      <c r="V638" s="932"/>
      <c r="W638" s="932"/>
      <c r="X638" s="932"/>
      <c r="Y638" s="932"/>
      <c r="Z638" s="932"/>
      <c r="AA638" s="932"/>
      <c r="AB638" s="932"/>
      <c r="AC638" s="932"/>
      <c r="AD638" s="932"/>
      <c r="AE638" s="932"/>
      <c r="AF638" s="932"/>
      <c r="AG638" s="932"/>
      <c r="AH638" s="932"/>
      <c r="AI638" s="932"/>
      <c r="AJ638" s="932"/>
      <c r="AK638" s="932"/>
      <c r="AL638" s="932"/>
      <c r="AM638" s="932"/>
      <c r="AN638" s="932"/>
      <c r="AO638" s="932"/>
      <c r="AP638" s="932"/>
      <c r="AQ638" s="932"/>
      <c r="AR638" s="932"/>
      <c r="AS638" s="932"/>
      <c r="AT638" s="932"/>
      <c r="AU638" s="932"/>
      <c r="AV638" s="932"/>
      <c r="AW638" s="932"/>
      <c r="AX638" s="932"/>
      <c r="AY638" s="932"/>
      <c r="AZ638" s="932"/>
      <c r="BA638" s="932"/>
      <c r="BB638" s="932"/>
      <c r="BC638" s="932"/>
      <c r="BD638" s="932"/>
      <c r="BE638" s="932"/>
      <c r="BF638" s="932"/>
    </row>
    <row r="639" spans="2:58" ht="15" x14ac:dyDescent="0.25">
      <c r="B639" s="932"/>
      <c r="C639" s="932"/>
      <c r="D639" s="932"/>
      <c r="E639" s="932"/>
      <c r="F639" s="932"/>
      <c r="G639" s="932"/>
      <c r="H639" s="932"/>
      <c r="I639" s="932"/>
      <c r="J639" s="932"/>
      <c r="K639" s="932"/>
      <c r="L639" s="932"/>
      <c r="M639" s="932"/>
      <c r="N639" s="932"/>
      <c r="O639" s="932"/>
      <c r="P639" s="932"/>
      <c r="Q639" s="932"/>
      <c r="R639" s="932"/>
      <c r="S639" s="932"/>
      <c r="T639" s="932"/>
      <c r="U639" s="932"/>
      <c r="V639" s="932"/>
      <c r="W639" s="932"/>
      <c r="X639" s="932"/>
      <c r="Y639" s="932"/>
      <c r="Z639" s="932"/>
      <c r="AA639" s="932"/>
      <c r="AB639" s="932"/>
      <c r="AC639" s="932"/>
      <c r="AD639" s="932"/>
      <c r="AE639" s="932"/>
      <c r="AF639" s="932"/>
      <c r="AG639" s="932"/>
      <c r="AH639" s="932"/>
      <c r="AI639" s="932"/>
      <c r="AJ639" s="932"/>
      <c r="AK639" s="932"/>
      <c r="AL639" s="932"/>
      <c r="AM639" s="932"/>
      <c r="AN639" s="932"/>
      <c r="AO639" s="932"/>
      <c r="AP639" s="932"/>
      <c r="AQ639" s="932"/>
      <c r="AR639" s="932"/>
      <c r="AS639" s="932"/>
      <c r="AT639" s="932"/>
      <c r="AU639" s="932"/>
      <c r="AV639" s="932"/>
      <c r="AW639" s="932"/>
      <c r="AX639" s="932"/>
      <c r="AY639" s="932"/>
      <c r="AZ639" s="932"/>
      <c r="BA639" s="932"/>
      <c r="BB639" s="932"/>
      <c r="BC639" s="932"/>
      <c r="BD639" s="932"/>
      <c r="BE639" s="932"/>
      <c r="BF639" s="932"/>
    </row>
    <row r="640" spans="2:58" ht="15" x14ac:dyDescent="0.25">
      <c r="B640" s="932"/>
      <c r="C640" s="932"/>
      <c r="D640" s="932"/>
      <c r="E640" s="932"/>
      <c r="F640" s="932"/>
      <c r="G640" s="932"/>
      <c r="H640" s="932"/>
      <c r="I640" s="932"/>
      <c r="J640" s="932"/>
      <c r="K640" s="932"/>
      <c r="L640" s="932"/>
      <c r="M640" s="932"/>
      <c r="N640" s="932"/>
      <c r="O640" s="932"/>
      <c r="P640" s="932"/>
      <c r="Q640" s="932"/>
      <c r="R640" s="932"/>
      <c r="S640" s="932"/>
      <c r="T640" s="932"/>
      <c r="U640" s="932"/>
      <c r="V640" s="932"/>
      <c r="W640" s="932"/>
      <c r="X640" s="932"/>
      <c r="Y640" s="932"/>
      <c r="Z640" s="932"/>
      <c r="AA640" s="932"/>
      <c r="AB640" s="932"/>
      <c r="AC640" s="932"/>
      <c r="AD640" s="932"/>
      <c r="AE640" s="932"/>
      <c r="AF640" s="932"/>
      <c r="AG640" s="932"/>
      <c r="AH640" s="932"/>
      <c r="AI640" s="932"/>
      <c r="AJ640" s="932"/>
      <c r="AK640" s="932"/>
      <c r="AL640" s="932"/>
      <c r="AM640" s="932"/>
      <c r="AN640" s="932"/>
      <c r="AO640" s="932"/>
      <c r="AP640" s="932"/>
      <c r="AQ640" s="932"/>
      <c r="AR640" s="932"/>
      <c r="AS640" s="932"/>
      <c r="AT640" s="932"/>
      <c r="AU640" s="932"/>
      <c r="AV640" s="932"/>
      <c r="AW640" s="932"/>
      <c r="AX640" s="932"/>
      <c r="AY640" s="932"/>
      <c r="AZ640" s="932"/>
      <c r="BA640" s="932"/>
      <c r="BB640" s="932"/>
      <c r="BC640" s="932"/>
      <c r="BD640" s="932"/>
      <c r="BE640" s="932"/>
      <c r="BF640" s="932"/>
    </row>
    <row r="641" spans="2:58" ht="15" x14ac:dyDescent="0.25">
      <c r="B641" s="932"/>
      <c r="C641" s="932"/>
      <c r="D641" s="932"/>
      <c r="E641" s="932"/>
      <c r="F641" s="932"/>
      <c r="G641" s="932"/>
      <c r="H641" s="932"/>
      <c r="I641" s="932"/>
      <c r="J641" s="932"/>
      <c r="K641" s="932"/>
      <c r="L641" s="932"/>
      <c r="M641" s="932"/>
      <c r="N641" s="932"/>
      <c r="O641" s="932"/>
      <c r="P641" s="932"/>
      <c r="Q641" s="932"/>
      <c r="R641" s="932"/>
      <c r="S641" s="932"/>
      <c r="T641" s="932"/>
      <c r="U641" s="932"/>
      <c r="V641" s="932"/>
      <c r="W641" s="932"/>
      <c r="X641" s="932"/>
      <c r="Y641" s="932"/>
      <c r="Z641" s="932"/>
      <c r="AA641" s="932"/>
      <c r="AB641" s="932"/>
      <c r="AC641" s="932"/>
      <c r="AD641" s="932"/>
      <c r="AE641" s="932"/>
      <c r="AF641" s="932"/>
      <c r="AG641" s="932"/>
      <c r="AH641" s="932"/>
      <c r="AI641" s="932"/>
      <c r="AJ641" s="932"/>
      <c r="AK641" s="932"/>
      <c r="AL641" s="932"/>
      <c r="AM641" s="932"/>
      <c r="AN641" s="932"/>
      <c r="AO641" s="932"/>
      <c r="AP641" s="932"/>
      <c r="AQ641" s="932"/>
      <c r="AR641" s="932"/>
      <c r="AS641" s="932"/>
      <c r="AT641" s="932"/>
      <c r="AU641" s="932"/>
      <c r="AV641" s="932"/>
      <c r="AW641" s="932"/>
      <c r="AX641" s="932"/>
      <c r="AY641" s="932"/>
      <c r="AZ641" s="932"/>
      <c r="BA641" s="932"/>
      <c r="BB641" s="932"/>
      <c r="BC641" s="932"/>
      <c r="BD641" s="932"/>
      <c r="BE641" s="932"/>
      <c r="BF641" s="932"/>
    </row>
    <row r="642" spans="2:58" ht="15" x14ac:dyDescent="0.25">
      <c r="B642" s="932"/>
      <c r="C642" s="932"/>
      <c r="D642" s="932"/>
      <c r="E642" s="932"/>
      <c r="F642" s="932"/>
      <c r="G642" s="932"/>
      <c r="H642" s="932"/>
      <c r="I642" s="932"/>
      <c r="J642" s="932"/>
      <c r="K642" s="932"/>
      <c r="L642" s="932"/>
      <c r="M642" s="932"/>
      <c r="N642" s="932"/>
      <c r="O642" s="932"/>
      <c r="P642" s="932"/>
      <c r="Q642" s="932"/>
      <c r="R642" s="932"/>
      <c r="S642" s="932"/>
      <c r="T642" s="932"/>
      <c r="U642" s="932"/>
      <c r="V642" s="932"/>
      <c r="W642" s="932"/>
      <c r="X642" s="932"/>
      <c r="Y642" s="932"/>
      <c r="Z642" s="932"/>
      <c r="AA642" s="932"/>
      <c r="AB642" s="932"/>
      <c r="AC642" s="932"/>
      <c r="AD642" s="932"/>
      <c r="AE642" s="932"/>
      <c r="AF642" s="932"/>
      <c r="AG642" s="932"/>
      <c r="AH642" s="932"/>
      <c r="AI642" s="932"/>
      <c r="AJ642" s="932"/>
      <c r="AK642" s="932"/>
      <c r="AL642" s="932"/>
      <c r="AM642" s="932"/>
      <c r="AN642" s="932"/>
      <c r="AO642" s="932"/>
      <c r="AP642" s="932"/>
      <c r="AQ642" s="932"/>
      <c r="AR642" s="932"/>
      <c r="AS642" s="932"/>
      <c r="AT642" s="932"/>
      <c r="AU642" s="932"/>
      <c r="AV642" s="932"/>
      <c r="AW642" s="932"/>
      <c r="AX642" s="932"/>
      <c r="AY642" s="932"/>
      <c r="AZ642" s="932"/>
      <c r="BA642" s="932"/>
      <c r="BB642" s="932"/>
      <c r="BC642" s="932"/>
      <c r="BD642" s="932"/>
      <c r="BE642" s="932"/>
      <c r="BF642" s="932"/>
    </row>
    <row r="643" spans="2:58" ht="15" x14ac:dyDescent="0.25">
      <c r="B643" s="932"/>
      <c r="C643" s="932"/>
      <c r="D643" s="932"/>
      <c r="E643" s="932"/>
      <c r="F643" s="932"/>
      <c r="G643" s="932"/>
      <c r="H643" s="932"/>
      <c r="I643" s="932"/>
      <c r="J643" s="932"/>
      <c r="K643" s="932"/>
      <c r="L643" s="932"/>
      <c r="M643" s="932"/>
      <c r="N643" s="932"/>
      <c r="O643" s="932"/>
      <c r="P643" s="932"/>
      <c r="Q643" s="932"/>
      <c r="R643" s="932"/>
      <c r="S643" s="932"/>
      <c r="T643" s="932"/>
      <c r="U643" s="932"/>
      <c r="V643" s="932"/>
      <c r="W643" s="932"/>
      <c r="X643" s="932"/>
      <c r="Y643" s="932"/>
      <c r="Z643" s="932"/>
      <c r="AA643" s="932"/>
      <c r="AB643" s="932"/>
      <c r="AC643" s="932"/>
      <c r="AD643" s="932"/>
      <c r="AE643" s="932"/>
      <c r="AF643" s="932"/>
      <c r="AG643" s="932"/>
      <c r="AH643" s="932"/>
      <c r="AI643" s="932"/>
      <c r="AJ643" s="932"/>
      <c r="AK643" s="932"/>
      <c r="AL643" s="932"/>
      <c r="AM643" s="932"/>
      <c r="AN643" s="932"/>
      <c r="AO643" s="932"/>
      <c r="AP643" s="932"/>
      <c r="AQ643" s="932"/>
      <c r="AR643" s="932"/>
      <c r="AS643" s="932"/>
      <c r="AT643" s="932"/>
      <c r="AU643" s="932"/>
      <c r="AV643" s="932"/>
      <c r="AW643" s="932"/>
      <c r="AX643" s="932"/>
      <c r="AY643" s="932"/>
      <c r="AZ643" s="932"/>
      <c r="BA643" s="932"/>
      <c r="BB643" s="932"/>
      <c r="BC643" s="932"/>
      <c r="BD643" s="932"/>
      <c r="BE643" s="932"/>
      <c r="BF643" s="932"/>
    </row>
    <row r="644" spans="2:58" ht="15" x14ac:dyDescent="0.25">
      <c r="B644" s="932"/>
      <c r="C644" s="932"/>
      <c r="D644" s="932"/>
      <c r="E644" s="932"/>
      <c r="F644" s="932"/>
      <c r="G644" s="932"/>
      <c r="H644" s="932"/>
      <c r="I644" s="932"/>
      <c r="J644" s="932"/>
      <c r="K644" s="932"/>
      <c r="L644" s="932"/>
      <c r="M644" s="932"/>
      <c r="N644" s="932"/>
      <c r="O644" s="932"/>
      <c r="P644" s="932"/>
      <c r="Q644" s="932"/>
      <c r="R644" s="932"/>
      <c r="S644" s="932"/>
      <c r="T644" s="932"/>
      <c r="U644" s="932"/>
      <c r="V644" s="932"/>
      <c r="W644" s="932"/>
      <c r="X644" s="932"/>
      <c r="Y644" s="932"/>
      <c r="Z644" s="932"/>
      <c r="AA644" s="932"/>
      <c r="AB644" s="932"/>
      <c r="AC644" s="932"/>
      <c r="AD644" s="932"/>
      <c r="AE644" s="932"/>
      <c r="AF644" s="932"/>
      <c r="AG644" s="932"/>
      <c r="AH644" s="932"/>
      <c r="AI644" s="932"/>
      <c r="AJ644" s="932"/>
      <c r="AK644" s="932"/>
      <c r="AL644" s="932"/>
      <c r="AM644" s="932"/>
      <c r="AN644" s="932"/>
      <c r="AO644" s="932"/>
      <c r="AP644" s="932"/>
      <c r="AQ644" s="932"/>
      <c r="AR644" s="932"/>
      <c r="AS644" s="932"/>
      <c r="AT644" s="932"/>
      <c r="AU644" s="932"/>
      <c r="AV644" s="932"/>
      <c r="AW644" s="932"/>
      <c r="AX644" s="932"/>
      <c r="AY644" s="932"/>
      <c r="AZ644" s="932"/>
      <c r="BA644" s="932"/>
      <c r="BB644" s="932"/>
      <c r="BC644" s="932"/>
      <c r="BD644" s="932"/>
      <c r="BE644" s="932"/>
      <c r="BF644" s="932"/>
    </row>
    <row r="645" spans="2:58" ht="15" x14ac:dyDescent="0.25">
      <c r="B645" s="932"/>
      <c r="C645" s="932"/>
      <c r="D645" s="932"/>
      <c r="E645" s="932"/>
      <c r="F645" s="932"/>
      <c r="G645" s="932"/>
      <c r="H645" s="932"/>
      <c r="I645" s="932"/>
      <c r="J645" s="932"/>
      <c r="K645" s="932"/>
      <c r="L645" s="932"/>
      <c r="M645" s="932"/>
      <c r="N645" s="932"/>
      <c r="O645" s="932"/>
      <c r="P645" s="932"/>
      <c r="Q645" s="932"/>
      <c r="R645" s="932"/>
      <c r="S645" s="932"/>
      <c r="T645" s="932"/>
      <c r="U645" s="932"/>
      <c r="V645" s="932"/>
      <c r="W645" s="932"/>
      <c r="X645" s="932"/>
      <c r="Y645" s="932"/>
      <c r="Z645" s="932"/>
      <c r="AA645" s="932"/>
      <c r="AB645" s="932"/>
      <c r="AC645" s="932"/>
      <c r="AD645" s="932"/>
      <c r="AE645" s="932"/>
      <c r="AF645" s="932"/>
      <c r="AG645" s="932"/>
      <c r="AH645" s="932"/>
      <c r="AI645" s="932"/>
      <c r="AJ645" s="932"/>
      <c r="AK645" s="932"/>
      <c r="AL645" s="932"/>
      <c r="AM645" s="932"/>
      <c r="AN645" s="932"/>
      <c r="AO645" s="932"/>
      <c r="AP645" s="932"/>
      <c r="AQ645" s="932"/>
      <c r="AR645" s="932"/>
      <c r="AS645" s="932"/>
      <c r="AT645" s="932"/>
      <c r="AU645" s="932"/>
      <c r="AV645" s="932"/>
      <c r="AW645" s="932"/>
      <c r="AX645" s="932"/>
      <c r="AY645" s="932"/>
      <c r="AZ645" s="932"/>
      <c r="BA645" s="932"/>
      <c r="BB645" s="932"/>
      <c r="BC645" s="932"/>
      <c r="BD645" s="932"/>
      <c r="BE645" s="932"/>
      <c r="BF645" s="932"/>
    </row>
    <row r="646" spans="2:58" ht="15" x14ac:dyDescent="0.25">
      <c r="B646" s="932"/>
      <c r="C646" s="932"/>
      <c r="D646" s="932"/>
      <c r="E646" s="932"/>
      <c r="F646" s="932"/>
      <c r="G646" s="932"/>
      <c r="H646" s="932"/>
      <c r="I646" s="932"/>
      <c r="J646" s="932"/>
      <c r="K646" s="932"/>
      <c r="L646" s="932"/>
      <c r="M646" s="932"/>
      <c r="N646" s="932"/>
      <c r="O646" s="932"/>
      <c r="P646" s="932"/>
      <c r="Q646" s="932"/>
      <c r="R646" s="932"/>
      <c r="S646" s="932"/>
      <c r="T646" s="932"/>
      <c r="U646" s="932"/>
      <c r="V646" s="932"/>
      <c r="W646" s="932"/>
      <c r="X646" s="932"/>
      <c r="Y646" s="932"/>
      <c r="Z646" s="932"/>
      <c r="AA646" s="932"/>
      <c r="AB646" s="932"/>
      <c r="AC646" s="932"/>
      <c r="AD646" s="932"/>
      <c r="AE646" s="932"/>
      <c r="AF646" s="932"/>
      <c r="AG646" s="932"/>
      <c r="AH646" s="932"/>
      <c r="AI646" s="932"/>
      <c r="AJ646" s="932"/>
      <c r="AK646" s="932"/>
      <c r="AL646" s="932"/>
      <c r="AM646" s="932"/>
      <c r="AN646" s="932"/>
      <c r="AO646" s="932"/>
      <c r="AP646" s="932"/>
      <c r="AQ646" s="932"/>
      <c r="AR646" s="932"/>
      <c r="AS646" s="932"/>
      <c r="AT646" s="932"/>
      <c r="AU646" s="932"/>
      <c r="AV646" s="932"/>
      <c r="AW646" s="932"/>
      <c r="AX646" s="932"/>
      <c r="AY646" s="932"/>
      <c r="AZ646" s="932"/>
      <c r="BA646" s="932"/>
      <c r="BB646" s="932"/>
      <c r="BC646" s="932"/>
      <c r="BD646" s="932"/>
      <c r="BE646" s="932"/>
      <c r="BF646" s="932"/>
    </row>
    <row r="647" spans="2:58" ht="15" x14ac:dyDescent="0.25">
      <c r="B647" s="932"/>
      <c r="C647" s="932"/>
      <c r="D647" s="932"/>
      <c r="E647" s="932"/>
      <c r="F647" s="932"/>
      <c r="G647" s="932"/>
      <c r="H647" s="932"/>
      <c r="I647" s="932"/>
      <c r="J647" s="932"/>
      <c r="K647" s="932"/>
      <c r="L647" s="932"/>
      <c r="M647" s="932"/>
      <c r="N647" s="932"/>
      <c r="O647" s="932"/>
      <c r="P647" s="932"/>
      <c r="Q647" s="932"/>
      <c r="R647" s="932"/>
      <c r="S647" s="932"/>
      <c r="T647" s="932"/>
      <c r="U647" s="932"/>
      <c r="V647" s="932"/>
      <c r="W647" s="932"/>
      <c r="X647" s="932"/>
      <c r="Y647" s="932"/>
      <c r="Z647" s="932"/>
      <c r="AA647" s="932"/>
      <c r="AB647" s="932"/>
      <c r="AC647" s="932"/>
      <c r="AD647" s="932"/>
      <c r="AE647" s="932"/>
      <c r="AF647" s="932"/>
      <c r="AG647" s="932"/>
      <c r="AH647" s="932"/>
      <c r="AI647" s="932"/>
      <c r="AJ647" s="932"/>
      <c r="AK647" s="932"/>
      <c r="AL647" s="932"/>
      <c r="AM647" s="932"/>
      <c r="AN647" s="932"/>
      <c r="AO647" s="932"/>
      <c r="AP647" s="932"/>
      <c r="AQ647" s="932"/>
      <c r="AR647" s="932"/>
      <c r="AS647" s="932"/>
      <c r="AT647" s="932"/>
      <c r="AU647" s="932"/>
      <c r="AV647" s="932"/>
      <c r="AW647" s="932"/>
      <c r="AX647" s="932"/>
      <c r="AY647" s="932"/>
      <c r="AZ647" s="932"/>
      <c r="BA647" s="932"/>
      <c r="BB647" s="932"/>
      <c r="BC647" s="932"/>
      <c r="BD647" s="932"/>
      <c r="BE647" s="932"/>
      <c r="BF647" s="932"/>
    </row>
    <row r="648" spans="2:58" ht="15" x14ac:dyDescent="0.25">
      <c r="B648" s="932"/>
      <c r="C648" s="932"/>
      <c r="D648" s="932"/>
      <c r="E648" s="932"/>
      <c r="F648" s="932"/>
      <c r="G648" s="932"/>
      <c r="H648" s="932"/>
      <c r="I648" s="932"/>
      <c r="J648" s="932"/>
      <c r="K648" s="932"/>
      <c r="L648" s="932"/>
      <c r="M648" s="932"/>
      <c r="N648" s="932"/>
      <c r="O648" s="932"/>
      <c r="P648" s="932"/>
      <c r="Q648" s="932"/>
      <c r="R648" s="932"/>
      <c r="S648" s="932"/>
      <c r="T648" s="932"/>
      <c r="U648" s="932"/>
      <c r="V648" s="932"/>
      <c r="W648" s="932"/>
      <c r="X648" s="932"/>
      <c r="Y648" s="932"/>
      <c r="Z648" s="932"/>
      <c r="AA648" s="932"/>
      <c r="AB648" s="932"/>
      <c r="AC648" s="932"/>
      <c r="AD648" s="932"/>
      <c r="AE648" s="932"/>
      <c r="AF648" s="932"/>
      <c r="AG648" s="932"/>
      <c r="AH648" s="932"/>
      <c r="AI648" s="932"/>
      <c r="AJ648" s="932"/>
      <c r="AK648" s="932"/>
      <c r="AL648" s="932"/>
      <c r="AM648" s="932"/>
      <c r="AN648" s="932"/>
      <c r="AO648" s="932"/>
      <c r="AP648" s="932"/>
      <c r="AQ648" s="932"/>
      <c r="AR648" s="932"/>
      <c r="AS648" s="932"/>
      <c r="AT648" s="932"/>
      <c r="AU648" s="932"/>
      <c r="AV648" s="932"/>
      <c r="AW648" s="932"/>
      <c r="AX648" s="932"/>
      <c r="AY648" s="932"/>
      <c r="AZ648" s="932"/>
      <c r="BA648" s="932"/>
      <c r="BB648" s="932"/>
      <c r="BC648" s="932"/>
      <c r="BD648" s="932"/>
      <c r="BE648" s="932"/>
      <c r="BF648" s="932"/>
    </row>
    <row r="649" spans="2:58" ht="15" x14ac:dyDescent="0.25">
      <c r="B649" s="932"/>
      <c r="C649" s="932"/>
      <c r="D649" s="932"/>
      <c r="E649" s="932"/>
      <c r="F649" s="932"/>
      <c r="G649" s="932"/>
      <c r="H649" s="932"/>
      <c r="I649" s="932"/>
      <c r="J649" s="932"/>
      <c r="K649" s="932"/>
      <c r="L649" s="932"/>
      <c r="M649" s="932"/>
      <c r="N649" s="932"/>
      <c r="O649" s="932"/>
      <c r="P649" s="932"/>
      <c r="Q649" s="932"/>
      <c r="R649" s="932"/>
      <c r="S649" s="932"/>
      <c r="T649" s="932"/>
      <c r="U649" s="932"/>
      <c r="V649" s="932"/>
      <c r="W649" s="932"/>
      <c r="X649" s="932"/>
      <c r="Y649" s="932"/>
      <c r="Z649" s="932"/>
      <c r="AA649" s="932"/>
      <c r="AB649" s="932"/>
      <c r="AC649" s="932"/>
      <c r="AD649" s="932"/>
      <c r="AE649" s="932"/>
      <c r="AF649" s="932"/>
      <c r="AG649" s="932"/>
      <c r="AH649" s="932"/>
      <c r="AI649" s="932"/>
      <c r="AJ649" s="932"/>
      <c r="AK649" s="932"/>
      <c r="AL649" s="932"/>
      <c r="AM649" s="932"/>
      <c r="AN649" s="932"/>
      <c r="AO649" s="932"/>
      <c r="AP649" s="932"/>
      <c r="AQ649" s="932"/>
      <c r="AR649" s="932"/>
      <c r="AS649" s="932"/>
      <c r="AT649" s="932"/>
      <c r="AU649" s="932"/>
      <c r="AV649" s="932"/>
      <c r="AW649" s="932"/>
      <c r="AX649" s="932"/>
      <c r="AY649" s="932"/>
      <c r="AZ649" s="932"/>
      <c r="BA649" s="932"/>
      <c r="BB649" s="932"/>
      <c r="BC649" s="932"/>
      <c r="BD649" s="932"/>
      <c r="BE649" s="932"/>
      <c r="BF649" s="932"/>
    </row>
    <row r="650" spans="2:58" ht="15" x14ac:dyDescent="0.25">
      <c r="B650" s="932"/>
      <c r="C650" s="932"/>
      <c r="D650" s="932"/>
      <c r="E650" s="932"/>
      <c r="F650" s="932"/>
      <c r="G650" s="932"/>
      <c r="H650" s="932"/>
      <c r="I650" s="932"/>
      <c r="J650" s="932"/>
      <c r="K650" s="932"/>
      <c r="L650" s="932"/>
      <c r="M650" s="932"/>
      <c r="N650" s="932"/>
      <c r="O650" s="932"/>
      <c r="P650" s="932"/>
      <c r="Q650" s="932"/>
      <c r="R650" s="932"/>
      <c r="S650" s="932"/>
      <c r="T650" s="932"/>
      <c r="U650" s="932"/>
      <c r="V650" s="932"/>
      <c r="W650" s="932"/>
      <c r="X650" s="932"/>
      <c r="Y650" s="932"/>
      <c r="Z650" s="932"/>
      <c r="AA650" s="932"/>
      <c r="AB650" s="932"/>
      <c r="AC650" s="932"/>
      <c r="AD650" s="932"/>
      <c r="AE650" s="932"/>
      <c r="AF650" s="932"/>
      <c r="AG650" s="932"/>
      <c r="AH650" s="932"/>
      <c r="AI650" s="932"/>
      <c r="AJ650" s="932"/>
      <c r="AK650" s="932"/>
      <c r="AL650" s="932"/>
      <c r="AM650" s="932"/>
      <c r="AN650" s="932"/>
      <c r="AO650" s="932"/>
      <c r="AP650" s="932"/>
      <c r="AQ650" s="932"/>
      <c r="AR650" s="932"/>
      <c r="AS650" s="932"/>
      <c r="AT650" s="932"/>
      <c r="AU650" s="932"/>
      <c r="AV650" s="932"/>
      <c r="AW650" s="932"/>
      <c r="AX650" s="932"/>
      <c r="AY650" s="932"/>
      <c r="AZ650" s="932"/>
      <c r="BA650" s="932"/>
      <c r="BB650" s="932"/>
      <c r="BC650" s="932"/>
      <c r="BD650" s="932"/>
      <c r="BE650" s="932"/>
      <c r="BF650" s="932"/>
    </row>
    <row r="651" spans="2:58" ht="15" x14ac:dyDescent="0.25">
      <c r="B651" s="932"/>
      <c r="C651" s="932"/>
      <c r="D651" s="932"/>
      <c r="E651" s="932"/>
      <c r="F651" s="932"/>
      <c r="G651" s="932"/>
      <c r="H651" s="932"/>
      <c r="I651" s="932"/>
      <c r="J651" s="932"/>
      <c r="K651" s="932"/>
      <c r="L651" s="932"/>
      <c r="M651" s="932"/>
      <c r="N651" s="932"/>
      <c r="O651" s="932"/>
      <c r="P651" s="932"/>
      <c r="Q651" s="932"/>
      <c r="R651" s="932"/>
      <c r="S651" s="932"/>
      <c r="T651" s="932"/>
      <c r="U651" s="932"/>
      <c r="V651" s="932"/>
      <c r="W651" s="932"/>
      <c r="X651" s="932"/>
      <c r="Y651" s="932"/>
      <c r="Z651" s="932"/>
      <c r="AA651" s="932"/>
      <c r="AB651" s="932"/>
      <c r="AC651" s="932"/>
      <c r="AD651" s="932"/>
      <c r="AE651" s="932"/>
      <c r="AF651" s="932"/>
      <c r="AG651" s="932"/>
      <c r="AH651" s="932"/>
      <c r="AI651" s="932"/>
      <c r="AJ651" s="932"/>
      <c r="AK651" s="932"/>
      <c r="AL651" s="932"/>
      <c r="AM651" s="932"/>
      <c r="AN651" s="932"/>
      <c r="AO651" s="932"/>
      <c r="AP651" s="932"/>
      <c r="AQ651" s="932"/>
      <c r="AR651" s="932"/>
      <c r="AS651" s="932"/>
      <c r="AT651" s="932"/>
      <c r="AU651" s="932"/>
      <c r="AV651" s="932"/>
      <c r="AW651" s="932"/>
      <c r="AX651" s="932"/>
      <c r="AY651" s="932"/>
      <c r="AZ651" s="932"/>
      <c r="BA651" s="932"/>
      <c r="BB651" s="932"/>
      <c r="BC651" s="932"/>
      <c r="BD651" s="932"/>
      <c r="BE651" s="932"/>
      <c r="BF651" s="932"/>
    </row>
    <row r="652" spans="2:58" ht="15" x14ac:dyDescent="0.25">
      <c r="B652" s="932"/>
      <c r="C652" s="932"/>
      <c r="D652" s="932"/>
      <c r="E652" s="932"/>
      <c r="F652" s="932"/>
      <c r="G652" s="932"/>
      <c r="H652" s="932"/>
      <c r="I652" s="932"/>
      <c r="J652" s="932"/>
      <c r="K652" s="932"/>
      <c r="L652" s="932"/>
      <c r="M652" s="932"/>
      <c r="N652" s="932"/>
      <c r="O652" s="932"/>
      <c r="P652" s="932"/>
      <c r="Q652" s="932"/>
      <c r="R652" s="932"/>
      <c r="S652" s="932"/>
      <c r="T652" s="932"/>
      <c r="U652" s="932"/>
      <c r="V652" s="932"/>
      <c r="W652" s="932"/>
      <c r="X652" s="932"/>
      <c r="Y652" s="932"/>
      <c r="Z652" s="932"/>
      <c r="AA652" s="932"/>
      <c r="AB652" s="932"/>
      <c r="AC652" s="932"/>
      <c r="AD652" s="932"/>
      <c r="AE652" s="932"/>
      <c r="AF652" s="932"/>
      <c r="AG652" s="932"/>
      <c r="AH652" s="932"/>
      <c r="AI652" s="932"/>
      <c r="AJ652" s="932"/>
      <c r="AK652" s="932"/>
      <c r="AL652" s="932"/>
      <c r="AM652" s="932"/>
      <c r="AN652" s="932"/>
      <c r="AO652" s="932"/>
      <c r="AP652" s="932"/>
      <c r="AQ652" s="932"/>
      <c r="AR652" s="932"/>
      <c r="AS652" s="932"/>
      <c r="AT652" s="932"/>
      <c r="AU652" s="932"/>
      <c r="AV652" s="932"/>
      <c r="AW652" s="932"/>
      <c r="AX652" s="932"/>
      <c r="AY652" s="932"/>
      <c r="AZ652" s="932"/>
      <c r="BA652" s="932"/>
      <c r="BB652" s="932"/>
      <c r="BC652" s="932"/>
      <c r="BD652" s="932"/>
      <c r="BE652" s="932"/>
      <c r="BF652" s="932"/>
    </row>
    <row r="653" spans="2:58" ht="15" x14ac:dyDescent="0.25">
      <c r="B653" s="932"/>
      <c r="C653" s="932"/>
      <c r="D653" s="932"/>
      <c r="E653" s="932"/>
      <c r="F653" s="932"/>
      <c r="G653" s="932"/>
      <c r="H653" s="932"/>
      <c r="I653" s="932"/>
      <c r="J653" s="932"/>
      <c r="K653" s="932"/>
      <c r="L653" s="932"/>
      <c r="M653" s="932"/>
      <c r="N653" s="932"/>
      <c r="O653" s="932"/>
      <c r="P653" s="932"/>
      <c r="Q653" s="932"/>
      <c r="R653" s="932"/>
      <c r="S653" s="932"/>
      <c r="T653" s="932"/>
      <c r="U653" s="932"/>
      <c r="V653" s="932"/>
      <c r="W653" s="932"/>
      <c r="X653" s="932"/>
      <c r="Y653" s="932"/>
      <c r="Z653" s="932"/>
      <c r="AA653" s="932"/>
      <c r="AB653" s="932"/>
      <c r="AC653" s="932"/>
      <c r="AD653" s="932"/>
      <c r="AE653" s="932"/>
      <c r="AF653" s="932"/>
      <c r="AG653" s="932"/>
      <c r="AH653" s="932"/>
      <c r="AI653" s="932"/>
      <c r="AJ653" s="932"/>
      <c r="AK653" s="932"/>
      <c r="AL653" s="932"/>
      <c r="AM653" s="932"/>
      <c r="AN653" s="932"/>
      <c r="AO653" s="932"/>
      <c r="AP653" s="932"/>
      <c r="AQ653" s="932"/>
      <c r="AR653" s="932"/>
      <c r="AS653" s="932"/>
      <c r="AT653" s="932"/>
      <c r="AU653" s="932"/>
      <c r="AV653" s="932"/>
      <c r="AW653" s="932"/>
      <c r="AX653" s="932"/>
      <c r="AY653" s="932"/>
      <c r="AZ653" s="932"/>
      <c r="BA653" s="932"/>
      <c r="BB653" s="932"/>
      <c r="BC653" s="932"/>
      <c r="BD653" s="932"/>
      <c r="BE653" s="932"/>
      <c r="BF653" s="932"/>
    </row>
    <row r="654" spans="2:58" ht="15" x14ac:dyDescent="0.25">
      <c r="B654" s="932"/>
      <c r="C654" s="932"/>
      <c r="D654" s="932"/>
      <c r="E654" s="932"/>
      <c r="F654" s="932"/>
      <c r="G654" s="932"/>
      <c r="H654" s="932"/>
      <c r="I654" s="932"/>
      <c r="J654" s="932"/>
      <c r="K654" s="932"/>
      <c r="L654" s="932"/>
      <c r="M654" s="932"/>
      <c r="N654" s="932"/>
      <c r="O654" s="932"/>
      <c r="P654" s="932"/>
      <c r="Q654" s="932"/>
      <c r="R654" s="932"/>
      <c r="S654" s="932"/>
      <c r="T654" s="932"/>
      <c r="U654" s="932"/>
      <c r="V654" s="932"/>
      <c r="W654" s="932"/>
      <c r="X654" s="932"/>
      <c r="Y654" s="932"/>
      <c r="Z654" s="932"/>
      <c r="AA654" s="932"/>
      <c r="AB654" s="932"/>
      <c r="AC654" s="932"/>
      <c r="AD654" s="932"/>
      <c r="AE654" s="932"/>
      <c r="AF654" s="932"/>
      <c r="AG654" s="932"/>
      <c r="AH654" s="932"/>
      <c r="AI654" s="932"/>
      <c r="AJ654" s="932"/>
      <c r="AK654" s="932"/>
      <c r="AL654" s="932"/>
      <c r="AM654" s="932"/>
      <c r="AN654" s="932"/>
      <c r="AO654" s="932"/>
      <c r="AP654" s="932"/>
      <c r="AQ654" s="932"/>
      <c r="AR654" s="932"/>
      <c r="AS654" s="932"/>
      <c r="AT654" s="932"/>
      <c r="AU654" s="932"/>
      <c r="AV654" s="932"/>
      <c r="AW654" s="932"/>
      <c r="AX654" s="932"/>
      <c r="AY654" s="932"/>
      <c r="AZ654" s="932"/>
      <c r="BA654" s="932"/>
      <c r="BB654" s="932"/>
      <c r="BC654" s="932"/>
      <c r="BD654" s="932"/>
      <c r="BE654" s="932"/>
      <c r="BF654" s="932"/>
    </row>
    <row r="655" spans="2:58" ht="15" x14ac:dyDescent="0.25">
      <c r="B655" s="932"/>
      <c r="C655" s="932"/>
      <c r="D655" s="932"/>
      <c r="E655" s="932"/>
      <c r="F655" s="932"/>
      <c r="G655" s="932"/>
      <c r="H655" s="932"/>
      <c r="I655" s="932"/>
      <c r="J655" s="932"/>
      <c r="K655" s="932"/>
      <c r="L655" s="932"/>
      <c r="M655" s="932"/>
      <c r="N655" s="932"/>
      <c r="O655" s="932"/>
      <c r="P655" s="932"/>
      <c r="Q655" s="932"/>
      <c r="R655" s="932"/>
      <c r="S655" s="932"/>
      <c r="T655" s="932"/>
      <c r="U655" s="932"/>
      <c r="V655" s="932"/>
      <c r="W655" s="932"/>
      <c r="X655" s="932"/>
      <c r="Y655" s="932"/>
      <c r="Z655" s="932"/>
      <c r="AA655" s="932"/>
      <c r="AB655" s="932"/>
      <c r="AC655" s="932"/>
      <c r="AD655" s="932"/>
      <c r="AE655" s="932"/>
      <c r="AF655" s="932"/>
      <c r="AG655" s="932"/>
      <c r="AH655" s="932"/>
      <c r="AI655" s="932"/>
      <c r="AJ655" s="932"/>
      <c r="AK655" s="932"/>
      <c r="AL655" s="932"/>
      <c r="AM655" s="932"/>
      <c r="AN655" s="932"/>
      <c r="AO655" s="932"/>
      <c r="AP655" s="932"/>
      <c r="AQ655" s="932"/>
      <c r="AR655" s="932"/>
      <c r="AS655" s="932"/>
      <c r="AT655" s="932"/>
      <c r="AU655" s="932"/>
      <c r="AV655" s="932"/>
      <c r="AW655" s="932"/>
      <c r="AX655" s="932"/>
      <c r="AY655" s="932"/>
      <c r="AZ655" s="932"/>
      <c r="BA655" s="932"/>
      <c r="BB655" s="932"/>
      <c r="BC655" s="932"/>
      <c r="BD655" s="932"/>
      <c r="BE655" s="932"/>
      <c r="BF655" s="932"/>
    </row>
    <row r="656" spans="2:58" ht="15" x14ac:dyDescent="0.25">
      <c r="B656" s="932"/>
      <c r="C656" s="932"/>
      <c r="D656" s="932"/>
      <c r="E656" s="932"/>
      <c r="F656" s="932"/>
      <c r="G656" s="932"/>
      <c r="H656" s="932"/>
      <c r="I656" s="932"/>
      <c r="J656" s="932"/>
      <c r="K656" s="932"/>
      <c r="L656" s="932"/>
      <c r="M656" s="932"/>
      <c r="N656" s="932"/>
      <c r="O656" s="932"/>
      <c r="P656" s="932"/>
      <c r="Q656" s="932"/>
      <c r="R656" s="932"/>
      <c r="S656" s="932"/>
      <c r="T656" s="932"/>
      <c r="U656" s="932"/>
      <c r="V656" s="932"/>
      <c r="W656" s="932"/>
      <c r="X656" s="932"/>
      <c r="Y656" s="932"/>
      <c r="Z656" s="932"/>
      <c r="AA656" s="932"/>
      <c r="AB656" s="932"/>
      <c r="AC656" s="932"/>
      <c r="AD656" s="932"/>
      <c r="AE656" s="932"/>
      <c r="AF656" s="932"/>
      <c r="AG656" s="932"/>
      <c r="AH656" s="932"/>
      <c r="AI656" s="932"/>
      <c r="AJ656" s="932"/>
      <c r="AK656" s="932"/>
      <c r="AL656" s="932"/>
      <c r="AM656" s="932"/>
      <c r="AN656" s="932"/>
      <c r="AO656" s="932"/>
      <c r="AP656" s="932"/>
      <c r="AQ656" s="932"/>
      <c r="AR656" s="932"/>
      <c r="AS656" s="932"/>
      <c r="AT656" s="932"/>
      <c r="AU656" s="932"/>
      <c r="AV656" s="932"/>
      <c r="AW656" s="932"/>
      <c r="AX656" s="932"/>
      <c r="AY656" s="932"/>
      <c r="AZ656" s="932"/>
      <c r="BA656" s="932"/>
      <c r="BB656" s="932"/>
      <c r="BC656" s="932"/>
      <c r="BD656" s="932"/>
      <c r="BE656" s="932"/>
      <c r="BF656" s="932"/>
    </row>
    <row r="657" spans="2:58" ht="15" x14ac:dyDescent="0.25">
      <c r="B657" s="932"/>
      <c r="C657" s="932"/>
      <c r="D657" s="932"/>
      <c r="E657" s="932"/>
      <c r="F657" s="932"/>
      <c r="G657" s="932"/>
      <c r="H657" s="932"/>
      <c r="I657" s="932"/>
      <c r="J657" s="932"/>
      <c r="K657" s="932"/>
      <c r="L657" s="932"/>
      <c r="M657" s="932"/>
      <c r="N657" s="932"/>
      <c r="O657" s="932"/>
      <c r="P657" s="932"/>
      <c r="Q657" s="932"/>
      <c r="R657" s="932"/>
      <c r="S657" s="932"/>
      <c r="T657" s="932"/>
      <c r="U657" s="932"/>
      <c r="V657" s="932"/>
      <c r="W657" s="932"/>
      <c r="X657" s="932"/>
      <c r="Y657" s="932"/>
      <c r="Z657" s="932"/>
      <c r="AA657" s="932"/>
      <c r="AB657" s="932"/>
      <c r="AC657" s="932"/>
      <c r="AD657" s="932"/>
      <c r="AE657" s="932"/>
      <c r="AF657" s="932"/>
      <c r="AG657" s="932"/>
      <c r="AH657" s="932"/>
      <c r="AI657" s="932"/>
      <c r="AJ657" s="932"/>
      <c r="AK657" s="932"/>
      <c r="AL657" s="932"/>
      <c r="AM657" s="932"/>
      <c r="AN657" s="932"/>
      <c r="AO657" s="932"/>
      <c r="AP657" s="932"/>
      <c r="AQ657" s="932"/>
      <c r="AR657" s="932"/>
      <c r="AS657" s="932"/>
      <c r="AT657" s="932"/>
      <c r="AU657" s="932"/>
      <c r="AV657" s="932"/>
      <c r="AW657" s="932"/>
      <c r="AX657" s="932"/>
      <c r="AY657" s="932"/>
      <c r="AZ657" s="932"/>
      <c r="BA657" s="932"/>
      <c r="BB657" s="932"/>
      <c r="BC657" s="932"/>
      <c r="BD657" s="932"/>
      <c r="BE657" s="932"/>
      <c r="BF657" s="932"/>
    </row>
    <row r="658" spans="2:58" ht="15" x14ac:dyDescent="0.25">
      <c r="B658" s="932"/>
      <c r="C658" s="932"/>
      <c r="D658" s="932"/>
      <c r="E658" s="932"/>
      <c r="F658" s="932"/>
      <c r="G658" s="932"/>
      <c r="H658" s="932"/>
      <c r="I658" s="932"/>
      <c r="J658" s="932"/>
      <c r="K658" s="932"/>
      <c r="L658" s="932"/>
      <c r="M658" s="932"/>
      <c r="N658" s="932"/>
      <c r="O658" s="932"/>
      <c r="P658" s="932"/>
      <c r="Q658" s="932"/>
      <c r="R658" s="932"/>
      <c r="S658" s="932"/>
      <c r="T658" s="932"/>
      <c r="U658" s="932"/>
      <c r="V658" s="932"/>
      <c r="W658" s="932"/>
      <c r="X658" s="932"/>
      <c r="Y658" s="932"/>
      <c r="Z658" s="932"/>
      <c r="AA658" s="932"/>
      <c r="AB658" s="932"/>
      <c r="AC658" s="932"/>
      <c r="AD658" s="932"/>
      <c r="AE658" s="932"/>
      <c r="AF658" s="932"/>
      <c r="AG658" s="932"/>
      <c r="AH658" s="932"/>
      <c r="AI658" s="932"/>
      <c r="AJ658" s="932"/>
      <c r="AK658" s="932"/>
      <c r="AL658" s="932"/>
      <c r="AM658" s="932"/>
      <c r="AN658" s="932"/>
      <c r="AO658" s="932"/>
      <c r="AP658" s="932"/>
      <c r="AQ658" s="932"/>
      <c r="AR658" s="932"/>
      <c r="AS658" s="932"/>
      <c r="AT658" s="932"/>
      <c r="AU658" s="932"/>
      <c r="AV658" s="932"/>
      <c r="AW658" s="932"/>
      <c r="AX658" s="932"/>
      <c r="AY658" s="932"/>
      <c r="AZ658" s="932"/>
      <c r="BA658" s="932"/>
      <c r="BB658" s="932"/>
      <c r="BC658" s="932"/>
      <c r="BD658" s="932"/>
      <c r="BE658" s="932"/>
      <c r="BF658" s="932"/>
    </row>
    <row r="659" spans="2:58" ht="15" x14ac:dyDescent="0.25">
      <c r="B659" s="932"/>
      <c r="C659" s="932"/>
      <c r="D659" s="932"/>
      <c r="E659" s="932"/>
      <c r="F659" s="932"/>
      <c r="G659" s="932"/>
      <c r="H659" s="932"/>
      <c r="I659" s="932"/>
      <c r="J659" s="932"/>
      <c r="K659" s="932"/>
      <c r="L659" s="932"/>
      <c r="M659" s="932"/>
      <c r="N659" s="932"/>
      <c r="O659" s="932"/>
      <c r="P659" s="932"/>
      <c r="Q659" s="932"/>
      <c r="R659" s="932"/>
      <c r="S659" s="932"/>
      <c r="T659" s="932"/>
      <c r="U659" s="932"/>
      <c r="V659" s="932"/>
      <c r="W659" s="932"/>
      <c r="X659" s="932"/>
      <c r="Y659" s="932"/>
      <c r="Z659" s="932"/>
      <c r="AA659" s="932"/>
      <c r="AB659" s="932"/>
      <c r="AC659" s="932"/>
      <c r="AD659" s="932"/>
      <c r="AE659" s="932"/>
      <c r="AF659" s="932"/>
      <c r="AG659" s="932"/>
      <c r="AH659" s="932"/>
      <c r="AI659" s="932"/>
      <c r="AJ659" s="932"/>
      <c r="AK659" s="932"/>
      <c r="AL659" s="932"/>
      <c r="AM659" s="932"/>
      <c r="AN659" s="932"/>
      <c r="AO659" s="932"/>
      <c r="AP659" s="932"/>
      <c r="AQ659" s="932"/>
      <c r="AR659" s="932"/>
      <c r="AS659" s="932"/>
      <c r="AT659" s="932"/>
      <c r="AU659" s="932"/>
      <c r="AV659" s="932"/>
      <c r="AW659" s="932"/>
      <c r="AX659" s="932"/>
      <c r="AY659" s="932"/>
      <c r="AZ659" s="932"/>
      <c r="BA659" s="932"/>
      <c r="BB659" s="932"/>
      <c r="BC659" s="932"/>
      <c r="BD659" s="932"/>
      <c r="BE659" s="932"/>
      <c r="BF659" s="932"/>
    </row>
    <row r="660" spans="2:58" ht="15" x14ac:dyDescent="0.25">
      <c r="B660" s="932"/>
      <c r="C660" s="932"/>
      <c r="D660" s="932"/>
      <c r="E660" s="932"/>
      <c r="F660" s="932"/>
      <c r="G660" s="932"/>
      <c r="H660" s="932"/>
      <c r="I660" s="932"/>
      <c r="J660" s="932"/>
      <c r="K660" s="932"/>
      <c r="L660" s="932"/>
      <c r="M660" s="932"/>
      <c r="N660" s="932"/>
      <c r="O660" s="932"/>
      <c r="P660" s="932"/>
      <c r="Q660" s="932"/>
      <c r="R660" s="932"/>
      <c r="S660" s="932"/>
      <c r="T660" s="932"/>
      <c r="U660" s="932"/>
      <c r="V660" s="932"/>
      <c r="W660" s="932"/>
      <c r="X660" s="932"/>
      <c r="Y660" s="932"/>
      <c r="Z660" s="932"/>
      <c r="AA660" s="932"/>
      <c r="AB660" s="932"/>
      <c r="AC660" s="932"/>
      <c r="AD660" s="932"/>
      <c r="AE660" s="932"/>
      <c r="AF660" s="932"/>
      <c r="AG660" s="932"/>
      <c r="AH660" s="932"/>
      <c r="AI660" s="932"/>
      <c r="AJ660" s="932"/>
      <c r="AK660" s="932"/>
      <c r="AL660" s="932"/>
      <c r="AM660" s="932"/>
      <c r="AN660" s="932"/>
      <c r="AO660" s="932"/>
      <c r="AP660" s="932"/>
      <c r="AQ660" s="932"/>
      <c r="AR660" s="932"/>
      <c r="AS660" s="932"/>
      <c r="AT660" s="932"/>
      <c r="AU660" s="932"/>
      <c r="AV660" s="932"/>
      <c r="AW660" s="932"/>
      <c r="AX660" s="932"/>
      <c r="AY660" s="932"/>
      <c r="AZ660" s="932"/>
      <c r="BA660" s="932"/>
      <c r="BB660" s="932"/>
      <c r="BC660" s="932"/>
      <c r="BD660" s="932"/>
      <c r="BE660" s="932"/>
      <c r="BF660" s="932"/>
    </row>
    <row r="661" spans="2:58" ht="15" x14ac:dyDescent="0.25">
      <c r="B661" s="932"/>
      <c r="C661" s="932"/>
      <c r="D661" s="932"/>
      <c r="E661" s="932"/>
      <c r="F661" s="932"/>
      <c r="G661" s="932"/>
      <c r="H661" s="932"/>
      <c r="I661" s="932"/>
      <c r="J661" s="932"/>
      <c r="K661" s="932"/>
      <c r="L661" s="932"/>
      <c r="M661" s="932"/>
      <c r="N661" s="932"/>
      <c r="O661" s="932"/>
      <c r="P661" s="932"/>
      <c r="Q661" s="932"/>
      <c r="R661" s="932"/>
      <c r="S661" s="932"/>
      <c r="T661" s="932"/>
      <c r="U661" s="932"/>
      <c r="V661" s="932"/>
      <c r="W661" s="932"/>
      <c r="X661" s="932"/>
      <c r="Y661" s="932"/>
      <c r="Z661" s="932"/>
      <c r="AA661" s="932"/>
      <c r="AB661" s="932"/>
      <c r="AC661" s="932"/>
      <c r="AD661" s="932"/>
      <c r="AE661" s="932"/>
      <c r="AF661" s="932"/>
      <c r="AG661" s="932"/>
      <c r="AH661" s="932"/>
      <c r="AI661" s="932"/>
      <c r="AJ661" s="932"/>
      <c r="AK661" s="932"/>
      <c r="AL661" s="932"/>
      <c r="AM661" s="932"/>
      <c r="AN661" s="932"/>
      <c r="AO661" s="932"/>
      <c r="AP661" s="932"/>
      <c r="AQ661" s="932"/>
      <c r="AR661" s="932"/>
      <c r="AS661" s="932"/>
      <c r="AT661" s="932"/>
      <c r="AU661" s="932"/>
      <c r="AV661" s="932"/>
      <c r="AW661" s="932"/>
      <c r="AX661" s="932"/>
      <c r="AY661" s="932"/>
      <c r="AZ661" s="932"/>
      <c r="BA661" s="932"/>
      <c r="BB661" s="932"/>
      <c r="BC661" s="932"/>
      <c r="BD661" s="932"/>
      <c r="BE661" s="932"/>
      <c r="BF661" s="932"/>
    </row>
    <row r="662" spans="2:58" ht="15" x14ac:dyDescent="0.25">
      <c r="B662" s="932"/>
      <c r="C662" s="932"/>
      <c r="D662" s="932"/>
      <c r="E662" s="932"/>
      <c r="F662" s="932"/>
      <c r="G662" s="932"/>
      <c r="H662" s="932"/>
      <c r="I662" s="932"/>
      <c r="J662" s="932"/>
      <c r="K662" s="932"/>
      <c r="L662" s="932"/>
      <c r="M662" s="932"/>
      <c r="N662" s="932"/>
      <c r="O662" s="932"/>
      <c r="P662" s="932"/>
      <c r="Q662" s="932"/>
      <c r="R662" s="932"/>
      <c r="S662" s="932"/>
      <c r="T662" s="932"/>
      <c r="U662" s="932"/>
      <c r="V662" s="932"/>
      <c r="W662" s="932"/>
      <c r="X662" s="932"/>
      <c r="Y662" s="932"/>
      <c r="Z662" s="932"/>
      <c r="AA662" s="932"/>
      <c r="AB662" s="932"/>
      <c r="AC662" s="932"/>
      <c r="AD662" s="932"/>
      <c r="AE662" s="932"/>
      <c r="AF662" s="932"/>
      <c r="AG662" s="932"/>
      <c r="AH662" s="932"/>
      <c r="AI662" s="932"/>
      <c r="AJ662" s="932"/>
      <c r="AK662" s="932"/>
      <c r="AL662" s="932"/>
      <c r="AM662" s="932"/>
      <c r="AN662" s="932"/>
      <c r="AO662" s="932"/>
      <c r="AP662" s="932"/>
      <c r="AQ662" s="932"/>
      <c r="AR662" s="932"/>
      <c r="AS662" s="932"/>
      <c r="AT662" s="932"/>
      <c r="AU662" s="932"/>
      <c r="AV662" s="932"/>
      <c r="AW662" s="932"/>
      <c r="AX662" s="932"/>
      <c r="AY662" s="932"/>
      <c r="AZ662" s="932"/>
      <c r="BA662" s="932"/>
      <c r="BB662" s="932"/>
      <c r="BC662" s="932"/>
      <c r="BD662" s="932"/>
      <c r="BE662" s="932"/>
      <c r="BF662" s="932"/>
    </row>
    <row r="663" spans="2:58" ht="15" x14ac:dyDescent="0.25">
      <c r="B663" s="932"/>
      <c r="C663" s="932"/>
      <c r="D663" s="932"/>
      <c r="E663" s="932"/>
      <c r="F663" s="932"/>
      <c r="G663" s="932"/>
      <c r="H663" s="932"/>
      <c r="I663" s="932"/>
      <c r="J663" s="932"/>
      <c r="K663" s="932"/>
      <c r="L663" s="932"/>
      <c r="M663" s="932"/>
      <c r="N663" s="932"/>
      <c r="O663" s="932"/>
      <c r="P663" s="932"/>
      <c r="Q663" s="932"/>
      <c r="R663" s="932"/>
      <c r="S663" s="932"/>
      <c r="T663" s="932"/>
      <c r="U663" s="932"/>
      <c r="V663" s="932"/>
      <c r="W663" s="932"/>
      <c r="X663" s="932"/>
      <c r="Y663" s="932"/>
      <c r="Z663" s="932"/>
      <c r="AA663" s="932"/>
      <c r="AB663" s="932"/>
      <c r="AC663" s="932"/>
      <c r="AD663" s="932"/>
      <c r="AE663" s="932"/>
      <c r="AF663" s="932"/>
      <c r="AG663" s="932"/>
      <c r="AH663" s="932"/>
      <c r="AI663" s="932"/>
      <c r="AJ663" s="932"/>
      <c r="AK663" s="932"/>
      <c r="AL663" s="932"/>
      <c r="AM663" s="932"/>
      <c r="AN663" s="932"/>
      <c r="AO663" s="932"/>
      <c r="AP663" s="932"/>
      <c r="AQ663" s="932"/>
      <c r="AR663" s="932"/>
      <c r="AS663" s="932"/>
      <c r="AT663" s="932"/>
      <c r="AU663" s="932"/>
      <c r="AV663" s="932"/>
      <c r="AW663" s="932"/>
      <c r="AX663" s="932"/>
      <c r="AY663" s="932"/>
      <c r="AZ663" s="932"/>
      <c r="BA663" s="932"/>
      <c r="BB663" s="932"/>
      <c r="BC663" s="932"/>
      <c r="BD663" s="932"/>
      <c r="BE663" s="932"/>
      <c r="BF663" s="932"/>
    </row>
    <row r="664" spans="2:58" ht="15" x14ac:dyDescent="0.25">
      <c r="B664" s="932"/>
      <c r="C664" s="932"/>
      <c r="D664" s="932"/>
      <c r="E664" s="932"/>
      <c r="F664" s="932"/>
      <c r="G664" s="932"/>
      <c r="H664" s="932"/>
      <c r="I664" s="932"/>
      <c r="J664" s="932"/>
      <c r="K664" s="932"/>
      <c r="L664" s="932"/>
      <c r="M664" s="932"/>
      <c r="N664" s="932"/>
      <c r="O664" s="932"/>
      <c r="P664" s="932"/>
      <c r="Q664" s="932"/>
      <c r="R664" s="932"/>
      <c r="S664" s="932"/>
      <c r="T664" s="932"/>
      <c r="U664" s="932"/>
      <c r="V664" s="932"/>
      <c r="W664" s="932"/>
      <c r="X664" s="932"/>
      <c r="Y664" s="932"/>
      <c r="Z664" s="932"/>
      <c r="AA664" s="932"/>
      <c r="AB664" s="932"/>
      <c r="AC664" s="932"/>
      <c r="AD664" s="932"/>
      <c r="AE664" s="932"/>
      <c r="AF664" s="932"/>
      <c r="AG664" s="932"/>
      <c r="AH664" s="932"/>
      <c r="AI664" s="932"/>
      <c r="AJ664" s="932"/>
      <c r="AK664" s="932"/>
      <c r="AL664" s="932"/>
      <c r="AM664" s="932"/>
      <c r="AN664" s="932"/>
      <c r="AO664" s="932"/>
      <c r="AP664" s="932"/>
      <c r="AQ664" s="932"/>
      <c r="AR664" s="932"/>
      <c r="AS664" s="932"/>
      <c r="AT664" s="932"/>
      <c r="AU664" s="932"/>
      <c r="AV664" s="932"/>
      <c r="AW664" s="932"/>
      <c r="AX664" s="932"/>
      <c r="AY664" s="932"/>
      <c r="AZ664" s="932"/>
      <c r="BA664" s="932"/>
      <c r="BB664" s="932"/>
      <c r="BC664" s="932"/>
      <c r="BD664" s="932"/>
      <c r="BE664" s="932"/>
      <c r="BF664" s="932"/>
    </row>
    <row r="665" spans="2:58" ht="15" x14ac:dyDescent="0.25">
      <c r="B665" s="932"/>
      <c r="C665" s="932"/>
      <c r="D665" s="932"/>
      <c r="E665" s="932"/>
      <c r="F665" s="932"/>
      <c r="G665" s="932"/>
      <c r="H665" s="932"/>
      <c r="I665" s="932"/>
      <c r="J665" s="932"/>
      <c r="K665" s="932"/>
      <c r="L665" s="932"/>
      <c r="M665" s="932"/>
      <c r="N665" s="932"/>
      <c r="O665" s="932"/>
      <c r="P665" s="932"/>
      <c r="Q665" s="932"/>
      <c r="R665" s="932"/>
      <c r="S665" s="932"/>
      <c r="T665" s="932"/>
      <c r="U665" s="932"/>
      <c r="V665" s="932"/>
      <c r="W665" s="932"/>
      <c r="X665" s="932"/>
      <c r="Y665" s="932"/>
      <c r="Z665" s="932"/>
      <c r="AA665" s="932"/>
      <c r="AB665" s="932"/>
      <c r="AC665" s="932"/>
      <c r="AD665" s="932"/>
      <c r="AE665" s="932"/>
      <c r="AF665" s="932"/>
      <c r="AG665" s="932"/>
      <c r="AH665" s="932"/>
      <c r="AI665" s="932"/>
      <c r="AJ665" s="932"/>
      <c r="AK665" s="932"/>
      <c r="AL665" s="932"/>
      <c r="AM665" s="932"/>
      <c r="AN665" s="932"/>
      <c r="AO665" s="932"/>
      <c r="AP665" s="932"/>
      <c r="AQ665" s="932"/>
      <c r="AR665" s="932"/>
      <c r="AS665" s="932"/>
      <c r="AT665" s="932"/>
      <c r="AU665" s="932"/>
      <c r="AV665" s="932"/>
      <c r="AW665" s="932"/>
      <c r="AX665" s="932"/>
      <c r="AY665" s="932"/>
      <c r="AZ665" s="932"/>
      <c r="BA665" s="932"/>
      <c r="BB665" s="932"/>
      <c r="BC665" s="932"/>
      <c r="BD665" s="932"/>
      <c r="BE665" s="932"/>
      <c r="BF665" s="932"/>
    </row>
    <row r="666" spans="2:58" ht="15" x14ac:dyDescent="0.25">
      <c r="B666" s="932"/>
      <c r="C666" s="932"/>
      <c r="D666" s="932"/>
      <c r="E666" s="932"/>
      <c r="F666" s="932"/>
      <c r="G666" s="932"/>
      <c r="H666" s="932"/>
      <c r="I666" s="932"/>
      <c r="J666" s="932"/>
      <c r="K666" s="932"/>
      <c r="L666" s="932"/>
      <c r="M666" s="932"/>
      <c r="N666" s="932"/>
      <c r="O666" s="932"/>
      <c r="P666" s="932"/>
      <c r="Q666" s="932"/>
      <c r="R666" s="932"/>
      <c r="S666" s="932"/>
      <c r="T666" s="932"/>
      <c r="U666" s="932"/>
      <c r="V666" s="932"/>
      <c r="W666" s="932"/>
      <c r="X666" s="932"/>
      <c r="Y666" s="932"/>
      <c r="Z666" s="932"/>
      <c r="AA666" s="932"/>
      <c r="AB666" s="932"/>
      <c r="AC666" s="932"/>
      <c r="AD666" s="932"/>
      <c r="AE666" s="932"/>
      <c r="AF666" s="932"/>
      <c r="AG666" s="932"/>
      <c r="AH666" s="932"/>
      <c r="AI666" s="932"/>
      <c r="AJ666" s="932"/>
      <c r="AK666" s="932"/>
      <c r="AL666" s="932"/>
      <c r="AM666" s="932"/>
      <c r="AN666" s="932"/>
      <c r="AO666" s="932"/>
      <c r="AP666" s="932"/>
      <c r="AQ666" s="932"/>
      <c r="AR666" s="932"/>
      <c r="AS666" s="932"/>
      <c r="AT666" s="932"/>
      <c r="AU666" s="932"/>
      <c r="AV666" s="932"/>
      <c r="AW666" s="932"/>
      <c r="AX666" s="932"/>
      <c r="AY666" s="932"/>
      <c r="AZ666" s="932"/>
      <c r="BA666" s="932"/>
      <c r="BB666" s="932"/>
      <c r="BC666" s="932"/>
      <c r="BD666" s="932"/>
      <c r="BE666" s="932"/>
      <c r="BF666" s="932"/>
    </row>
    <row r="667" spans="2:58" ht="15" x14ac:dyDescent="0.25">
      <c r="B667" s="932"/>
      <c r="C667" s="932"/>
      <c r="D667" s="932"/>
      <c r="E667" s="932"/>
      <c r="F667" s="932"/>
      <c r="G667" s="932"/>
      <c r="H667" s="932"/>
      <c r="I667" s="932"/>
      <c r="J667" s="932"/>
      <c r="K667" s="932"/>
      <c r="L667" s="932"/>
      <c r="M667" s="932"/>
      <c r="N667" s="932"/>
      <c r="O667" s="932"/>
      <c r="P667" s="932"/>
      <c r="Q667" s="932"/>
      <c r="R667" s="932"/>
      <c r="S667" s="932"/>
      <c r="T667" s="932"/>
      <c r="U667" s="932"/>
      <c r="V667" s="932"/>
      <c r="W667" s="932"/>
      <c r="X667" s="932"/>
      <c r="Y667" s="932"/>
      <c r="Z667" s="932"/>
      <c r="AA667" s="932"/>
      <c r="AB667" s="932"/>
      <c r="AC667" s="932"/>
      <c r="AD667" s="932"/>
      <c r="AE667" s="932"/>
      <c r="AF667" s="932"/>
      <c r="AG667" s="932"/>
      <c r="AH667" s="932"/>
      <c r="AI667" s="932"/>
      <c r="AJ667" s="932"/>
      <c r="AK667" s="932"/>
      <c r="AL667" s="932"/>
      <c r="AM667" s="932"/>
      <c r="AN667" s="932"/>
      <c r="AO667" s="932"/>
      <c r="AP667" s="932"/>
      <c r="AQ667" s="932"/>
      <c r="AR667" s="932"/>
      <c r="AS667" s="932"/>
      <c r="AT667" s="932"/>
      <c r="AU667" s="932"/>
      <c r="AV667" s="932"/>
      <c r="AW667" s="932"/>
      <c r="AX667" s="932"/>
      <c r="AY667" s="932"/>
      <c r="AZ667" s="932"/>
      <c r="BA667" s="932"/>
      <c r="BB667" s="932"/>
      <c r="BC667" s="932"/>
      <c r="BD667" s="932"/>
      <c r="BE667" s="932"/>
      <c r="BF667" s="932"/>
    </row>
    <row r="668" spans="2:58" ht="15" x14ac:dyDescent="0.25">
      <c r="B668" s="932"/>
      <c r="C668" s="932"/>
      <c r="D668" s="932"/>
      <c r="E668" s="932"/>
      <c r="F668" s="932"/>
      <c r="G668" s="932"/>
      <c r="H668" s="932"/>
      <c r="I668" s="932"/>
      <c r="J668" s="932"/>
      <c r="K668" s="932"/>
      <c r="L668" s="932"/>
      <c r="M668" s="932"/>
      <c r="N668" s="932"/>
      <c r="O668" s="932"/>
      <c r="P668" s="932"/>
      <c r="Q668" s="932"/>
      <c r="R668" s="932"/>
      <c r="S668" s="932"/>
      <c r="T668" s="932"/>
      <c r="U668" s="932"/>
      <c r="V668" s="932"/>
      <c r="W668" s="932"/>
      <c r="X668" s="932"/>
      <c r="Y668" s="932"/>
      <c r="Z668" s="932"/>
      <c r="AA668" s="932"/>
      <c r="AB668" s="932"/>
      <c r="AC668" s="932"/>
      <c r="AD668" s="932"/>
      <c r="AE668" s="932"/>
      <c r="AF668" s="932"/>
      <c r="AG668" s="932"/>
      <c r="AH668" s="932"/>
      <c r="AI668" s="932"/>
      <c r="AJ668" s="932"/>
      <c r="AK668" s="932"/>
      <c r="AL668" s="932"/>
      <c r="AM668" s="932"/>
      <c r="AN668" s="932"/>
      <c r="AO668" s="932"/>
      <c r="AP668" s="932"/>
      <c r="AQ668" s="932"/>
      <c r="AR668" s="932"/>
      <c r="AS668" s="932"/>
      <c r="AT668" s="932"/>
      <c r="AU668" s="932"/>
      <c r="AV668" s="932"/>
      <c r="AW668" s="932"/>
      <c r="AX668" s="932"/>
      <c r="AY668" s="932"/>
      <c r="AZ668" s="932"/>
      <c r="BA668" s="932"/>
      <c r="BB668" s="932"/>
      <c r="BC668" s="932"/>
      <c r="BD668" s="932"/>
      <c r="BE668" s="932"/>
      <c r="BF668" s="932"/>
    </row>
    <row r="669" spans="2:58" ht="15" x14ac:dyDescent="0.25">
      <c r="B669" s="932"/>
      <c r="C669" s="932"/>
      <c r="D669" s="932"/>
      <c r="E669" s="932"/>
      <c r="F669" s="932"/>
      <c r="G669" s="932"/>
      <c r="H669" s="932"/>
      <c r="I669" s="932"/>
      <c r="J669" s="932"/>
      <c r="K669" s="932"/>
      <c r="L669" s="932"/>
      <c r="M669" s="932"/>
      <c r="N669" s="932"/>
      <c r="O669" s="932"/>
      <c r="P669" s="932"/>
      <c r="Q669" s="932"/>
      <c r="R669" s="932"/>
      <c r="S669" s="932"/>
      <c r="T669" s="932"/>
      <c r="U669" s="932"/>
      <c r="V669" s="932"/>
      <c r="W669" s="932"/>
      <c r="X669" s="932"/>
      <c r="Y669" s="932"/>
      <c r="Z669" s="932"/>
      <c r="AA669" s="932"/>
      <c r="AB669" s="932"/>
      <c r="AC669" s="932"/>
      <c r="AD669" s="932"/>
      <c r="AE669" s="932"/>
      <c r="AF669" s="932"/>
      <c r="AG669" s="932"/>
      <c r="AH669" s="932"/>
      <c r="AI669" s="932"/>
      <c r="AJ669" s="932"/>
      <c r="AK669" s="932"/>
      <c r="AL669" s="932"/>
      <c r="AM669" s="932"/>
      <c r="AN669" s="932"/>
      <c r="AO669" s="932"/>
      <c r="AP669" s="932"/>
      <c r="AQ669" s="932"/>
      <c r="AR669" s="932"/>
      <c r="AS669" s="932"/>
      <c r="AT669" s="932"/>
      <c r="AU669" s="932"/>
      <c r="AV669" s="932"/>
      <c r="AW669" s="932"/>
      <c r="AX669" s="932"/>
      <c r="AY669" s="932"/>
      <c r="AZ669" s="932"/>
      <c r="BA669" s="932"/>
      <c r="BB669" s="932"/>
      <c r="BC669" s="932"/>
      <c r="BD669" s="932"/>
      <c r="BE669" s="932"/>
      <c r="BF669" s="932"/>
    </row>
    <row r="670" spans="2:58" ht="15" x14ac:dyDescent="0.25">
      <c r="B670" s="932"/>
      <c r="C670" s="932"/>
      <c r="D670" s="932"/>
      <c r="E670" s="932"/>
      <c r="F670" s="932"/>
      <c r="G670" s="932"/>
      <c r="H670" s="932"/>
      <c r="I670" s="932"/>
      <c r="J670" s="932"/>
      <c r="K670" s="932"/>
      <c r="L670" s="932"/>
      <c r="M670" s="932"/>
      <c r="N670" s="932"/>
      <c r="O670" s="932"/>
      <c r="P670" s="932"/>
      <c r="Q670" s="932"/>
      <c r="R670" s="932"/>
      <c r="S670" s="932"/>
      <c r="T670" s="932"/>
      <c r="U670" s="932"/>
      <c r="V670" s="932"/>
      <c r="W670" s="932"/>
      <c r="X670" s="932"/>
      <c r="Y670" s="932"/>
      <c r="Z670" s="932"/>
      <c r="AA670" s="932"/>
      <c r="AB670" s="932"/>
      <c r="AC670" s="932"/>
      <c r="AD670" s="932"/>
      <c r="AE670" s="932"/>
      <c r="AF670" s="932"/>
      <c r="AG670" s="932"/>
      <c r="AH670" s="932"/>
      <c r="AI670" s="932"/>
      <c r="AJ670" s="932"/>
      <c r="AK670" s="932"/>
      <c r="AL670" s="932"/>
      <c r="AM670" s="932"/>
      <c r="AN670" s="932"/>
      <c r="AO670" s="932"/>
      <c r="AP670" s="932"/>
      <c r="AQ670" s="932"/>
      <c r="AR670" s="932"/>
      <c r="AS670" s="932"/>
      <c r="AT670" s="932"/>
      <c r="AU670" s="932"/>
      <c r="AV670" s="932"/>
      <c r="AW670" s="932"/>
      <c r="AX670" s="932"/>
      <c r="AY670" s="932"/>
      <c r="AZ670" s="932"/>
      <c r="BA670" s="932"/>
      <c r="BB670" s="932"/>
      <c r="BC670" s="932"/>
      <c r="BD670" s="932"/>
      <c r="BE670" s="932"/>
      <c r="BF670" s="932"/>
    </row>
    <row r="671" spans="2:58" ht="15" x14ac:dyDescent="0.25">
      <c r="B671" s="932"/>
      <c r="C671" s="932"/>
      <c r="D671" s="932"/>
      <c r="E671" s="932"/>
      <c r="F671" s="932"/>
      <c r="G671" s="932"/>
      <c r="H671" s="932"/>
      <c r="I671" s="932"/>
      <c r="J671" s="932"/>
      <c r="K671" s="932"/>
      <c r="L671" s="932"/>
      <c r="M671" s="932"/>
      <c r="N671" s="932"/>
      <c r="O671" s="932"/>
      <c r="P671" s="932"/>
      <c r="Q671" s="932"/>
      <c r="R671" s="932"/>
      <c r="S671" s="932"/>
      <c r="T671" s="932"/>
      <c r="U671" s="932"/>
      <c r="V671" s="932"/>
      <c r="W671" s="932"/>
      <c r="X671" s="932"/>
      <c r="Y671" s="932"/>
      <c r="Z671" s="932"/>
      <c r="AA671" s="932"/>
      <c r="AB671" s="932"/>
      <c r="AC671" s="932"/>
      <c r="AD671" s="932"/>
      <c r="AE671" s="932"/>
      <c r="AF671" s="932"/>
      <c r="AG671" s="932"/>
      <c r="AH671" s="932"/>
      <c r="AI671" s="932"/>
      <c r="AJ671" s="932"/>
      <c r="AK671" s="932"/>
      <c r="AL671" s="932"/>
      <c r="AM671" s="932"/>
      <c r="AN671" s="932"/>
      <c r="AO671" s="932"/>
      <c r="AP671" s="932"/>
      <c r="AQ671" s="932"/>
      <c r="AR671" s="932"/>
      <c r="AS671" s="932"/>
      <c r="AT671" s="932"/>
      <c r="AU671" s="932"/>
      <c r="AV671" s="932"/>
      <c r="AW671" s="932"/>
      <c r="AX671" s="932"/>
      <c r="AY671" s="932"/>
      <c r="AZ671" s="932"/>
      <c r="BA671" s="932"/>
      <c r="BB671" s="932"/>
      <c r="BC671" s="932"/>
      <c r="BD671" s="932"/>
      <c r="BE671" s="932"/>
      <c r="BF671" s="932"/>
    </row>
    <row r="672" spans="2:58" ht="15" x14ac:dyDescent="0.25">
      <c r="B672" s="932"/>
      <c r="C672" s="932"/>
      <c r="D672" s="932"/>
      <c r="E672" s="932"/>
      <c r="F672" s="932"/>
      <c r="G672" s="932"/>
      <c r="H672" s="932"/>
      <c r="I672" s="932"/>
      <c r="J672" s="932"/>
      <c r="K672" s="932"/>
      <c r="L672" s="932"/>
      <c r="M672" s="932"/>
      <c r="N672" s="932"/>
      <c r="O672" s="932"/>
      <c r="P672" s="932"/>
      <c r="Q672" s="932"/>
      <c r="R672" s="932"/>
      <c r="S672" s="932"/>
      <c r="T672" s="932"/>
      <c r="U672" s="932"/>
      <c r="V672" s="932"/>
      <c r="W672" s="932"/>
      <c r="X672" s="932"/>
      <c r="Y672" s="932"/>
      <c r="Z672" s="932"/>
      <c r="AA672" s="932"/>
      <c r="AB672" s="932"/>
      <c r="AC672" s="932"/>
      <c r="AD672" s="932"/>
      <c r="AE672" s="932"/>
      <c r="AF672" s="932"/>
      <c r="AG672" s="932"/>
      <c r="AH672" s="932"/>
      <c r="AI672" s="932"/>
      <c r="AJ672" s="932"/>
      <c r="AK672" s="932"/>
      <c r="AL672" s="932"/>
      <c r="AM672" s="932"/>
      <c r="AN672" s="932"/>
      <c r="AO672" s="932"/>
      <c r="AP672" s="932"/>
      <c r="AQ672" s="932"/>
      <c r="AR672" s="932"/>
      <c r="AS672" s="932"/>
      <c r="AT672" s="932"/>
      <c r="AU672" s="932"/>
      <c r="AV672" s="932"/>
      <c r="AW672" s="932"/>
      <c r="AX672" s="932"/>
      <c r="AY672" s="932"/>
      <c r="AZ672" s="932"/>
      <c r="BA672" s="932"/>
      <c r="BB672" s="932"/>
      <c r="BC672" s="932"/>
      <c r="BD672" s="932"/>
      <c r="BE672" s="932"/>
      <c r="BF672" s="932"/>
    </row>
    <row r="673" spans="2:58" ht="15" x14ac:dyDescent="0.25">
      <c r="B673" s="932"/>
      <c r="C673" s="932"/>
      <c r="D673" s="932"/>
      <c r="E673" s="932"/>
      <c r="F673" s="932"/>
      <c r="G673" s="932"/>
      <c r="H673" s="932"/>
      <c r="I673" s="932"/>
      <c r="J673" s="932"/>
      <c r="K673" s="932"/>
      <c r="L673" s="932"/>
      <c r="M673" s="932"/>
      <c r="N673" s="932"/>
      <c r="O673" s="932"/>
      <c r="P673" s="932"/>
      <c r="Q673" s="932"/>
      <c r="R673" s="932"/>
      <c r="S673" s="932"/>
      <c r="T673" s="932"/>
      <c r="U673" s="932"/>
      <c r="V673" s="932"/>
      <c r="W673" s="932"/>
      <c r="X673" s="932"/>
      <c r="Y673" s="932"/>
      <c r="Z673" s="932"/>
      <c r="AA673" s="932"/>
      <c r="AB673" s="932"/>
      <c r="AC673" s="932"/>
      <c r="AD673" s="932"/>
      <c r="AE673" s="932"/>
      <c r="AF673" s="932"/>
      <c r="AG673" s="932"/>
      <c r="AH673" s="932"/>
      <c r="AI673" s="932"/>
      <c r="AJ673" s="932"/>
      <c r="AK673" s="932"/>
      <c r="AL673" s="932"/>
      <c r="AM673" s="932"/>
      <c r="AN673" s="932"/>
      <c r="AO673" s="932"/>
      <c r="AP673" s="932"/>
      <c r="AQ673" s="932"/>
      <c r="AR673" s="932"/>
      <c r="AS673" s="932"/>
      <c r="AT673" s="932"/>
      <c r="AU673" s="932"/>
      <c r="AV673" s="932"/>
      <c r="AW673" s="932"/>
      <c r="AX673" s="932"/>
      <c r="AY673" s="932"/>
      <c r="AZ673" s="932"/>
      <c r="BA673" s="932"/>
      <c r="BB673" s="932"/>
      <c r="BC673" s="932"/>
      <c r="BD673" s="932"/>
      <c r="BE673" s="932"/>
      <c r="BF673" s="932"/>
    </row>
    <row r="674" spans="2:58" ht="15" x14ac:dyDescent="0.25">
      <c r="B674" s="932"/>
      <c r="C674" s="932"/>
      <c r="D674" s="932"/>
      <c r="E674" s="932"/>
      <c r="F674" s="932"/>
      <c r="G674" s="932"/>
      <c r="H674" s="932"/>
      <c r="I674" s="932"/>
      <c r="J674" s="932"/>
      <c r="K674" s="932"/>
      <c r="L674" s="932"/>
      <c r="M674" s="932"/>
      <c r="N674" s="932"/>
      <c r="O674" s="932"/>
      <c r="P674" s="932"/>
      <c r="Q674" s="932"/>
      <c r="R674" s="932"/>
      <c r="S674" s="932"/>
      <c r="T674" s="932"/>
      <c r="U674" s="932"/>
      <c r="V674" s="932"/>
      <c r="W674" s="932"/>
      <c r="X674" s="932"/>
      <c r="Y674" s="932"/>
      <c r="Z674" s="932"/>
      <c r="AA674" s="932"/>
      <c r="AB674" s="932"/>
      <c r="AC674" s="932"/>
      <c r="AD674" s="932"/>
      <c r="AE674" s="932"/>
      <c r="AF674" s="932"/>
      <c r="AG674" s="932"/>
      <c r="AH674" s="932"/>
      <c r="AI674" s="932"/>
      <c r="AJ674" s="932"/>
      <c r="AK674" s="932"/>
      <c r="AL674" s="932"/>
      <c r="AM674" s="932"/>
      <c r="AN674" s="932"/>
      <c r="AO674" s="932"/>
      <c r="AP674" s="932"/>
      <c r="AQ674" s="932"/>
      <c r="AR674" s="932"/>
      <c r="AS674" s="932"/>
      <c r="AT674" s="932"/>
      <c r="AU674" s="932"/>
      <c r="AV674" s="932"/>
      <c r="AW674" s="932"/>
      <c r="AX674" s="932"/>
      <c r="AY674" s="932"/>
      <c r="AZ674" s="932"/>
      <c r="BA674" s="932"/>
      <c r="BB674" s="932"/>
      <c r="BC674" s="932"/>
      <c r="BD674" s="932"/>
      <c r="BE674" s="932"/>
      <c r="BF674" s="932"/>
    </row>
    <row r="675" spans="2:58" ht="15" x14ac:dyDescent="0.25">
      <c r="B675" s="932"/>
      <c r="C675" s="932"/>
      <c r="D675" s="932"/>
      <c r="E675" s="932"/>
      <c r="F675" s="932"/>
      <c r="G675" s="932"/>
      <c r="H675" s="932"/>
      <c r="I675" s="932"/>
      <c r="J675" s="932"/>
      <c r="K675" s="932"/>
      <c r="L675" s="932"/>
      <c r="M675" s="932"/>
      <c r="N675" s="932"/>
      <c r="O675" s="932"/>
      <c r="P675" s="932"/>
      <c r="Q675" s="932"/>
      <c r="R675" s="932"/>
      <c r="S675" s="932"/>
      <c r="T675" s="932"/>
      <c r="U675" s="932"/>
      <c r="V675" s="932"/>
      <c r="W675" s="932"/>
      <c r="X675" s="932"/>
      <c r="Y675" s="932"/>
      <c r="Z675" s="932"/>
      <c r="AA675" s="932"/>
      <c r="AB675" s="932"/>
      <c r="AC675" s="932"/>
      <c r="AD675" s="932"/>
      <c r="AE675" s="932"/>
      <c r="AF675" s="932"/>
      <c r="AG675" s="932"/>
      <c r="AH675" s="932"/>
      <c r="AI675" s="932"/>
      <c r="AJ675" s="932"/>
      <c r="AK675" s="932"/>
      <c r="AL675" s="932"/>
      <c r="AM675" s="932"/>
      <c r="AN675" s="932"/>
      <c r="AO675" s="932"/>
      <c r="AP675" s="932"/>
      <c r="AQ675" s="932"/>
      <c r="AR675" s="932"/>
      <c r="AS675" s="932"/>
      <c r="AT675" s="932"/>
      <c r="AU675" s="932"/>
      <c r="AV675" s="932"/>
      <c r="AW675" s="932"/>
      <c r="AX675" s="932"/>
      <c r="AY675" s="932"/>
      <c r="AZ675" s="932"/>
      <c r="BA675" s="932"/>
      <c r="BB675" s="932"/>
      <c r="BC675" s="932"/>
      <c r="BD675" s="932"/>
      <c r="BE675" s="932"/>
      <c r="BF675" s="932"/>
    </row>
    <row r="676" spans="2:58" ht="15" x14ac:dyDescent="0.25">
      <c r="B676" s="932"/>
      <c r="C676" s="932"/>
      <c r="D676" s="932"/>
      <c r="E676" s="932"/>
      <c r="F676" s="932"/>
      <c r="G676" s="932"/>
      <c r="H676" s="932"/>
      <c r="I676" s="932"/>
      <c r="J676" s="932"/>
      <c r="K676" s="932"/>
      <c r="L676" s="932"/>
      <c r="M676" s="932"/>
      <c r="N676" s="932"/>
      <c r="O676" s="932"/>
      <c r="P676" s="932"/>
      <c r="Q676" s="932"/>
      <c r="R676" s="932"/>
      <c r="S676" s="932"/>
      <c r="T676" s="932"/>
      <c r="U676" s="932"/>
      <c r="V676" s="932"/>
      <c r="W676" s="932"/>
      <c r="X676" s="932"/>
      <c r="Y676" s="932"/>
      <c r="Z676" s="932"/>
      <c r="AA676" s="932"/>
      <c r="AB676" s="932"/>
      <c r="AC676" s="932"/>
      <c r="AD676" s="932"/>
      <c r="AE676" s="932"/>
      <c r="AF676" s="932"/>
      <c r="AG676" s="932"/>
      <c r="AH676" s="932"/>
      <c r="AI676" s="932"/>
      <c r="AJ676" s="932"/>
      <c r="AK676" s="932"/>
      <c r="AL676" s="932"/>
      <c r="AM676" s="932"/>
      <c r="AN676" s="932"/>
      <c r="AO676" s="932"/>
      <c r="AP676" s="932"/>
      <c r="AQ676" s="932"/>
      <c r="AR676" s="932"/>
      <c r="AS676" s="932"/>
      <c r="AT676" s="932"/>
      <c r="AU676" s="932"/>
      <c r="AV676" s="932"/>
      <c r="AW676" s="932"/>
      <c r="AX676" s="932"/>
      <c r="AY676" s="932"/>
      <c r="AZ676" s="932"/>
      <c r="BA676" s="932"/>
      <c r="BB676" s="932"/>
      <c r="BC676" s="932"/>
      <c r="BD676" s="932"/>
      <c r="BE676" s="932"/>
      <c r="BF676" s="932"/>
    </row>
    <row r="677" spans="2:58" ht="15" x14ac:dyDescent="0.25">
      <c r="B677" s="932"/>
      <c r="C677" s="932"/>
      <c r="D677" s="932"/>
      <c r="E677" s="932"/>
      <c r="F677" s="932"/>
      <c r="G677" s="932"/>
      <c r="H677" s="932"/>
      <c r="I677" s="932"/>
      <c r="J677" s="932"/>
      <c r="K677" s="932"/>
      <c r="L677" s="932"/>
      <c r="M677" s="932"/>
      <c r="N677" s="932"/>
      <c r="O677" s="932"/>
      <c r="P677" s="932"/>
      <c r="Q677" s="932"/>
      <c r="R677" s="932"/>
      <c r="S677" s="932"/>
      <c r="T677" s="932"/>
      <c r="U677" s="932"/>
      <c r="V677" s="932"/>
      <c r="W677" s="932"/>
      <c r="X677" s="932"/>
      <c r="Y677" s="932"/>
      <c r="Z677" s="932"/>
      <c r="AA677" s="932"/>
      <c r="AB677" s="932"/>
      <c r="AC677" s="932"/>
      <c r="AD677" s="932"/>
      <c r="AE677" s="932"/>
      <c r="AF677" s="932"/>
      <c r="AG677" s="932"/>
      <c r="AH677" s="932"/>
      <c r="AI677" s="932"/>
      <c r="AJ677" s="932"/>
      <c r="AK677" s="932"/>
      <c r="AL677" s="932"/>
      <c r="AM677" s="932"/>
      <c r="AN677" s="932"/>
      <c r="AO677" s="932"/>
      <c r="AP677" s="932"/>
      <c r="AQ677" s="932"/>
      <c r="AR677" s="932"/>
      <c r="AS677" s="932"/>
      <c r="AT677" s="932"/>
      <c r="AU677" s="932"/>
      <c r="AV677" s="932"/>
      <c r="AW677" s="932"/>
      <c r="AX677" s="932"/>
      <c r="AY677" s="932"/>
      <c r="AZ677" s="932"/>
      <c r="BA677" s="932"/>
      <c r="BB677" s="932"/>
      <c r="BC677" s="932"/>
      <c r="BD677" s="932"/>
      <c r="BE677" s="932"/>
      <c r="BF677" s="932"/>
    </row>
    <row r="678" spans="2:58" ht="15" x14ac:dyDescent="0.25">
      <c r="B678" s="932"/>
      <c r="C678" s="932"/>
      <c r="D678" s="932"/>
      <c r="E678" s="932"/>
      <c r="F678" s="932"/>
      <c r="G678" s="932"/>
      <c r="H678" s="932"/>
      <c r="I678" s="932"/>
      <c r="J678" s="932"/>
      <c r="K678" s="932"/>
      <c r="L678" s="932"/>
      <c r="M678" s="932"/>
      <c r="N678" s="932"/>
      <c r="O678" s="932"/>
      <c r="P678" s="932"/>
      <c r="Q678" s="932"/>
      <c r="R678" s="932"/>
      <c r="S678" s="932"/>
      <c r="T678" s="932"/>
      <c r="U678" s="932"/>
      <c r="V678" s="932"/>
      <c r="W678" s="932"/>
      <c r="X678" s="932"/>
      <c r="Y678" s="932"/>
      <c r="Z678" s="932"/>
      <c r="AA678" s="932"/>
      <c r="AB678" s="932"/>
      <c r="AC678" s="932"/>
      <c r="AD678" s="932"/>
      <c r="AE678" s="932"/>
      <c r="AF678" s="932"/>
      <c r="AG678" s="932"/>
      <c r="AH678" s="932"/>
      <c r="AI678" s="932"/>
      <c r="AJ678" s="932"/>
      <c r="AK678" s="932"/>
      <c r="AL678" s="932"/>
      <c r="AM678" s="932"/>
      <c r="AN678" s="932"/>
      <c r="AO678" s="932"/>
      <c r="AP678" s="932"/>
      <c r="AQ678" s="932"/>
      <c r="AR678" s="932"/>
      <c r="AS678" s="932"/>
      <c r="AT678" s="932"/>
      <c r="AU678" s="932"/>
      <c r="AV678" s="932"/>
      <c r="AW678" s="932"/>
      <c r="AX678" s="932"/>
      <c r="AY678" s="932"/>
      <c r="AZ678" s="932"/>
      <c r="BA678" s="932"/>
      <c r="BB678" s="932"/>
      <c r="BC678" s="932"/>
      <c r="BD678" s="932"/>
      <c r="BE678" s="932"/>
      <c r="BF678" s="932"/>
    </row>
    <row r="679" spans="2:58" ht="15" x14ac:dyDescent="0.25">
      <c r="B679" s="932"/>
      <c r="C679" s="932"/>
      <c r="D679" s="932"/>
      <c r="E679" s="932"/>
      <c r="F679" s="932"/>
      <c r="G679" s="932"/>
      <c r="H679" s="932"/>
      <c r="I679" s="932"/>
      <c r="J679" s="932"/>
      <c r="K679" s="932"/>
      <c r="L679" s="932"/>
      <c r="M679" s="932"/>
      <c r="N679" s="932"/>
      <c r="O679" s="932"/>
      <c r="P679" s="932"/>
      <c r="Q679" s="932"/>
      <c r="R679" s="932"/>
      <c r="S679" s="932"/>
      <c r="T679" s="932"/>
      <c r="U679" s="932"/>
      <c r="V679" s="932"/>
      <c r="W679" s="932"/>
      <c r="X679" s="932"/>
      <c r="Y679" s="932"/>
      <c r="Z679" s="932"/>
      <c r="AA679" s="932"/>
      <c r="AB679" s="932"/>
      <c r="AC679" s="932"/>
      <c r="AD679" s="932"/>
      <c r="AE679" s="932"/>
      <c r="AF679" s="932"/>
      <c r="AG679" s="932"/>
      <c r="AH679" s="932"/>
      <c r="AI679" s="932"/>
      <c r="AJ679" s="932"/>
      <c r="AK679" s="932"/>
      <c r="AL679" s="932"/>
      <c r="AM679" s="932"/>
      <c r="AN679" s="932"/>
      <c r="AO679" s="932"/>
      <c r="AP679" s="932"/>
      <c r="AQ679" s="932"/>
      <c r="AR679" s="932"/>
      <c r="AS679" s="932"/>
      <c r="AT679" s="932"/>
      <c r="AU679" s="932"/>
      <c r="AV679" s="932"/>
      <c r="AW679" s="932"/>
      <c r="AX679" s="932"/>
      <c r="AY679" s="932"/>
      <c r="AZ679" s="932"/>
      <c r="BA679" s="932"/>
      <c r="BB679" s="932"/>
      <c r="BC679" s="932"/>
      <c r="BD679" s="932"/>
      <c r="BE679" s="932"/>
      <c r="BF679" s="932"/>
    </row>
    <row r="680" spans="2:58" ht="15" x14ac:dyDescent="0.25">
      <c r="B680" s="932"/>
      <c r="C680" s="932"/>
      <c r="D680" s="932"/>
      <c r="E680" s="932"/>
      <c r="F680" s="932"/>
      <c r="G680" s="932"/>
      <c r="H680" s="932"/>
      <c r="I680" s="932"/>
      <c r="J680" s="932"/>
      <c r="K680" s="932"/>
      <c r="L680" s="932"/>
      <c r="M680" s="932"/>
      <c r="N680" s="932"/>
      <c r="O680" s="932"/>
      <c r="P680" s="932"/>
      <c r="Q680" s="932"/>
      <c r="R680" s="932"/>
      <c r="S680" s="932"/>
      <c r="T680" s="932"/>
      <c r="U680" s="932"/>
      <c r="V680" s="932"/>
      <c r="W680" s="932"/>
      <c r="X680" s="932"/>
      <c r="Y680" s="932"/>
      <c r="Z680" s="932"/>
      <c r="AA680" s="932"/>
      <c r="AB680" s="932"/>
      <c r="AC680" s="932"/>
      <c r="AD680" s="932"/>
      <c r="AE680" s="932"/>
      <c r="AF680" s="932"/>
      <c r="AG680" s="932"/>
      <c r="AH680" s="932"/>
      <c r="AI680" s="932"/>
      <c r="AJ680" s="932"/>
      <c r="AK680" s="932"/>
      <c r="AL680" s="932"/>
      <c r="AM680" s="932"/>
      <c r="AN680" s="932"/>
      <c r="AO680" s="932"/>
      <c r="AP680" s="932"/>
      <c r="AQ680" s="932"/>
      <c r="AR680" s="932"/>
      <c r="AS680" s="932"/>
      <c r="AT680" s="932"/>
      <c r="AU680" s="932"/>
      <c r="AV680" s="932"/>
      <c r="AW680" s="932"/>
      <c r="AX680" s="932"/>
      <c r="AY680" s="932"/>
      <c r="AZ680" s="932"/>
      <c r="BA680" s="932"/>
      <c r="BB680" s="932"/>
      <c r="BC680" s="932"/>
      <c r="BD680" s="932"/>
      <c r="BE680" s="932"/>
      <c r="BF680" s="932"/>
    </row>
    <row r="681" spans="2:58" ht="15" x14ac:dyDescent="0.25">
      <c r="B681" s="932"/>
      <c r="C681" s="932"/>
      <c r="D681" s="932"/>
      <c r="E681" s="932"/>
      <c r="F681" s="932"/>
      <c r="G681" s="932"/>
      <c r="H681" s="932"/>
      <c r="I681" s="932"/>
      <c r="J681" s="932"/>
      <c r="K681" s="932"/>
      <c r="L681" s="932"/>
      <c r="M681" s="932"/>
      <c r="N681" s="932"/>
      <c r="O681" s="932"/>
      <c r="P681" s="932"/>
      <c r="Q681" s="932"/>
      <c r="R681" s="932"/>
      <c r="S681" s="932"/>
      <c r="T681" s="932"/>
      <c r="U681" s="932"/>
      <c r="V681" s="932"/>
      <c r="W681" s="932"/>
      <c r="X681" s="932"/>
      <c r="Y681" s="932"/>
      <c r="Z681" s="932"/>
      <c r="AA681" s="932"/>
      <c r="AB681" s="932"/>
      <c r="AC681" s="932"/>
      <c r="AD681" s="932"/>
      <c r="AE681" s="932"/>
      <c r="AF681" s="932"/>
      <c r="AG681" s="932"/>
      <c r="AH681" s="932"/>
      <c r="AI681" s="932"/>
      <c r="AJ681" s="932"/>
      <c r="AK681" s="932"/>
      <c r="AL681" s="932"/>
      <c r="AM681" s="932"/>
      <c r="AN681" s="932"/>
      <c r="AO681" s="932"/>
      <c r="AP681" s="932"/>
      <c r="AQ681" s="932"/>
      <c r="AR681" s="932"/>
      <c r="AS681" s="932"/>
      <c r="AT681" s="932"/>
      <c r="AU681" s="932"/>
      <c r="AV681" s="932"/>
      <c r="AW681" s="932"/>
      <c r="AX681" s="932"/>
      <c r="AY681" s="932"/>
      <c r="AZ681" s="932"/>
      <c r="BA681" s="932"/>
      <c r="BB681" s="932"/>
      <c r="BC681" s="932"/>
      <c r="BD681" s="932"/>
      <c r="BE681" s="932"/>
      <c r="BF681" s="932"/>
    </row>
    <row r="682" spans="2:58" ht="15" x14ac:dyDescent="0.25">
      <c r="B682" s="932"/>
      <c r="C682" s="932"/>
      <c r="D682" s="932"/>
      <c r="E682" s="932"/>
      <c r="F682" s="932"/>
      <c r="G682" s="932"/>
      <c r="H682" s="932"/>
      <c r="I682" s="932"/>
      <c r="J682" s="932"/>
      <c r="K682" s="932"/>
      <c r="L682" s="932"/>
      <c r="M682" s="932"/>
      <c r="N682" s="932"/>
      <c r="O682" s="932"/>
      <c r="P682" s="932"/>
      <c r="Q682" s="932"/>
      <c r="R682" s="932"/>
      <c r="S682" s="932"/>
      <c r="T682" s="932"/>
      <c r="U682" s="932"/>
      <c r="V682" s="932"/>
      <c r="W682" s="932"/>
      <c r="X682" s="932"/>
      <c r="Y682" s="932"/>
      <c r="Z682" s="932"/>
      <c r="AA682" s="932"/>
      <c r="AB682" s="932"/>
      <c r="AC682" s="932"/>
      <c r="AD682" s="932"/>
      <c r="AE682" s="932"/>
      <c r="AF682" s="932"/>
      <c r="AG682" s="932"/>
      <c r="AH682" s="932"/>
      <c r="AI682" s="932"/>
      <c r="AJ682" s="932"/>
      <c r="AK682" s="932"/>
      <c r="AL682" s="932"/>
      <c r="AM682" s="932"/>
      <c r="AN682" s="932"/>
      <c r="AO682" s="932"/>
      <c r="AP682" s="932"/>
      <c r="AQ682" s="932"/>
      <c r="AR682" s="932"/>
      <c r="AS682" s="932"/>
      <c r="AT682" s="932"/>
      <c r="AU682" s="932"/>
      <c r="AV682" s="932"/>
      <c r="AW682" s="932"/>
      <c r="AX682" s="932"/>
      <c r="AY682" s="932"/>
      <c r="AZ682" s="932"/>
      <c r="BA682" s="932"/>
      <c r="BB682" s="932"/>
      <c r="BC682" s="932"/>
      <c r="BD682" s="932"/>
      <c r="BE682" s="932"/>
      <c r="BF682" s="932"/>
    </row>
    <row r="683" spans="2:58" ht="15" x14ac:dyDescent="0.25">
      <c r="B683" s="932"/>
      <c r="C683" s="932"/>
      <c r="D683" s="932"/>
      <c r="E683" s="932"/>
      <c r="F683" s="932"/>
      <c r="G683" s="932"/>
      <c r="H683" s="932"/>
      <c r="I683" s="932"/>
      <c r="J683" s="932"/>
      <c r="K683" s="932"/>
      <c r="L683" s="932"/>
      <c r="M683" s="932"/>
      <c r="N683" s="932"/>
      <c r="O683" s="932"/>
      <c r="P683" s="932"/>
      <c r="Q683" s="932"/>
      <c r="R683" s="932"/>
      <c r="S683" s="932"/>
      <c r="T683" s="932"/>
      <c r="U683" s="932"/>
      <c r="V683" s="932"/>
      <c r="W683" s="932"/>
      <c r="X683" s="932"/>
      <c r="Y683" s="932"/>
      <c r="Z683" s="932"/>
      <c r="AA683" s="932"/>
      <c r="AB683" s="932"/>
      <c r="AC683" s="932"/>
      <c r="AD683" s="932"/>
      <c r="AE683" s="932"/>
      <c r="AF683" s="932"/>
      <c r="AG683" s="932"/>
      <c r="AH683" s="932"/>
      <c r="AI683" s="932"/>
      <c r="AJ683" s="932"/>
      <c r="AK683" s="932"/>
      <c r="AL683" s="932"/>
      <c r="AM683" s="932"/>
      <c r="AN683" s="932"/>
      <c r="AO683" s="932"/>
      <c r="AP683" s="932"/>
      <c r="AQ683" s="932"/>
      <c r="AR683" s="932"/>
      <c r="AS683" s="932"/>
      <c r="AT683" s="932"/>
      <c r="AU683" s="932"/>
      <c r="AV683" s="932"/>
      <c r="AW683" s="932"/>
      <c r="AX683" s="932"/>
      <c r="AY683" s="932"/>
      <c r="AZ683" s="932"/>
      <c r="BA683" s="932"/>
      <c r="BB683" s="932"/>
      <c r="BC683" s="932"/>
      <c r="BD683" s="932"/>
      <c r="BE683" s="932"/>
      <c r="BF683" s="932"/>
    </row>
    <row r="684" spans="2:58" ht="15" x14ac:dyDescent="0.25">
      <c r="B684" s="932"/>
      <c r="C684" s="932"/>
      <c r="D684" s="932"/>
      <c r="E684" s="932"/>
      <c r="F684" s="932"/>
      <c r="G684" s="932"/>
      <c r="H684" s="932"/>
      <c r="I684" s="932"/>
      <c r="J684" s="932"/>
      <c r="K684" s="932"/>
      <c r="L684" s="932"/>
      <c r="M684" s="932"/>
      <c r="N684" s="932"/>
      <c r="O684" s="932"/>
      <c r="P684" s="932"/>
      <c r="Q684" s="932"/>
      <c r="R684" s="932"/>
      <c r="S684" s="932"/>
      <c r="T684" s="932"/>
      <c r="U684" s="932"/>
      <c r="V684" s="932"/>
      <c r="W684" s="932"/>
      <c r="X684" s="932"/>
      <c r="Y684" s="932"/>
      <c r="Z684" s="932"/>
      <c r="AA684" s="932"/>
      <c r="AB684" s="932"/>
      <c r="AC684" s="932"/>
      <c r="AD684" s="932"/>
      <c r="AE684" s="932"/>
      <c r="AF684" s="932"/>
      <c r="AG684" s="932"/>
      <c r="AH684" s="932"/>
      <c r="AI684" s="932"/>
      <c r="AJ684" s="932"/>
      <c r="AK684" s="932"/>
      <c r="AL684" s="932"/>
      <c r="AM684" s="932"/>
      <c r="AN684" s="932"/>
      <c r="AO684" s="932"/>
      <c r="AP684" s="932"/>
      <c r="AQ684" s="932"/>
      <c r="AR684" s="932"/>
      <c r="AS684" s="932"/>
      <c r="AT684" s="932"/>
      <c r="AU684" s="932"/>
      <c r="AV684" s="932"/>
      <c r="AW684" s="932"/>
      <c r="AX684" s="932"/>
      <c r="AY684" s="932"/>
      <c r="AZ684" s="932"/>
      <c r="BA684" s="932"/>
      <c r="BB684" s="932"/>
      <c r="BC684" s="932"/>
      <c r="BD684" s="932"/>
      <c r="BE684" s="932"/>
      <c r="BF684" s="932"/>
    </row>
    <row r="685" spans="2:58" ht="15" x14ac:dyDescent="0.25">
      <c r="B685" s="932"/>
      <c r="C685" s="932"/>
      <c r="D685" s="932"/>
      <c r="E685" s="932"/>
      <c r="F685" s="932"/>
      <c r="G685" s="932"/>
      <c r="H685" s="932"/>
      <c r="I685" s="932"/>
      <c r="J685" s="932"/>
      <c r="K685" s="932"/>
      <c r="L685" s="932"/>
      <c r="M685" s="932"/>
      <c r="N685" s="932"/>
      <c r="O685" s="932"/>
      <c r="P685" s="932"/>
      <c r="Q685" s="932"/>
      <c r="R685" s="932"/>
      <c r="S685" s="932"/>
      <c r="T685" s="932"/>
      <c r="U685" s="932"/>
      <c r="V685" s="932"/>
      <c r="W685" s="932"/>
      <c r="X685" s="932"/>
      <c r="Y685" s="932"/>
      <c r="Z685" s="932"/>
      <c r="AA685" s="932"/>
      <c r="AB685" s="932"/>
      <c r="AC685" s="932"/>
      <c r="AD685" s="932"/>
      <c r="AE685" s="932"/>
      <c r="AF685" s="932"/>
      <c r="AG685" s="932"/>
      <c r="AH685" s="932"/>
      <c r="AI685" s="932"/>
      <c r="AJ685" s="932"/>
      <c r="AK685" s="932"/>
      <c r="AL685" s="932"/>
      <c r="AM685" s="932"/>
      <c r="AN685" s="932"/>
      <c r="AO685" s="932"/>
      <c r="AP685" s="932"/>
      <c r="AQ685" s="932"/>
      <c r="AR685" s="932"/>
      <c r="AS685" s="932"/>
      <c r="AT685" s="932"/>
      <c r="AU685" s="932"/>
      <c r="AV685" s="932"/>
      <c r="AW685" s="932"/>
      <c r="AX685" s="932"/>
      <c r="AY685" s="932"/>
      <c r="AZ685" s="932"/>
      <c r="BA685" s="932"/>
      <c r="BB685" s="932"/>
      <c r="BC685" s="932"/>
      <c r="BD685" s="932"/>
      <c r="BE685" s="932"/>
      <c r="BF685" s="932"/>
    </row>
    <row r="686" spans="2:58" ht="15" x14ac:dyDescent="0.25">
      <c r="B686" s="932"/>
      <c r="C686" s="932"/>
      <c r="D686" s="932"/>
      <c r="E686" s="932"/>
      <c r="F686" s="932"/>
      <c r="G686" s="932"/>
      <c r="H686" s="932"/>
      <c r="I686" s="932"/>
      <c r="J686" s="932"/>
      <c r="K686" s="932"/>
      <c r="L686" s="932"/>
      <c r="M686" s="932"/>
      <c r="N686" s="932"/>
      <c r="O686" s="932"/>
      <c r="P686" s="932"/>
      <c r="Q686" s="932"/>
      <c r="R686" s="932"/>
      <c r="S686" s="932"/>
      <c r="T686" s="932"/>
      <c r="U686" s="932"/>
      <c r="V686" s="932"/>
      <c r="W686" s="932"/>
      <c r="X686" s="932"/>
      <c r="Y686" s="932"/>
      <c r="Z686" s="932"/>
      <c r="AA686" s="932"/>
      <c r="AB686" s="932"/>
      <c r="AC686" s="932"/>
      <c r="AD686" s="932"/>
      <c r="AE686" s="932"/>
      <c r="AF686" s="932"/>
      <c r="AG686" s="932"/>
      <c r="AH686" s="932"/>
      <c r="AI686" s="932"/>
      <c r="AJ686" s="932"/>
      <c r="AK686" s="932"/>
      <c r="AL686" s="932"/>
      <c r="AM686" s="932"/>
      <c r="AN686" s="932"/>
      <c r="AO686" s="932"/>
      <c r="AP686" s="932"/>
      <c r="AQ686" s="932"/>
      <c r="AR686" s="932"/>
      <c r="AS686" s="932"/>
      <c r="AT686" s="932"/>
      <c r="AU686" s="932"/>
      <c r="AV686" s="932"/>
      <c r="AW686" s="932"/>
      <c r="AX686" s="932"/>
      <c r="AY686" s="932"/>
      <c r="AZ686" s="932"/>
      <c r="BA686" s="932"/>
      <c r="BB686" s="932"/>
      <c r="BC686" s="932"/>
      <c r="BD686" s="932"/>
      <c r="BE686" s="932"/>
      <c r="BF686" s="932"/>
    </row>
    <row r="687" spans="2:58" ht="15" x14ac:dyDescent="0.25">
      <c r="B687" s="932"/>
      <c r="C687" s="932"/>
      <c r="D687" s="932"/>
      <c r="E687" s="932"/>
      <c r="F687" s="932"/>
      <c r="G687" s="932"/>
      <c r="H687" s="932"/>
      <c r="I687" s="932"/>
      <c r="J687" s="932"/>
      <c r="K687" s="932"/>
      <c r="L687" s="932"/>
      <c r="M687" s="932"/>
      <c r="N687" s="932"/>
      <c r="O687" s="932"/>
      <c r="P687" s="932"/>
      <c r="Q687" s="932"/>
      <c r="R687" s="932"/>
      <c r="S687" s="932"/>
      <c r="T687" s="932"/>
      <c r="U687" s="932"/>
      <c r="V687" s="932"/>
      <c r="W687" s="932"/>
      <c r="X687" s="932"/>
      <c r="Y687" s="932"/>
      <c r="Z687" s="932"/>
      <c r="AA687" s="932"/>
      <c r="AB687" s="932"/>
      <c r="AC687" s="932"/>
      <c r="AD687" s="932"/>
      <c r="AE687" s="932"/>
      <c r="AF687" s="932"/>
      <c r="AG687" s="932"/>
      <c r="AH687" s="932"/>
      <c r="AI687" s="932"/>
      <c r="AJ687" s="932"/>
      <c r="AK687" s="932"/>
      <c r="AL687" s="932"/>
      <c r="AM687" s="932"/>
      <c r="AN687" s="932"/>
      <c r="AO687" s="932"/>
      <c r="AP687" s="932"/>
      <c r="AQ687" s="932"/>
      <c r="AR687" s="932"/>
      <c r="AS687" s="932"/>
      <c r="AT687" s="932"/>
      <c r="AU687" s="932"/>
      <c r="AV687" s="932"/>
      <c r="AW687" s="932"/>
      <c r="AX687" s="932"/>
      <c r="AY687" s="932"/>
      <c r="AZ687" s="932"/>
      <c r="BA687" s="932"/>
      <c r="BB687" s="932"/>
      <c r="BC687" s="932"/>
      <c r="BD687" s="932"/>
      <c r="BE687" s="932"/>
      <c r="BF687" s="932"/>
    </row>
    <row r="688" spans="2:58" ht="15" x14ac:dyDescent="0.25">
      <c r="B688" s="932"/>
      <c r="C688" s="932"/>
      <c r="D688" s="932"/>
      <c r="E688" s="932"/>
      <c r="F688" s="932"/>
      <c r="G688" s="932"/>
      <c r="H688" s="932"/>
      <c r="I688" s="932"/>
      <c r="J688" s="932"/>
      <c r="K688" s="932"/>
      <c r="L688" s="932"/>
      <c r="M688" s="932"/>
      <c r="N688" s="932"/>
      <c r="O688" s="932"/>
      <c r="P688" s="932"/>
      <c r="Q688" s="932"/>
      <c r="R688" s="932"/>
      <c r="S688" s="932"/>
      <c r="T688" s="932"/>
      <c r="U688" s="932"/>
      <c r="V688" s="932"/>
      <c r="W688" s="932"/>
      <c r="X688" s="932"/>
      <c r="Y688" s="932"/>
      <c r="Z688" s="932"/>
      <c r="AA688" s="932"/>
      <c r="AB688" s="932"/>
      <c r="AC688" s="932"/>
      <c r="AD688" s="932"/>
      <c r="AE688" s="932"/>
      <c r="AF688" s="932"/>
      <c r="AG688" s="932"/>
      <c r="AH688" s="932"/>
      <c r="AI688" s="932"/>
      <c r="AJ688" s="932"/>
      <c r="AK688" s="932"/>
      <c r="AL688" s="932"/>
      <c r="AM688" s="932"/>
      <c r="AN688" s="932"/>
      <c r="AO688" s="932"/>
      <c r="AP688" s="932"/>
      <c r="AQ688" s="932"/>
      <c r="AR688" s="932"/>
      <c r="AS688" s="932"/>
      <c r="AT688" s="932"/>
      <c r="AU688" s="932"/>
      <c r="AV688" s="932"/>
      <c r="AW688" s="932"/>
      <c r="AX688" s="932"/>
      <c r="AY688" s="932"/>
      <c r="AZ688" s="932"/>
      <c r="BA688" s="932"/>
      <c r="BB688" s="932"/>
      <c r="BC688" s="932"/>
      <c r="BD688" s="932"/>
      <c r="BE688" s="932"/>
      <c r="BF688" s="932"/>
    </row>
    <row r="689" spans="2:58" ht="15" x14ac:dyDescent="0.25">
      <c r="B689" s="932"/>
      <c r="C689" s="932"/>
      <c r="D689" s="932"/>
      <c r="E689" s="932"/>
      <c r="F689" s="932"/>
      <c r="G689" s="932"/>
      <c r="H689" s="932"/>
      <c r="I689" s="932"/>
      <c r="J689" s="932"/>
      <c r="K689" s="932"/>
      <c r="L689" s="932"/>
      <c r="M689" s="932"/>
      <c r="N689" s="932"/>
      <c r="O689" s="932"/>
      <c r="P689" s="932"/>
      <c r="Q689" s="932"/>
      <c r="R689" s="932"/>
      <c r="S689" s="932"/>
      <c r="T689" s="932"/>
      <c r="U689" s="932"/>
      <c r="V689" s="932"/>
      <c r="W689" s="932"/>
      <c r="X689" s="932"/>
      <c r="Y689" s="932"/>
      <c r="Z689" s="932"/>
      <c r="AA689" s="932"/>
      <c r="AB689" s="932"/>
      <c r="AC689" s="932"/>
      <c r="AD689" s="932"/>
      <c r="AE689" s="932"/>
      <c r="AF689" s="932"/>
      <c r="AG689" s="932"/>
      <c r="AH689" s="932"/>
      <c r="AI689" s="932"/>
      <c r="AJ689" s="932"/>
      <c r="AK689" s="932"/>
      <c r="AL689" s="932"/>
      <c r="AM689" s="932"/>
      <c r="AN689" s="932"/>
      <c r="AO689" s="932"/>
      <c r="AP689" s="932"/>
      <c r="AQ689" s="932"/>
      <c r="AR689" s="932"/>
      <c r="AS689" s="932"/>
      <c r="AT689" s="932"/>
      <c r="AU689" s="932"/>
      <c r="AV689" s="932"/>
      <c r="AW689" s="932"/>
      <c r="AX689" s="932"/>
      <c r="AY689" s="932"/>
      <c r="AZ689" s="932"/>
      <c r="BA689" s="932"/>
      <c r="BB689" s="932"/>
      <c r="BC689" s="932"/>
      <c r="BD689" s="932"/>
      <c r="BE689" s="932"/>
      <c r="BF689" s="932"/>
    </row>
    <row r="690" spans="2:58" ht="15" x14ac:dyDescent="0.25">
      <c r="B690" s="932"/>
      <c r="C690" s="932"/>
      <c r="D690" s="932"/>
      <c r="E690" s="932"/>
      <c r="F690" s="932"/>
      <c r="G690" s="932"/>
      <c r="H690" s="932"/>
      <c r="I690" s="932"/>
      <c r="J690" s="932"/>
      <c r="K690" s="932"/>
      <c r="L690" s="932"/>
      <c r="M690" s="932"/>
      <c r="N690" s="932"/>
      <c r="O690" s="932"/>
      <c r="P690" s="932"/>
      <c r="Q690" s="932"/>
      <c r="R690" s="932"/>
      <c r="S690" s="932"/>
      <c r="T690" s="932"/>
      <c r="U690" s="932"/>
      <c r="V690" s="932"/>
      <c r="W690" s="932"/>
      <c r="X690" s="932"/>
      <c r="Y690" s="932"/>
      <c r="Z690" s="932"/>
      <c r="AA690" s="932"/>
      <c r="AB690" s="932"/>
      <c r="AC690" s="932"/>
      <c r="AD690" s="932"/>
      <c r="AE690" s="932"/>
      <c r="AF690" s="932"/>
      <c r="AG690" s="932"/>
      <c r="AH690" s="932"/>
      <c r="AI690" s="932"/>
      <c r="AJ690" s="932"/>
      <c r="AK690" s="932"/>
      <c r="AL690" s="932"/>
      <c r="AM690" s="932"/>
      <c r="AN690" s="932"/>
      <c r="AO690" s="932"/>
      <c r="AP690" s="932"/>
      <c r="AQ690" s="932"/>
      <c r="AR690" s="932"/>
      <c r="AS690" s="932"/>
      <c r="AT690" s="932"/>
      <c r="AU690" s="932"/>
      <c r="AV690" s="932"/>
      <c r="AW690" s="932"/>
      <c r="AX690" s="932"/>
      <c r="AY690" s="932"/>
      <c r="AZ690" s="932"/>
      <c r="BA690" s="932"/>
      <c r="BB690" s="932"/>
      <c r="BC690" s="932"/>
      <c r="BD690" s="932"/>
      <c r="BE690" s="932"/>
      <c r="BF690" s="932"/>
    </row>
    <row r="691" spans="2:58" ht="15" x14ac:dyDescent="0.25">
      <c r="B691" s="932"/>
      <c r="C691" s="932"/>
      <c r="D691" s="932"/>
      <c r="E691" s="932"/>
      <c r="F691" s="932"/>
      <c r="G691" s="932"/>
      <c r="H691" s="932"/>
      <c r="I691" s="932"/>
      <c r="J691" s="932"/>
      <c r="K691" s="932"/>
      <c r="L691" s="932"/>
      <c r="M691" s="932"/>
      <c r="N691" s="932"/>
      <c r="O691" s="932"/>
      <c r="P691" s="932"/>
      <c r="Q691" s="932"/>
      <c r="R691" s="932"/>
      <c r="S691" s="932"/>
      <c r="T691" s="932"/>
      <c r="U691" s="932"/>
      <c r="V691" s="932"/>
      <c r="W691" s="932"/>
      <c r="X691" s="932"/>
      <c r="Y691" s="932"/>
      <c r="Z691" s="932"/>
      <c r="AA691" s="932"/>
      <c r="AB691" s="932"/>
      <c r="AC691" s="932"/>
      <c r="AD691" s="932"/>
      <c r="AE691" s="932"/>
      <c r="AF691" s="932"/>
      <c r="AG691" s="932"/>
      <c r="AH691" s="932"/>
      <c r="AI691" s="932"/>
      <c r="AJ691" s="932"/>
      <c r="AK691" s="932"/>
      <c r="AL691" s="932"/>
      <c r="AM691" s="932"/>
      <c r="AN691" s="932"/>
      <c r="AO691" s="932"/>
      <c r="AP691" s="932"/>
      <c r="AQ691" s="932"/>
      <c r="AR691" s="932"/>
      <c r="AS691" s="932"/>
      <c r="AT691" s="932"/>
      <c r="AU691" s="932"/>
      <c r="AV691" s="932"/>
      <c r="AW691" s="932"/>
      <c r="AX691" s="932"/>
      <c r="AY691" s="932"/>
      <c r="AZ691" s="932"/>
      <c r="BA691" s="932"/>
      <c r="BB691" s="932"/>
      <c r="BC691" s="932"/>
      <c r="BD691" s="932"/>
      <c r="BE691" s="932"/>
      <c r="BF691" s="932"/>
    </row>
    <row r="692" spans="2:58" ht="15" x14ac:dyDescent="0.25">
      <c r="B692" s="932"/>
      <c r="C692" s="932"/>
      <c r="D692" s="932"/>
      <c r="E692" s="932"/>
      <c r="F692" s="932"/>
      <c r="G692" s="932"/>
      <c r="H692" s="932"/>
      <c r="I692" s="932"/>
      <c r="J692" s="932"/>
      <c r="K692" s="932"/>
      <c r="L692" s="932"/>
      <c r="M692" s="932"/>
      <c r="N692" s="932"/>
      <c r="O692" s="932"/>
      <c r="P692" s="932"/>
      <c r="Q692" s="932"/>
      <c r="R692" s="932"/>
      <c r="S692" s="932"/>
      <c r="T692" s="932"/>
      <c r="U692" s="932"/>
      <c r="V692" s="932"/>
      <c r="W692" s="932"/>
      <c r="X692" s="932"/>
      <c r="Y692" s="932"/>
      <c r="Z692" s="932"/>
      <c r="AA692" s="932"/>
      <c r="AB692" s="932"/>
      <c r="AC692" s="932"/>
      <c r="AD692" s="932"/>
      <c r="AE692" s="932"/>
      <c r="AF692" s="932"/>
      <c r="AG692" s="932"/>
      <c r="AH692" s="932"/>
      <c r="AI692" s="932"/>
      <c r="AJ692" s="932"/>
      <c r="AK692" s="932"/>
      <c r="AL692" s="932"/>
      <c r="AM692" s="932"/>
      <c r="AN692" s="932"/>
      <c r="AO692" s="932"/>
      <c r="AP692" s="932"/>
      <c r="AQ692" s="932"/>
      <c r="AR692" s="932"/>
      <c r="AS692" s="932"/>
      <c r="AT692" s="932"/>
      <c r="AU692" s="932"/>
      <c r="AV692" s="932"/>
      <c r="AW692" s="932"/>
      <c r="AX692" s="932"/>
      <c r="AY692" s="932"/>
      <c r="AZ692" s="932"/>
      <c r="BA692" s="932"/>
      <c r="BB692" s="932"/>
      <c r="BC692" s="932"/>
      <c r="BD692" s="932"/>
      <c r="BE692" s="932"/>
      <c r="BF692" s="932"/>
    </row>
    <row r="693" spans="2:58" ht="15" x14ac:dyDescent="0.25">
      <c r="B693" s="932"/>
      <c r="C693" s="932"/>
      <c r="D693" s="932"/>
      <c r="E693" s="932"/>
      <c r="F693" s="932"/>
      <c r="G693" s="932"/>
      <c r="H693" s="932"/>
      <c r="I693" s="932"/>
      <c r="J693" s="932"/>
      <c r="K693" s="932"/>
      <c r="L693" s="932"/>
      <c r="M693" s="932"/>
      <c r="N693" s="932"/>
      <c r="O693" s="932"/>
      <c r="P693" s="932"/>
      <c r="Q693" s="932"/>
      <c r="R693" s="932"/>
      <c r="S693" s="932"/>
      <c r="T693" s="932"/>
      <c r="U693" s="932"/>
      <c r="V693" s="932"/>
      <c r="W693" s="932"/>
      <c r="X693" s="932"/>
      <c r="Y693" s="932"/>
      <c r="Z693" s="932"/>
      <c r="AA693" s="932"/>
      <c r="AB693" s="932"/>
      <c r="AC693" s="932"/>
      <c r="AD693" s="932"/>
      <c r="AE693" s="932"/>
      <c r="AF693" s="932"/>
      <c r="AG693" s="932"/>
      <c r="AH693" s="932"/>
      <c r="AI693" s="932"/>
      <c r="AJ693" s="932"/>
      <c r="AK693" s="932"/>
      <c r="AL693" s="932"/>
      <c r="AM693" s="932"/>
      <c r="AN693" s="932"/>
      <c r="AO693" s="932"/>
      <c r="AP693" s="932"/>
      <c r="AQ693" s="932"/>
      <c r="AR693" s="932"/>
      <c r="AS693" s="932"/>
      <c r="AT693" s="932"/>
      <c r="AU693" s="932"/>
      <c r="AV693" s="932"/>
      <c r="AW693" s="932"/>
      <c r="AX693" s="932"/>
      <c r="AY693" s="932"/>
      <c r="AZ693" s="932"/>
      <c r="BA693" s="932"/>
      <c r="BB693" s="932"/>
      <c r="BC693" s="932"/>
      <c r="BD693" s="932"/>
      <c r="BE693" s="932"/>
      <c r="BF693" s="932"/>
    </row>
    <row r="694" spans="2:58" ht="15" x14ac:dyDescent="0.25">
      <c r="B694" s="932"/>
      <c r="C694" s="932"/>
      <c r="D694" s="932"/>
      <c r="E694" s="932"/>
      <c r="F694" s="932"/>
      <c r="G694" s="932"/>
      <c r="H694" s="932"/>
      <c r="I694" s="932"/>
      <c r="J694" s="932"/>
      <c r="K694" s="932"/>
      <c r="L694" s="932"/>
      <c r="M694" s="932"/>
      <c r="N694" s="932"/>
      <c r="O694" s="932"/>
      <c r="P694" s="932"/>
      <c r="Q694" s="932"/>
      <c r="R694" s="932"/>
      <c r="S694" s="932"/>
      <c r="T694" s="932"/>
      <c r="U694" s="932"/>
      <c r="V694" s="932"/>
      <c r="W694" s="932"/>
      <c r="X694" s="932"/>
      <c r="Y694" s="932"/>
      <c r="Z694" s="932"/>
      <c r="AA694" s="932"/>
      <c r="AB694" s="932"/>
      <c r="AC694" s="932"/>
      <c r="AD694" s="932"/>
      <c r="AE694" s="932"/>
      <c r="AF694" s="932"/>
      <c r="AG694" s="932"/>
      <c r="AH694" s="932"/>
      <c r="AI694" s="932"/>
      <c r="AJ694" s="932"/>
      <c r="AK694" s="932"/>
      <c r="AL694" s="932"/>
      <c r="AM694" s="932"/>
      <c r="AN694" s="932"/>
      <c r="AO694" s="932"/>
      <c r="AP694" s="932"/>
      <c r="AQ694" s="932"/>
      <c r="AR694" s="932"/>
      <c r="AS694" s="932"/>
      <c r="AT694" s="932"/>
      <c r="AU694" s="932"/>
      <c r="AV694" s="932"/>
      <c r="AW694" s="932"/>
      <c r="AX694" s="932"/>
      <c r="AY694" s="932"/>
      <c r="AZ694" s="932"/>
      <c r="BA694" s="932"/>
      <c r="BB694" s="932"/>
      <c r="BC694" s="932"/>
      <c r="BD694" s="932"/>
      <c r="BE694" s="932"/>
      <c r="BF694" s="932"/>
    </row>
    <row r="695" spans="2:58" ht="15" x14ac:dyDescent="0.25">
      <c r="B695" s="932"/>
      <c r="C695" s="932"/>
      <c r="D695" s="932"/>
      <c r="E695" s="932"/>
      <c r="F695" s="932"/>
      <c r="G695" s="932"/>
      <c r="H695" s="932"/>
      <c r="I695" s="932"/>
      <c r="J695" s="932"/>
      <c r="K695" s="932"/>
      <c r="L695" s="932"/>
      <c r="M695" s="932"/>
      <c r="N695" s="932"/>
      <c r="O695" s="932"/>
      <c r="P695" s="932"/>
      <c r="Q695" s="932"/>
      <c r="R695" s="932"/>
      <c r="S695" s="932"/>
      <c r="T695" s="932"/>
      <c r="U695" s="932"/>
      <c r="V695" s="932"/>
      <c r="W695" s="932"/>
      <c r="X695" s="932"/>
      <c r="Y695" s="932"/>
      <c r="Z695" s="932"/>
      <c r="AA695" s="932"/>
      <c r="AB695" s="932"/>
      <c r="AC695" s="932"/>
      <c r="AD695" s="932"/>
      <c r="AE695" s="932"/>
      <c r="AF695" s="932"/>
      <c r="AG695" s="932"/>
      <c r="AH695" s="932"/>
      <c r="AI695" s="932"/>
      <c r="AJ695" s="932"/>
      <c r="AK695" s="932"/>
      <c r="AL695" s="932"/>
      <c r="AM695" s="932"/>
      <c r="AN695" s="932"/>
      <c r="AO695" s="932"/>
      <c r="AP695" s="932"/>
      <c r="AQ695" s="932"/>
      <c r="AR695" s="932"/>
      <c r="AS695" s="932"/>
      <c r="AT695" s="932"/>
      <c r="AU695" s="932"/>
      <c r="AV695" s="932"/>
      <c r="AW695" s="932"/>
      <c r="AX695" s="932"/>
      <c r="AY695" s="932"/>
      <c r="AZ695" s="932"/>
      <c r="BA695" s="932"/>
      <c r="BB695" s="932"/>
      <c r="BC695" s="932"/>
      <c r="BD695" s="932"/>
      <c r="BE695" s="932"/>
      <c r="BF695" s="932"/>
    </row>
    <row r="696" spans="2:58" ht="15" x14ac:dyDescent="0.25">
      <c r="B696" s="932"/>
      <c r="C696" s="932"/>
      <c r="D696" s="932"/>
      <c r="E696" s="932"/>
      <c r="F696" s="932"/>
      <c r="G696" s="932"/>
      <c r="H696" s="932"/>
      <c r="I696" s="932"/>
      <c r="J696" s="932"/>
      <c r="K696" s="932"/>
      <c r="L696" s="932"/>
      <c r="M696" s="932"/>
      <c r="N696" s="932"/>
      <c r="O696" s="932"/>
      <c r="P696" s="932"/>
      <c r="Q696" s="932"/>
      <c r="R696" s="932"/>
      <c r="S696" s="932"/>
      <c r="T696" s="932"/>
      <c r="U696" s="932"/>
      <c r="V696" s="932"/>
      <c r="W696" s="932"/>
      <c r="X696" s="932"/>
      <c r="Y696" s="932"/>
      <c r="Z696" s="932"/>
      <c r="AA696" s="932"/>
      <c r="AB696" s="932"/>
      <c r="AC696" s="932"/>
      <c r="AD696" s="932"/>
      <c r="AE696" s="932"/>
      <c r="AF696" s="932"/>
      <c r="AG696" s="932"/>
      <c r="AH696" s="932"/>
      <c r="AI696" s="932"/>
      <c r="AJ696" s="932"/>
      <c r="AK696" s="932"/>
      <c r="AL696" s="932"/>
      <c r="AM696" s="932"/>
      <c r="AN696" s="932"/>
      <c r="AO696" s="932"/>
      <c r="AP696" s="932"/>
      <c r="AQ696" s="932"/>
      <c r="AR696" s="932"/>
      <c r="AS696" s="932"/>
      <c r="AT696" s="932"/>
      <c r="AU696" s="932"/>
      <c r="AV696" s="932"/>
      <c r="AW696" s="932"/>
      <c r="AX696" s="932"/>
      <c r="AY696" s="932"/>
      <c r="AZ696" s="932"/>
      <c r="BA696" s="932"/>
      <c r="BB696" s="932"/>
      <c r="BC696" s="932"/>
      <c r="BD696" s="932"/>
      <c r="BE696" s="932"/>
      <c r="BF696" s="932"/>
    </row>
    <row r="697" spans="2:58" ht="15" x14ac:dyDescent="0.25">
      <c r="B697" s="932"/>
      <c r="C697" s="932"/>
      <c r="D697" s="932"/>
      <c r="E697" s="932"/>
      <c r="F697" s="932"/>
      <c r="G697" s="932"/>
      <c r="H697" s="932"/>
      <c r="I697" s="932"/>
      <c r="J697" s="932"/>
      <c r="K697" s="932"/>
      <c r="L697" s="932"/>
      <c r="M697" s="932"/>
      <c r="N697" s="932"/>
      <c r="O697" s="932"/>
      <c r="P697" s="932"/>
      <c r="Q697" s="932"/>
      <c r="R697" s="932"/>
      <c r="S697" s="932"/>
      <c r="T697" s="932"/>
      <c r="U697" s="932"/>
      <c r="V697" s="932"/>
      <c r="W697" s="932"/>
      <c r="X697" s="932"/>
      <c r="Y697" s="932"/>
      <c r="Z697" s="932"/>
      <c r="AA697" s="932"/>
      <c r="AB697" s="932"/>
      <c r="AC697" s="932"/>
      <c r="AD697" s="932"/>
      <c r="AE697" s="932"/>
      <c r="AF697" s="932"/>
      <c r="AG697" s="932"/>
      <c r="AH697" s="932"/>
      <c r="AI697" s="932"/>
      <c r="AJ697" s="932"/>
      <c r="AK697" s="932"/>
      <c r="AL697" s="932"/>
      <c r="AM697" s="932"/>
      <c r="AN697" s="932"/>
      <c r="AO697" s="932"/>
      <c r="AP697" s="932"/>
      <c r="AQ697" s="932"/>
      <c r="AR697" s="932"/>
      <c r="AS697" s="932"/>
      <c r="AT697" s="932"/>
      <c r="AU697" s="932"/>
      <c r="AV697" s="932"/>
      <c r="AW697" s="932"/>
      <c r="AX697" s="932"/>
      <c r="AY697" s="932"/>
      <c r="AZ697" s="932"/>
      <c r="BA697" s="932"/>
      <c r="BB697" s="932"/>
      <c r="BC697" s="932"/>
      <c r="BD697" s="932"/>
      <c r="BE697" s="932"/>
      <c r="BF697" s="932"/>
    </row>
    <row r="698" spans="2:58" ht="15" x14ac:dyDescent="0.25">
      <c r="B698" s="932"/>
      <c r="C698" s="932"/>
      <c r="D698" s="932"/>
      <c r="E698" s="932"/>
      <c r="F698" s="932"/>
      <c r="G698" s="932"/>
      <c r="H698" s="932"/>
      <c r="I698" s="932"/>
      <c r="J698" s="932"/>
      <c r="K698" s="932"/>
      <c r="L698" s="932"/>
      <c r="M698" s="932"/>
      <c r="N698" s="932"/>
      <c r="O698" s="932"/>
      <c r="P698" s="932"/>
      <c r="Q698" s="932"/>
      <c r="R698" s="932"/>
      <c r="S698" s="932"/>
      <c r="T698" s="932"/>
      <c r="U698" s="932"/>
      <c r="V698" s="932"/>
      <c r="W698" s="932"/>
      <c r="X698" s="932"/>
      <c r="Y698" s="932"/>
      <c r="Z698" s="932"/>
      <c r="AA698" s="932"/>
      <c r="AB698" s="932"/>
      <c r="AC698" s="932"/>
      <c r="AD698" s="932"/>
      <c r="AE698" s="932"/>
      <c r="AF698" s="932"/>
      <c r="AG698" s="932"/>
      <c r="AH698" s="932"/>
      <c r="AI698" s="932"/>
      <c r="AJ698" s="932"/>
      <c r="AK698" s="932"/>
      <c r="AL698" s="932"/>
      <c r="AM698" s="932"/>
      <c r="AN698" s="932"/>
      <c r="AO698" s="932"/>
      <c r="AP698" s="932"/>
      <c r="AQ698" s="932"/>
      <c r="AR698" s="932"/>
      <c r="AS698" s="932"/>
      <c r="AT698" s="932"/>
      <c r="AU698" s="932"/>
      <c r="AV698" s="932"/>
      <c r="AW698" s="932"/>
      <c r="AX698" s="932"/>
      <c r="AY698" s="932"/>
      <c r="AZ698" s="932"/>
      <c r="BA698" s="932"/>
      <c r="BB698" s="932"/>
      <c r="BC698" s="932"/>
      <c r="BD698" s="932"/>
      <c r="BE698" s="932"/>
      <c r="BF698" s="932"/>
    </row>
    <row r="699" spans="2:58" ht="15" x14ac:dyDescent="0.25">
      <c r="B699" s="932"/>
      <c r="C699" s="932"/>
      <c r="D699" s="932"/>
      <c r="E699" s="932"/>
      <c r="F699" s="932"/>
      <c r="G699" s="932"/>
      <c r="H699" s="932"/>
      <c r="I699" s="932"/>
      <c r="J699" s="932"/>
      <c r="K699" s="932"/>
      <c r="L699" s="932"/>
      <c r="M699" s="932"/>
      <c r="N699" s="932"/>
      <c r="O699" s="932"/>
      <c r="P699" s="932"/>
      <c r="Q699" s="932"/>
      <c r="R699" s="932"/>
      <c r="S699" s="932"/>
      <c r="T699" s="932"/>
      <c r="U699" s="932"/>
      <c r="V699" s="932"/>
      <c r="W699" s="932"/>
      <c r="X699" s="932"/>
      <c r="Y699" s="932"/>
      <c r="Z699" s="932"/>
      <c r="AA699" s="932"/>
      <c r="AB699" s="932"/>
      <c r="AC699" s="932"/>
      <c r="AD699" s="932"/>
      <c r="AE699" s="932"/>
      <c r="AF699" s="932"/>
      <c r="AG699" s="932"/>
      <c r="AH699" s="932"/>
      <c r="AI699" s="932"/>
      <c r="AJ699" s="932"/>
      <c r="AK699" s="932"/>
      <c r="AL699" s="932"/>
      <c r="AM699" s="932"/>
      <c r="AN699" s="932"/>
      <c r="AO699" s="932"/>
      <c r="AP699" s="932"/>
      <c r="AQ699" s="932"/>
      <c r="AR699" s="932"/>
      <c r="AS699" s="932"/>
      <c r="AT699" s="932"/>
      <c r="AU699" s="932"/>
      <c r="AV699" s="932"/>
      <c r="AW699" s="932"/>
      <c r="AX699" s="932"/>
      <c r="AY699" s="932"/>
      <c r="AZ699" s="932"/>
      <c r="BA699" s="932"/>
      <c r="BB699" s="932"/>
      <c r="BC699" s="932"/>
      <c r="BD699" s="932"/>
      <c r="BE699" s="932"/>
      <c r="BF699" s="932"/>
    </row>
    <row r="700" spans="2:58" ht="15" x14ac:dyDescent="0.25">
      <c r="B700" s="932"/>
      <c r="C700" s="932"/>
      <c r="D700" s="932"/>
      <c r="E700" s="932"/>
      <c r="F700" s="932"/>
      <c r="G700" s="932"/>
      <c r="H700" s="932"/>
      <c r="I700" s="932"/>
      <c r="J700" s="932"/>
      <c r="K700" s="932"/>
      <c r="L700" s="932"/>
      <c r="M700" s="932"/>
      <c r="N700" s="932"/>
      <c r="O700" s="932"/>
      <c r="P700" s="932"/>
      <c r="Q700" s="932"/>
      <c r="R700" s="932"/>
      <c r="S700" s="932"/>
      <c r="T700" s="932"/>
      <c r="U700" s="932"/>
      <c r="V700" s="932"/>
      <c r="W700" s="932"/>
      <c r="X700" s="932"/>
      <c r="Y700" s="932"/>
      <c r="Z700" s="932"/>
      <c r="AA700" s="932"/>
      <c r="AB700" s="932"/>
      <c r="AC700" s="932"/>
      <c r="AD700" s="932"/>
      <c r="AE700" s="932"/>
      <c r="AF700" s="932"/>
      <c r="AG700" s="932"/>
      <c r="AH700" s="932"/>
      <c r="AI700" s="932"/>
      <c r="AJ700" s="932"/>
      <c r="AK700" s="932"/>
      <c r="AL700" s="932"/>
      <c r="AM700" s="932"/>
      <c r="AN700" s="932"/>
      <c r="AO700" s="932"/>
      <c r="AP700" s="932"/>
      <c r="AQ700" s="932"/>
      <c r="AR700" s="932"/>
      <c r="AS700" s="932"/>
      <c r="AT700" s="932"/>
      <c r="AU700" s="932"/>
      <c r="AV700" s="932"/>
      <c r="AW700" s="932"/>
      <c r="AX700" s="932"/>
      <c r="AY700" s="932"/>
      <c r="AZ700" s="932"/>
      <c r="BA700" s="932"/>
      <c r="BB700" s="932"/>
      <c r="BC700" s="932"/>
      <c r="BD700" s="932"/>
      <c r="BE700" s="932"/>
      <c r="BF700" s="932"/>
    </row>
    <row r="701" spans="2:58" ht="15" x14ac:dyDescent="0.25">
      <c r="B701" s="932"/>
      <c r="C701" s="932"/>
      <c r="D701" s="932"/>
      <c r="E701" s="932"/>
      <c r="F701" s="932"/>
      <c r="G701" s="932"/>
      <c r="H701" s="932"/>
      <c r="I701" s="932"/>
      <c r="J701" s="932"/>
      <c r="K701" s="932"/>
      <c r="L701" s="932"/>
      <c r="M701" s="932"/>
      <c r="N701" s="932"/>
      <c r="O701" s="932"/>
      <c r="P701" s="932"/>
      <c r="Q701" s="932"/>
      <c r="R701" s="932"/>
      <c r="S701" s="932"/>
      <c r="T701" s="932"/>
      <c r="U701" s="932"/>
      <c r="V701" s="932"/>
      <c r="W701" s="932"/>
      <c r="X701" s="932"/>
      <c r="Y701" s="932"/>
      <c r="Z701" s="932"/>
      <c r="AA701" s="932"/>
      <c r="AB701" s="932"/>
      <c r="AC701" s="932"/>
      <c r="AD701" s="932"/>
      <c r="AE701" s="932"/>
      <c r="AF701" s="932"/>
      <c r="AG701" s="932"/>
      <c r="AH701" s="932"/>
      <c r="AI701" s="932"/>
      <c r="AJ701" s="932"/>
      <c r="AK701" s="932"/>
      <c r="AL701" s="932"/>
      <c r="AM701" s="932"/>
      <c r="AN701" s="932"/>
      <c r="AO701" s="932"/>
      <c r="AP701" s="932"/>
      <c r="AQ701" s="932"/>
      <c r="AR701" s="932"/>
      <c r="AS701" s="932"/>
      <c r="AT701" s="932"/>
      <c r="AU701" s="932"/>
      <c r="AV701" s="932"/>
      <c r="AW701" s="932"/>
      <c r="AX701" s="932"/>
      <c r="AY701" s="932"/>
      <c r="AZ701" s="932"/>
      <c r="BA701" s="932"/>
      <c r="BB701" s="932"/>
      <c r="BC701" s="932"/>
      <c r="BD701" s="932"/>
      <c r="BE701" s="932"/>
      <c r="BF701" s="932"/>
    </row>
    <row r="702" spans="2:58" ht="15" x14ac:dyDescent="0.25">
      <c r="B702" s="932"/>
      <c r="C702" s="932"/>
      <c r="D702" s="932"/>
      <c r="E702" s="932"/>
      <c r="F702" s="932"/>
      <c r="G702" s="932"/>
      <c r="H702" s="932"/>
      <c r="I702" s="932"/>
      <c r="J702" s="932"/>
      <c r="K702" s="932"/>
      <c r="L702" s="932"/>
      <c r="M702" s="932"/>
      <c r="N702" s="932"/>
      <c r="O702" s="932"/>
      <c r="P702" s="932"/>
      <c r="Q702" s="932"/>
      <c r="R702" s="932"/>
      <c r="S702" s="932"/>
      <c r="T702" s="932"/>
      <c r="U702" s="932"/>
      <c r="V702" s="932"/>
      <c r="W702" s="932"/>
      <c r="X702" s="932"/>
      <c r="Y702" s="932"/>
      <c r="Z702" s="932"/>
      <c r="AA702" s="932"/>
      <c r="AB702" s="932"/>
      <c r="AC702" s="932"/>
      <c r="AD702" s="932"/>
      <c r="AE702" s="932"/>
      <c r="AF702" s="932"/>
      <c r="AG702" s="932"/>
      <c r="AH702" s="932"/>
      <c r="AI702" s="932"/>
      <c r="AJ702" s="932"/>
      <c r="AK702" s="932"/>
      <c r="AL702" s="932"/>
      <c r="AM702" s="932"/>
      <c r="AN702" s="932"/>
      <c r="AO702" s="932"/>
      <c r="AP702" s="932"/>
      <c r="AQ702" s="932"/>
      <c r="AR702" s="932"/>
      <c r="AS702" s="932"/>
      <c r="AT702" s="932"/>
      <c r="AU702" s="932"/>
      <c r="AV702" s="932"/>
      <c r="AW702" s="932"/>
      <c r="AX702" s="932"/>
      <c r="AY702" s="932"/>
      <c r="AZ702" s="932"/>
      <c r="BA702" s="932"/>
      <c r="BB702" s="932"/>
      <c r="BC702" s="932"/>
      <c r="BD702" s="932"/>
      <c r="BE702" s="932"/>
      <c r="BF702" s="932"/>
    </row>
    <row r="703" spans="2:58" ht="15" x14ac:dyDescent="0.25">
      <c r="B703" s="932"/>
      <c r="C703" s="932"/>
      <c r="D703" s="932"/>
      <c r="E703" s="932"/>
      <c r="F703" s="932"/>
      <c r="G703" s="932"/>
      <c r="H703" s="932"/>
      <c r="I703" s="932"/>
      <c r="J703" s="932"/>
      <c r="K703" s="932"/>
      <c r="L703" s="932"/>
      <c r="M703" s="932"/>
      <c r="N703" s="932"/>
      <c r="O703" s="932"/>
      <c r="P703" s="932"/>
      <c r="Q703" s="932"/>
      <c r="R703" s="932"/>
      <c r="S703" s="932"/>
      <c r="T703" s="932"/>
      <c r="U703" s="932"/>
      <c r="V703" s="932"/>
      <c r="W703" s="932"/>
      <c r="X703" s="932"/>
      <c r="Y703" s="932"/>
      <c r="Z703" s="932"/>
      <c r="AA703" s="932"/>
      <c r="AB703" s="932"/>
      <c r="AC703" s="932"/>
      <c r="AD703" s="932"/>
      <c r="AE703" s="932"/>
      <c r="AF703" s="932"/>
      <c r="AG703" s="932"/>
      <c r="AH703" s="932"/>
      <c r="AI703" s="932"/>
      <c r="AJ703" s="932"/>
      <c r="AK703" s="932"/>
      <c r="AL703" s="932"/>
      <c r="AM703" s="932"/>
      <c r="AN703" s="932"/>
      <c r="AO703" s="932"/>
      <c r="AP703" s="932"/>
      <c r="AQ703" s="932"/>
      <c r="AR703" s="932"/>
      <c r="AS703" s="932"/>
      <c r="AT703" s="932"/>
      <c r="AU703" s="932"/>
      <c r="AV703" s="932"/>
      <c r="AW703" s="932"/>
      <c r="AX703" s="932"/>
      <c r="AY703" s="932"/>
      <c r="AZ703" s="932"/>
      <c r="BA703" s="932"/>
      <c r="BB703" s="932"/>
      <c r="BC703" s="932"/>
      <c r="BD703" s="932"/>
      <c r="BE703" s="932"/>
      <c r="BF703" s="932"/>
    </row>
    <row r="704" spans="2:58" ht="15" x14ac:dyDescent="0.25">
      <c r="B704" s="932"/>
      <c r="C704" s="932"/>
      <c r="D704" s="932"/>
      <c r="E704" s="932"/>
      <c r="F704" s="932"/>
      <c r="G704" s="932"/>
      <c r="H704" s="932"/>
      <c r="I704" s="932"/>
      <c r="J704" s="932"/>
      <c r="K704" s="932"/>
      <c r="L704" s="932"/>
      <c r="M704" s="932"/>
      <c r="N704" s="932"/>
      <c r="O704" s="932"/>
      <c r="P704" s="932"/>
      <c r="Q704" s="932"/>
      <c r="R704" s="932"/>
      <c r="S704" s="932"/>
      <c r="T704" s="932"/>
      <c r="U704" s="932"/>
      <c r="V704" s="932"/>
      <c r="W704" s="932"/>
      <c r="X704" s="932"/>
      <c r="Y704" s="932"/>
      <c r="Z704" s="932"/>
      <c r="AA704" s="932"/>
      <c r="AB704" s="932"/>
      <c r="AC704" s="932"/>
      <c r="AD704" s="932"/>
      <c r="AE704" s="932"/>
      <c r="AF704" s="932"/>
      <c r="AG704" s="932"/>
      <c r="AH704" s="932"/>
      <c r="AI704" s="932"/>
      <c r="AJ704" s="932"/>
      <c r="AK704" s="932"/>
      <c r="AL704" s="932"/>
      <c r="AM704" s="932"/>
      <c r="AN704" s="932"/>
      <c r="AO704" s="932"/>
      <c r="AP704" s="932"/>
      <c r="AQ704" s="932"/>
      <c r="AR704" s="932"/>
      <c r="AS704" s="932"/>
      <c r="AT704" s="932"/>
      <c r="AU704" s="932"/>
      <c r="AV704" s="932"/>
      <c r="AW704" s="932"/>
      <c r="AX704" s="932"/>
      <c r="AY704" s="932"/>
      <c r="AZ704" s="932"/>
      <c r="BA704" s="932"/>
      <c r="BB704" s="932"/>
      <c r="BC704" s="932"/>
      <c r="BD704" s="932"/>
      <c r="BE704" s="932"/>
      <c r="BF704" s="932"/>
    </row>
    <row r="705" spans="2:58" ht="15" x14ac:dyDescent="0.25">
      <c r="B705" s="932"/>
      <c r="C705" s="932"/>
      <c r="D705" s="932"/>
      <c r="E705" s="932"/>
      <c r="F705" s="932"/>
      <c r="G705" s="932"/>
      <c r="H705" s="932"/>
      <c r="I705" s="932"/>
      <c r="J705" s="932"/>
      <c r="K705" s="932"/>
      <c r="L705" s="932"/>
      <c r="M705" s="932"/>
      <c r="N705" s="932"/>
      <c r="O705" s="932"/>
      <c r="P705" s="932"/>
      <c r="Q705" s="932"/>
      <c r="R705" s="932"/>
      <c r="S705" s="932"/>
      <c r="T705" s="932"/>
      <c r="U705" s="932"/>
      <c r="V705" s="932"/>
      <c r="W705" s="932"/>
      <c r="X705" s="932"/>
      <c r="Y705" s="932"/>
      <c r="Z705" s="932"/>
      <c r="AA705" s="932"/>
      <c r="AB705" s="932"/>
      <c r="AC705" s="932"/>
      <c r="AD705" s="932"/>
      <c r="AE705" s="932"/>
      <c r="AF705" s="932"/>
      <c r="AG705" s="932"/>
      <c r="AH705" s="932"/>
      <c r="AI705" s="932"/>
      <c r="AJ705" s="932"/>
      <c r="AK705" s="932"/>
      <c r="AL705" s="932"/>
      <c r="AM705" s="932"/>
      <c r="AN705" s="932"/>
      <c r="AO705" s="932"/>
      <c r="AP705" s="932"/>
      <c r="AQ705" s="932"/>
      <c r="AR705" s="932"/>
      <c r="AS705" s="932"/>
      <c r="AT705" s="932"/>
      <c r="AU705" s="932"/>
      <c r="AV705" s="932"/>
      <c r="AW705" s="932"/>
      <c r="AX705" s="932"/>
      <c r="AY705" s="932"/>
      <c r="AZ705" s="932"/>
      <c r="BA705" s="932"/>
      <c r="BB705" s="932"/>
      <c r="BC705" s="932"/>
      <c r="BD705" s="932"/>
      <c r="BE705" s="932"/>
      <c r="BF705" s="932"/>
    </row>
    <row r="706" spans="2:58" ht="15" x14ac:dyDescent="0.25">
      <c r="B706" s="932"/>
      <c r="C706" s="932"/>
      <c r="D706" s="932"/>
      <c r="E706" s="932"/>
      <c r="F706" s="932"/>
      <c r="G706" s="932"/>
      <c r="H706" s="932"/>
      <c r="I706" s="932"/>
      <c r="J706" s="932"/>
      <c r="K706" s="932"/>
      <c r="L706" s="932"/>
      <c r="M706" s="932"/>
      <c r="N706" s="932"/>
      <c r="O706" s="932"/>
      <c r="P706" s="932"/>
      <c r="Q706" s="932"/>
      <c r="R706" s="932"/>
      <c r="S706" s="932"/>
      <c r="T706" s="932"/>
      <c r="U706" s="932"/>
      <c r="V706" s="932"/>
      <c r="W706" s="932"/>
      <c r="X706" s="932"/>
      <c r="Y706" s="932"/>
      <c r="Z706" s="932"/>
      <c r="AA706" s="932"/>
      <c r="AB706" s="932"/>
      <c r="AC706" s="932"/>
      <c r="AD706" s="932"/>
      <c r="AE706" s="932"/>
      <c r="AF706" s="932"/>
      <c r="AG706" s="932"/>
      <c r="AH706" s="932"/>
      <c r="AI706" s="932"/>
      <c r="AJ706" s="932"/>
      <c r="AK706" s="932"/>
      <c r="AL706" s="932"/>
      <c r="AM706" s="932"/>
      <c r="AN706" s="932"/>
      <c r="AO706" s="932"/>
      <c r="AP706" s="932"/>
      <c r="AQ706" s="932"/>
      <c r="AR706" s="932"/>
      <c r="AS706" s="932"/>
      <c r="AT706" s="932"/>
      <c r="AU706" s="932"/>
      <c r="AV706" s="932"/>
      <c r="AW706" s="932"/>
      <c r="AX706" s="932"/>
      <c r="AY706" s="932"/>
      <c r="AZ706" s="932"/>
      <c r="BA706" s="932"/>
      <c r="BB706" s="932"/>
      <c r="BC706" s="932"/>
      <c r="BD706" s="932"/>
      <c r="BE706" s="932"/>
      <c r="BF706" s="932"/>
    </row>
    <row r="707" spans="2:58" ht="15" x14ac:dyDescent="0.25">
      <c r="B707" s="932"/>
      <c r="C707" s="932"/>
      <c r="D707" s="932"/>
      <c r="E707" s="932"/>
      <c r="F707" s="932"/>
      <c r="G707" s="932"/>
      <c r="H707" s="932"/>
      <c r="I707" s="932"/>
      <c r="J707" s="932"/>
      <c r="K707" s="932"/>
      <c r="L707" s="932"/>
      <c r="M707" s="932"/>
      <c r="N707" s="932"/>
      <c r="O707" s="932"/>
      <c r="P707" s="932"/>
      <c r="Q707" s="932"/>
      <c r="R707" s="932"/>
      <c r="S707" s="932"/>
      <c r="T707" s="932"/>
      <c r="U707" s="932"/>
      <c r="V707" s="932"/>
      <c r="W707" s="932"/>
      <c r="X707" s="932"/>
      <c r="Y707" s="932"/>
      <c r="Z707" s="932"/>
      <c r="AA707" s="932"/>
      <c r="AB707" s="932"/>
      <c r="AC707" s="932"/>
      <c r="AD707" s="932"/>
      <c r="AE707" s="932"/>
      <c r="AF707" s="932"/>
      <c r="AG707" s="932"/>
      <c r="AH707" s="932"/>
      <c r="AI707" s="932"/>
      <c r="AJ707" s="932"/>
      <c r="AK707" s="932"/>
      <c r="AL707" s="932"/>
      <c r="AM707" s="932"/>
      <c r="AN707" s="932"/>
      <c r="AO707" s="932"/>
      <c r="AP707" s="932"/>
      <c r="AQ707" s="932"/>
      <c r="AR707" s="932"/>
      <c r="AS707" s="932"/>
      <c r="AT707" s="932"/>
      <c r="AU707" s="932"/>
      <c r="AV707" s="932"/>
      <c r="AW707" s="932"/>
      <c r="AX707" s="932"/>
      <c r="AY707" s="932"/>
      <c r="AZ707" s="932"/>
      <c r="BA707" s="932"/>
      <c r="BB707" s="932"/>
      <c r="BC707" s="932"/>
      <c r="BD707" s="932"/>
      <c r="BE707" s="932"/>
      <c r="BF707" s="932"/>
    </row>
    <row r="708" spans="2:58" ht="15" x14ac:dyDescent="0.25">
      <c r="B708" s="932"/>
      <c r="C708" s="932"/>
      <c r="D708" s="932"/>
      <c r="E708" s="932"/>
      <c r="F708" s="932"/>
      <c r="G708" s="932"/>
      <c r="H708" s="932"/>
      <c r="I708" s="932"/>
      <c r="J708" s="932"/>
      <c r="K708" s="932"/>
      <c r="L708" s="932"/>
      <c r="M708" s="932"/>
      <c r="N708" s="932"/>
      <c r="O708" s="932"/>
      <c r="P708" s="932"/>
      <c r="Q708" s="932"/>
      <c r="R708" s="932"/>
      <c r="S708" s="932"/>
      <c r="T708" s="932"/>
      <c r="U708" s="932"/>
      <c r="V708" s="932"/>
      <c r="W708" s="932"/>
      <c r="X708" s="932"/>
      <c r="Y708" s="932"/>
      <c r="Z708" s="932"/>
      <c r="AA708" s="932"/>
      <c r="AB708" s="932"/>
      <c r="AC708" s="932"/>
      <c r="AD708" s="932"/>
      <c r="AE708" s="932"/>
      <c r="AF708" s="932"/>
      <c r="AG708" s="932"/>
      <c r="AH708" s="932"/>
      <c r="AI708" s="932"/>
      <c r="AJ708" s="932"/>
      <c r="AK708" s="932"/>
      <c r="AL708" s="932"/>
      <c r="AM708" s="932"/>
      <c r="AN708" s="932"/>
      <c r="AO708" s="932"/>
      <c r="AP708" s="932"/>
      <c r="AQ708" s="932"/>
      <c r="AR708" s="932"/>
      <c r="AS708" s="932"/>
      <c r="AT708" s="932"/>
      <c r="AU708" s="932"/>
      <c r="AV708" s="932"/>
      <c r="AW708" s="932"/>
      <c r="AX708" s="932"/>
      <c r="AY708" s="932"/>
      <c r="AZ708" s="932"/>
      <c r="BA708" s="932"/>
      <c r="BB708" s="932"/>
      <c r="BC708" s="932"/>
      <c r="BD708" s="932"/>
      <c r="BE708" s="932"/>
      <c r="BF708" s="932"/>
    </row>
    <row r="709" spans="2:58" ht="15" x14ac:dyDescent="0.25">
      <c r="B709" s="932"/>
      <c r="C709" s="932"/>
      <c r="D709" s="932"/>
      <c r="E709" s="932"/>
      <c r="F709" s="932"/>
      <c r="G709" s="932"/>
      <c r="H709" s="932"/>
      <c r="I709" s="932"/>
      <c r="J709" s="932"/>
      <c r="K709" s="932"/>
      <c r="L709" s="932"/>
      <c r="M709" s="932"/>
      <c r="N709" s="932"/>
      <c r="O709" s="932"/>
      <c r="P709" s="932"/>
      <c r="Q709" s="932"/>
      <c r="R709" s="932"/>
      <c r="S709" s="932"/>
      <c r="T709" s="932"/>
      <c r="U709" s="932"/>
      <c r="V709" s="932"/>
      <c r="W709" s="932"/>
      <c r="X709" s="932"/>
      <c r="Y709" s="932"/>
      <c r="Z709" s="932"/>
      <c r="AA709" s="932"/>
      <c r="AB709" s="932"/>
      <c r="AC709" s="932"/>
      <c r="AD709" s="932"/>
      <c r="AE709" s="932"/>
      <c r="AF709" s="932"/>
      <c r="AG709" s="932"/>
      <c r="AH709" s="932"/>
      <c r="AI709" s="932"/>
      <c r="AJ709" s="932"/>
      <c r="AK709" s="932"/>
      <c r="AL709" s="932"/>
      <c r="AM709" s="932"/>
      <c r="AN709" s="932"/>
      <c r="AO709" s="932"/>
      <c r="AP709" s="932"/>
      <c r="AQ709" s="932"/>
      <c r="AR709" s="932"/>
      <c r="AS709" s="932"/>
      <c r="AT709" s="932"/>
      <c r="AU709" s="932"/>
      <c r="AV709" s="932"/>
      <c r="AW709" s="932"/>
      <c r="AX709" s="932"/>
      <c r="AY709" s="932"/>
      <c r="AZ709" s="932"/>
      <c r="BA709" s="932"/>
      <c r="BB709" s="932"/>
      <c r="BC709" s="932"/>
      <c r="BD709" s="932"/>
      <c r="BE709" s="932"/>
      <c r="BF709" s="932"/>
    </row>
    <row r="710" spans="2:58" ht="15" x14ac:dyDescent="0.25">
      <c r="B710" s="932"/>
      <c r="C710" s="932"/>
      <c r="D710" s="932"/>
      <c r="E710" s="932"/>
      <c r="F710" s="932"/>
      <c r="G710" s="932"/>
      <c r="H710" s="932"/>
      <c r="I710" s="932"/>
      <c r="J710" s="932"/>
      <c r="K710" s="932"/>
      <c r="L710" s="932"/>
      <c r="M710" s="932"/>
      <c r="N710" s="932"/>
      <c r="O710" s="932"/>
      <c r="P710" s="932"/>
      <c r="Q710" s="932"/>
      <c r="R710" s="932"/>
      <c r="S710" s="932"/>
      <c r="T710" s="932"/>
      <c r="U710" s="932"/>
      <c r="V710" s="932"/>
      <c r="W710" s="932"/>
      <c r="X710" s="932"/>
      <c r="Y710" s="932"/>
      <c r="Z710" s="932"/>
      <c r="AA710" s="932"/>
      <c r="AB710" s="932"/>
      <c r="AC710" s="932"/>
      <c r="AD710" s="932"/>
      <c r="AE710" s="932"/>
      <c r="AF710" s="932"/>
      <c r="AG710" s="932"/>
      <c r="AH710" s="932"/>
      <c r="AI710" s="932"/>
      <c r="AJ710" s="932"/>
      <c r="AK710" s="932"/>
      <c r="AL710" s="932"/>
      <c r="AM710" s="932"/>
      <c r="AN710" s="932"/>
      <c r="AO710" s="932"/>
      <c r="AP710" s="932"/>
      <c r="AQ710" s="932"/>
      <c r="AR710" s="932"/>
      <c r="AS710" s="932"/>
      <c r="AT710" s="932"/>
      <c r="AU710" s="932"/>
      <c r="AV710" s="932"/>
      <c r="AW710" s="932"/>
      <c r="AX710" s="932"/>
      <c r="AY710" s="932"/>
      <c r="AZ710" s="932"/>
      <c r="BA710" s="932"/>
      <c r="BB710" s="932"/>
      <c r="BC710" s="932"/>
      <c r="BD710" s="932"/>
      <c r="BE710" s="932"/>
      <c r="BF710" s="932"/>
    </row>
    <row r="711" spans="2:58" ht="15" x14ac:dyDescent="0.25">
      <c r="B711" s="932"/>
      <c r="C711" s="932"/>
      <c r="D711" s="932"/>
      <c r="E711" s="932"/>
      <c r="F711" s="932"/>
      <c r="G711" s="932"/>
      <c r="H711" s="932"/>
      <c r="I711" s="932"/>
      <c r="J711" s="932"/>
      <c r="K711" s="932"/>
      <c r="L711" s="932"/>
      <c r="M711" s="932"/>
      <c r="N711" s="932"/>
      <c r="O711" s="932"/>
      <c r="P711" s="932"/>
      <c r="Q711" s="932"/>
      <c r="R711" s="932"/>
      <c r="S711" s="932"/>
      <c r="T711" s="932"/>
      <c r="U711" s="932"/>
      <c r="V711" s="932"/>
      <c r="W711" s="932"/>
      <c r="X711" s="932"/>
      <c r="Y711" s="932"/>
      <c r="Z711" s="932"/>
      <c r="AA711" s="932"/>
      <c r="AB711" s="932"/>
      <c r="AC711" s="932"/>
      <c r="AD711" s="932"/>
      <c r="AE711" s="932"/>
      <c r="AF711" s="932"/>
      <c r="AG711" s="932"/>
      <c r="AH711" s="932"/>
      <c r="AI711" s="932"/>
      <c r="AJ711" s="932"/>
      <c r="AK711" s="932"/>
      <c r="AL711" s="932"/>
      <c r="AM711" s="932"/>
      <c r="AN711" s="932"/>
      <c r="AO711" s="932"/>
      <c r="AP711" s="932"/>
      <c r="AQ711" s="932"/>
      <c r="AR711" s="932"/>
      <c r="AS711" s="932"/>
      <c r="AT711" s="932"/>
      <c r="AU711" s="932"/>
      <c r="AV711" s="932"/>
      <c r="AW711" s="932"/>
      <c r="AX711" s="932"/>
      <c r="AY711" s="932"/>
      <c r="AZ711" s="932"/>
      <c r="BA711" s="932"/>
      <c r="BB711" s="932"/>
      <c r="BC711" s="932"/>
      <c r="BD711" s="932"/>
      <c r="BE711" s="932"/>
      <c r="BF711" s="932"/>
    </row>
    <row r="712" spans="2:58" ht="15" x14ac:dyDescent="0.25">
      <c r="B712" s="932"/>
      <c r="C712" s="932"/>
      <c r="D712" s="932"/>
      <c r="E712" s="932"/>
      <c r="F712" s="932"/>
      <c r="G712" s="932"/>
      <c r="H712" s="932"/>
      <c r="I712" s="932"/>
      <c r="J712" s="932"/>
      <c r="K712" s="932"/>
      <c r="L712" s="932"/>
      <c r="M712" s="932"/>
      <c r="N712" s="932"/>
      <c r="O712" s="932"/>
      <c r="P712" s="932"/>
      <c r="Q712" s="932"/>
      <c r="R712" s="932"/>
      <c r="S712" s="932"/>
      <c r="T712" s="932"/>
      <c r="U712" s="932"/>
      <c r="V712" s="932"/>
      <c r="W712" s="932"/>
      <c r="X712" s="932"/>
      <c r="Y712" s="932"/>
      <c r="Z712" s="932"/>
      <c r="AA712" s="932"/>
      <c r="AB712" s="932"/>
      <c r="AC712" s="932"/>
      <c r="AD712" s="932"/>
      <c r="AE712" s="932"/>
      <c r="AF712" s="932"/>
      <c r="AG712" s="932"/>
      <c r="AH712" s="932"/>
      <c r="AI712" s="932"/>
      <c r="AJ712" s="932"/>
      <c r="AK712" s="932"/>
      <c r="AL712" s="932"/>
      <c r="AM712" s="932"/>
      <c r="AN712" s="932"/>
      <c r="AO712" s="932"/>
      <c r="AP712" s="932"/>
      <c r="AQ712" s="932"/>
      <c r="AR712" s="932"/>
      <c r="AS712" s="932"/>
      <c r="AT712" s="932"/>
      <c r="AU712" s="932"/>
      <c r="AV712" s="932"/>
      <c r="AW712" s="932"/>
      <c r="AX712" s="932"/>
      <c r="AY712" s="932"/>
      <c r="AZ712" s="932"/>
      <c r="BA712" s="932"/>
      <c r="BB712" s="932"/>
      <c r="BC712" s="932"/>
      <c r="BD712" s="932"/>
      <c r="BE712" s="932"/>
      <c r="BF712" s="932"/>
    </row>
    <row r="713" spans="2:58" ht="15" x14ac:dyDescent="0.25">
      <c r="B713" s="932"/>
      <c r="C713" s="932"/>
      <c r="D713" s="932"/>
      <c r="E713" s="932"/>
      <c r="F713" s="932"/>
      <c r="G713" s="932"/>
      <c r="H713" s="932"/>
      <c r="I713" s="932"/>
      <c r="J713" s="932"/>
      <c r="K713" s="932"/>
      <c r="L713" s="932"/>
      <c r="M713" s="932"/>
      <c r="N713" s="932"/>
      <c r="O713" s="932"/>
      <c r="P713" s="932"/>
      <c r="Q713" s="932"/>
      <c r="R713" s="932"/>
      <c r="S713" s="932"/>
      <c r="T713" s="932"/>
      <c r="U713" s="932"/>
      <c r="V713" s="932"/>
      <c r="W713" s="932"/>
      <c r="X713" s="932"/>
      <c r="Y713" s="932"/>
      <c r="Z713" s="932"/>
      <c r="AA713" s="932"/>
      <c r="AB713" s="932"/>
      <c r="AC713" s="932"/>
      <c r="AD713" s="932"/>
      <c r="AE713" s="932"/>
      <c r="AF713" s="932"/>
      <c r="AG713" s="932"/>
      <c r="AH713" s="932"/>
      <c r="AI713" s="932"/>
      <c r="AJ713" s="932"/>
      <c r="AK713" s="932"/>
      <c r="AL713" s="932"/>
      <c r="AM713" s="932"/>
      <c r="AN713" s="932"/>
      <c r="AO713" s="932"/>
      <c r="AP713" s="932"/>
      <c r="AQ713" s="932"/>
      <c r="AR713" s="932"/>
      <c r="AS713" s="932"/>
      <c r="AT713" s="932"/>
      <c r="AU713" s="932"/>
      <c r="AV713" s="932"/>
      <c r="AW713" s="932"/>
      <c r="AX713" s="932"/>
      <c r="AY713" s="932"/>
      <c r="AZ713" s="932"/>
      <c r="BA713" s="932"/>
      <c r="BB713" s="932"/>
      <c r="BC713" s="932"/>
      <c r="BD713" s="932"/>
      <c r="BE713" s="932"/>
      <c r="BF713" s="932"/>
    </row>
    <row r="714" spans="2:58" ht="15" x14ac:dyDescent="0.25">
      <c r="B714" s="932"/>
      <c r="C714" s="932"/>
      <c r="D714" s="932"/>
      <c r="E714" s="932"/>
      <c r="F714" s="932"/>
      <c r="G714" s="932"/>
      <c r="H714" s="932"/>
      <c r="I714" s="932"/>
      <c r="J714" s="932"/>
      <c r="K714" s="932"/>
      <c r="L714" s="932"/>
      <c r="M714" s="932"/>
      <c r="N714" s="932"/>
      <c r="O714" s="932"/>
      <c r="P714" s="932"/>
      <c r="Q714" s="932"/>
      <c r="R714" s="932"/>
      <c r="S714" s="932"/>
      <c r="T714" s="932"/>
      <c r="U714" s="932"/>
      <c r="V714" s="932"/>
      <c r="W714" s="932"/>
      <c r="X714" s="932"/>
      <c r="Y714" s="932"/>
      <c r="Z714" s="932"/>
      <c r="AA714" s="932"/>
      <c r="AB714" s="932"/>
      <c r="AC714" s="932"/>
      <c r="AD714" s="932"/>
      <c r="AE714" s="932"/>
      <c r="AF714" s="932"/>
      <c r="AG714" s="932"/>
      <c r="AH714" s="932"/>
      <c r="AI714" s="932"/>
      <c r="AJ714" s="932"/>
      <c r="AK714" s="932"/>
      <c r="AL714" s="932"/>
      <c r="AM714" s="932"/>
      <c r="AN714" s="932"/>
      <c r="AO714" s="932"/>
      <c r="AP714" s="932"/>
      <c r="AQ714" s="932"/>
      <c r="AR714" s="932"/>
      <c r="AS714" s="932"/>
      <c r="AT714" s="932"/>
      <c r="AU714" s="932"/>
      <c r="AV714" s="932"/>
      <c r="AW714" s="932"/>
      <c r="AX714" s="932"/>
      <c r="AY714" s="932"/>
      <c r="AZ714" s="932"/>
      <c r="BA714" s="932"/>
      <c r="BB714" s="932"/>
      <c r="BC714" s="932"/>
      <c r="BD714" s="932"/>
      <c r="BE714" s="932"/>
      <c r="BF714" s="932"/>
    </row>
    <row r="715" spans="2:58" ht="15" x14ac:dyDescent="0.25">
      <c r="B715" s="932"/>
      <c r="C715" s="932"/>
      <c r="D715" s="932"/>
      <c r="E715" s="932"/>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2"/>
      <c r="AE715" s="932"/>
      <c r="AF715" s="932"/>
      <c r="AG715" s="932"/>
      <c r="AH715" s="932"/>
      <c r="AI715" s="932"/>
      <c r="AJ715" s="932"/>
      <c r="AK715" s="932"/>
      <c r="AL715" s="932"/>
      <c r="AM715" s="932"/>
      <c r="AN715" s="932"/>
      <c r="AO715" s="932"/>
      <c r="AP715" s="932"/>
      <c r="AQ715" s="932"/>
      <c r="AR715" s="932"/>
      <c r="AS715" s="932"/>
      <c r="AT715" s="932"/>
      <c r="AU715" s="932"/>
      <c r="AV715" s="932"/>
      <c r="AW715" s="932"/>
      <c r="AX715" s="932"/>
      <c r="AY715" s="932"/>
      <c r="AZ715" s="932"/>
      <c r="BA715" s="932"/>
      <c r="BB715" s="932"/>
      <c r="BC715" s="932"/>
      <c r="BD715" s="932"/>
      <c r="BE715" s="932"/>
      <c r="BF715" s="932"/>
    </row>
    <row r="716" spans="2:58" ht="15" x14ac:dyDescent="0.25">
      <c r="B716" s="932"/>
      <c r="C716" s="932"/>
      <c r="D716" s="932"/>
      <c r="E716" s="932"/>
      <c r="F716" s="932"/>
      <c r="G716" s="932"/>
      <c r="H716" s="932"/>
      <c r="I716" s="932"/>
      <c r="J716" s="932"/>
      <c r="K716" s="932"/>
      <c r="L716" s="932"/>
      <c r="M716" s="932"/>
      <c r="N716" s="932"/>
      <c r="O716" s="932"/>
      <c r="P716" s="932"/>
      <c r="Q716" s="932"/>
      <c r="R716" s="932"/>
      <c r="S716" s="932"/>
      <c r="T716" s="932"/>
      <c r="U716" s="932"/>
      <c r="V716" s="932"/>
      <c r="W716" s="932"/>
      <c r="X716" s="932"/>
      <c r="Y716" s="932"/>
      <c r="Z716" s="932"/>
      <c r="AA716" s="932"/>
      <c r="AB716" s="932"/>
      <c r="AC716" s="932"/>
      <c r="AD716" s="932"/>
      <c r="AE716" s="932"/>
      <c r="AF716" s="932"/>
      <c r="AG716" s="932"/>
      <c r="AH716" s="932"/>
      <c r="AI716" s="932"/>
      <c r="AJ716" s="932"/>
      <c r="AK716" s="932"/>
      <c r="AL716" s="932"/>
      <c r="AM716" s="932"/>
      <c r="AN716" s="932"/>
      <c r="AO716" s="932"/>
      <c r="AP716" s="932"/>
      <c r="AQ716" s="932"/>
      <c r="AR716" s="932"/>
      <c r="AS716" s="932"/>
      <c r="AT716" s="932"/>
      <c r="AU716" s="932"/>
      <c r="AV716" s="932"/>
      <c r="AW716" s="932"/>
      <c r="AX716" s="932"/>
      <c r="AY716" s="932"/>
      <c r="AZ716" s="932"/>
      <c r="BA716" s="932"/>
      <c r="BB716" s="932"/>
      <c r="BC716" s="932"/>
      <c r="BD716" s="932"/>
      <c r="BE716" s="932"/>
      <c r="BF716" s="932"/>
    </row>
    <row r="717" spans="2:58" ht="15" x14ac:dyDescent="0.25">
      <c r="B717" s="932"/>
      <c r="C717" s="932"/>
      <c r="D717" s="932"/>
      <c r="E717" s="932"/>
      <c r="F717" s="932"/>
      <c r="G717" s="932"/>
      <c r="H717" s="932"/>
      <c r="I717" s="932"/>
      <c r="J717" s="932"/>
      <c r="K717" s="932"/>
      <c r="L717" s="932"/>
      <c r="M717" s="932"/>
      <c r="N717" s="932"/>
      <c r="O717" s="932"/>
      <c r="P717" s="932"/>
      <c r="Q717" s="932"/>
      <c r="R717" s="932"/>
      <c r="S717" s="932"/>
      <c r="T717" s="932"/>
      <c r="U717" s="932"/>
      <c r="V717" s="932"/>
      <c r="W717" s="932"/>
      <c r="X717" s="932"/>
      <c r="Y717" s="932"/>
      <c r="Z717" s="932"/>
      <c r="AA717" s="932"/>
      <c r="AB717" s="932"/>
      <c r="AC717" s="932"/>
      <c r="AD717" s="932"/>
      <c r="AE717" s="932"/>
      <c r="AF717" s="932"/>
      <c r="AG717" s="932"/>
      <c r="AH717" s="932"/>
      <c r="AI717" s="932"/>
      <c r="AJ717" s="932"/>
      <c r="AK717" s="932"/>
      <c r="AL717" s="932"/>
      <c r="AM717" s="932"/>
      <c r="AN717" s="932"/>
      <c r="AO717" s="932"/>
      <c r="AP717" s="932"/>
      <c r="AQ717" s="932"/>
      <c r="AR717" s="932"/>
      <c r="AS717" s="932"/>
      <c r="AT717" s="932"/>
      <c r="AU717" s="932"/>
      <c r="AV717" s="932"/>
      <c r="AW717" s="932"/>
      <c r="AX717" s="932"/>
      <c r="AY717" s="932"/>
      <c r="AZ717" s="932"/>
      <c r="BA717" s="932"/>
      <c r="BB717" s="932"/>
      <c r="BC717" s="932"/>
      <c r="BD717" s="932"/>
      <c r="BE717" s="932"/>
      <c r="BF717" s="932"/>
    </row>
    <row r="718" spans="2:58" ht="15" x14ac:dyDescent="0.25">
      <c r="B718" s="932"/>
      <c r="C718" s="932"/>
      <c r="D718" s="932"/>
      <c r="E718" s="932"/>
      <c r="F718" s="932"/>
      <c r="G718" s="932"/>
      <c r="H718" s="932"/>
      <c r="I718" s="932"/>
      <c r="J718" s="932"/>
      <c r="K718" s="932"/>
      <c r="L718" s="932"/>
      <c r="M718" s="932"/>
      <c r="N718" s="932"/>
      <c r="O718" s="932"/>
      <c r="P718" s="932"/>
      <c r="Q718" s="932"/>
      <c r="R718" s="932"/>
      <c r="S718" s="932"/>
      <c r="T718" s="932"/>
      <c r="U718" s="932"/>
      <c r="V718" s="932"/>
      <c r="W718" s="932"/>
      <c r="X718" s="932"/>
      <c r="Y718" s="932"/>
      <c r="Z718" s="932"/>
      <c r="AA718" s="932"/>
      <c r="AB718" s="932"/>
      <c r="AC718" s="932"/>
      <c r="AD718" s="932"/>
      <c r="AE718" s="932"/>
      <c r="AF718" s="932"/>
      <c r="AG718" s="932"/>
      <c r="AH718" s="932"/>
      <c r="AI718" s="932"/>
      <c r="AJ718" s="932"/>
      <c r="AK718" s="932"/>
      <c r="AL718" s="932"/>
      <c r="AM718" s="932"/>
      <c r="AN718" s="932"/>
      <c r="AO718" s="932"/>
      <c r="AP718" s="932"/>
      <c r="AQ718" s="932"/>
      <c r="AR718" s="932"/>
      <c r="AS718" s="932"/>
      <c r="AT718" s="932"/>
      <c r="AU718" s="932"/>
      <c r="AV718" s="932"/>
      <c r="AW718" s="932"/>
      <c r="AX718" s="932"/>
      <c r="AY718" s="932"/>
      <c r="AZ718" s="932"/>
      <c r="BA718" s="932"/>
      <c r="BB718" s="932"/>
      <c r="BC718" s="932"/>
      <c r="BD718" s="932"/>
      <c r="BE718" s="932"/>
      <c r="BF718" s="932"/>
    </row>
    <row r="719" spans="2:58" ht="15" x14ac:dyDescent="0.25">
      <c r="B719" s="932"/>
      <c r="C719" s="932"/>
      <c r="D719" s="932"/>
      <c r="E719" s="932"/>
      <c r="F719" s="932"/>
      <c r="G719" s="932"/>
      <c r="H719" s="932"/>
      <c r="I719" s="932"/>
      <c r="J719" s="932"/>
      <c r="K719" s="932"/>
      <c r="L719" s="932"/>
      <c r="M719" s="932"/>
      <c r="N719" s="932"/>
      <c r="O719" s="932"/>
      <c r="P719" s="932"/>
      <c r="Q719" s="932"/>
      <c r="R719" s="932"/>
      <c r="S719" s="932"/>
      <c r="T719" s="932"/>
      <c r="U719" s="932"/>
      <c r="V719" s="932"/>
      <c r="W719" s="932"/>
      <c r="X719" s="932"/>
      <c r="Y719" s="932"/>
      <c r="Z719" s="932"/>
      <c r="AA719" s="932"/>
      <c r="AB719" s="932"/>
      <c r="AC719" s="932"/>
      <c r="AD719" s="932"/>
      <c r="AE719" s="932"/>
      <c r="AF719" s="932"/>
      <c r="AG719" s="932"/>
      <c r="AH719" s="932"/>
      <c r="AI719" s="932"/>
      <c r="AJ719" s="932"/>
      <c r="AK719" s="932"/>
      <c r="AL719" s="932"/>
      <c r="AM719" s="932"/>
      <c r="AN719" s="932"/>
      <c r="AO719" s="932"/>
      <c r="AP719" s="932"/>
      <c r="AQ719" s="932"/>
      <c r="AR719" s="932"/>
      <c r="AS719" s="932"/>
      <c r="AT719" s="932"/>
      <c r="AU719" s="932"/>
      <c r="AV719" s="932"/>
      <c r="AW719" s="932"/>
      <c r="AX719" s="932"/>
      <c r="AY719" s="932"/>
      <c r="AZ719" s="932"/>
      <c r="BA719" s="932"/>
      <c r="BB719" s="932"/>
      <c r="BC719" s="932"/>
      <c r="BD719" s="932"/>
      <c r="BE719" s="932"/>
      <c r="BF719" s="932"/>
    </row>
    <row r="720" spans="2:58" ht="15" x14ac:dyDescent="0.25">
      <c r="B720" s="932"/>
      <c r="C720" s="932"/>
      <c r="D720" s="932"/>
      <c r="E720" s="932"/>
      <c r="F720" s="932"/>
      <c r="G720" s="932"/>
      <c r="H720" s="932"/>
      <c r="I720" s="932"/>
      <c r="J720" s="932"/>
      <c r="K720" s="932"/>
      <c r="L720" s="932"/>
      <c r="M720" s="932"/>
      <c r="N720" s="932"/>
      <c r="O720" s="932"/>
      <c r="P720" s="932"/>
      <c r="Q720" s="932"/>
      <c r="R720" s="932"/>
      <c r="S720" s="932"/>
      <c r="T720" s="932"/>
      <c r="U720" s="932"/>
      <c r="V720" s="932"/>
      <c r="W720" s="932"/>
      <c r="X720" s="932"/>
      <c r="Y720" s="932"/>
      <c r="Z720" s="932"/>
      <c r="AA720" s="932"/>
      <c r="AB720" s="932"/>
      <c r="AC720" s="932"/>
      <c r="AD720" s="932"/>
      <c r="AE720" s="932"/>
      <c r="AF720" s="932"/>
      <c r="AG720" s="932"/>
      <c r="AH720" s="932"/>
      <c r="AI720" s="932"/>
      <c r="AJ720" s="932"/>
      <c r="AK720" s="932"/>
      <c r="AL720" s="932"/>
      <c r="AM720" s="932"/>
      <c r="AN720" s="932"/>
      <c r="AO720" s="932"/>
      <c r="AP720" s="932"/>
      <c r="AQ720" s="932"/>
      <c r="AR720" s="932"/>
      <c r="AS720" s="932"/>
      <c r="AT720" s="932"/>
      <c r="AU720" s="932"/>
      <c r="AV720" s="932"/>
      <c r="AW720" s="932"/>
      <c r="AX720" s="932"/>
      <c r="AY720" s="932"/>
      <c r="AZ720" s="932"/>
      <c r="BA720" s="932"/>
      <c r="BB720" s="932"/>
      <c r="BC720" s="932"/>
      <c r="BD720" s="932"/>
      <c r="BE720" s="932"/>
      <c r="BF720" s="932"/>
    </row>
    <row r="721" spans="2:58" ht="15" x14ac:dyDescent="0.25">
      <c r="B721" s="932"/>
      <c r="C721" s="932"/>
      <c r="D721" s="932"/>
      <c r="E721" s="932"/>
      <c r="F721" s="932"/>
      <c r="G721" s="932"/>
      <c r="H721" s="932"/>
      <c r="I721" s="932"/>
      <c r="J721" s="932"/>
      <c r="K721" s="932"/>
      <c r="L721" s="932"/>
      <c r="M721" s="932"/>
      <c r="N721" s="932"/>
      <c r="O721" s="932"/>
      <c r="P721" s="932"/>
      <c r="Q721" s="932"/>
      <c r="R721" s="932"/>
      <c r="S721" s="932"/>
      <c r="T721" s="932"/>
      <c r="U721" s="932"/>
      <c r="V721" s="932"/>
      <c r="W721" s="932"/>
      <c r="X721" s="932"/>
      <c r="Y721" s="932"/>
      <c r="Z721" s="932"/>
      <c r="AA721" s="932"/>
      <c r="AB721" s="932"/>
      <c r="AC721" s="932"/>
      <c r="AD721" s="932"/>
      <c r="AE721" s="932"/>
      <c r="AF721" s="932"/>
      <c r="AG721" s="932"/>
      <c r="AH721" s="932"/>
      <c r="AI721" s="932"/>
      <c r="AJ721" s="932"/>
      <c r="AK721" s="932"/>
      <c r="AL721" s="932"/>
      <c r="AM721" s="932"/>
      <c r="AN721" s="932"/>
      <c r="AO721" s="932"/>
      <c r="AP721" s="932"/>
      <c r="AQ721" s="932"/>
      <c r="AR721" s="932"/>
      <c r="AS721" s="932"/>
      <c r="AT721" s="932"/>
      <c r="AU721" s="932"/>
      <c r="AV721" s="932"/>
      <c r="AW721" s="932"/>
      <c r="AX721" s="932"/>
      <c r="AY721" s="932"/>
      <c r="AZ721" s="932"/>
      <c r="BA721" s="932"/>
      <c r="BB721" s="932"/>
      <c r="BC721" s="932"/>
      <c r="BD721" s="932"/>
      <c r="BE721" s="932"/>
      <c r="BF721" s="932"/>
    </row>
    <row r="722" spans="2:58" ht="15" x14ac:dyDescent="0.25">
      <c r="B722" s="932"/>
      <c r="C722" s="932"/>
      <c r="D722" s="932"/>
      <c r="E722" s="932"/>
      <c r="F722" s="932"/>
      <c r="G722" s="932"/>
      <c r="H722" s="932"/>
      <c r="I722" s="932"/>
      <c r="J722" s="932"/>
      <c r="K722" s="932"/>
      <c r="L722" s="932"/>
      <c r="M722" s="932"/>
      <c r="N722" s="932"/>
      <c r="O722" s="932"/>
      <c r="P722" s="932"/>
      <c r="Q722" s="932"/>
      <c r="R722" s="932"/>
      <c r="S722" s="932"/>
      <c r="T722" s="932"/>
      <c r="U722" s="932"/>
      <c r="V722" s="932"/>
      <c r="W722" s="932"/>
      <c r="X722" s="932"/>
      <c r="Y722" s="932"/>
      <c r="Z722" s="932"/>
      <c r="AA722" s="932"/>
      <c r="AB722" s="932"/>
      <c r="AC722" s="932"/>
      <c r="AD722" s="932"/>
      <c r="AE722" s="932"/>
      <c r="AF722" s="932"/>
      <c r="AG722" s="932"/>
      <c r="AH722" s="932"/>
      <c r="AI722" s="932"/>
      <c r="AJ722" s="932"/>
      <c r="AK722" s="932"/>
      <c r="AL722" s="932"/>
      <c r="AM722" s="932"/>
      <c r="AN722" s="932"/>
      <c r="AO722" s="932"/>
      <c r="AP722" s="932"/>
      <c r="AQ722" s="932"/>
      <c r="AR722" s="932"/>
      <c r="AS722" s="932"/>
      <c r="AT722" s="932"/>
      <c r="AU722" s="932"/>
      <c r="AV722" s="932"/>
      <c r="AW722" s="932"/>
      <c r="AX722" s="932"/>
      <c r="AY722" s="932"/>
      <c r="AZ722" s="932"/>
      <c r="BA722" s="932"/>
      <c r="BB722" s="932"/>
      <c r="BC722" s="932"/>
      <c r="BD722" s="932"/>
      <c r="BE722" s="932"/>
      <c r="BF722" s="932"/>
    </row>
    <row r="723" spans="2:58" ht="15" x14ac:dyDescent="0.25">
      <c r="B723" s="932"/>
      <c r="C723" s="932"/>
      <c r="D723" s="932"/>
      <c r="E723" s="932"/>
      <c r="F723" s="932"/>
      <c r="G723" s="932"/>
      <c r="H723" s="932"/>
      <c r="I723" s="932"/>
      <c r="J723" s="932"/>
      <c r="K723" s="932"/>
      <c r="L723" s="932"/>
      <c r="M723" s="932"/>
      <c r="N723" s="932"/>
      <c r="O723" s="932"/>
      <c r="P723" s="932"/>
      <c r="Q723" s="932"/>
      <c r="R723" s="932"/>
      <c r="S723" s="932"/>
      <c r="T723" s="932"/>
      <c r="U723" s="932"/>
      <c r="V723" s="932"/>
      <c r="W723" s="932"/>
      <c r="X723" s="932"/>
      <c r="Y723" s="932"/>
      <c r="Z723" s="932"/>
      <c r="AA723" s="932"/>
      <c r="AB723" s="932"/>
      <c r="AC723" s="932"/>
      <c r="AD723" s="932"/>
      <c r="AE723" s="932"/>
      <c r="AF723" s="932"/>
      <c r="AG723" s="932"/>
      <c r="AH723" s="932"/>
      <c r="AI723" s="932"/>
      <c r="AJ723" s="932"/>
      <c r="AK723" s="932"/>
      <c r="AL723" s="932"/>
      <c r="AM723" s="932"/>
      <c r="AN723" s="932"/>
      <c r="AO723" s="932"/>
      <c r="AP723" s="932"/>
      <c r="AQ723" s="932"/>
      <c r="AR723" s="932"/>
      <c r="AS723" s="932"/>
      <c r="AT723" s="932"/>
      <c r="AU723" s="932"/>
      <c r="AV723" s="932"/>
      <c r="AW723" s="932"/>
      <c r="AX723" s="932"/>
      <c r="AY723" s="932"/>
      <c r="AZ723" s="932"/>
      <c r="BA723" s="932"/>
      <c r="BB723" s="932"/>
      <c r="BC723" s="932"/>
      <c r="BD723" s="932"/>
      <c r="BE723" s="932"/>
      <c r="BF723" s="932"/>
    </row>
    <row r="724" spans="2:58" ht="15" x14ac:dyDescent="0.25">
      <c r="B724" s="932"/>
      <c r="C724" s="932"/>
      <c r="D724" s="932"/>
      <c r="E724" s="932"/>
      <c r="F724" s="932"/>
      <c r="G724" s="932"/>
      <c r="H724" s="932"/>
      <c r="I724" s="932"/>
      <c r="J724" s="932"/>
      <c r="K724" s="932"/>
      <c r="L724" s="932"/>
      <c r="M724" s="932"/>
      <c r="N724" s="932"/>
      <c r="O724" s="932"/>
      <c r="P724" s="932"/>
      <c r="Q724" s="932"/>
      <c r="R724" s="932"/>
      <c r="S724" s="932"/>
      <c r="T724" s="932"/>
      <c r="U724" s="932"/>
      <c r="V724" s="932"/>
      <c r="W724" s="932"/>
      <c r="X724" s="932"/>
      <c r="Y724" s="932"/>
      <c r="Z724" s="932"/>
      <c r="AA724" s="932"/>
      <c r="AB724" s="932"/>
      <c r="AC724" s="932"/>
      <c r="AD724" s="932"/>
      <c r="AE724" s="932"/>
      <c r="AF724" s="932"/>
      <c r="AG724" s="932"/>
      <c r="AH724" s="932"/>
      <c r="AI724" s="932"/>
      <c r="AJ724" s="932"/>
      <c r="AK724" s="932"/>
      <c r="AL724" s="932"/>
      <c r="AM724" s="932"/>
      <c r="AN724" s="932"/>
      <c r="AO724" s="932"/>
      <c r="AP724" s="932"/>
      <c r="AQ724" s="932"/>
      <c r="AR724" s="932"/>
      <c r="AS724" s="932"/>
      <c r="AT724" s="932"/>
      <c r="AU724" s="932"/>
      <c r="AV724" s="932"/>
      <c r="AW724" s="932"/>
      <c r="AX724" s="932"/>
      <c r="AY724" s="932"/>
      <c r="AZ724" s="932"/>
      <c r="BA724" s="932"/>
      <c r="BB724" s="932"/>
      <c r="BC724" s="932"/>
      <c r="BD724" s="932"/>
      <c r="BE724" s="932"/>
      <c r="BF724" s="932"/>
    </row>
    <row r="725" spans="2:58" ht="15" x14ac:dyDescent="0.25">
      <c r="B725" s="932"/>
      <c r="C725" s="932"/>
      <c r="D725" s="932"/>
      <c r="E725" s="932"/>
      <c r="F725" s="932"/>
      <c r="G725" s="932"/>
      <c r="H725" s="932"/>
      <c r="I725" s="932"/>
      <c r="J725" s="932"/>
      <c r="K725" s="932"/>
      <c r="L725" s="932"/>
      <c r="M725" s="932"/>
      <c r="N725" s="932"/>
      <c r="O725" s="932"/>
      <c r="P725" s="932"/>
      <c r="Q725" s="932"/>
      <c r="R725" s="932"/>
      <c r="S725" s="932"/>
      <c r="T725" s="932"/>
      <c r="U725" s="932"/>
      <c r="V725" s="932"/>
      <c r="W725" s="932"/>
      <c r="X725" s="932"/>
      <c r="Y725" s="932"/>
      <c r="Z725" s="932"/>
      <c r="AA725" s="932"/>
      <c r="AB725" s="932"/>
      <c r="AC725" s="932"/>
      <c r="AD725" s="932"/>
      <c r="AE725" s="932"/>
      <c r="AF725" s="932"/>
      <c r="AG725" s="932"/>
      <c r="AH725" s="932"/>
      <c r="AI725" s="932"/>
      <c r="AJ725" s="932"/>
      <c r="AK725" s="932"/>
      <c r="AL725" s="932"/>
      <c r="AM725" s="932"/>
      <c r="AN725" s="932"/>
      <c r="AO725" s="932"/>
      <c r="AP725" s="932"/>
      <c r="AQ725" s="932"/>
      <c r="AR725" s="932"/>
      <c r="AS725" s="932"/>
      <c r="AT725" s="932"/>
      <c r="AU725" s="932"/>
      <c r="AV725" s="932"/>
      <c r="AW725" s="932"/>
      <c r="AX725" s="932"/>
      <c r="AY725" s="932"/>
      <c r="AZ725" s="932"/>
      <c r="BA725" s="932"/>
      <c r="BB725" s="932"/>
      <c r="BC725" s="932"/>
      <c r="BD725" s="932"/>
      <c r="BE725" s="932"/>
      <c r="BF725" s="932"/>
    </row>
    <row r="726" spans="2:58" ht="15" x14ac:dyDescent="0.25">
      <c r="B726" s="932"/>
      <c r="C726" s="932"/>
      <c r="D726" s="932"/>
      <c r="E726" s="932"/>
      <c r="F726" s="932"/>
      <c r="G726" s="932"/>
      <c r="H726" s="932"/>
      <c r="I726" s="932"/>
      <c r="J726" s="932"/>
      <c r="K726" s="932"/>
      <c r="L726" s="932"/>
      <c r="M726" s="932"/>
      <c r="N726" s="932"/>
      <c r="O726" s="932"/>
      <c r="P726" s="932"/>
      <c r="Q726" s="932"/>
      <c r="R726" s="932"/>
      <c r="S726" s="932"/>
      <c r="T726" s="932"/>
      <c r="U726" s="932"/>
      <c r="V726" s="932"/>
      <c r="W726" s="932"/>
      <c r="X726" s="932"/>
      <c r="Y726" s="932"/>
      <c r="Z726" s="932"/>
      <c r="AA726" s="932"/>
      <c r="AB726" s="932"/>
      <c r="AC726" s="932"/>
      <c r="AD726" s="932"/>
      <c r="AE726" s="932"/>
      <c r="AF726" s="932"/>
      <c r="AG726" s="932"/>
      <c r="AH726" s="932"/>
      <c r="AI726" s="932"/>
      <c r="AJ726" s="932"/>
      <c r="AK726" s="932"/>
      <c r="AL726" s="932"/>
      <c r="AM726" s="932"/>
      <c r="AN726" s="932"/>
      <c r="AO726" s="932"/>
      <c r="AP726" s="932"/>
      <c r="AQ726" s="932"/>
      <c r="AR726" s="932"/>
      <c r="AS726" s="932"/>
      <c r="AT726" s="932"/>
      <c r="AU726" s="932"/>
      <c r="AV726" s="932"/>
      <c r="AW726" s="932"/>
      <c r="AX726" s="932"/>
      <c r="AY726" s="932"/>
      <c r="AZ726" s="932"/>
      <c r="BA726" s="932"/>
      <c r="BB726" s="932"/>
      <c r="BC726" s="932"/>
      <c r="BD726" s="932"/>
      <c r="BE726" s="932"/>
      <c r="BF726" s="932"/>
    </row>
    <row r="727" spans="2:58" ht="15" x14ac:dyDescent="0.25">
      <c r="B727" s="932"/>
      <c r="C727" s="932"/>
      <c r="D727" s="932"/>
      <c r="E727" s="932"/>
      <c r="F727" s="932"/>
      <c r="G727" s="932"/>
      <c r="H727" s="932"/>
      <c r="I727" s="932"/>
      <c r="J727" s="932"/>
      <c r="K727" s="932"/>
      <c r="L727" s="932"/>
      <c r="M727" s="932"/>
      <c r="N727" s="932"/>
      <c r="O727" s="932"/>
      <c r="P727" s="932"/>
      <c r="Q727" s="932"/>
      <c r="R727" s="932"/>
      <c r="S727" s="932"/>
      <c r="T727" s="932"/>
      <c r="U727" s="932"/>
      <c r="V727" s="932"/>
      <c r="W727" s="932"/>
      <c r="X727" s="932"/>
      <c r="Y727" s="932"/>
      <c r="Z727" s="932"/>
      <c r="AA727" s="932"/>
      <c r="AB727" s="932"/>
      <c r="AC727" s="932"/>
      <c r="AD727" s="932"/>
      <c r="AE727" s="932"/>
      <c r="AF727" s="932"/>
      <c r="AG727" s="932"/>
      <c r="AH727" s="932"/>
      <c r="AI727" s="932"/>
      <c r="AJ727" s="932"/>
      <c r="AK727" s="932"/>
      <c r="AL727" s="932"/>
      <c r="AM727" s="932"/>
      <c r="AN727" s="932"/>
      <c r="AO727" s="932"/>
      <c r="AP727" s="932"/>
      <c r="AQ727" s="932"/>
      <c r="AR727" s="932"/>
      <c r="AS727" s="932"/>
      <c r="AT727" s="932"/>
      <c r="AU727" s="932"/>
      <c r="AV727" s="932"/>
      <c r="AW727" s="932"/>
      <c r="AX727" s="932"/>
      <c r="AY727" s="932"/>
      <c r="AZ727" s="932"/>
      <c r="BA727" s="932"/>
      <c r="BB727" s="932"/>
      <c r="BC727" s="932"/>
      <c r="BD727" s="932"/>
      <c r="BE727" s="932"/>
      <c r="BF727" s="932"/>
    </row>
    <row r="728" spans="2:58" ht="15" x14ac:dyDescent="0.25">
      <c r="B728" s="932"/>
      <c r="C728" s="932"/>
      <c r="D728" s="932"/>
      <c r="E728" s="932"/>
      <c r="F728" s="932"/>
      <c r="G728" s="932"/>
      <c r="H728" s="932"/>
      <c r="I728" s="932"/>
      <c r="J728" s="932"/>
      <c r="K728" s="932"/>
      <c r="L728" s="932"/>
      <c r="M728" s="932"/>
      <c r="N728" s="932"/>
      <c r="O728" s="932"/>
      <c r="P728" s="932"/>
      <c r="Q728" s="932"/>
      <c r="R728" s="932"/>
      <c r="S728" s="932"/>
      <c r="T728" s="932"/>
      <c r="U728" s="932"/>
      <c r="V728" s="932"/>
      <c r="W728" s="932"/>
      <c r="X728" s="932"/>
      <c r="Y728" s="932"/>
      <c r="Z728" s="932"/>
      <c r="AA728" s="932"/>
      <c r="AB728" s="932"/>
      <c r="AC728" s="932"/>
      <c r="AD728" s="932"/>
      <c r="AE728" s="932"/>
      <c r="AF728" s="932"/>
      <c r="AG728" s="932"/>
      <c r="AH728" s="932"/>
      <c r="AI728" s="932"/>
      <c r="AJ728" s="932"/>
      <c r="AK728" s="932"/>
      <c r="AL728" s="932"/>
      <c r="AM728" s="932"/>
      <c r="AN728" s="932"/>
      <c r="AO728" s="932"/>
      <c r="AP728" s="932"/>
      <c r="AQ728" s="932"/>
      <c r="AR728" s="932"/>
      <c r="AS728" s="932"/>
      <c r="AT728" s="932"/>
      <c r="AU728" s="932"/>
      <c r="AV728" s="932"/>
      <c r="AW728" s="932"/>
      <c r="AX728" s="932"/>
      <c r="AY728" s="932"/>
      <c r="AZ728" s="932"/>
      <c r="BA728" s="932"/>
      <c r="BB728" s="932"/>
      <c r="BC728" s="932"/>
      <c r="BD728" s="932"/>
      <c r="BE728" s="932"/>
      <c r="BF728" s="932"/>
    </row>
    <row r="729" spans="2:58" ht="15" x14ac:dyDescent="0.25">
      <c r="B729" s="932"/>
      <c r="C729" s="932"/>
      <c r="D729" s="932"/>
      <c r="E729" s="932"/>
      <c r="F729" s="932"/>
      <c r="G729" s="932"/>
      <c r="H729" s="932"/>
      <c r="I729" s="932"/>
      <c r="J729" s="932"/>
      <c r="K729" s="932"/>
      <c r="L729" s="932"/>
      <c r="M729" s="932"/>
      <c r="N729" s="932"/>
      <c r="O729" s="932"/>
      <c r="P729" s="932"/>
      <c r="Q729" s="932"/>
      <c r="R729" s="932"/>
      <c r="S729" s="932"/>
      <c r="T729" s="932"/>
      <c r="U729" s="932"/>
      <c r="V729" s="932"/>
      <c r="W729" s="932"/>
      <c r="X729" s="932"/>
      <c r="Y729" s="932"/>
      <c r="Z729" s="932"/>
      <c r="AA729" s="932"/>
      <c r="AB729" s="932"/>
      <c r="AC729" s="932"/>
      <c r="AD729" s="932"/>
      <c r="AE729" s="932"/>
      <c r="AF729" s="932"/>
      <c r="AG729" s="932"/>
      <c r="AH729" s="932"/>
      <c r="AI729" s="932"/>
      <c r="AJ729" s="932"/>
      <c r="AK729" s="932"/>
      <c r="AL729" s="932"/>
      <c r="AM729" s="932"/>
      <c r="AN729" s="932"/>
      <c r="AO729" s="932"/>
      <c r="AP729" s="932"/>
      <c r="AQ729" s="932"/>
      <c r="AR729" s="932"/>
      <c r="AS729" s="932"/>
      <c r="AT729" s="932"/>
      <c r="AU729" s="932"/>
      <c r="AV729" s="932"/>
      <c r="AW729" s="932"/>
      <c r="AX729" s="932"/>
      <c r="AY729" s="932"/>
      <c r="AZ729" s="932"/>
      <c r="BA729" s="932"/>
      <c r="BB729" s="932"/>
      <c r="BC729" s="932"/>
      <c r="BD729" s="932"/>
      <c r="BE729" s="932"/>
      <c r="BF729" s="932"/>
    </row>
    <row r="730" spans="2:58" ht="15" x14ac:dyDescent="0.25">
      <c r="B730" s="932"/>
      <c r="C730" s="932"/>
      <c r="D730" s="932"/>
      <c r="E730" s="932"/>
      <c r="F730" s="932"/>
      <c r="G730" s="932"/>
      <c r="H730" s="932"/>
      <c r="I730" s="932"/>
      <c r="J730" s="932"/>
      <c r="K730" s="932"/>
      <c r="L730" s="932"/>
      <c r="M730" s="932"/>
      <c r="N730" s="932"/>
      <c r="O730" s="932"/>
      <c r="P730" s="932"/>
      <c r="Q730" s="932"/>
      <c r="R730" s="932"/>
      <c r="S730" s="932"/>
      <c r="T730" s="932"/>
      <c r="U730" s="932"/>
      <c r="V730" s="932"/>
      <c r="W730" s="932"/>
      <c r="X730" s="932"/>
      <c r="Y730" s="932"/>
      <c r="Z730" s="932"/>
      <c r="AA730" s="932"/>
      <c r="AB730" s="932"/>
      <c r="AC730" s="932"/>
      <c r="AD730" s="932"/>
      <c r="AE730" s="932"/>
      <c r="AF730" s="932"/>
      <c r="AG730" s="932"/>
      <c r="AH730" s="932"/>
      <c r="AI730" s="932"/>
      <c r="AJ730" s="932"/>
      <c r="AK730" s="932"/>
      <c r="AL730" s="932"/>
      <c r="AM730" s="932"/>
      <c r="AN730" s="932"/>
      <c r="AO730" s="932"/>
      <c r="AP730" s="932"/>
      <c r="AQ730" s="932"/>
      <c r="AR730" s="932"/>
      <c r="AS730" s="932"/>
      <c r="AT730" s="932"/>
      <c r="AU730" s="932"/>
      <c r="AV730" s="932"/>
      <c r="AW730" s="932"/>
      <c r="AX730" s="932"/>
      <c r="AY730" s="932"/>
      <c r="AZ730" s="932"/>
      <c r="BA730" s="932"/>
      <c r="BB730" s="932"/>
      <c r="BC730" s="932"/>
      <c r="BD730" s="932"/>
      <c r="BE730" s="932"/>
      <c r="BF730" s="932"/>
    </row>
    <row r="731" spans="2:58" ht="15" x14ac:dyDescent="0.25">
      <c r="B731" s="932"/>
      <c r="C731" s="932"/>
      <c r="D731" s="932"/>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932"/>
      <c r="AD731" s="932"/>
      <c r="AE731" s="932"/>
      <c r="AF731" s="932"/>
      <c r="AG731" s="932"/>
      <c r="AH731" s="932"/>
      <c r="AI731" s="932"/>
      <c r="AJ731" s="932"/>
      <c r="AK731" s="932"/>
      <c r="AL731" s="932"/>
      <c r="AM731" s="932"/>
      <c r="AN731" s="932"/>
      <c r="AO731" s="932"/>
      <c r="AP731" s="932"/>
      <c r="AQ731" s="932"/>
      <c r="AR731" s="932"/>
      <c r="AS731" s="932"/>
      <c r="AT731" s="932"/>
      <c r="AU731" s="932"/>
      <c r="AV731" s="932"/>
      <c r="AW731" s="932"/>
      <c r="AX731" s="932"/>
      <c r="AY731" s="932"/>
      <c r="AZ731" s="932"/>
      <c r="BA731" s="932"/>
      <c r="BB731" s="932"/>
      <c r="BC731" s="932"/>
      <c r="BD731" s="932"/>
      <c r="BE731" s="932"/>
      <c r="BF731" s="932"/>
    </row>
    <row r="732" spans="2:58" ht="15" x14ac:dyDescent="0.25">
      <c r="B732" s="932"/>
      <c r="C732" s="932"/>
      <c r="D732" s="932"/>
      <c r="E732" s="932"/>
      <c r="F732" s="932"/>
      <c r="G732" s="932"/>
      <c r="H732" s="932"/>
      <c r="I732" s="932"/>
      <c r="J732" s="932"/>
      <c r="K732" s="932"/>
      <c r="L732" s="932"/>
      <c r="M732" s="932"/>
      <c r="N732" s="932"/>
      <c r="O732" s="932"/>
      <c r="P732" s="932"/>
      <c r="Q732" s="932"/>
      <c r="R732" s="932"/>
      <c r="S732" s="932"/>
      <c r="T732" s="932"/>
      <c r="U732" s="932"/>
      <c r="V732" s="932"/>
      <c r="W732" s="932"/>
      <c r="X732" s="932"/>
      <c r="Y732" s="932"/>
      <c r="Z732" s="932"/>
      <c r="AA732" s="932"/>
      <c r="AB732" s="932"/>
      <c r="AC732" s="932"/>
      <c r="AD732" s="932"/>
      <c r="AE732" s="932"/>
      <c r="AF732" s="932"/>
      <c r="AG732" s="932"/>
      <c r="AH732" s="932"/>
      <c r="AI732" s="932"/>
      <c r="AJ732" s="932"/>
      <c r="AK732" s="932"/>
      <c r="AL732" s="932"/>
      <c r="AM732" s="932"/>
      <c r="AN732" s="932"/>
      <c r="AO732" s="932"/>
      <c r="AP732" s="932"/>
      <c r="AQ732" s="932"/>
      <c r="AR732" s="932"/>
      <c r="AS732" s="932"/>
      <c r="AT732" s="932"/>
      <c r="AU732" s="932"/>
      <c r="AV732" s="932"/>
      <c r="AW732" s="932"/>
      <c r="AX732" s="932"/>
      <c r="AY732" s="932"/>
      <c r="AZ732" s="932"/>
      <c r="BA732" s="932"/>
      <c r="BB732" s="932"/>
      <c r="BC732" s="932"/>
      <c r="BD732" s="932"/>
      <c r="BE732" s="932"/>
      <c r="BF732" s="932"/>
    </row>
    <row r="733" spans="2:58" ht="15" x14ac:dyDescent="0.25">
      <c r="B733" s="932"/>
      <c r="C733" s="932"/>
      <c r="D733" s="932"/>
      <c r="E733" s="932"/>
      <c r="F733" s="932"/>
      <c r="G733" s="932"/>
      <c r="H733" s="932"/>
      <c r="I733" s="932"/>
      <c r="J733" s="932"/>
      <c r="K733" s="932"/>
      <c r="L733" s="932"/>
      <c r="M733" s="932"/>
      <c r="N733" s="932"/>
      <c r="O733" s="932"/>
      <c r="P733" s="932"/>
      <c r="Q733" s="932"/>
      <c r="R733" s="932"/>
      <c r="S733" s="932"/>
      <c r="T733" s="932"/>
      <c r="U733" s="932"/>
      <c r="V733" s="932"/>
      <c r="W733" s="932"/>
      <c r="X733" s="932"/>
      <c r="Y733" s="932"/>
      <c r="Z733" s="932"/>
      <c r="AA733" s="932"/>
      <c r="AB733" s="932"/>
      <c r="AC733" s="932"/>
      <c r="AD733" s="932"/>
      <c r="AE733" s="932"/>
      <c r="AF733" s="932"/>
      <c r="AG733" s="932"/>
      <c r="AH733" s="932"/>
      <c r="AI733" s="932"/>
      <c r="AJ733" s="932"/>
      <c r="AK733" s="932"/>
      <c r="AL733" s="932"/>
      <c r="AM733" s="932"/>
      <c r="AN733" s="932"/>
      <c r="AO733" s="932"/>
      <c r="AP733" s="932"/>
      <c r="AQ733" s="932"/>
      <c r="AR733" s="932"/>
      <c r="AS733" s="932"/>
      <c r="AT733" s="932"/>
      <c r="AU733" s="932"/>
      <c r="AV733" s="932"/>
      <c r="AW733" s="932"/>
      <c r="AX733" s="932"/>
      <c r="AY733" s="932"/>
      <c r="AZ733" s="932"/>
      <c r="BA733" s="932"/>
      <c r="BB733" s="932"/>
      <c r="BC733" s="932"/>
      <c r="BD733" s="932"/>
      <c r="BE733" s="932"/>
      <c r="BF733" s="932"/>
    </row>
    <row r="734" spans="2:58" ht="15" x14ac:dyDescent="0.25">
      <c r="B734" s="932"/>
      <c r="C734" s="932"/>
      <c r="D734" s="932"/>
      <c r="E734" s="932"/>
      <c r="F734" s="932"/>
      <c r="G734" s="932"/>
      <c r="H734" s="932"/>
      <c r="I734" s="932"/>
      <c r="J734" s="932"/>
      <c r="K734" s="932"/>
      <c r="L734" s="932"/>
      <c r="M734" s="932"/>
      <c r="N734" s="932"/>
      <c r="O734" s="932"/>
      <c r="P734" s="932"/>
      <c r="Q734" s="932"/>
      <c r="R734" s="932"/>
      <c r="S734" s="932"/>
      <c r="T734" s="932"/>
      <c r="U734" s="932"/>
      <c r="V734" s="932"/>
      <c r="W734" s="932"/>
      <c r="X734" s="932"/>
      <c r="Y734" s="932"/>
      <c r="Z734" s="932"/>
      <c r="AA734" s="932"/>
      <c r="AB734" s="932"/>
      <c r="AC734" s="932"/>
      <c r="AD734" s="932"/>
      <c r="AE734" s="932"/>
      <c r="AF734" s="932"/>
      <c r="AG734" s="932"/>
      <c r="AH734" s="932"/>
      <c r="AI734" s="932"/>
      <c r="AJ734" s="932"/>
      <c r="AK734" s="932"/>
      <c r="AL734" s="932"/>
      <c r="AM734" s="932"/>
      <c r="AN734" s="932"/>
      <c r="AO734" s="932"/>
      <c r="AP734" s="932"/>
      <c r="AQ734" s="932"/>
      <c r="AR734" s="932"/>
      <c r="AS734" s="932"/>
      <c r="AT734" s="932"/>
      <c r="AU734" s="932"/>
      <c r="AV734" s="932"/>
      <c r="AW734" s="932"/>
      <c r="AX734" s="932"/>
      <c r="AY734" s="932"/>
      <c r="AZ734" s="932"/>
      <c r="BA734" s="932"/>
      <c r="BB734" s="932"/>
      <c r="BC734" s="932"/>
      <c r="BD734" s="932"/>
      <c r="BE734" s="932"/>
      <c r="BF734" s="932"/>
    </row>
    <row r="735" spans="2:58" ht="15" x14ac:dyDescent="0.25">
      <c r="B735" s="932"/>
      <c r="C735" s="932"/>
      <c r="D735" s="932"/>
      <c r="E735" s="932"/>
      <c r="F735" s="932"/>
      <c r="G735" s="932"/>
      <c r="H735" s="932"/>
      <c r="I735" s="932"/>
      <c r="J735" s="932"/>
      <c r="K735" s="932"/>
      <c r="L735" s="932"/>
      <c r="M735" s="932"/>
      <c r="N735" s="932"/>
      <c r="O735" s="932"/>
      <c r="P735" s="932"/>
      <c r="Q735" s="932"/>
      <c r="R735" s="932"/>
      <c r="S735" s="932"/>
      <c r="T735" s="932"/>
      <c r="U735" s="932"/>
      <c r="V735" s="932"/>
      <c r="W735" s="932"/>
      <c r="X735" s="932"/>
      <c r="Y735" s="932"/>
      <c r="Z735" s="932"/>
      <c r="AA735" s="932"/>
      <c r="AB735" s="932"/>
      <c r="AC735" s="932"/>
      <c r="AD735" s="932"/>
      <c r="AE735" s="932"/>
      <c r="AF735" s="932"/>
      <c r="AG735" s="932"/>
      <c r="AH735" s="932"/>
      <c r="AI735" s="932"/>
      <c r="AJ735" s="932"/>
      <c r="AK735" s="932"/>
      <c r="AL735" s="932"/>
      <c r="AM735" s="932"/>
      <c r="AN735" s="932"/>
      <c r="AO735" s="932"/>
      <c r="AP735" s="932"/>
      <c r="AQ735" s="932"/>
      <c r="AR735" s="932"/>
      <c r="AS735" s="932"/>
      <c r="AT735" s="932"/>
      <c r="AU735" s="932"/>
      <c r="AV735" s="932"/>
      <c r="AW735" s="932"/>
      <c r="AX735" s="932"/>
      <c r="AY735" s="932"/>
      <c r="AZ735" s="932"/>
      <c r="BA735" s="932"/>
      <c r="BB735" s="932"/>
      <c r="BC735" s="932"/>
      <c r="BD735" s="932"/>
      <c r="BE735" s="932"/>
      <c r="BF735" s="932"/>
    </row>
    <row r="736" spans="2:58" ht="15" x14ac:dyDescent="0.25">
      <c r="B736" s="932"/>
      <c r="C736" s="932"/>
      <c r="D736" s="932"/>
      <c r="E736" s="932"/>
      <c r="F736" s="932"/>
      <c r="G736" s="932"/>
      <c r="H736" s="932"/>
      <c r="I736" s="932"/>
      <c r="J736" s="932"/>
      <c r="K736" s="932"/>
      <c r="L736" s="932"/>
      <c r="M736" s="932"/>
      <c r="N736" s="932"/>
      <c r="O736" s="932"/>
      <c r="P736" s="932"/>
      <c r="Q736" s="932"/>
      <c r="R736" s="932"/>
      <c r="S736" s="932"/>
      <c r="T736" s="932"/>
      <c r="U736" s="932"/>
      <c r="V736" s="932"/>
      <c r="W736" s="932"/>
      <c r="X736" s="932"/>
      <c r="Y736" s="932"/>
      <c r="Z736" s="932"/>
      <c r="AA736" s="932"/>
      <c r="AB736" s="932"/>
      <c r="AC736" s="932"/>
      <c r="AD736" s="932"/>
      <c r="AE736" s="932"/>
      <c r="AF736" s="932"/>
      <c r="AG736" s="932"/>
      <c r="AH736" s="932"/>
      <c r="AI736" s="932"/>
      <c r="AJ736" s="932"/>
      <c r="AK736" s="932"/>
      <c r="AL736" s="932"/>
      <c r="AM736" s="932"/>
      <c r="AN736" s="932"/>
      <c r="AO736" s="932"/>
      <c r="AP736" s="932"/>
      <c r="AQ736" s="932"/>
      <c r="AR736" s="932"/>
      <c r="AS736" s="932"/>
      <c r="AT736" s="932"/>
      <c r="AU736" s="932"/>
      <c r="AV736" s="932"/>
      <c r="AW736" s="932"/>
      <c r="AX736" s="932"/>
      <c r="AY736" s="932"/>
      <c r="AZ736" s="932"/>
      <c r="BA736" s="932"/>
      <c r="BB736" s="932"/>
      <c r="BC736" s="932"/>
      <c r="BD736" s="932"/>
      <c r="BE736" s="932"/>
      <c r="BF736" s="932"/>
    </row>
    <row r="737" spans="2:58" ht="15" x14ac:dyDescent="0.25">
      <c r="B737" s="932"/>
      <c r="C737" s="932"/>
      <c r="D737" s="932"/>
      <c r="E737" s="932"/>
      <c r="F737" s="932"/>
      <c r="G737" s="932"/>
      <c r="H737" s="932"/>
      <c r="I737" s="932"/>
      <c r="J737" s="932"/>
      <c r="K737" s="932"/>
      <c r="L737" s="932"/>
      <c r="M737" s="932"/>
      <c r="N737" s="932"/>
      <c r="O737" s="932"/>
      <c r="P737" s="932"/>
      <c r="Q737" s="932"/>
      <c r="R737" s="932"/>
      <c r="S737" s="932"/>
      <c r="T737" s="932"/>
      <c r="U737" s="932"/>
      <c r="V737" s="932"/>
      <c r="W737" s="932"/>
      <c r="X737" s="932"/>
      <c r="Y737" s="932"/>
      <c r="Z737" s="932"/>
      <c r="AA737" s="932"/>
      <c r="AB737" s="932"/>
      <c r="AC737" s="932"/>
      <c r="AD737" s="932"/>
      <c r="AE737" s="932"/>
      <c r="AF737" s="932"/>
      <c r="AG737" s="932"/>
      <c r="AH737" s="932"/>
      <c r="AI737" s="932"/>
      <c r="AJ737" s="932"/>
      <c r="AK737" s="932"/>
      <c r="AL737" s="932"/>
      <c r="AM737" s="932"/>
      <c r="AN737" s="932"/>
      <c r="AO737" s="932"/>
      <c r="AP737" s="932"/>
      <c r="AQ737" s="932"/>
      <c r="AR737" s="932"/>
      <c r="AS737" s="932"/>
      <c r="AT737" s="932"/>
      <c r="AU737" s="932"/>
      <c r="AV737" s="932"/>
      <c r="AW737" s="932"/>
      <c r="AX737" s="932"/>
      <c r="AY737" s="932"/>
      <c r="AZ737" s="932"/>
      <c r="BA737" s="932"/>
      <c r="BB737" s="932"/>
      <c r="BC737" s="932"/>
      <c r="BD737" s="932"/>
      <c r="BE737" s="932"/>
      <c r="BF737" s="932"/>
    </row>
    <row r="738" spans="2:58" ht="15" x14ac:dyDescent="0.25">
      <c r="B738" s="932"/>
      <c r="C738" s="932"/>
      <c r="D738" s="932"/>
      <c r="E738" s="932"/>
      <c r="F738" s="932"/>
      <c r="G738" s="932"/>
      <c r="H738" s="932"/>
      <c r="I738" s="932"/>
      <c r="J738" s="932"/>
      <c r="K738" s="932"/>
      <c r="L738" s="932"/>
      <c r="M738" s="932"/>
      <c r="N738" s="932"/>
      <c r="O738" s="932"/>
      <c r="P738" s="932"/>
      <c r="Q738" s="932"/>
      <c r="R738" s="932"/>
      <c r="S738" s="932"/>
      <c r="T738" s="932"/>
      <c r="U738" s="932"/>
      <c r="V738" s="932"/>
      <c r="W738" s="932"/>
      <c r="X738" s="932"/>
      <c r="Y738" s="932"/>
      <c r="Z738" s="932"/>
      <c r="AA738" s="932"/>
      <c r="AB738" s="932"/>
      <c r="AC738" s="932"/>
      <c r="AD738" s="932"/>
      <c r="AE738" s="932"/>
      <c r="AF738" s="932"/>
      <c r="AG738" s="932"/>
      <c r="AH738" s="932"/>
      <c r="AI738" s="932"/>
      <c r="AJ738" s="932"/>
      <c r="AK738" s="932"/>
      <c r="AL738" s="932"/>
      <c r="AM738" s="932"/>
      <c r="AN738" s="932"/>
      <c r="AO738" s="932"/>
      <c r="AP738" s="932"/>
      <c r="AQ738" s="932"/>
      <c r="AR738" s="932"/>
      <c r="AS738" s="932"/>
      <c r="AT738" s="932"/>
      <c r="AU738" s="932"/>
      <c r="AV738" s="932"/>
      <c r="AW738" s="932"/>
      <c r="AX738" s="932"/>
      <c r="AY738" s="932"/>
      <c r="AZ738" s="932"/>
      <c r="BA738" s="932"/>
      <c r="BB738" s="932"/>
      <c r="BC738" s="932"/>
      <c r="BD738" s="932"/>
      <c r="BE738" s="932"/>
      <c r="BF738" s="932"/>
    </row>
    <row r="739" spans="2:58" ht="15" x14ac:dyDescent="0.25">
      <c r="B739" s="932"/>
      <c r="C739" s="932"/>
      <c r="D739" s="932"/>
      <c r="E739" s="932"/>
      <c r="F739" s="932"/>
      <c r="G739" s="932"/>
      <c r="H739" s="932"/>
      <c r="I739" s="932"/>
      <c r="J739" s="932"/>
      <c r="K739" s="932"/>
      <c r="L739" s="932"/>
      <c r="M739" s="932"/>
      <c r="N739" s="932"/>
      <c r="O739" s="932"/>
      <c r="P739" s="932"/>
      <c r="Q739" s="932"/>
      <c r="R739" s="932"/>
      <c r="S739" s="932"/>
      <c r="T739" s="932"/>
      <c r="U739" s="932"/>
      <c r="V739" s="932"/>
      <c r="W739" s="932"/>
      <c r="X739" s="932"/>
      <c r="Y739" s="932"/>
      <c r="Z739" s="932"/>
      <c r="AA739" s="932"/>
      <c r="AB739" s="932"/>
      <c r="AC739" s="932"/>
      <c r="AD739" s="932"/>
      <c r="AE739" s="932"/>
      <c r="AF739" s="932"/>
      <c r="AG739" s="932"/>
      <c r="AH739" s="932"/>
      <c r="AI739" s="932"/>
      <c r="AJ739" s="932"/>
      <c r="AK739" s="932"/>
      <c r="AL739" s="932"/>
      <c r="AM739" s="932"/>
      <c r="AN739" s="932"/>
      <c r="AO739" s="932"/>
      <c r="AP739" s="932"/>
      <c r="AQ739" s="932"/>
      <c r="AR739" s="932"/>
      <c r="AS739" s="932"/>
      <c r="AT739" s="932"/>
      <c r="AU739" s="932"/>
      <c r="AV739" s="932"/>
      <c r="AW739" s="932"/>
      <c r="AX739" s="932"/>
      <c r="AY739" s="932"/>
      <c r="AZ739" s="932"/>
      <c r="BA739" s="932"/>
      <c r="BB739" s="932"/>
      <c r="BC739" s="932"/>
      <c r="BD739" s="932"/>
      <c r="BE739" s="932"/>
      <c r="BF739" s="932"/>
    </row>
    <row r="740" spans="2:58" ht="15" x14ac:dyDescent="0.25">
      <c r="B740" s="932"/>
      <c r="C740" s="932"/>
      <c r="D740" s="932"/>
      <c r="E740" s="932"/>
      <c r="F740" s="932"/>
      <c r="G740" s="932"/>
      <c r="H740" s="932"/>
      <c r="I740" s="932"/>
      <c r="J740" s="932"/>
      <c r="K740" s="932"/>
      <c r="L740" s="932"/>
      <c r="M740" s="932"/>
      <c r="N740" s="932"/>
      <c r="O740" s="932"/>
      <c r="P740" s="932"/>
      <c r="Q740" s="932"/>
      <c r="R740" s="932"/>
      <c r="S740" s="932"/>
      <c r="T740" s="932"/>
      <c r="U740" s="932"/>
      <c r="V740" s="932"/>
      <c r="W740" s="932"/>
      <c r="X740" s="932"/>
      <c r="Y740" s="932"/>
      <c r="Z740" s="932"/>
      <c r="AA740" s="932"/>
      <c r="AB740" s="932"/>
      <c r="AC740" s="932"/>
      <c r="AD740" s="932"/>
      <c r="AE740" s="932"/>
      <c r="AF740" s="932"/>
      <c r="AG740" s="932"/>
      <c r="AH740" s="932"/>
      <c r="AI740" s="932"/>
      <c r="AJ740" s="932"/>
      <c r="AK740" s="932"/>
      <c r="AL740" s="932"/>
      <c r="AM740" s="932"/>
      <c r="AN740" s="932"/>
      <c r="AO740" s="932"/>
      <c r="AP740" s="932"/>
      <c r="AQ740" s="932"/>
      <c r="AR740" s="932"/>
      <c r="AS740" s="932"/>
      <c r="AT740" s="932"/>
      <c r="AU740" s="932"/>
      <c r="AV740" s="932"/>
      <c r="AW740" s="932"/>
      <c r="AX740" s="932"/>
      <c r="AY740" s="932"/>
      <c r="AZ740" s="932"/>
      <c r="BA740" s="932"/>
      <c r="BB740" s="932"/>
      <c r="BC740" s="932"/>
      <c r="BD740" s="932"/>
      <c r="BE740" s="932"/>
      <c r="BF740" s="932"/>
    </row>
    <row r="741" spans="2:58" ht="15" x14ac:dyDescent="0.25">
      <c r="B741" s="932"/>
      <c r="C741" s="932"/>
      <c r="D741" s="932"/>
      <c r="E741" s="932"/>
      <c r="F741" s="932"/>
      <c r="G741" s="932"/>
      <c r="H741" s="932"/>
      <c r="I741" s="932"/>
      <c r="J741" s="932"/>
      <c r="K741" s="932"/>
      <c r="L741" s="932"/>
      <c r="M741" s="932"/>
      <c r="N741" s="932"/>
      <c r="O741" s="932"/>
      <c r="P741" s="932"/>
      <c r="Q741" s="932"/>
      <c r="R741" s="932"/>
      <c r="S741" s="932"/>
      <c r="T741" s="932"/>
      <c r="U741" s="932"/>
      <c r="V741" s="932"/>
      <c r="W741" s="932"/>
      <c r="X741" s="932"/>
      <c r="Y741" s="932"/>
      <c r="Z741" s="932"/>
      <c r="AA741" s="932"/>
      <c r="AB741" s="932"/>
      <c r="AC741" s="932"/>
      <c r="AD741" s="932"/>
      <c r="AE741" s="932"/>
      <c r="AF741" s="932"/>
      <c r="AG741" s="932"/>
      <c r="AH741" s="932"/>
      <c r="AI741" s="932"/>
      <c r="AJ741" s="932"/>
      <c r="AK741" s="932"/>
      <c r="AL741" s="932"/>
      <c r="AM741" s="932"/>
      <c r="AN741" s="932"/>
      <c r="AO741" s="932"/>
      <c r="AP741" s="932"/>
      <c r="AQ741" s="932"/>
      <c r="AR741" s="932"/>
      <c r="AS741" s="932"/>
      <c r="AT741" s="932"/>
      <c r="AU741" s="932"/>
      <c r="AV741" s="932"/>
      <c r="AW741" s="932"/>
      <c r="AX741" s="932"/>
      <c r="AY741" s="932"/>
      <c r="AZ741" s="932"/>
      <c r="BA741" s="932"/>
      <c r="BB741" s="932"/>
      <c r="BC741" s="932"/>
      <c r="BD741" s="932"/>
      <c r="BE741" s="932"/>
      <c r="BF741" s="932"/>
    </row>
    <row r="742" spans="2:58" ht="15" x14ac:dyDescent="0.25">
      <c r="B742" s="932"/>
      <c r="C742" s="932"/>
      <c r="D742" s="932"/>
      <c r="E742" s="932"/>
      <c r="F742" s="932"/>
      <c r="G742" s="932"/>
      <c r="H742" s="932"/>
      <c r="I742" s="932"/>
      <c r="J742" s="932"/>
      <c r="K742" s="932"/>
      <c r="L742" s="932"/>
      <c r="M742" s="932"/>
      <c r="N742" s="932"/>
      <c r="O742" s="932"/>
      <c r="P742" s="932"/>
      <c r="Q742" s="932"/>
      <c r="R742" s="932"/>
      <c r="S742" s="932"/>
      <c r="T742" s="932"/>
      <c r="U742" s="932"/>
      <c r="V742" s="932"/>
      <c r="W742" s="932"/>
      <c r="X742" s="932"/>
      <c r="Y742" s="932"/>
      <c r="Z742" s="932"/>
      <c r="AA742" s="932"/>
      <c r="AB742" s="932"/>
      <c r="AC742" s="932"/>
      <c r="AD742" s="932"/>
      <c r="AE742" s="932"/>
      <c r="AF742" s="932"/>
      <c r="AG742" s="932"/>
      <c r="AH742" s="932"/>
      <c r="AI742" s="932"/>
      <c r="AJ742" s="932"/>
      <c r="AK742" s="932"/>
      <c r="AL742" s="932"/>
      <c r="AM742" s="932"/>
      <c r="AN742" s="932"/>
      <c r="AO742" s="932"/>
      <c r="AP742" s="932"/>
      <c r="AQ742" s="932"/>
      <c r="AR742" s="932"/>
      <c r="AS742" s="932"/>
      <c r="AT742" s="932"/>
      <c r="AU742" s="932"/>
      <c r="AV742" s="932"/>
      <c r="AW742" s="932"/>
      <c r="AX742" s="932"/>
      <c r="AY742" s="932"/>
      <c r="AZ742" s="932"/>
      <c r="BA742" s="932"/>
      <c r="BB742" s="932"/>
      <c r="BC742" s="932"/>
      <c r="BD742" s="932"/>
      <c r="BE742" s="932"/>
      <c r="BF742" s="932"/>
    </row>
    <row r="743" spans="2:58" ht="15" x14ac:dyDescent="0.25">
      <c r="B743" s="932"/>
      <c r="C743" s="932"/>
      <c r="D743" s="932"/>
      <c r="E743" s="932"/>
      <c r="F743" s="932"/>
      <c r="G743" s="932"/>
      <c r="H743" s="932"/>
      <c r="I743" s="932"/>
      <c r="J743" s="932"/>
      <c r="K743" s="932"/>
      <c r="L743" s="932"/>
      <c r="M743" s="932"/>
      <c r="N743" s="932"/>
      <c r="O743" s="932"/>
      <c r="P743" s="932"/>
      <c r="Q743" s="932"/>
      <c r="R743" s="932"/>
      <c r="S743" s="932"/>
      <c r="T743" s="932"/>
      <c r="U743" s="932"/>
      <c r="V743" s="932"/>
      <c r="W743" s="932"/>
      <c r="X743" s="932"/>
      <c r="Y743" s="932"/>
      <c r="Z743" s="932"/>
      <c r="AA743" s="932"/>
      <c r="AB743" s="932"/>
      <c r="AC743" s="932"/>
      <c r="AD743" s="932"/>
      <c r="AE743" s="932"/>
      <c r="AF743" s="932"/>
      <c r="AG743" s="932"/>
      <c r="AH743" s="932"/>
      <c r="AI743" s="932"/>
      <c r="AJ743" s="932"/>
      <c r="AK743" s="932"/>
      <c r="AL743" s="932"/>
      <c r="AM743" s="932"/>
      <c r="AN743" s="932"/>
      <c r="AO743" s="932"/>
      <c r="AP743" s="932"/>
      <c r="AQ743" s="932"/>
      <c r="AR743" s="932"/>
      <c r="AS743" s="932"/>
      <c r="AT743" s="932"/>
      <c r="AU743" s="932"/>
      <c r="AV743" s="932"/>
      <c r="AW743" s="932"/>
      <c r="AX743" s="932"/>
      <c r="AY743" s="932"/>
      <c r="AZ743" s="932"/>
      <c r="BA743" s="932"/>
      <c r="BB743" s="932"/>
      <c r="BC743" s="932"/>
      <c r="BD743" s="932"/>
      <c r="BE743" s="932"/>
      <c r="BF743" s="932"/>
    </row>
    <row r="744" spans="2:58" ht="15" x14ac:dyDescent="0.25">
      <c r="B744" s="932"/>
      <c r="C744" s="932"/>
      <c r="D744" s="932"/>
      <c r="E744" s="932"/>
      <c r="F744" s="932"/>
      <c r="G744" s="932"/>
      <c r="H744" s="932"/>
      <c r="I744" s="932"/>
      <c r="J744" s="932"/>
      <c r="K744" s="932"/>
      <c r="L744" s="932"/>
      <c r="M744" s="932"/>
      <c r="N744" s="932"/>
      <c r="O744" s="932"/>
      <c r="P744" s="932"/>
      <c r="Q744" s="932"/>
      <c r="R744" s="932"/>
      <c r="S744" s="932"/>
      <c r="T744" s="932"/>
      <c r="U744" s="932"/>
      <c r="V744" s="932"/>
      <c r="W744" s="932"/>
      <c r="X744" s="932"/>
      <c r="Y744" s="932"/>
      <c r="Z744" s="932"/>
      <c r="AA744" s="932"/>
      <c r="AB744" s="932"/>
      <c r="AC744" s="932"/>
      <c r="AD744" s="932"/>
      <c r="AE744" s="932"/>
      <c r="AF744" s="932"/>
      <c r="AG744" s="932"/>
      <c r="AH744" s="932"/>
      <c r="AI744" s="932"/>
      <c r="AJ744" s="932"/>
      <c r="AK744" s="932"/>
      <c r="AL744" s="932"/>
      <c r="AM744" s="932"/>
      <c r="AN744" s="932"/>
      <c r="AO744" s="932"/>
      <c r="AP744" s="932"/>
      <c r="AQ744" s="932"/>
      <c r="AR744" s="932"/>
      <c r="AS744" s="932"/>
      <c r="AT744" s="932"/>
      <c r="AU744" s="932"/>
      <c r="AV744" s="932"/>
      <c r="AW744" s="932"/>
      <c r="AX744" s="932"/>
      <c r="AY744" s="932"/>
      <c r="AZ744" s="932"/>
      <c r="BA744" s="932"/>
      <c r="BB744" s="932"/>
      <c r="BC744" s="932"/>
      <c r="BD744" s="932"/>
      <c r="BE744" s="932"/>
      <c r="BF744" s="932"/>
    </row>
    <row r="745" spans="2:58" ht="15" x14ac:dyDescent="0.25">
      <c r="B745" s="932"/>
      <c r="C745" s="932"/>
      <c r="D745" s="932"/>
      <c r="E745" s="932"/>
      <c r="F745" s="932"/>
      <c r="G745" s="932"/>
      <c r="H745" s="932"/>
      <c r="I745" s="932"/>
      <c r="J745" s="932"/>
      <c r="K745" s="932"/>
      <c r="L745" s="932"/>
      <c r="M745" s="932"/>
      <c r="N745" s="932"/>
      <c r="O745" s="932"/>
      <c r="P745" s="932"/>
      <c r="Q745" s="932"/>
      <c r="R745" s="932"/>
      <c r="S745" s="932"/>
      <c r="T745" s="932"/>
      <c r="U745" s="932"/>
      <c r="V745" s="932"/>
      <c r="W745" s="932"/>
      <c r="X745" s="932"/>
      <c r="Y745" s="932"/>
      <c r="Z745" s="932"/>
      <c r="AA745" s="932"/>
      <c r="AB745" s="932"/>
      <c r="AC745" s="932"/>
      <c r="AD745" s="932"/>
      <c r="AE745" s="932"/>
      <c r="AF745" s="932"/>
      <c r="AG745" s="932"/>
      <c r="AH745" s="932"/>
      <c r="AI745" s="932"/>
      <c r="AJ745" s="932"/>
      <c r="AK745" s="932"/>
      <c r="AL745" s="932"/>
      <c r="AM745" s="932"/>
      <c r="AN745" s="932"/>
      <c r="AO745" s="932"/>
      <c r="AP745" s="932"/>
      <c r="AQ745" s="932"/>
      <c r="AR745" s="932"/>
      <c r="AS745" s="932"/>
      <c r="AT745" s="932"/>
      <c r="AU745" s="932"/>
      <c r="AV745" s="932"/>
      <c r="AW745" s="932"/>
      <c r="AX745" s="932"/>
      <c r="AY745" s="932"/>
      <c r="AZ745" s="932"/>
      <c r="BA745" s="932"/>
      <c r="BB745" s="932"/>
      <c r="BC745" s="932"/>
      <c r="BD745" s="932"/>
      <c r="BE745" s="932"/>
      <c r="BF745" s="932"/>
    </row>
    <row r="746" spans="2:58" ht="15" x14ac:dyDescent="0.25">
      <c r="B746" s="932"/>
      <c r="C746" s="932"/>
      <c r="D746" s="932"/>
      <c r="E746" s="932"/>
      <c r="F746" s="932"/>
      <c r="G746" s="932"/>
      <c r="H746" s="932"/>
      <c r="I746" s="932"/>
      <c r="J746" s="932"/>
      <c r="K746" s="932"/>
      <c r="L746" s="932"/>
      <c r="M746" s="932"/>
      <c r="N746" s="932"/>
      <c r="O746" s="932"/>
      <c r="P746" s="932"/>
      <c r="Q746" s="932"/>
      <c r="R746" s="932"/>
      <c r="S746" s="932"/>
      <c r="T746" s="932"/>
      <c r="U746" s="932"/>
      <c r="V746" s="932"/>
      <c r="W746" s="932"/>
      <c r="X746" s="932"/>
      <c r="Y746" s="932"/>
      <c r="Z746" s="932"/>
      <c r="AA746" s="932"/>
      <c r="AB746" s="932"/>
      <c r="AC746" s="932"/>
      <c r="AD746" s="932"/>
      <c r="AE746" s="932"/>
      <c r="AF746" s="932"/>
      <c r="AG746" s="932"/>
      <c r="AH746" s="932"/>
      <c r="AI746" s="932"/>
      <c r="AJ746" s="932"/>
      <c r="AK746" s="932"/>
      <c r="AL746" s="932"/>
      <c r="AM746" s="932"/>
      <c r="AN746" s="932"/>
      <c r="AO746" s="932"/>
      <c r="AP746" s="932"/>
      <c r="AQ746" s="932"/>
      <c r="AR746" s="932"/>
      <c r="AS746" s="932"/>
      <c r="AT746" s="932"/>
      <c r="AU746" s="932"/>
      <c r="AV746" s="932"/>
      <c r="AW746" s="932"/>
      <c r="AX746" s="932"/>
      <c r="AY746" s="932"/>
      <c r="AZ746" s="932"/>
      <c r="BA746" s="932"/>
      <c r="BB746" s="932"/>
      <c r="BC746" s="932"/>
      <c r="BD746" s="932"/>
      <c r="BE746" s="932"/>
      <c r="BF746" s="932"/>
    </row>
    <row r="747" spans="2:58" ht="15" x14ac:dyDescent="0.25">
      <c r="B747" s="932"/>
      <c r="C747" s="932"/>
      <c r="D747" s="932"/>
      <c r="E747" s="932"/>
      <c r="F747" s="932"/>
      <c r="G747" s="932"/>
      <c r="H747" s="932"/>
      <c r="I747" s="932"/>
      <c r="J747" s="932"/>
      <c r="K747" s="932"/>
      <c r="L747" s="932"/>
      <c r="M747" s="932"/>
      <c r="N747" s="932"/>
      <c r="O747" s="932"/>
      <c r="P747" s="932"/>
      <c r="Q747" s="932"/>
      <c r="R747" s="932"/>
      <c r="S747" s="932"/>
      <c r="T747" s="932"/>
      <c r="U747" s="932"/>
      <c r="V747" s="932"/>
      <c r="W747" s="932"/>
      <c r="X747" s="932"/>
      <c r="Y747" s="932"/>
      <c r="Z747" s="932"/>
      <c r="AA747" s="932"/>
      <c r="AB747" s="932"/>
      <c r="AC747" s="932"/>
      <c r="AD747" s="932"/>
      <c r="AE747" s="932"/>
      <c r="AF747" s="932"/>
      <c r="AG747" s="932"/>
      <c r="AH747" s="932"/>
      <c r="AI747" s="932"/>
      <c r="AJ747" s="932"/>
      <c r="AK747" s="932"/>
      <c r="AL747" s="932"/>
      <c r="AM747" s="932"/>
      <c r="AN747" s="932"/>
      <c r="AO747" s="932"/>
      <c r="AP747" s="932"/>
      <c r="AQ747" s="932"/>
      <c r="AR747" s="932"/>
      <c r="AS747" s="932"/>
      <c r="AT747" s="932"/>
      <c r="AU747" s="932"/>
      <c r="AV747" s="932"/>
      <c r="AW747" s="932"/>
      <c r="AX747" s="932"/>
      <c r="AY747" s="932"/>
      <c r="AZ747" s="932"/>
      <c r="BA747" s="932"/>
      <c r="BB747" s="932"/>
      <c r="BC747" s="932"/>
      <c r="BD747" s="932"/>
      <c r="BE747" s="932"/>
      <c r="BF747" s="932"/>
    </row>
    <row r="748" spans="2:58" ht="15" x14ac:dyDescent="0.25">
      <c r="B748" s="932"/>
      <c r="C748" s="932"/>
      <c r="D748" s="932"/>
      <c r="E748" s="932"/>
      <c r="F748" s="932"/>
      <c r="G748" s="932"/>
      <c r="H748" s="932"/>
      <c r="I748" s="932"/>
      <c r="J748" s="932"/>
      <c r="K748" s="932"/>
      <c r="L748" s="932"/>
      <c r="M748" s="932"/>
      <c r="N748" s="932"/>
      <c r="O748" s="932"/>
      <c r="P748" s="932"/>
      <c r="Q748" s="932"/>
      <c r="R748" s="932"/>
      <c r="S748" s="932"/>
      <c r="T748" s="932"/>
      <c r="U748" s="932"/>
      <c r="V748" s="932"/>
      <c r="W748" s="932"/>
      <c r="X748" s="932"/>
      <c r="Y748" s="932"/>
      <c r="Z748" s="932"/>
      <c r="AA748" s="932"/>
      <c r="AB748" s="932"/>
      <c r="AC748" s="932"/>
      <c r="AD748" s="932"/>
      <c r="AE748" s="932"/>
      <c r="AF748" s="932"/>
      <c r="AG748" s="932"/>
      <c r="AH748" s="932"/>
      <c r="AI748" s="932"/>
      <c r="AJ748" s="932"/>
      <c r="AK748" s="932"/>
      <c r="AL748" s="932"/>
      <c r="AM748" s="932"/>
      <c r="AN748" s="932"/>
      <c r="AO748" s="932"/>
      <c r="AP748" s="932"/>
      <c r="AQ748" s="932"/>
      <c r="AR748" s="932"/>
      <c r="AS748" s="932"/>
      <c r="AT748" s="932"/>
      <c r="AU748" s="932"/>
      <c r="AV748" s="932"/>
      <c r="AW748" s="932"/>
      <c r="AX748" s="932"/>
      <c r="AY748" s="932"/>
      <c r="AZ748" s="932"/>
      <c r="BA748" s="932"/>
      <c r="BB748" s="932"/>
      <c r="BC748" s="932"/>
      <c r="BD748" s="932"/>
      <c r="BE748" s="932"/>
      <c r="BF748" s="932"/>
    </row>
    <row r="749" spans="2:58" ht="15" x14ac:dyDescent="0.25">
      <c r="B749" s="932"/>
      <c r="C749" s="932"/>
      <c r="D749" s="932"/>
      <c r="E749" s="932"/>
      <c r="F749" s="932"/>
      <c r="G749" s="932"/>
      <c r="H749" s="932"/>
      <c r="I749" s="932"/>
      <c r="J749" s="932"/>
      <c r="K749" s="932"/>
      <c r="L749" s="932"/>
      <c r="M749" s="932"/>
      <c r="N749" s="932"/>
      <c r="O749" s="932"/>
      <c r="P749" s="932"/>
      <c r="Q749" s="932"/>
      <c r="R749" s="932"/>
      <c r="S749" s="932"/>
      <c r="T749" s="932"/>
      <c r="U749" s="932"/>
      <c r="V749" s="932"/>
      <c r="W749" s="932"/>
      <c r="X749" s="932"/>
      <c r="Y749" s="932"/>
      <c r="Z749" s="932"/>
      <c r="AA749" s="932"/>
      <c r="AB749" s="932"/>
      <c r="AC749" s="932"/>
      <c r="AD749" s="932"/>
      <c r="AE749" s="932"/>
      <c r="AF749" s="932"/>
      <c r="AG749" s="932"/>
      <c r="AH749" s="932"/>
      <c r="AI749" s="932"/>
      <c r="AJ749" s="932"/>
      <c r="AK749" s="932"/>
      <c r="AL749" s="932"/>
      <c r="AM749" s="932"/>
      <c r="AN749" s="932"/>
      <c r="AO749" s="932"/>
      <c r="AP749" s="932"/>
      <c r="AQ749" s="932"/>
      <c r="AR749" s="932"/>
      <c r="AS749" s="932"/>
      <c r="AT749" s="932"/>
      <c r="AU749" s="932"/>
      <c r="AV749" s="932"/>
      <c r="AW749" s="932"/>
      <c r="AX749" s="932"/>
      <c r="AY749" s="932"/>
      <c r="AZ749" s="932"/>
      <c r="BA749" s="932"/>
      <c r="BB749" s="932"/>
      <c r="BC749" s="932"/>
      <c r="BD749" s="932"/>
      <c r="BE749" s="932"/>
      <c r="BF749" s="932"/>
    </row>
    <row r="750" spans="2:58" ht="15" x14ac:dyDescent="0.25">
      <c r="B750" s="932"/>
      <c r="C750" s="932"/>
      <c r="D750" s="932"/>
      <c r="E750" s="932"/>
      <c r="F750" s="932"/>
      <c r="G750" s="932"/>
      <c r="H750" s="932"/>
      <c r="I750" s="932"/>
      <c r="J750" s="932"/>
      <c r="K750" s="932"/>
      <c r="L750" s="932"/>
      <c r="M750" s="932"/>
      <c r="N750" s="932"/>
      <c r="O750" s="932"/>
      <c r="P750" s="932"/>
      <c r="Q750" s="932"/>
      <c r="R750" s="932"/>
      <c r="S750" s="932"/>
      <c r="T750" s="932"/>
      <c r="U750" s="932"/>
      <c r="V750" s="932"/>
      <c r="W750" s="932"/>
      <c r="X750" s="932"/>
      <c r="Y750" s="932"/>
      <c r="Z750" s="932"/>
      <c r="AA750" s="932"/>
      <c r="AB750" s="932"/>
      <c r="AC750" s="932"/>
      <c r="AD750" s="932"/>
      <c r="AE750" s="932"/>
      <c r="AF750" s="932"/>
      <c r="AG750" s="932"/>
      <c r="AH750" s="932"/>
      <c r="AI750" s="932"/>
      <c r="AJ750" s="932"/>
      <c r="AK750" s="932"/>
      <c r="AL750" s="932"/>
      <c r="AM750" s="932"/>
      <c r="AN750" s="932"/>
      <c r="AO750" s="932"/>
      <c r="AP750" s="932"/>
      <c r="AQ750" s="932"/>
      <c r="AR750" s="932"/>
      <c r="AS750" s="932"/>
      <c r="AT750" s="932"/>
      <c r="AU750" s="932"/>
      <c r="AV750" s="932"/>
      <c r="AW750" s="932"/>
      <c r="AX750" s="932"/>
      <c r="AY750" s="932"/>
      <c r="AZ750" s="932"/>
      <c r="BA750" s="932"/>
      <c r="BB750" s="932"/>
      <c r="BC750" s="932"/>
      <c r="BD750" s="932"/>
      <c r="BE750" s="932"/>
      <c r="BF750" s="932"/>
    </row>
    <row r="751" spans="2:58" ht="15" x14ac:dyDescent="0.25">
      <c r="B751" s="932"/>
      <c r="C751" s="932"/>
      <c r="D751" s="932"/>
      <c r="E751" s="932"/>
      <c r="F751" s="932"/>
      <c r="G751" s="932"/>
      <c r="H751" s="932"/>
      <c r="I751" s="932"/>
      <c r="J751" s="932"/>
      <c r="K751" s="932"/>
      <c r="L751" s="932"/>
      <c r="M751" s="932"/>
      <c r="N751" s="932"/>
      <c r="O751" s="932"/>
      <c r="P751" s="932"/>
      <c r="Q751" s="932"/>
      <c r="R751" s="932"/>
      <c r="S751" s="932"/>
      <c r="T751" s="932"/>
      <c r="U751" s="932"/>
      <c r="V751" s="932"/>
      <c r="W751" s="932"/>
      <c r="X751" s="932"/>
      <c r="Y751" s="932"/>
      <c r="Z751" s="932"/>
      <c r="AA751" s="932"/>
      <c r="AB751" s="932"/>
      <c r="AC751" s="932"/>
      <c r="AD751" s="932"/>
      <c r="AE751" s="932"/>
      <c r="AF751" s="932"/>
      <c r="AG751" s="932"/>
      <c r="AH751" s="932"/>
      <c r="AI751" s="932"/>
      <c r="AJ751" s="932"/>
      <c r="AK751" s="932"/>
      <c r="AL751" s="932"/>
      <c r="AM751" s="932"/>
      <c r="AN751" s="932"/>
      <c r="AO751" s="932"/>
      <c r="AP751" s="932"/>
      <c r="AQ751" s="932"/>
      <c r="AR751" s="932"/>
      <c r="AS751" s="932"/>
      <c r="AT751" s="932"/>
      <c r="AU751" s="932"/>
      <c r="AV751" s="932"/>
      <c r="AW751" s="932"/>
      <c r="AX751" s="932"/>
      <c r="AY751" s="932"/>
      <c r="AZ751" s="932"/>
      <c r="BA751" s="932"/>
      <c r="BB751" s="932"/>
      <c r="BC751" s="932"/>
      <c r="BD751" s="932"/>
      <c r="BE751" s="932"/>
      <c r="BF751" s="932"/>
    </row>
    <row r="752" spans="2:58" ht="15" x14ac:dyDescent="0.25">
      <c r="B752" s="932"/>
      <c r="C752" s="932"/>
      <c r="D752" s="932"/>
      <c r="E752" s="932"/>
      <c r="F752" s="932"/>
      <c r="G752" s="932"/>
      <c r="H752" s="932"/>
      <c r="I752" s="932"/>
      <c r="J752" s="932"/>
      <c r="K752" s="932"/>
      <c r="L752" s="932"/>
      <c r="M752" s="932"/>
      <c r="N752" s="932"/>
      <c r="O752" s="932"/>
      <c r="P752" s="932"/>
      <c r="Q752" s="932"/>
      <c r="R752" s="932"/>
      <c r="S752" s="932"/>
      <c r="T752" s="932"/>
      <c r="U752" s="932"/>
      <c r="V752" s="932"/>
      <c r="W752" s="932"/>
      <c r="X752" s="932"/>
      <c r="Y752" s="932"/>
      <c r="Z752" s="932"/>
      <c r="AA752" s="932"/>
      <c r="AB752" s="932"/>
      <c r="AC752" s="932"/>
      <c r="AD752" s="932"/>
      <c r="AE752" s="932"/>
      <c r="AF752" s="932"/>
      <c r="AG752" s="932"/>
      <c r="AH752" s="932"/>
      <c r="AI752" s="932"/>
      <c r="AJ752" s="932"/>
      <c r="AK752" s="932"/>
      <c r="AL752" s="932"/>
      <c r="AM752" s="932"/>
      <c r="AN752" s="932"/>
      <c r="AO752" s="932"/>
      <c r="AP752" s="932"/>
      <c r="AQ752" s="932"/>
      <c r="AR752" s="932"/>
      <c r="AS752" s="932"/>
      <c r="AT752" s="932"/>
      <c r="AU752" s="932"/>
      <c r="AV752" s="932"/>
      <c r="AW752" s="932"/>
      <c r="AX752" s="932"/>
      <c r="AY752" s="932"/>
      <c r="AZ752" s="932"/>
      <c r="BA752" s="932"/>
      <c r="BB752" s="932"/>
      <c r="BC752" s="932"/>
      <c r="BD752" s="932"/>
      <c r="BE752" s="932"/>
      <c r="BF752" s="932"/>
    </row>
    <row r="753" spans="2:58" ht="15" x14ac:dyDescent="0.25">
      <c r="B753" s="932"/>
      <c r="C753" s="932"/>
      <c r="D753" s="932"/>
      <c r="E753" s="932"/>
      <c r="F753" s="932"/>
      <c r="G753" s="932"/>
      <c r="H753" s="932"/>
      <c r="I753" s="932"/>
      <c r="J753" s="932"/>
      <c r="K753" s="932"/>
      <c r="L753" s="932"/>
      <c r="M753" s="932"/>
      <c r="N753" s="932"/>
      <c r="O753" s="932"/>
      <c r="P753" s="932"/>
      <c r="Q753" s="932"/>
      <c r="R753" s="932"/>
      <c r="S753" s="932"/>
      <c r="T753" s="932"/>
      <c r="U753" s="932"/>
      <c r="V753" s="932"/>
      <c r="W753" s="932"/>
      <c r="X753" s="932"/>
      <c r="Y753" s="932"/>
      <c r="Z753" s="932"/>
      <c r="AA753" s="932"/>
      <c r="AB753" s="932"/>
      <c r="AC753" s="932"/>
      <c r="AD753" s="932"/>
      <c r="AE753" s="932"/>
      <c r="AF753" s="932"/>
      <c r="AG753" s="932"/>
      <c r="AH753" s="932"/>
      <c r="AI753" s="932"/>
      <c r="AJ753" s="932"/>
      <c r="AK753" s="932"/>
      <c r="AL753" s="932"/>
      <c r="AM753" s="932"/>
      <c r="AN753" s="932"/>
      <c r="AO753" s="932"/>
      <c r="AP753" s="932"/>
      <c r="AQ753" s="932"/>
      <c r="AR753" s="932"/>
      <c r="AS753" s="932"/>
      <c r="AT753" s="932"/>
      <c r="AU753" s="932"/>
      <c r="AV753" s="932"/>
      <c r="AW753" s="932"/>
      <c r="AX753" s="932"/>
      <c r="AY753" s="932"/>
      <c r="AZ753" s="932"/>
      <c r="BA753" s="932"/>
      <c r="BB753" s="932"/>
      <c r="BC753" s="932"/>
      <c r="BD753" s="932"/>
      <c r="BE753" s="932"/>
      <c r="BF753" s="932"/>
    </row>
    <row r="754" spans="2:58" ht="15" x14ac:dyDescent="0.25">
      <c r="B754" s="932"/>
      <c r="C754" s="932"/>
      <c r="D754" s="932"/>
      <c r="E754" s="932"/>
      <c r="F754" s="932"/>
      <c r="G754" s="932"/>
      <c r="H754" s="932"/>
      <c r="I754" s="932"/>
      <c r="J754" s="932"/>
      <c r="K754" s="932"/>
      <c r="L754" s="932"/>
      <c r="M754" s="932"/>
      <c r="N754" s="932"/>
      <c r="O754" s="932"/>
      <c r="P754" s="932"/>
      <c r="Q754" s="932"/>
      <c r="R754" s="932"/>
      <c r="S754" s="932"/>
      <c r="T754" s="932"/>
      <c r="U754" s="932"/>
      <c r="V754" s="932"/>
      <c r="W754" s="932"/>
      <c r="X754" s="932"/>
      <c r="Y754" s="932"/>
      <c r="Z754" s="932"/>
      <c r="AA754" s="932"/>
      <c r="AB754" s="932"/>
      <c r="AC754" s="932"/>
      <c r="AD754" s="932"/>
      <c r="AE754" s="932"/>
      <c r="AF754" s="932"/>
      <c r="AG754" s="932"/>
      <c r="AH754" s="932"/>
      <c r="AI754" s="932"/>
      <c r="AJ754" s="932"/>
      <c r="AK754" s="932"/>
      <c r="AL754" s="932"/>
      <c r="AM754" s="932"/>
      <c r="AN754" s="932"/>
      <c r="AO754" s="932"/>
      <c r="AP754" s="932"/>
      <c r="AQ754" s="932"/>
      <c r="AR754" s="932"/>
      <c r="AS754" s="932"/>
      <c r="AT754" s="932"/>
      <c r="AU754" s="932"/>
      <c r="AV754" s="932"/>
      <c r="AW754" s="932"/>
      <c r="AX754" s="932"/>
      <c r="AY754" s="932"/>
      <c r="AZ754" s="932"/>
      <c r="BA754" s="932"/>
      <c r="BB754" s="932"/>
      <c r="BC754" s="932"/>
      <c r="BD754" s="932"/>
      <c r="BE754" s="932"/>
      <c r="BF754" s="932"/>
    </row>
    <row r="755" spans="2:58" ht="15" x14ac:dyDescent="0.25">
      <c r="B755" s="932"/>
      <c r="C755" s="932"/>
      <c r="D755" s="932"/>
      <c r="E755" s="932"/>
      <c r="F755" s="932"/>
      <c r="G755" s="932"/>
      <c r="H755" s="932"/>
      <c r="I755" s="932"/>
      <c r="J755" s="932"/>
      <c r="K755" s="932"/>
      <c r="L755" s="932"/>
      <c r="M755" s="932"/>
      <c r="N755" s="932"/>
      <c r="O755" s="932"/>
      <c r="P755" s="932"/>
      <c r="Q755" s="932"/>
      <c r="R755" s="932"/>
      <c r="S755" s="932"/>
      <c r="T755" s="932"/>
      <c r="U755" s="932"/>
      <c r="V755" s="932"/>
      <c r="W755" s="932"/>
      <c r="X755" s="932"/>
      <c r="Y755" s="932"/>
      <c r="Z755" s="932"/>
      <c r="AA755" s="932"/>
      <c r="AB755" s="932"/>
      <c r="AC755" s="932"/>
      <c r="AD755" s="932"/>
      <c r="AE755" s="932"/>
      <c r="AF755" s="932"/>
      <c r="AG755" s="932"/>
      <c r="AH755" s="932"/>
      <c r="AI755" s="932"/>
      <c r="AJ755" s="932"/>
      <c r="AK755" s="932"/>
      <c r="AL755" s="932"/>
      <c r="AM755" s="932"/>
      <c r="AN755" s="932"/>
      <c r="AO755" s="932"/>
      <c r="AP755" s="932"/>
      <c r="AQ755" s="932"/>
      <c r="AR755" s="932"/>
      <c r="AS755" s="932"/>
      <c r="AT755" s="932"/>
      <c r="AU755" s="932"/>
      <c r="AV755" s="932"/>
      <c r="AW755" s="932"/>
      <c r="AX755" s="932"/>
      <c r="AY755" s="932"/>
      <c r="AZ755" s="932"/>
      <c r="BA755" s="932"/>
      <c r="BB755" s="932"/>
      <c r="BC755" s="932"/>
      <c r="BD755" s="932"/>
      <c r="BE755" s="932"/>
      <c r="BF755" s="932"/>
    </row>
    <row r="756" spans="2:58" ht="15" x14ac:dyDescent="0.25">
      <c r="B756" s="932"/>
      <c r="C756" s="932"/>
      <c r="D756" s="932"/>
      <c r="E756" s="932"/>
      <c r="F756" s="932"/>
      <c r="G756" s="932"/>
      <c r="H756" s="932"/>
      <c r="I756" s="932"/>
      <c r="J756" s="932"/>
      <c r="K756" s="932"/>
      <c r="L756" s="932"/>
      <c r="M756" s="932"/>
      <c r="N756" s="932"/>
      <c r="O756" s="932"/>
      <c r="P756" s="932"/>
      <c r="Q756" s="932"/>
      <c r="R756" s="932"/>
      <c r="S756" s="932"/>
      <c r="T756" s="932"/>
      <c r="U756" s="932"/>
      <c r="V756" s="932"/>
      <c r="W756" s="932"/>
      <c r="X756" s="932"/>
      <c r="Y756" s="932"/>
      <c r="Z756" s="932"/>
      <c r="AA756" s="932"/>
      <c r="AB756" s="932"/>
      <c r="AC756" s="932"/>
      <c r="AD756" s="932"/>
      <c r="AE756" s="932"/>
      <c r="AF756" s="932"/>
      <c r="AG756" s="932"/>
      <c r="AH756" s="932"/>
      <c r="AI756" s="932"/>
      <c r="AJ756" s="932"/>
      <c r="AK756" s="932"/>
      <c r="AL756" s="932"/>
      <c r="AM756" s="932"/>
      <c r="AN756" s="932"/>
      <c r="AO756" s="932"/>
      <c r="AP756" s="932"/>
      <c r="AQ756" s="932"/>
      <c r="AR756" s="932"/>
      <c r="AS756" s="932"/>
      <c r="AT756" s="932"/>
      <c r="AU756" s="932"/>
      <c r="AV756" s="932"/>
      <c r="AW756" s="932"/>
      <c r="AX756" s="932"/>
      <c r="AY756" s="932"/>
      <c r="AZ756" s="932"/>
      <c r="BA756" s="932"/>
      <c r="BB756" s="932"/>
      <c r="BC756" s="932"/>
      <c r="BD756" s="932"/>
      <c r="BE756" s="932"/>
      <c r="BF756" s="932"/>
    </row>
    <row r="757" spans="2:58" ht="15" x14ac:dyDescent="0.25">
      <c r="B757" s="932"/>
      <c r="C757" s="932"/>
      <c r="D757" s="932"/>
      <c r="E757" s="932"/>
      <c r="F757" s="932"/>
      <c r="G757" s="932"/>
      <c r="H757" s="932"/>
      <c r="I757" s="932"/>
      <c r="J757" s="932"/>
      <c r="K757" s="932"/>
      <c r="L757" s="932"/>
      <c r="M757" s="932"/>
      <c r="N757" s="932"/>
      <c r="O757" s="932"/>
      <c r="P757" s="932"/>
      <c r="Q757" s="932"/>
      <c r="R757" s="932"/>
      <c r="S757" s="932"/>
      <c r="T757" s="932"/>
      <c r="U757" s="932"/>
      <c r="V757" s="932"/>
      <c r="W757" s="932"/>
      <c r="X757" s="932"/>
      <c r="Y757" s="932"/>
      <c r="Z757" s="932"/>
      <c r="AA757" s="932"/>
      <c r="AB757" s="932"/>
      <c r="AC757" s="932"/>
      <c r="AD757" s="932"/>
      <c r="AE757" s="932"/>
      <c r="AF757" s="932"/>
      <c r="AG757" s="932"/>
      <c r="AH757" s="932"/>
      <c r="AI757" s="932"/>
      <c r="AJ757" s="932"/>
      <c r="AK757" s="932"/>
      <c r="AL757" s="932"/>
      <c r="AM757" s="932"/>
      <c r="AN757" s="932"/>
      <c r="AO757" s="932"/>
      <c r="AP757" s="932"/>
      <c r="AQ757" s="932"/>
      <c r="AR757" s="932"/>
      <c r="AS757" s="932"/>
      <c r="AT757" s="932"/>
      <c r="AU757" s="932"/>
      <c r="AV757" s="932"/>
      <c r="AW757" s="932"/>
      <c r="AX757" s="932"/>
      <c r="AY757" s="932"/>
      <c r="AZ757" s="932"/>
      <c r="BA757" s="932"/>
      <c r="BB757" s="932"/>
      <c r="BC757" s="932"/>
      <c r="BD757" s="932"/>
      <c r="BE757" s="932"/>
      <c r="BF757" s="932"/>
    </row>
    <row r="758" spans="2:58" ht="15" x14ac:dyDescent="0.25">
      <c r="B758" s="932"/>
      <c r="C758" s="932"/>
      <c r="D758" s="932"/>
      <c r="E758" s="932"/>
      <c r="F758" s="932"/>
      <c r="G758" s="932"/>
      <c r="H758" s="932"/>
      <c r="I758" s="932"/>
      <c r="J758" s="932"/>
      <c r="K758" s="932"/>
      <c r="L758" s="932"/>
      <c r="M758" s="932"/>
      <c r="N758" s="932"/>
      <c r="O758" s="932"/>
      <c r="P758" s="932"/>
      <c r="Q758" s="932"/>
      <c r="R758" s="932"/>
      <c r="S758" s="932"/>
      <c r="T758" s="932"/>
      <c r="U758" s="932"/>
      <c r="V758" s="932"/>
      <c r="W758" s="932"/>
      <c r="X758" s="932"/>
      <c r="Y758" s="932"/>
      <c r="Z758" s="932"/>
      <c r="AA758" s="932"/>
      <c r="AB758" s="932"/>
      <c r="AC758" s="932"/>
      <c r="AD758" s="932"/>
      <c r="AE758" s="932"/>
      <c r="AF758" s="932"/>
      <c r="AG758" s="932"/>
      <c r="AH758" s="932"/>
      <c r="AI758" s="932"/>
      <c r="AJ758" s="932"/>
      <c r="AK758" s="932"/>
      <c r="AL758" s="932"/>
      <c r="AM758" s="932"/>
      <c r="AN758" s="932"/>
      <c r="AO758" s="932"/>
      <c r="AP758" s="932"/>
      <c r="AQ758" s="932"/>
      <c r="AR758" s="932"/>
      <c r="AS758" s="932"/>
      <c r="AT758" s="932"/>
      <c r="AU758" s="932"/>
      <c r="AV758" s="932"/>
      <c r="AW758" s="932"/>
      <c r="AX758" s="932"/>
      <c r="AY758" s="932"/>
      <c r="AZ758" s="932"/>
      <c r="BA758" s="932"/>
      <c r="BB758" s="932"/>
      <c r="BC758" s="932"/>
      <c r="BD758" s="932"/>
      <c r="BE758" s="932"/>
      <c r="BF758" s="932"/>
    </row>
    <row r="759" spans="2:58" ht="15" x14ac:dyDescent="0.25">
      <c r="B759" s="932"/>
      <c r="C759" s="932"/>
      <c r="D759" s="932"/>
      <c r="E759" s="932"/>
      <c r="F759" s="932"/>
      <c r="G759" s="932"/>
      <c r="H759" s="932"/>
      <c r="I759" s="932"/>
      <c r="J759" s="932"/>
      <c r="K759" s="932"/>
      <c r="L759" s="932"/>
      <c r="M759" s="932"/>
      <c r="N759" s="932"/>
      <c r="O759" s="932"/>
      <c r="P759" s="932"/>
      <c r="Q759" s="932"/>
      <c r="R759" s="932"/>
      <c r="S759" s="932"/>
      <c r="T759" s="932"/>
      <c r="U759" s="932"/>
      <c r="V759" s="932"/>
      <c r="W759" s="932"/>
      <c r="X759" s="932"/>
      <c r="Y759" s="932"/>
      <c r="Z759" s="932"/>
      <c r="AA759" s="932"/>
      <c r="AB759" s="932"/>
      <c r="AC759" s="932"/>
      <c r="AD759" s="932"/>
      <c r="AE759" s="932"/>
      <c r="AF759" s="932"/>
      <c r="AG759" s="932"/>
      <c r="AH759" s="932"/>
      <c r="AI759" s="932"/>
      <c r="AJ759" s="932"/>
      <c r="AK759" s="932"/>
      <c r="AL759" s="932"/>
      <c r="AM759" s="932"/>
      <c r="AN759" s="932"/>
      <c r="AO759" s="932"/>
      <c r="AP759" s="932"/>
      <c r="AQ759" s="932"/>
      <c r="AR759" s="932"/>
      <c r="AS759" s="932"/>
      <c r="AT759" s="932"/>
      <c r="AU759" s="932"/>
      <c r="AV759" s="932"/>
      <c r="AW759" s="932"/>
      <c r="AX759" s="932"/>
      <c r="AY759" s="932"/>
      <c r="AZ759" s="932"/>
      <c r="BA759" s="932"/>
      <c r="BB759" s="932"/>
      <c r="BC759" s="932"/>
      <c r="BD759" s="932"/>
      <c r="BE759" s="932"/>
      <c r="BF759" s="932"/>
    </row>
    <row r="760" spans="2:58" ht="15" x14ac:dyDescent="0.25">
      <c r="B760" s="932"/>
      <c r="C760" s="932"/>
      <c r="D760" s="932"/>
      <c r="E760" s="932"/>
      <c r="F760" s="932"/>
      <c r="G760" s="932"/>
      <c r="H760" s="932"/>
      <c r="I760" s="932"/>
      <c r="J760" s="932"/>
      <c r="K760" s="932"/>
      <c r="L760" s="932"/>
      <c r="M760" s="932"/>
      <c r="N760" s="932"/>
      <c r="O760" s="932"/>
      <c r="P760" s="932"/>
      <c r="Q760" s="932"/>
      <c r="R760" s="932"/>
      <c r="S760" s="932"/>
      <c r="T760" s="932"/>
      <c r="U760" s="932"/>
      <c r="V760" s="932"/>
      <c r="W760" s="932"/>
      <c r="X760" s="932"/>
      <c r="Y760" s="932"/>
      <c r="Z760" s="932"/>
      <c r="AA760" s="932"/>
      <c r="AB760" s="932"/>
      <c r="AC760" s="932"/>
      <c r="AD760" s="932"/>
      <c r="AE760" s="932"/>
      <c r="AF760" s="932"/>
      <c r="AG760" s="932"/>
      <c r="AH760" s="932"/>
      <c r="AI760" s="932"/>
      <c r="AJ760" s="932"/>
      <c r="AK760" s="932"/>
      <c r="AL760" s="932"/>
      <c r="AM760" s="932"/>
      <c r="AN760" s="932"/>
      <c r="AO760" s="932"/>
      <c r="AP760" s="932"/>
      <c r="AQ760" s="932"/>
      <c r="AR760" s="932"/>
      <c r="AS760" s="932"/>
      <c r="AT760" s="932"/>
      <c r="AU760" s="932"/>
      <c r="AV760" s="932"/>
      <c r="AW760" s="932"/>
      <c r="AX760" s="932"/>
      <c r="AY760" s="932"/>
      <c r="AZ760" s="932"/>
      <c r="BA760" s="932"/>
      <c r="BB760" s="932"/>
      <c r="BC760" s="932"/>
      <c r="BD760" s="932"/>
      <c r="BE760" s="932"/>
      <c r="BF760" s="932"/>
    </row>
    <row r="761" spans="2:58" ht="15" x14ac:dyDescent="0.25">
      <c r="B761" s="932"/>
      <c r="C761" s="932"/>
      <c r="D761" s="932"/>
      <c r="E761" s="932"/>
      <c r="F761" s="932"/>
      <c r="G761" s="932"/>
      <c r="H761" s="932"/>
      <c r="I761" s="932"/>
      <c r="J761" s="932"/>
      <c r="K761" s="932"/>
      <c r="L761" s="932"/>
      <c r="M761" s="932"/>
      <c r="N761" s="932"/>
      <c r="O761" s="932"/>
      <c r="P761" s="932"/>
      <c r="Q761" s="932"/>
      <c r="R761" s="932"/>
      <c r="S761" s="932"/>
      <c r="T761" s="932"/>
      <c r="U761" s="932"/>
      <c r="V761" s="932"/>
      <c r="W761" s="932"/>
      <c r="X761" s="932"/>
      <c r="Y761" s="932"/>
      <c r="Z761" s="932"/>
      <c r="AA761" s="932"/>
      <c r="AB761" s="932"/>
      <c r="AC761" s="932"/>
      <c r="AD761" s="932"/>
      <c r="AE761" s="932"/>
      <c r="AF761" s="932"/>
      <c r="AG761" s="932"/>
      <c r="AH761" s="932"/>
      <c r="AI761" s="932"/>
      <c r="AJ761" s="932"/>
      <c r="AK761" s="932"/>
      <c r="AL761" s="932"/>
      <c r="AM761" s="932"/>
      <c r="AN761" s="932"/>
      <c r="AO761" s="932"/>
      <c r="AP761" s="932"/>
      <c r="AQ761" s="932"/>
      <c r="AR761" s="932"/>
      <c r="AS761" s="932"/>
      <c r="AT761" s="932"/>
      <c r="AU761" s="932"/>
      <c r="AV761" s="932"/>
      <c r="AW761" s="932"/>
      <c r="AX761" s="932"/>
      <c r="AY761" s="932"/>
      <c r="AZ761" s="932"/>
      <c r="BA761" s="932"/>
      <c r="BB761" s="932"/>
      <c r="BC761" s="932"/>
      <c r="BD761" s="932"/>
      <c r="BE761" s="932"/>
      <c r="BF761" s="932"/>
    </row>
    <row r="762" spans="2:58" ht="15" x14ac:dyDescent="0.25">
      <c r="B762" s="932"/>
      <c r="C762" s="932"/>
      <c r="D762" s="932"/>
      <c r="E762" s="932"/>
      <c r="F762" s="932"/>
      <c r="G762" s="932"/>
      <c r="H762" s="932"/>
      <c r="I762" s="932"/>
      <c r="J762" s="932"/>
      <c r="K762" s="932"/>
      <c r="L762" s="932"/>
      <c r="M762" s="932"/>
      <c r="N762" s="932"/>
      <c r="O762" s="932"/>
      <c r="P762" s="932"/>
      <c r="Q762" s="932"/>
      <c r="R762" s="932"/>
      <c r="S762" s="932"/>
      <c r="T762" s="932"/>
      <c r="U762" s="932"/>
      <c r="V762" s="932"/>
      <c r="W762" s="932"/>
      <c r="X762" s="932"/>
      <c r="Y762" s="932"/>
      <c r="Z762" s="932"/>
      <c r="AA762" s="932"/>
      <c r="AB762" s="932"/>
      <c r="AC762" s="932"/>
      <c r="AD762" s="932"/>
      <c r="AE762" s="932"/>
      <c r="AF762" s="932"/>
      <c r="AG762" s="932"/>
      <c r="AH762" s="932"/>
      <c r="AI762" s="932"/>
      <c r="AJ762" s="932"/>
      <c r="AK762" s="932"/>
      <c r="AL762" s="932"/>
      <c r="AM762" s="932"/>
      <c r="AN762" s="932"/>
      <c r="AO762" s="932"/>
      <c r="AP762" s="932"/>
      <c r="AQ762" s="932"/>
      <c r="AR762" s="932"/>
      <c r="AS762" s="932"/>
      <c r="AT762" s="932"/>
      <c r="AU762" s="932"/>
      <c r="AV762" s="932"/>
      <c r="AW762" s="932"/>
      <c r="AX762" s="932"/>
      <c r="AY762" s="932"/>
      <c r="AZ762" s="932"/>
      <c r="BA762" s="932"/>
      <c r="BB762" s="932"/>
      <c r="BC762" s="932"/>
      <c r="BD762" s="932"/>
      <c r="BE762" s="932"/>
      <c r="BF762" s="932"/>
    </row>
    <row r="763" spans="2:58" ht="15" x14ac:dyDescent="0.25">
      <c r="B763" s="932"/>
      <c r="C763" s="932"/>
      <c r="D763" s="932"/>
      <c r="E763" s="932"/>
      <c r="F763" s="932"/>
      <c r="G763" s="932"/>
      <c r="H763" s="932"/>
      <c r="I763" s="932"/>
      <c r="J763" s="932"/>
      <c r="K763" s="932"/>
      <c r="L763" s="932"/>
      <c r="M763" s="932"/>
      <c r="N763" s="932"/>
      <c r="O763" s="932"/>
      <c r="P763" s="932"/>
      <c r="Q763" s="932"/>
      <c r="R763" s="932"/>
      <c r="S763" s="932"/>
      <c r="T763" s="932"/>
      <c r="U763" s="932"/>
      <c r="V763" s="932"/>
      <c r="W763" s="932"/>
      <c r="X763" s="932"/>
      <c r="Y763" s="932"/>
      <c r="Z763" s="932"/>
      <c r="AA763" s="932"/>
      <c r="AB763" s="932"/>
      <c r="AC763" s="932"/>
      <c r="AD763" s="932"/>
      <c r="AE763" s="932"/>
      <c r="AF763" s="932"/>
      <c r="AG763" s="932"/>
      <c r="AH763" s="932"/>
      <c r="AI763" s="932"/>
      <c r="AJ763" s="932"/>
      <c r="AK763" s="932"/>
      <c r="AL763" s="932"/>
      <c r="AM763" s="932"/>
      <c r="AN763" s="932"/>
      <c r="AO763" s="932"/>
      <c r="AP763" s="932"/>
      <c r="AQ763" s="932"/>
      <c r="AR763" s="932"/>
      <c r="AS763" s="932"/>
      <c r="AT763" s="932"/>
      <c r="AU763" s="932"/>
      <c r="AV763" s="932"/>
      <c r="AW763" s="932"/>
      <c r="AX763" s="932"/>
      <c r="AY763" s="932"/>
      <c r="AZ763" s="932"/>
      <c r="BA763" s="932"/>
      <c r="BB763" s="932"/>
      <c r="BC763" s="932"/>
      <c r="BD763" s="932"/>
      <c r="BE763" s="932"/>
      <c r="BF763" s="932"/>
    </row>
    <row r="764" spans="2:58" ht="15" x14ac:dyDescent="0.25">
      <c r="B764" s="932"/>
      <c r="C764" s="932"/>
      <c r="D764" s="932"/>
      <c r="E764" s="932"/>
      <c r="F764" s="932"/>
      <c r="G764" s="932"/>
      <c r="H764" s="932"/>
      <c r="I764" s="932"/>
      <c r="J764" s="932"/>
      <c r="K764" s="932"/>
      <c r="L764" s="932"/>
      <c r="M764" s="932"/>
      <c r="N764" s="932"/>
      <c r="O764" s="932"/>
      <c r="P764" s="932"/>
      <c r="Q764" s="932"/>
      <c r="R764" s="932"/>
      <c r="S764" s="932"/>
      <c r="T764" s="932"/>
      <c r="U764" s="932"/>
      <c r="V764" s="932"/>
      <c r="W764" s="932"/>
      <c r="X764" s="932"/>
      <c r="Y764" s="932"/>
      <c r="Z764" s="932"/>
      <c r="AA764" s="932"/>
      <c r="AB764" s="932"/>
      <c r="AC764" s="932"/>
      <c r="AD764" s="932"/>
      <c r="AE764" s="932"/>
      <c r="AF764" s="932"/>
      <c r="AG764" s="932"/>
      <c r="AH764" s="932"/>
      <c r="AI764" s="932"/>
      <c r="AJ764" s="932"/>
      <c r="AK764" s="932"/>
      <c r="AL764" s="932"/>
      <c r="AM764" s="932"/>
      <c r="AN764" s="932"/>
      <c r="AO764" s="932"/>
      <c r="AP764" s="932"/>
      <c r="AQ764" s="932"/>
      <c r="AR764" s="932"/>
      <c r="AS764" s="932"/>
      <c r="AT764" s="932"/>
      <c r="AU764" s="932"/>
      <c r="AV764" s="932"/>
      <c r="AW764" s="932"/>
      <c r="AX764" s="932"/>
      <c r="AY764" s="932"/>
      <c r="AZ764" s="932"/>
      <c r="BA764" s="932"/>
      <c r="BB764" s="932"/>
      <c r="BC764" s="932"/>
      <c r="BD764" s="932"/>
      <c r="BE764" s="932"/>
      <c r="BF764" s="932"/>
    </row>
    <row r="765" spans="2:58" ht="15" x14ac:dyDescent="0.25">
      <c r="B765" s="932"/>
      <c r="C765" s="932"/>
      <c r="D765" s="932"/>
      <c r="E765" s="932"/>
      <c r="F765" s="932"/>
      <c r="G765" s="932"/>
      <c r="H765" s="932"/>
      <c r="I765" s="932"/>
      <c r="J765" s="932"/>
      <c r="K765" s="932"/>
      <c r="L765" s="932"/>
      <c r="M765" s="932"/>
      <c r="N765" s="932"/>
      <c r="O765" s="932"/>
      <c r="P765" s="932"/>
      <c r="Q765" s="932"/>
      <c r="R765" s="932"/>
      <c r="S765" s="932"/>
      <c r="T765" s="932"/>
      <c r="U765" s="932"/>
      <c r="V765" s="932"/>
      <c r="W765" s="932"/>
      <c r="X765" s="932"/>
      <c r="Y765" s="932"/>
      <c r="Z765" s="932"/>
      <c r="AA765" s="932"/>
      <c r="AB765" s="932"/>
      <c r="AC765" s="932"/>
      <c r="AD765" s="932"/>
      <c r="AE765" s="932"/>
      <c r="AF765" s="932"/>
      <c r="AG765" s="932"/>
      <c r="AH765" s="932"/>
      <c r="AI765" s="932"/>
      <c r="AJ765" s="932"/>
      <c r="AK765" s="932"/>
      <c r="AL765" s="932"/>
      <c r="AM765" s="932"/>
      <c r="AN765" s="932"/>
      <c r="AO765" s="932"/>
      <c r="AP765" s="932"/>
      <c r="AQ765" s="932"/>
      <c r="AR765" s="932"/>
      <c r="AS765" s="932"/>
      <c r="AT765" s="932"/>
      <c r="AU765" s="932"/>
      <c r="AV765" s="932"/>
      <c r="AW765" s="932"/>
      <c r="AX765" s="932"/>
      <c r="AY765" s="932"/>
      <c r="AZ765" s="932"/>
      <c r="BA765" s="932"/>
      <c r="BB765" s="932"/>
      <c r="BC765" s="932"/>
      <c r="BD765" s="932"/>
      <c r="BE765" s="932"/>
      <c r="BF765" s="932"/>
    </row>
    <row r="766" spans="2:58" ht="15" x14ac:dyDescent="0.25">
      <c r="B766" s="932"/>
      <c r="C766" s="932"/>
      <c r="D766" s="932"/>
      <c r="E766" s="932"/>
      <c r="F766" s="932"/>
      <c r="G766" s="932"/>
      <c r="H766" s="932"/>
      <c r="I766" s="932"/>
      <c r="J766" s="932"/>
      <c r="K766" s="932"/>
      <c r="L766" s="932"/>
      <c r="M766" s="932"/>
      <c r="N766" s="932"/>
      <c r="O766" s="932"/>
      <c r="P766" s="932"/>
      <c r="Q766" s="932"/>
      <c r="R766" s="932"/>
      <c r="S766" s="932"/>
      <c r="T766" s="932"/>
      <c r="U766" s="932"/>
      <c r="V766" s="932"/>
      <c r="W766" s="932"/>
      <c r="X766" s="932"/>
      <c r="Y766" s="932"/>
      <c r="Z766" s="932"/>
      <c r="AA766" s="932"/>
      <c r="AB766" s="932"/>
      <c r="AC766" s="932"/>
      <c r="AD766" s="932"/>
      <c r="AE766" s="932"/>
      <c r="AF766" s="932"/>
      <c r="AG766" s="932"/>
      <c r="AH766" s="932"/>
      <c r="AI766" s="932"/>
      <c r="AJ766" s="932"/>
      <c r="AK766" s="932"/>
      <c r="AL766" s="932"/>
      <c r="AM766" s="932"/>
      <c r="AN766" s="932"/>
      <c r="AO766" s="932"/>
      <c r="AP766" s="932"/>
      <c r="AQ766" s="932"/>
      <c r="AR766" s="932"/>
      <c r="AS766" s="932"/>
      <c r="AT766" s="932"/>
      <c r="AU766" s="932"/>
      <c r="AV766" s="932"/>
      <c r="AW766" s="932"/>
      <c r="AX766" s="932"/>
      <c r="AY766" s="932"/>
      <c r="AZ766" s="932"/>
      <c r="BA766" s="932"/>
      <c r="BB766" s="932"/>
      <c r="BC766" s="932"/>
      <c r="BD766" s="932"/>
      <c r="BE766" s="932"/>
      <c r="BF766" s="932"/>
    </row>
    <row r="767" spans="2:58" ht="15" x14ac:dyDescent="0.25">
      <c r="B767" s="932"/>
      <c r="C767" s="932"/>
      <c r="D767" s="932"/>
      <c r="E767" s="932"/>
      <c r="F767" s="932"/>
      <c r="G767" s="932"/>
      <c r="H767" s="932"/>
      <c r="I767" s="932"/>
      <c r="J767" s="932"/>
      <c r="K767" s="932"/>
      <c r="L767" s="932"/>
      <c r="M767" s="932"/>
      <c r="N767" s="932"/>
      <c r="O767" s="932"/>
      <c r="P767" s="932"/>
      <c r="Q767" s="932"/>
      <c r="R767" s="932"/>
      <c r="S767" s="932"/>
      <c r="T767" s="932"/>
      <c r="U767" s="932"/>
      <c r="V767" s="932"/>
      <c r="W767" s="932"/>
      <c r="X767" s="932"/>
      <c r="Y767" s="932"/>
      <c r="Z767" s="932"/>
      <c r="AA767" s="932"/>
      <c r="AB767" s="932"/>
      <c r="AC767" s="932"/>
      <c r="AD767" s="932"/>
      <c r="AE767" s="932"/>
      <c r="AF767" s="932"/>
      <c r="AG767" s="932"/>
      <c r="AH767" s="932"/>
      <c r="AI767" s="932"/>
      <c r="AJ767" s="932"/>
      <c r="AK767" s="932"/>
      <c r="AL767" s="932"/>
      <c r="AM767" s="932"/>
      <c r="AN767" s="932"/>
      <c r="AO767" s="932"/>
      <c r="AP767" s="932"/>
      <c r="AQ767" s="932"/>
      <c r="AR767" s="932"/>
      <c r="AS767" s="932"/>
      <c r="AT767" s="932"/>
      <c r="AU767" s="932"/>
      <c r="AV767" s="932"/>
      <c r="AW767" s="932"/>
      <c r="AX767" s="932"/>
      <c r="AY767" s="932"/>
      <c r="AZ767" s="932"/>
      <c r="BA767" s="932"/>
      <c r="BB767" s="932"/>
      <c r="BC767" s="932"/>
      <c r="BD767" s="932"/>
      <c r="BE767" s="932"/>
      <c r="BF767" s="932"/>
    </row>
    <row r="768" spans="2:58" ht="15" x14ac:dyDescent="0.25">
      <c r="B768" s="932"/>
      <c r="C768" s="932"/>
      <c r="D768" s="932"/>
      <c r="E768" s="932"/>
      <c r="F768" s="932"/>
      <c r="G768" s="932"/>
      <c r="H768" s="932"/>
      <c r="I768" s="932"/>
      <c r="J768" s="932"/>
      <c r="K768" s="932"/>
      <c r="L768" s="932"/>
      <c r="M768" s="932"/>
      <c r="N768" s="932"/>
      <c r="O768" s="932"/>
      <c r="P768" s="932"/>
      <c r="Q768" s="932"/>
      <c r="R768" s="932"/>
      <c r="S768" s="932"/>
      <c r="T768" s="932"/>
      <c r="U768" s="932"/>
      <c r="V768" s="932"/>
      <c r="W768" s="932"/>
      <c r="X768" s="932"/>
      <c r="Y768" s="932"/>
      <c r="Z768" s="932"/>
      <c r="AA768" s="932"/>
      <c r="AB768" s="932"/>
      <c r="AC768" s="932"/>
      <c r="AD768" s="932"/>
      <c r="AE768" s="932"/>
      <c r="AF768" s="932"/>
      <c r="AG768" s="932"/>
      <c r="AH768" s="932"/>
      <c r="AI768" s="932"/>
      <c r="AJ768" s="932"/>
      <c r="AK768" s="932"/>
      <c r="AL768" s="932"/>
      <c r="AM768" s="932"/>
      <c r="AN768" s="932"/>
      <c r="AO768" s="932"/>
      <c r="AP768" s="932"/>
      <c r="AQ768" s="932"/>
      <c r="AR768" s="932"/>
      <c r="AS768" s="932"/>
      <c r="AT768" s="932"/>
      <c r="AU768" s="932"/>
      <c r="AV768" s="932"/>
      <c r="AW768" s="932"/>
      <c r="AX768" s="932"/>
      <c r="AY768" s="932"/>
      <c r="AZ768" s="932"/>
      <c r="BA768" s="932"/>
      <c r="BB768" s="932"/>
      <c r="BC768" s="932"/>
      <c r="BD768" s="932"/>
      <c r="BE768" s="932"/>
      <c r="BF768" s="932"/>
    </row>
    <row r="769" spans="2:58" ht="15" x14ac:dyDescent="0.25">
      <c r="B769" s="932"/>
      <c r="C769" s="932"/>
      <c r="D769" s="932"/>
      <c r="E769" s="932"/>
      <c r="F769" s="932"/>
      <c r="G769" s="932"/>
      <c r="H769" s="932"/>
      <c r="I769" s="932"/>
      <c r="J769" s="932"/>
      <c r="K769" s="932"/>
      <c r="L769" s="932"/>
      <c r="M769" s="932"/>
      <c r="N769" s="932"/>
      <c r="O769" s="932"/>
      <c r="P769" s="932"/>
      <c r="Q769" s="932"/>
      <c r="R769" s="932"/>
      <c r="S769" s="932"/>
      <c r="T769" s="932"/>
      <c r="U769" s="932"/>
      <c r="V769" s="932"/>
      <c r="W769" s="932"/>
      <c r="X769" s="932"/>
      <c r="Y769" s="932"/>
      <c r="Z769" s="932"/>
      <c r="AA769" s="932"/>
      <c r="AB769" s="932"/>
      <c r="AC769" s="932"/>
      <c r="AD769" s="932"/>
      <c r="AE769" s="932"/>
      <c r="AF769" s="932"/>
      <c r="AG769" s="932"/>
      <c r="AH769" s="932"/>
      <c r="AI769" s="932"/>
      <c r="AJ769" s="932"/>
      <c r="AK769" s="932"/>
      <c r="AL769" s="932"/>
      <c r="AM769" s="932"/>
      <c r="AN769" s="932"/>
      <c r="AO769" s="932"/>
      <c r="AP769" s="932"/>
      <c r="AQ769" s="932"/>
      <c r="AR769" s="932"/>
      <c r="AS769" s="932"/>
      <c r="AT769" s="932"/>
      <c r="AU769" s="932"/>
      <c r="AV769" s="932"/>
      <c r="AW769" s="932"/>
      <c r="AX769" s="932"/>
      <c r="AY769" s="932"/>
      <c r="AZ769" s="932"/>
      <c r="BA769" s="932"/>
      <c r="BB769" s="932"/>
      <c r="BC769" s="932"/>
      <c r="BD769" s="932"/>
      <c r="BE769" s="932"/>
      <c r="BF769" s="932"/>
    </row>
    <row r="770" spans="2:58" ht="15" x14ac:dyDescent="0.25">
      <c r="B770" s="932"/>
      <c r="C770" s="932"/>
      <c r="D770" s="932"/>
      <c r="E770" s="932"/>
      <c r="F770" s="932"/>
      <c r="G770" s="932"/>
      <c r="H770" s="932"/>
      <c r="I770" s="932"/>
      <c r="J770" s="932"/>
      <c r="K770" s="932"/>
      <c r="L770" s="932"/>
      <c r="M770" s="932"/>
      <c r="N770" s="932"/>
      <c r="O770" s="932"/>
      <c r="P770" s="932"/>
      <c r="Q770" s="932"/>
      <c r="R770" s="932"/>
      <c r="S770" s="932"/>
      <c r="T770" s="932"/>
      <c r="U770" s="932"/>
      <c r="V770" s="932"/>
      <c r="W770" s="932"/>
      <c r="X770" s="932"/>
      <c r="Y770" s="932"/>
      <c r="Z770" s="932"/>
      <c r="AA770" s="932"/>
      <c r="AB770" s="932"/>
      <c r="AC770" s="932"/>
      <c r="AD770" s="932"/>
      <c r="AE770" s="932"/>
      <c r="AF770" s="932"/>
      <c r="AG770" s="932"/>
      <c r="AH770" s="932"/>
      <c r="AI770" s="932"/>
      <c r="AJ770" s="932"/>
      <c r="AK770" s="932"/>
      <c r="AL770" s="932"/>
      <c r="AM770" s="932"/>
      <c r="AN770" s="932"/>
      <c r="AO770" s="932"/>
      <c r="AP770" s="932"/>
      <c r="AQ770" s="932"/>
      <c r="AR770" s="932"/>
      <c r="AS770" s="932"/>
      <c r="AT770" s="932"/>
      <c r="AU770" s="932"/>
      <c r="AV770" s="932"/>
      <c r="AW770" s="932"/>
      <c r="AX770" s="932"/>
      <c r="AY770" s="932"/>
      <c r="AZ770" s="932"/>
      <c r="BA770" s="932"/>
      <c r="BB770" s="932"/>
      <c r="BC770" s="932"/>
      <c r="BD770" s="932"/>
      <c r="BE770" s="932"/>
      <c r="BF770" s="932"/>
    </row>
    <row r="771" spans="2:58" ht="15" x14ac:dyDescent="0.25">
      <c r="B771" s="932"/>
      <c r="C771" s="932"/>
      <c r="D771" s="932"/>
      <c r="E771" s="932"/>
      <c r="F771" s="932"/>
      <c r="G771" s="932"/>
      <c r="H771" s="932"/>
      <c r="I771" s="932"/>
      <c r="J771" s="932"/>
      <c r="K771" s="932"/>
      <c r="L771" s="932"/>
      <c r="M771" s="932"/>
      <c r="N771" s="932"/>
      <c r="O771" s="932"/>
      <c r="P771" s="932"/>
      <c r="Q771" s="932"/>
      <c r="R771" s="932"/>
      <c r="S771" s="932"/>
      <c r="T771" s="932"/>
      <c r="U771" s="932"/>
      <c r="V771" s="932"/>
      <c r="W771" s="932"/>
      <c r="X771" s="932"/>
      <c r="Y771" s="932"/>
      <c r="Z771" s="932"/>
      <c r="AA771" s="932"/>
      <c r="AB771" s="932"/>
      <c r="AC771" s="932"/>
      <c r="AD771" s="932"/>
      <c r="AE771" s="932"/>
      <c r="AF771" s="932"/>
      <c r="AG771" s="932"/>
      <c r="AH771" s="932"/>
      <c r="AI771" s="932"/>
      <c r="AJ771" s="932"/>
      <c r="AK771" s="932"/>
      <c r="AL771" s="932"/>
      <c r="AM771" s="932"/>
      <c r="AN771" s="932"/>
      <c r="AO771" s="932"/>
      <c r="AP771" s="932"/>
      <c r="AQ771" s="932"/>
      <c r="AR771" s="932"/>
      <c r="AS771" s="932"/>
      <c r="AT771" s="932"/>
      <c r="AU771" s="932"/>
      <c r="AV771" s="932"/>
      <c r="AW771" s="932"/>
      <c r="AX771" s="932"/>
      <c r="AY771" s="932"/>
      <c r="AZ771" s="932"/>
      <c r="BA771" s="932"/>
      <c r="BB771" s="932"/>
      <c r="BC771" s="932"/>
      <c r="BD771" s="932"/>
      <c r="BE771" s="932"/>
      <c r="BF771" s="932"/>
    </row>
    <row r="772" spans="2:58" ht="15" x14ac:dyDescent="0.25">
      <c r="B772" s="932"/>
      <c r="C772" s="932"/>
      <c r="D772" s="932"/>
      <c r="E772" s="932"/>
      <c r="F772" s="932"/>
      <c r="G772" s="932"/>
      <c r="H772" s="932"/>
      <c r="I772" s="932"/>
      <c r="J772" s="932"/>
      <c r="K772" s="932"/>
      <c r="L772" s="932"/>
      <c r="M772" s="932"/>
      <c r="N772" s="932"/>
      <c r="O772" s="932"/>
      <c r="P772" s="932"/>
      <c r="Q772" s="932"/>
      <c r="R772" s="932"/>
      <c r="S772" s="932"/>
      <c r="T772" s="932"/>
      <c r="U772" s="932"/>
      <c r="V772" s="932"/>
      <c r="W772" s="932"/>
      <c r="X772" s="932"/>
      <c r="Y772" s="932"/>
      <c r="Z772" s="932"/>
      <c r="AA772" s="932"/>
      <c r="AB772" s="932"/>
      <c r="AC772" s="932"/>
      <c r="AD772" s="932"/>
      <c r="AE772" s="932"/>
      <c r="AF772" s="932"/>
      <c r="AG772" s="932"/>
      <c r="AH772" s="932"/>
      <c r="AI772" s="932"/>
      <c r="AJ772" s="932"/>
      <c r="AK772" s="932"/>
      <c r="AL772" s="932"/>
      <c r="AM772" s="932"/>
      <c r="AN772" s="932"/>
      <c r="AO772" s="932"/>
      <c r="AP772" s="932"/>
      <c r="AQ772" s="932"/>
      <c r="AR772" s="932"/>
      <c r="AS772" s="932"/>
      <c r="AT772" s="932"/>
      <c r="AU772" s="932"/>
      <c r="AV772" s="932"/>
      <c r="AW772" s="932"/>
      <c r="AX772" s="932"/>
      <c r="AY772" s="932"/>
      <c r="AZ772" s="932"/>
      <c r="BA772" s="932"/>
      <c r="BB772" s="932"/>
      <c r="BC772" s="932"/>
      <c r="BD772" s="932"/>
      <c r="BE772" s="932"/>
      <c r="BF772" s="932"/>
    </row>
    <row r="773" spans="2:58" ht="15" x14ac:dyDescent="0.25">
      <c r="B773" s="932"/>
      <c r="C773" s="932"/>
      <c r="D773" s="932"/>
      <c r="E773" s="932"/>
      <c r="F773" s="932"/>
      <c r="G773" s="932"/>
      <c r="H773" s="932"/>
      <c r="I773" s="932"/>
      <c r="J773" s="932"/>
      <c r="K773" s="932"/>
      <c r="L773" s="932"/>
      <c r="M773" s="932"/>
      <c r="N773" s="932"/>
      <c r="O773" s="932"/>
      <c r="P773" s="932"/>
      <c r="Q773" s="932"/>
      <c r="R773" s="932"/>
      <c r="S773" s="932"/>
      <c r="T773" s="932"/>
      <c r="U773" s="932"/>
      <c r="V773" s="932"/>
      <c r="W773" s="932"/>
      <c r="X773" s="932"/>
      <c r="Y773" s="932"/>
      <c r="Z773" s="932"/>
      <c r="AA773" s="932"/>
      <c r="AB773" s="932"/>
      <c r="AC773" s="932"/>
      <c r="AD773" s="932"/>
      <c r="AE773" s="932"/>
      <c r="AF773" s="932"/>
      <c r="AG773" s="932"/>
      <c r="AH773" s="932"/>
      <c r="AI773" s="932"/>
      <c r="AJ773" s="932"/>
      <c r="AK773" s="932"/>
      <c r="AL773" s="932"/>
      <c r="AM773" s="932"/>
      <c r="AN773" s="932"/>
      <c r="AO773" s="932"/>
      <c r="AP773" s="932"/>
      <c r="AQ773" s="932"/>
      <c r="AR773" s="932"/>
      <c r="AS773" s="932"/>
      <c r="AT773" s="932"/>
      <c r="AU773" s="932"/>
      <c r="AV773" s="932"/>
      <c r="AW773" s="932"/>
      <c r="AX773" s="932"/>
      <c r="AY773" s="932"/>
      <c r="AZ773" s="932"/>
      <c r="BA773" s="932"/>
      <c r="BB773" s="932"/>
      <c r="BC773" s="932"/>
      <c r="BD773" s="932"/>
      <c r="BE773" s="932"/>
      <c r="BF773" s="932"/>
    </row>
    <row r="774" spans="2:58" ht="15" x14ac:dyDescent="0.25">
      <c r="B774" s="932"/>
      <c r="C774" s="932"/>
      <c r="D774" s="932"/>
      <c r="E774" s="932"/>
      <c r="F774" s="932"/>
      <c r="G774" s="932"/>
      <c r="H774" s="932"/>
      <c r="I774" s="932"/>
      <c r="J774" s="932"/>
      <c r="K774" s="932"/>
      <c r="L774" s="932"/>
      <c r="M774" s="932"/>
      <c r="N774" s="932"/>
      <c r="O774" s="932"/>
      <c r="P774" s="932"/>
      <c r="Q774" s="932"/>
      <c r="R774" s="932"/>
      <c r="S774" s="932"/>
      <c r="T774" s="932"/>
      <c r="U774" s="932"/>
      <c r="V774" s="932"/>
      <c r="W774" s="932"/>
      <c r="X774" s="932"/>
      <c r="Y774" s="932"/>
      <c r="Z774" s="932"/>
      <c r="AA774" s="932"/>
      <c r="AB774" s="932"/>
      <c r="AC774" s="932"/>
      <c r="AD774" s="932"/>
      <c r="AE774" s="932"/>
      <c r="AF774" s="932"/>
      <c r="AG774" s="932"/>
      <c r="AH774" s="932"/>
      <c r="AI774" s="932"/>
      <c r="AJ774" s="932"/>
      <c r="AK774" s="932"/>
      <c r="AL774" s="932"/>
      <c r="AM774" s="932"/>
      <c r="AN774" s="932"/>
      <c r="AO774" s="932"/>
      <c r="AP774" s="932"/>
      <c r="AQ774" s="932"/>
      <c r="AR774" s="932"/>
      <c r="AS774" s="932"/>
      <c r="AT774" s="932"/>
      <c r="AU774" s="932"/>
      <c r="AV774" s="932"/>
      <c r="AW774" s="932"/>
      <c r="AX774" s="932"/>
      <c r="AY774" s="932"/>
      <c r="AZ774" s="932"/>
      <c r="BA774" s="932"/>
      <c r="BB774" s="932"/>
      <c r="BC774" s="932"/>
      <c r="BD774" s="932"/>
      <c r="BE774" s="932"/>
      <c r="BF774" s="932"/>
    </row>
    <row r="775" spans="2:58" ht="15" x14ac:dyDescent="0.25">
      <c r="B775" s="932"/>
      <c r="C775" s="932"/>
      <c r="D775" s="932"/>
      <c r="E775" s="932"/>
      <c r="F775" s="932"/>
      <c r="G775" s="932"/>
      <c r="H775" s="932"/>
      <c r="I775" s="932"/>
      <c r="J775" s="932"/>
      <c r="K775" s="932"/>
      <c r="L775" s="932"/>
      <c r="M775" s="932"/>
      <c r="N775" s="932"/>
      <c r="O775" s="932"/>
      <c r="P775" s="932"/>
      <c r="Q775" s="932"/>
      <c r="R775" s="932"/>
      <c r="S775" s="932"/>
      <c r="T775" s="932"/>
      <c r="U775" s="932"/>
      <c r="V775" s="932"/>
      <c r="W775" s="932"/>
      <c r="X775" s="932"/>
      <c r="Y775" s="932"/>
      <c r="Z775" s="932"/>
      <c r="AA775" s="932"/>
      <c r="AB775" s="932"/>
      <c r="AC775" s="932"/>
      <c r="AD775" s="932"/>
      <c r="AE775" s="932"/>
      <c r="AF775" s="932"/>
      <c r="AG775" s="932"/>
      <c r="AH775" s="932"/>
      <c r="AI775" s="932"/>
      <c r="AJ775" s="932"/>
      <c r="AK775" s="932"/>
      <c r="AL775" s="932"/>
      <c r="AM775" s="932"/>
      <c r="AN775" s="932"/>
      <c r="AO775" s="932"/>
      <c r="AP775" s="932"/>
      <c r="AQ775" s="932"/>
      <c r="AR775" s="932"/>
      <c r="AS775" s="932"/>
      <c r="AT775" s="932"/>
      <c r="AU775" s="932"/>
      <c r="AV775" s="932"/>
      <c r="AW775" s="932"/>
      <c r="AX775" s="932"/>
      <c r="AY775" s="932"/>
      <c r="AZ775" s="932"/>
      <c r="BA775" s="932"/>
      <c r="BB775" s="932"/>
      <c r="BC775" s="932"/>
      <c r="BD775" s="932"/>
      <c r="BE775" s="932"/>
      <c r="BF775" s="932"/>
    </row>
    <row r="776" spans="2:58" ht="15" x14ac:dyDescent="0.25">
      <c r="B776" s="932"/>
      <c r="C776" s="932"/>
      <c r="D776" s="932"/>
      <c r="E776" s="932"/>
      <c r="F776" s="932"/>
      <c r="G776" s="932"/>
      <c r="H776" s="932"/>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932"/>
      <c r="AE776" s="932"/>
      <c r="AF776" s="932"/>
      <c r="AG776" s="932"/>
      <c r="AH776" s="932"/>
      <c r="AI776" s="932"/>
      <c r="AJ776" s="932"/>
      <c r="AK776" s="932"/>
      <c r="AL776" s="932"/>
      <c r="AM776" s="932"/>
      <c r="AN776" s="932"/>
      <c r="AO776" s="932"/>
      <c r="AP776" s="932"/>
      <c r="AQ776" s="932"/>
      <c r="AR776" s="932"/>
      <c r="AS776" s="932"/>
      <c r="AT776" s="932"/>
      <c r="AU776" s="932"/>
      <c r="AV776" s="932"/>
      <c r="AW776" s="932"/>
      <c r="AX776" s="932"/>
      <c r="AY776" s="932"/>
      <c r="AZ776" s="932"/>
      <c r="BA776" s="932"/>
      <c r="BB776" s="932"/>
      <c r="BC776" s="932"/>
      <c r="BD776" s="932"/>
      <c r="BE776" s="932"/>
      <c r="BF776" s="932"/>
    </row>
    <row r="777" spans="2:58" ht="15" x14ac:dyDescent="0.25">
      <c r="B777" s="932"/>
      <c r="C777" s="932"/>
      <c r="D777" s="932"/>
      <c r="E777" s="932"/>
      <c r="F777" s="932"/>
      <c r="G777" s="932"/>
      <c r="H777" s="932"/>
      <c r="I777" s="932"/>
      <c r="J777" s="932"/>
      <c r="K777" s="932"/>
      <c r="L777" s="932"/>
      <c r="M777" s="932"/>
      <c r="N777" s="932"/>
      <c r="O777" s="932"/>
      <c r="P777" s="932"/>
      <c r="Q777" s="932"/>
      <c r="R777" s="932"/>
      <c r="S777" s="932"/>
      <c r="T777" s="932"/>
      <c r="U777" s="932"/>
      <c r="V777" s="932"/>
      <c r="W777" s="932"/>
      <c r="X777" s="932"/>
      <c r="Y777" s="932"/>
      <c r="Z777" s="932"/>
      <c r="AA777" s="932"/>
      <c r="AB777" s="932"/>
      <c r="AC777" s="932"/>
      <c r="AD777" s="932"/>
      <c r="AE777" s="932"/>
      <c r="AF777" s="932"/>
      <c r="AG777" s="932"/>
      <c r="AH777" s="932"/>
      <c r="AI777" s="932"/>
      <c r="AJ777" s="932"/>
      <c r="AK777" s="932"/>
      <c r="AL777" s="932"/>
      <c r="AM777" s="932"/>
      <c r="AN777" s="932"/>
      <c r="AO777" s="932"/>
      <c r="AP777" s="932"/>
      <c r="AQ777" s="932"/>
      <c r="AR777" s="932"/>
      <c r="AS777" s="932"/>
      <c r="AT777" s="932"/>
      <c r="AU777" s="932"/>
      <c r="AV777" s="932"/>
      <c r="AW777" s="932"/>
      <c r="AX777" s="932"/>
      <c r="AY777" s="932"/>
      <c r="AZ777" s="932"/>
      <c r="BA777" s="932"/>
      <c r="BB777" s="932"/>
      <c r="BC777" s="932"/>
      <c r="BD777" s="932"/>
      <c r="BE777" s="932"/>
      <c r="BF777" s="932"/>
    </row>
    <row r="778" spans="2:58" ht="15" x14ac:dyDescent="0.25">
      <c r="B778" s="932"/>
      <c r="C778" s="932"/>
      <c r="D778" s="932"/>
      <c r="E778" s="932"/>
      <c r="F778" s="932"/>
      <c r="G778" s="932"/>
      <c r="H778" s="932"/>
      <c r="I778" s="932"/>
      <c r="J778" s="932"/>
      <c r="K778" s="932"/>
      <c r="L778" s="932"/>
      <c r="M778" s="932"/>
      <c r="N778" s="932"/>
      <c r="O778" s="932"/>
      <c r="P778" s="932"/>
      <c r="Q778" s="932"/>
      <c r="R778" s="932"/>
      <c r="S778" s="932"/>
      <c r="T778" s="932"/>
      <c r="U778" s="932"/>
      <c r="V778" s="932"/>
      <c r="W778" s="932"/>
      <c r="X778" s="932"/>
      <c r="Y778" s="932"/>
      <c r="Z778" s="932"/>
      <c r="AA778" s="932"/>
      <c r="AB778" s="932"/>
      <c r="AC778" s="932"/>
      <c r="AD778" s="932"/>
      <c r="AE778" s="932"/>
      <c r="AF778" s="932"/>
      <c r="AG778" s="932"/>
      <c r="AH778" s="932"/>
      <c r="AI778" s="932"/>
      <c r="AJ778" s="932"/>
      <c r="AK778" s="932"/>
      <c r="AL778" s="932"/>
      <c r="AM778" s="932"/>
      <c r="AN778" s="932"/>
      <c r="AO778" s="932"/>
      <c r="AP778" s="932"/>
      <c r="AQ778" s="932"/>
      <c r="AR778" s="932"/>
      <c r="AS778" s="932"/>
      <c r="AT778" s="932"/>
      <c r="AU778" s="932"/>
      <c r="AV778" s="932"/>
      <c r="AW778" s="932"/>
      <c r="AX778" s="932"/>
      <c r="AY778" s="932"/>
      <c r="AZ778" s="932"/>
      <c r="BA778" s="932"/>
      <c r="BB778" s="932"/>
      <c r="BC778" s="932"/>
      <c r="BD778" s="932"/>
      <c r="BE778" s="932"/>
      <c r="BF778" s="932"/>
    </row>
    <row r="779" spans="2:58" ht="15" x14ac:dyDescent="0.25">
      <c r="B779" s="932"/>
      <c r="C779" s="932"/>
      <c r="D779" s="932"/>
      <c r="E779" s="932"/>
      <c r="F779" s="932"/>
      <c r="G779" s="932"/>
      <c r="H779" s="932"/>
      <c r="I779" s="932"/>
      <c r="J779" s="932"/>
      <c r="K779" s="932"/>
      <c r="L779" s="932"/>
      <c r="M779" s="932"/>
      <c r="N779" s="932"/>
      <c r="O779" s="932"/>
      <c r="P779" s="932"/>
      <c r="Q779" s="932"/>
      <c r="R779" s="932"/>
      <c r="S779" s="932"/>
      <c r="T779" s="932"/>
      <c r="U779" s="932"/>
      <c r="V779" s="932"/>
      <c r="W779" s="932"/>
      <c r="X779" s="932"/>
      <c r="Y779" s="932"/>
      <c r="Z779" s="932"/>
      <c r="AA779" s="932"/>
      <c r="AB779" s="932"/>
      <c r="AC779" s="932"/>
      <c r="AD779" s="932"/>
      <c r="AE779" s="932"/>
      <c r="AF779" s="932"/>
      <c r="AG779" s="932"/>
      <c r="AH779" s="932"/>
      <c r="AI779" s="932"/>
      <c r="AJ779" s="932"/>
      <c r="AK779" s="932"/>
      <c r="AL779" s="932"/>
      <c r="AM779" s="932"/>
      <c r="AN779" s="932"/>
      <c r="AO779" s="932"/>
      <c r="AP779" s="932"/>
      <c r="AQ779" s="932"/>
      <c r="AR779" s="932"/>
      <c r="AS779" s="932"/>
      <c r="AT779" s="932"/>
      <c r="AU779" s="932"/>
      <c r="AV779" s="932"/>
      <c r="AW779" s="932"/>
      <c r="AX779" s="932"/>
      <c r="AY779" s="932"/>
      <c r="AZ779" s="932"/>
      <c r="BA779" s="932"/>
      <c r="BB779" s="932"/>
      <c r="BC779" s="932"/>
      <c r="BD779" s="932"/>
      <c r="BE779" s="932"/>
      <c r="BF779" s="932"/>
    </row>
    <row r="780" spans="2:58" ht="15" x14ac:dyDescent="0.25">
      <c r="B780" s="932"/>
      <c r="C780" s="932"/>
      <c r="D780" s="932"/>
      <c r="E780" s="932"/>
      <c r="F780" s="932"/>
      <c r="G780" s="932"/>
      <c r="H780" s="932"/>
      <c r="I780" s="932"/>
      <c r="J780" s="932"/>
      <c r="K780" s="932"/>
      <c r="L780" s="932"/>
      <c r="M780" s="932"/>
      <c r="N780" s="932"/>
      <c r="O780" s="932"/>
      <c r="P780" s="932"/>
      <c r="Q780" s="932"/>
      <c r="R780" s="932"/>
      <c r="S780" s="932"/>
      <c r="T780" s="932"/>
      <c r="U780" s="932"/>
      <c r="V780" s="932"/>
      <c r="W780" s="932"/>
      <c r="X780" s="932"/>
      <c r="Y780" s="932"/>
      <c r="Z780" s="932"/>
      <c r="AA780" s="932"/>
      <c r="AB780" s="932"/>
      <c r="AC780" s="932"/>
      <c r="AD780" s="932"/>
      <c r="AE780" s="932"/>
      <c r="AF780" s="932"/>
      <c r="AG780" s="932"/>
      <c r="AH780" s="932"/>
      <c r="AI780" s="932"/>
      <c r="AJ780" s="932"/>
      <c r="AK780" s="932"/>
      <c r="AL780" s="932"/>
      <c r="AM780" s="932"/>
      <c r="AN780" s="932"/>
      <c r="AO780" s="932"/>
      <c r="AP780" s="932"/>
      <c r="AQ780" s="932"/>
      <c r="AR780" s="932"/>
      <c r="AS780" s="932"/>
      <c r="AT780" s="932"/>
      <c r="AU780" s="932"/>
      <c r="AV780" s="932"/>
      <c r="AW780" s="932"/>
      <c r="AX780" s="932"/>
      <c r="AY780" s="932"/>
      <c r="AZ780" s="932"/>
      <c r="BA780" s="932"/>
      <c r="BB780" s="932"/>
      <c r="BC780" s="932"/>
      <c r="BD780" s="932"/>
      <c r="BE780" s="932"/>
      <c r="BF780" s="932"/>
    </row>
    <row r="781" spans="2:58" ht="15" x14ac:dyDescent="0.25">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932"/>
      <c r="AL781" s="932"/>
      <c r="AM781" s="932"/>
      <c r="AN781" s="932"/>
      <c r="AO781" s="932"/>
      <c r="AP781" s="932"/>
      <c r="AQ781" s="932"/>
      <c r="AR781" s="932"/>
      <c r="AS781" s="932"/>
      <c r="AT781" s="932"/>
      <c r="AU781" s="932"/>
      <c r="AV781" s="932"/>
      <c r="AW781" s="932"/>
      <c r="AX781" s="932"/>
      <c r="AY781" s="932"/>
      <c r="AZ781" s="932"/>
      <c r="BA781" s="932"/>
      <c r="BB781" s="932"/>
      <c r="BC781" s="932"/>
      <c r="BD781" s="932"/>
      <c r="BE781" s="932"/>
      <c r="BF781" s="932"/>
    </row>
    <row r="782" spans="2:58" ht="15" x14ac:dyDescent="0.25">
      <c r="B782" s="932"/>
      <c r="C782" s="932"/>
      <c r="D782" s="932"/>
      <c r="E782" s="932"/>
      <c r="F782" s="932"/>
      <c r="G782" s="932"/>
      <c r="H782" s="932"/>
      <c r="I782" s="932"/>
      <c r="J782" s="932"/>
      <c r="K782" s="932"/>
      <c r="L782" s="932"/>
      <c r="M782" s="932"/>
      <c r="N782" s="932"/>
      <c r="O782" s="932"/>
      <c r="P782" s="932"/>
      <c r="Q782" s="932"/>
      <c r="R782" s="932"/>
      <c r="S782" s="932"/>
      <c r="T782" s="932"/>
      <c r="U782" s="932"/>
      <c r="V782" s="932"/>
      <c r="W782" s="932"/>
      <c r="X782" s="932"/>
      <c r="Y782" s="932"/>
      <c r="Z782" s="932"/>
      <c r="AA782" s="932"/>
      <c r="AB782" s="932"/>
      <c r="AC782" s="932"/>
      <c r="AD782" s="932"/>
      <c r="AE782" s="932"/>
      <c r="AF782" s="932"/>
      <c r="AG782" s="932"/>
      <c r="AH782" s="932"/>
      <c r="AI782" s="932"/>
      <c r="AJ782" s="932"/>
      <c r="AK782" s="932"/>
      <c r="AL782" s="932"/>
      <c r="AM782" s="932"/>
      <c r="AN782" s="932"/>
      <c r="AO782" s="932"/>
      <c r="AP782" s="932"/>
      <c r="AQ782" s="932"/>
      <c r="AR782" s="932"/>
      <c r="AS782" s="932"/>
      <c r="AT782" s="932"/>
      <c r="AU782" s="932"/>
      <c r="AV782" s="932"/>
      <c r="AW782" s="932"/>
      <c r="AX782" s="932"/>
      <c r="AY782" s="932"/>
      <c r="AZ782" s="932"/>
      <c r="BA782" s="932"/>
      <c r="BB782" s="932"/>
      <c r="BC782" s="932"/>
      <c r="BD782" s="932"/>
      <c r="BE782" s="932"/>
      <c r="BF782" s="932"/>
    </row>
    <row r="783" spans="2:58" ht="15" x14ac:dyDescent="0.25">
      <c r="B783" s="932"/>
      <c r="C783" s="932"/>
      <c r="D783" s="932"/>
      <c r="E783" s="932"/>
      <c r="F783" s="932"/>
      <c r="G783" s="932"/>
      <c r="H783" s="932"/>
      <c r="I783" s="932"/>
      <c r="J783" s="932"/>
      <c r="K783" s="932"/>
      <c r="L783" s="932"/>
      <c r="M783" s="932"/>
      <c r="N783" s="932"/>
      <c r="O783" s="932"/>
      <c r="P783" s="932"/>
      <c r="Q783" s="932"/>
      <c r="R783" s="932"/>
      <c r="S783" s="932"/>
      <c r="T783" s="932"/>
      <c r="U783" s="932"/>
      <c r="V783" s="932"/>
      <c r="W783" s="932"/>
      <c r="X783" s="932"/>
      <c r="Y783" s="932"/>
      <c r="Z783" s="932"/>
      <c r="AA783" s="932"/>
      <c r="AB783" s="932"/>
      <c r="AC783" s="932"/>
      <c r="AD783" s="932"/>
      <c r="AE783" s="932"/>
      <c r="AF783" s="932"/>
      <c r="AG783" s="932"/>
      <c r="AH783" s="932"/>
      <c r="AI783" s="932"/>
      <c r="AJ783" s="932"/>
      <c r="AK783" s="932"/>
      <c r="AL783" s="932"/>
      <c r="AM783" s="932"/>
      <c r="AN783" s="932"/>
      <c r="AO783" s="932"/>
      <c r="AP783" s="932"/>
      <c r="AQ783" s="932"/>
      <c r="AR783" s="932"/>
      <c r="AS783" s="932"/>
      <c r="AT783" s="932"/>
      <c r="AU783" s="932"/>
      <c r="AV783" s="932"/>
      <c r="AW783" s="932"/>
      <c r="AX783" s="932"/>
      <c r="AY783" s="932"/>
      <c r="AZ783" s="932"/>
      <c r="BA783" s="932"/>
      <c r="BB783" s="932"/>
      <c r="BC783" s="932"/>
      <c r="BD783" s="932"/>
      <c r="BE783" s="932"/>
      <c r="BF783" s="932"/>
    </row>
    <row r="784" spans="2:58" ht="15" x14ac:dyDescent="0.25">
      <c r="B784" s="932"/>
      <c r="C784" s="932"/>
      <c r="D784" s="932"/>
      <c r="E784" s="932"/>
      <c r="F784" s="932"/>
      <c r="G784" s="932"/>
      <c r="H784" s="932"/>
      <c r="I784" s="932"/>
      <c r="J784" s="932"/>
      <c r="K784" s="932"/>
      <c r="L784" s="932"/>
      <c r="M784" s="932"/>
      <c r="N784" s="932"/>
      <c r="O784" s="932"/>
      <c r="P784" s="932"/>
      <c r="Q784" s="932"/>
      <c r="R784" s="932"/>
      <c r="S784" s="932"/>
      <c r="T784" s="932"/>
      <c r="U784" s="932"/>
      <c r="V784" s="932"/>
      <c r="W784" s="932"/>
      <c r="X784" s="932"/>
      <c r="Y784" s="932"/>
      <c r="Z784" s="932"/>
      <c r="AA784" s="932"/>
      <c r="AB784" s="932"/>
      <c r="AC784" s="932"/>
      <c r="AD784" s="932"/>
      <c r="AE784" s="932"/>
      <c r="AF784" s="932"/>
      <c r="AG784" s="932"/>
      <c r="AH784" s="932"/>
      <c r="AI784" s="932"/>
      <c r="AJ784" s="932"/>
      <c r="AK784" s="932"/>
      <c r="AL784" s="932"/>
      <c r="AM784" s="932"/>
      <c r="AN784" s="932"/>
      <c r="AO784" s="932"/>
      <c r="AP784" s="932"/>
      <c r="AQ784" s="932"/>
      <c r="AR784" s="932"/>
      <c r="AS784" s="932"/>
      <c r="AT784" s="932"/>
      <c r="AU784" s="932"/>
      <c r="AV784" s="932"/>
      <c r="AW784" s="932"/>
      <c r="AX784" s="932"/>
      <c r="AY784" s="932"/>
      <c r="AZ784" s="932"/>
      <c r="BA784" s="932"/>
      <c r="BB784" s="932"/>
      <c r="BC784" s="932"/>
      <c r="BD784" s="932"/>
      <c r="BE784" s="932"/>
      <c r="BF784" s="932"/>
    </row>
    <row r="785" spans="2:58" ht="15" x14ac:dyDescent="0.25">
      <c r="B785" s="932"/>
      <c r="C785" s="932"/>
      <c r="D785" s="932"/>
      <c r="E785" s="932"/>
      <c r="F785" s="932"/>
      <c r="G785" s="932"/>
      <c r="H785" s="932"/>
      <c r="I785" s="932"/>
      <c r="J785" s="932"/>
      <c r="K785" s="932"/>
      <c r="L785" s="932"/>
      <c r="M785" s="932"/>
      <c r="N785" s="932"/>
      <c r="O785" s="932"/>
      <c r="P785" s="932"/>
      <c r="Q785" s="932"/>
      <c r="R785" s="932"/>
      <c r="S785" s="932"/>
      <c r="T785" s="932"/>
      <c r="U785" s="932"/>
      <c r="V785" s="932"/>
      <c r="W785" s="932"/>
      <c r="X785" s="932"/>
      <c r="Y785" s="932"/>
      <c r="Z785" s="932"/>
      <c r="AA785" s="932"/>
      <c r="AB785" s="932"/>
      <c r="AC785" s="932"/>
      <c r="AD785" s="932"/>
      <c r="AE785" s="932"/>
      <c r="AF785" s="932"/>
      <c r="AG785" s="932"/>
      <c r="AH785" s="932"/>
      <c r="AI785" s="932"/>
      <c r="AJ785" s="932"/>
      <c r="AK785" s="932"/>
      <c r="AL785" s="932"/>
      <c r="AM785" s="932"/>
      <c r="AN785" s="932"/>
      <c r="AO785" s="932"/>
      <c r="AP785" s="932"/>
      <c r="AQ785" s="932"/>
      <c r="AR785" s="932"/>
      <c r="AS785" s="932"/>
      <c r="AT785" s="932"/>
      <c r="AU785" s="932"/>
      <c r="AV785" s="932"/>
      <c r="AW785" s="932"/>
      <c r="AX785" s="932"/>
      <c r="AY785" s="932"/>
      <c r="AZ785" s="932"/>
      <c r="BA785" s="932"/>
      <c r="BB785" s="932"/>
      <c r="BC785" s="932"/>
      <c r="BD785" s="932"/>
      <c r="BE785" s="932"/>
      <c r="BF785" s="932"/>
    </row>
    <row r="786" spans="2:58" ht="15" x14ac:dyDescent="0.25">
      <c r="B786" s="932"/>
      <c r="C786" s="932"/>
      <c r="D786" s="932"/>
      <c r="E786" s="932"/>
      <c r="F786" s="932"/>
      <c r="G786" s="932"/>
      <c r="H786" s="932"/>
      <c r="I786" s="932"/>
      <c r="J786" s="932"/>
      <c r="K786" s="932"/>
      <c r="L786" s="932"/>
      <c r="M786" s="932"/>
      <c r="N786" s="932"/>
      <c r="O786" s="932"/>
      <c r="P786" s="932"/>
      <c r="Q786" s="932"/>
      <c r="R786" s="932"/>
      <c r="S786" s="932"/>
      <c r="T786" s="932"/>
      <c r="U786" s="932"/>
      <c r="V786" s="932"/>
      <c r="W786" s="932"/>
      <c r="X786" s="932"/>
      <c r="Y786" s="932"/>
      <c r="Z786" s="932"/>
      <c r="AA786" s="932"/>
      <c r="AB786" s="932"/>
      <c r="AC786" s="932"/>
      <c r="AD786" s="932"/>
      <c r="AE786" s="932"/>
      <c r="AF786" s="932"/>
      <c r="AG786" s="932"/>
      <c r="AH786" s="932"/>
      <c r="AI786" s="932"/>
      <c r="AJ786" s="932"/>
      <c r="AK786" s="932"/>
      <c r="AL786" s="932"/>
      <c r="AM786" s="932"/>
      <c r="AN786" s="932"/>
      <c r="AO786" s="932"/>
      <c r="AP786" s="932"/>
      <c r="AQ786" s="932"/>
      <c r="AR786" s="932"/>
      <c r="AS786" s="932"/>
      <c r="AT786" s="932"/>
      <c r="AU786" s="932"/>
      <c r="AV786" s="932"/>
      <c r="AW786" s="932"/>
      <c r="AX786" s="932"/>
      <c r="AY786" s="932"/>
      <c r="AZ786" s="932"/>
      <c r="BA786" s="932"/>
      <c r="BB786" s="932"/>
      <c r="BC786" s="932"/>
      <c r="BD786" s="932"/>
      <c r="BE786" s="932"/>
      <c r="BF786" s="932"/>
    </row>
    <row r="787" spans="2:58" ht="15" x14ac:dyDescent="0.25">
      <c r="B787" s="932"/>
      <c r="C787" s="932"/>
      <c r="D787" s="932"/>
      <c r="E787" s="932"/>
      <c r="F787" s="932"/>
      <c r="G787" s="932"/>
      <c r="H787" s="932"/>
      <c r="I787" s="932"/>
      <c r="J787" s="932"/>
      <c r="K787" s="932"/>
      <c r="L787" s="932"/>
      <c r="M787" s="932"/>
      <c r="N787" s="932"/>
      <c r="O787" s="932"/>
      <c r="P787" s="932"/>
      <c r="Q787" s="932"/>
      <c r="R787" s="932"/>
      <c r="S787" s="932"/>
      <c r="T787" s="932"/>
      <c r="U787" s="932"/>
      <c r="V787" s="932"/>
      <c r="W787" s="932"/>
      <c r="X787" s="932"/>
      <c r="Y787" s="932"/>
      <c r="Z787" s="932"/>
      <c r="AA787" s="932"/>
      <c r="AB787" s="932"/>
      <c r="AC787" s="932"/>
      <c r="AD787" s="932"/>
      <c r="AE787" s="932"/>
      <c r="AF787" s="932"/>
      <c r="AG787" s="932"/>
      <c r="AH787" s="932"/>
      <c r="AI787" s="932"/>
      <c r="AJ787" s="932"/>
      <c r="AK787" s="932"/>
      <c r="AL787" s="932"/>
      <c r="AM787" s="932"/>
      <c r="AN787" s="932"/>
      <c r="AO787" s="932"/>
      <c r="AP787" s="932"/>
      <c r="AQ787" s="932"/>
      <c r="AR787" s="932"/>
      <c r="AS787" s="932"/>
      <c r="AT787" s="932"/>
      <c r="AU787" s="932"/>
      <c r="AV787" s="932"/>
      <c r="AW787" s="932"/>
      <c r="AX787" s="932"/>
      <c r="AY787" s="932"/>
      <c r="AZ787" s="932"/>
      <c r="BA787" s="932"/>
      <c r="BB787" s="932"/>
      <c r="BC787" s="932"/>
      <c r="BD787" s="932"/>
      <c r="BE787" s="932"/>
      <c r="BF787" s="932"/>
    </row>
    <row r="788" spans="2:58" ht="15" x14ac:dyDescent="0.25">
      <c r="B788" s="932"/>
      <c r="C788" s="932"/>
      <c r="D788" s="932"/>
      <c r="E788" s="932"/>
      <c r="F788" s="932"/>
      <c r="G788" s="932"/>
      <c r="H788" s="932"/>
      <c r="I788" s="932"/>
      <c r="J788" s="932"/>
      <c r="K788" s="932"/>
      <c r="L788" s="932"/>
      <c r="M788" s="932"/>
      <c r="N788" s="932"/>
      <c r="O788" s="932"/>
      <c r="P788" s="932"/>
      <c r="Q788" s="932"/>
      <c r="R788" s="932"/>
      <c r="S788" s="932"/>
      <c r="T788" s="932"/>
      <c r="U788" s="932"/>
      <c r="V788" s="932"/>
      <c r="W788" s="932"/>
      <c r="X788" s="932"/>
      <c r="Y788" s="932"/>
      <c r="Z788" s="932"/>
      <c r="AA788" s="932"/>
      <c r="AB788" s="932"/>
      <c r="AC788" s="932"/>
      <c r="AD788" s="932"/>
      <c r="AE788" s="932"/>
      <c r="AF788" s="932"/>
      <c r="AG788" s="932"/>
      <c r="AH788" s="932"/>
      <c r="AI788" s="932"/>
      <c r="AJ788" s="932"/>
      <c r="AK788" s="932"/>
      <c r="AL788" s="932"/>
      <c r="AM788" s="932"/>
      <c r="AN788" s="932"/>
      <c r="AO788" s="932"/>
      <c r="AP788" s="932"/>
      <c r="AQ788" s="932"/>
      <c r="AR788" s="932"/>
      <c r="AS788" s="932"/>
      <c r="AT788" s="932"/>
      <c r="AU788" s="932"/>
      <c r="AV788" s="932"/>
      <c r="AW788" s="932"/>
      <c r="AX788" s="932"/>
      <c r="AY788" s="932"/>
      <c r="AZ788" s="932"/>
      <c r="BA788" s="932"/>
      <c r="BB788" s="932"/>
      <c r="BC788" s="932"/>
      <c r="BD788" s="932"/>
      <c r="BE788" s="932"/>
      <c r="BF788" s="932"/>
    </row>
    <row r="789" spans="2:58" ht="15" x14ac:dyDescent="0.25">
      <c r="B789" s="932"/>
      <c r="C789" s="932"/>
      <c r="D789" s="932"/>
      <c r="E789" s="932"/>
      <c r="F789" s="932"/>
      <c r="G789" s="932"/>
      <c r="H789" s="932"/>
      <c r="I789" s="932"/>
      <c r="J789" s="932"/>
      <c r="K789" s="932"/>
      <c r="L789" s="932"/>
      <c r="M789" s="932"/>
      <c r="N789" s="932"/>
      <c r="O789" s="932"/>
      <c r="P789" s="932"/>
      <c r="Q789" s="932"/>
      <c r="R789" s="932"/>
      <c r="S789" s="932"/>
      <c r="T789" s="932"/>
      <c r="U789" s="932"/>
      <c r="V789" s="932"/>
      <c r="W789" s="932"/>
      <c r="X789" s="932"/>
      <c r="Y789" s="932"/>
      <c r="Z789" s="932"/>
      <c r="AA789" s="932"/>
      <c r="AB789" s="932"/>
      <c r="AC789" s="932"/>
      <c r="AD789" s="932"/>
      <c r="AE789" s="932"/>
      <c r="AF789" s="932"/>
      <c r="AG789" s="932"/>
      <c r="AH789" s="932"/>
      <c r="AI789" s="932"/>
      <c r="AJ789" s="932"/>
      <c r="AK789" s="932"/>
      <c r="AL789" s="932"/>
      <c r="AM789" s="932"/>
      <c r="AN789" s="932"/>
      <c r="AO789" s="932"/>
      <c r="AP789" s="932"/>
      <c r="AQ789" s="932"/>
      <c r="AR789" s="932"/>
      <c r="AS789" s="932"/>
      <c r="AT789" s="932"/>
      <c r="AU789" s="932"/>
      <c r="AV789" s="932"/>
      <c r="AW789" s="932"/>
      <c r="AX789" s="932"/>
      <c r="AY789" s="932"/>
      <c r="AZ789" s="932"/>
      <c r="BA789" s="932"/>
      <c r="BB789" s="932"/>
      <c r="BC789" s="932"/>
      <c r="BD789" s="932"/>
      <c r="BE789" s="932"/>
      <c r="BF789" s="932"/>
    </row>
    <row r="790" spans="2:58" ht="15" x14ac:dyDescent="0.25">
      <c r="B790" s="932"/>
      <c r="C790" s="932"/>
      <c r="D790" s="932"/>
      <c r="E790" s="932"/>
      <c r="F790" s="932"/>
      <c r="G790" s="932"/>
      <c r="H790" s="932"/>
      <c r="I790" s="932"/>
      <c r="J790" s="932"/>
      <c r="K790" s="932"/>
      <c r="L790" s="932"/>
      <c r="M790" s="932"/>
      <c r="N790" s="932"/>
      <c r="O790" s="932"/>
      <c r="P790" s="932"/>
      <c r="Q790" s="932"/>
      <c r="R790" s="932"/>
      <c r="S790" s="932"/>
      <c r="T790" s="932"/>
      <c r="U790" s="932"/>
      <c r="V790" s="932"/>
      <c r="W790" s="932"/>
      <c r="X790" s="932"/>
      <c r="Y790" s="932"/>
      <c r="Z790" s="932"/>
      <c r="AA790" s="932"/>
      <c r="AB790" s="932"/>
      <c r="AC790" s="932"/>
      <c r="AD790" s="932"/>
      <c r="AE790" s="932"/>
      <c r="AF790" s="932"/>
      <c r="AG790" s="932"/>
      <c r="AH790" s="932"/>
      <c r="AI790" s="932"/>
      <c r="AJ790" s="932"/>
      <c r="AK790" s="932"/>
      <c r="AL790" s="932"/>
      <c r="AM790" s="932"/>
      <c r="AN790" s="932"/>
      <c r="AO790" s="932"/>
      <c r="AP790" s="932"/>
      <c r="AQ790" s="932"/>
      <c r="AR790" s="932"/>
      <c r="AS790" s="932"/>
      <c r="AT790" s="932"/>
      <c r="AU790" s="932"/>
      <c r="AV790" s="932"/>
      <c r="AW790" s="932"/>
      <c r="AX790" s="932"/>
      <c r="AY790" s="932"/>
      <c r="AZ790" s="932"/>
      <c r="BA790" s="932"/>
      <c r="BB790" s="932"/>
      <c r="BC790" s="932"/>
      <c r="BD790" s="932"/>
      <c r="BE790" s="932"/>
      <c r="BF790" s="932"/>
    </row>
    <row r="791" spans="2:58" ht="15" x14ac:dyDescent="0.25">
      <c r="B791" s="932"/>
      <c r="C791" s="932"/>
      <c r="D791" s="932"/>
      <c r="E791" s="932"/>
      <c r="F791" s="932"/>
      <c r="G791" s="932"/>
      <c r="H791" s="932"/>
      <c r="I791" s="932"/>
      <c r="J791" s="932"/>
      <c r="K791" s="932"/>
      <c r="L791" s="932"/>
      <c r="M791" s="932"/>
      <c r="N791" s="932"/>
      <c r="O791" s="932"/>
      <c r="P791" s="932"/>
      <c r="Q791" s="932"/>
      <c r="R791" s="932"/>
      <c r="S791" s="932"/>
      <c r="T791" s="932"/>
      <c r="U791" s="932"/>
      <c r="V791" s="932"/>
      <c r="W791" s="932"/>
      <c r="X791" s="932"/>
      <c r="Y791" s="932"/>
      <c r="Z791" s="932"/>
      <c r="AA791" s="932"/>
      <c r="AB791" s="932"/>
      <c r="AC791" s="932"/>
      <c r="AD791" s="932"/>
      <c r="AE791" s="932"/>
      <c r="AF791" s="932"/>
      <c r="AG791" s="932"/>
      <c r="AH791" s="932"/>
      <c r="AI791" s="932"/>
      <c r="AJ791" s="932"/>
      <c r="AK791" s="932"/>
      <c r="AL791" s="932"/>
      <c r="AM791" s="932"/>
      <c r="AN791" s="932"/>
      <c r="AO791" s="932"/>
      <c r="AP791" s="932"/>
      <c r="AQ791" s="932"/>
      <c r="AR791" s="932"/>
      <c r="AS791" s="932"/>
      <c r="AT791" s="932"/>
      <c r="AU791" s="932"/>
      <c r="AV791" s="932"/>
      <c r="AW791" s="932"/>
      <c r="AX791" s="932"/>
      <c r="AY791" s="932"/>
      <c r="AZ791" s="932"/>
      <c r="BA791" s="932"/>
      <c r="BB791" s="932"/>
      <c r="BC791" s="932"/>
      <c r="BD791" s="932"/>
      <c r="BE791" s="932"/>
      <c r="BF791" s="932"/>
    </row>
    <row r="792" spans="2:58" ht="15" x14ac:dyDescent="0.25">
      <c r="B792" s="932"/>
      <c r="C792" s="932"/>
      <c r="D792" s="932"/>
      <c r="E792" s="932"/>
      <c r="F792" s="932"/>
      <c r="G792" s="932"/>
      <c r="H792" s="932"/>
      <c r="I792" s="932"/>
      <c r="J792" s="932"/>
      <c r="K792" s="932"/>
      <c r="L792" s="932"/>
      <c r="M792" s="932"/>
      <c r="N792" s="932"/>
      <c r="O792" s="932"/>
      <c r="P792" s="932"/>
      <c r="Q792" s="932"/>
      <c r="R792" s="932"/>
      <c r="S792" s="932"/>
      <c r="T792" s="932"/>
      <c r="U792" s="932"/>
      <c r="V792" s="932"/>
      <c r="W792" s="932"/>
      <c r="X792" s="932"/>
      <c r="Y792" s="932"/>
      <c r="Z792" s="932"/>
      <c r="AA792" s="932"/>
      <c r="AB792" s="932"/>
      <c r="AC792" s="932"/>
      <c r="AD792" s="932"/>
      <c r="AE792" s="932"/>
      <c r="AF792" s="932"/>
      <c r="AG792" s="932"/>
      <c r="AH792" s="932"/>
      <c r="AI792" s="932"/>
      <c r="AJ792" s="932"/>
      <c r="AK792" s="932"/>
      <c r="AL792" s="932"/>
      <c r="AM792" s="932"/>
      <c r="AN792" s="932"/>
      <c r="AO792" s="932"/>
      <c r="AP792" s="932"/>
      <c r="AQ792" s="932"/>
      <c r="AR792" s="932"/>
      <c r="AS792" s="932"/>
      <c r="AT792" s="932"/>
      <c r="AU792" s="932"/>
      <c r="AV792" s="932"/>
      <c r="AW792" s="932"/>
      <c r="AX792" s="932"/>
      <c r="AY792" s="932"/>
      <c r="AZ792" s="932"/>
      <c r="BA792" s="932"/>
      <c r="BB792" s="932"/>
      <c r="BC792" s="932"/>
      <c r="BD792" s="932"/>
      <c r="BE792" s="932"/>
      <c r="BF792" s="932"/>
    </row>
    <row r="793" spans="2:58" ht="15" x14ac:dyDescent="0.25">
      <c r="B793" s="932"/>
      <c r="C793" s="932"/>
      <c r="D793" s="932"/>
      <c r="E793" s="932"/>
      <c r="F793" s="932"/>
      <c r="G793" s="932"/>
      <c r="H793" s="932"/>
      <c r="I793" s="932"/>
      <c r="J793" s="932"/>
      <c r="K793" s="932"/>
      <c r="L793" s="932"/>
      <c r="M793" s="932"/>
      <c r="N793" s="932"/>
      <c r="O793" s="932"/>
      <c r="P793" s="932"/>
      <c r="Q793" s="932"/>
      <c r="R793" s="932"/>
      <c r="S793" s="932"/>
      <c r="T793" s="932"/>
      <c r="U793" s="932"/>
      <c r="V793" s="932"/>
      <c r="W793" s="932"/>
      <c r="X793" s="932"/>
      <c r="Y793" s="932"/>
      <c r="Z793" s="932"/>
      <c r="AA793" s="932"/>
      <c r="AB793" s="932"/>
      <c r="AC793" s="932"/>
      <c r="AD793" s="932"/>
      <c r="AE793" s="932"/>
      <c r="AF793" s="932"/>
      <c r="AG793" s="932"/>
      <c r="AH793" s="932"/>
      <c r="AI793" s="932"/>
      <c r="AJ793" s="932"/>
      <c r="AK793" s="932"/>
      <c r="AL793" s="932"/>
      <c r="AM793" s="932"/>
      <c r="AN793" s="932"/>
      <c r="AO793" s="932"/>
      <c r="AP793" s="932"/>
      <c r="AQ793" s="932"/>
      <c r="AR793" s="932"/>
      <c r="AS793" s="932"/>
      <c r="AT793" s="932"/>
      <c r="AU793" s="932"/>
      <c r="AV793" s="932"/>
      <c r="AW793" s="932"/>
      <c r="AX793" s="932"/>
      <c r="AY793" s="932"/>
      <c r="AZ793" s="932"/>
      <c r="BA793" s="932"/>
      <c r="BB793" s="932"/>
      <c r="BC793" s="932"/>
      <c r="BD793" s="932"/>
      <c r="BE793" s="932"/>
      <c r="BF793" s="932"/>
    </row>
    <row r="794" spans="2:58" ht="15" x14ac:dyDescent="0.25">
      <c r="B794" s="932"/>
      <c r="C794" s="932"/>
      <c r="D794" s="932"/>
      <c r="E794" s="932"/>
      <c r="F794" s="932"/>
      <c r="G794" s="932"/>
      <c r="H794" s="932"/>
      <c r="I794" s="932"/>
      <c r="J794" s="932"/>
      <c r="K794" s="932"/>
      <c r="L794" s="932"/>
      <c r="M794" s="932"/>
      <c r="N794" s="932"/>
      <c r="O794" s="932"/>
      <c r="P794" s="932"/>
      <c r="Q794" s="932"/>
      <c r="R794" s="932"/>
      <c r="S794" s="932"/>
      <c r="T794" s="932"/>
      <c r="U794" s="932"/>
      <c r="V794" s="932"/>
      <c r="W794" s="932"/>
      <c r="X794" s="932"/>
      <c r="Y794" s="932"/>
      <c r="Z794" s="932"/>
      <c r="AA794" s="932"/>
      <c r="AB794" s="932"/>
      <c r="AC794" s="932"/>
      <c r="AD794" s="932"/>
      <c r="AE794" s="932"/>
      <c r="AF794" s="932"/>
      <c r="AG794" s="932"/>
      <c r="AH794" s="932"/>
      <c r="AI794" s="932"/>
      <c r="AJ794" s="932"/>
      <c r="AK794" s="932"/>
      <c r="AL794" s="932"/>
      <c r="AM794" s="932"/>
      <c r="AN794" s="932"/>
      <c r="AO794" s="932"/>
      <c r="AP794" s="932"/>
      <c r="AQ794" s="932"/>
      <c r="AR794" s="932"/>
      <c r="AS794" s="932"/>
      <c r="AT794" s="932"/>
      <c r="AU794" s="932"/>
      <c r="AV794" s="932"/>
      <c r="AW794" s="932"/>
      <c r="AX794" s="932"/>
      <c r="AY794" s="932"/>
      <c r="AZ794" s="932"/>
      <c r="BA794" s="932"/>
      <c r="BB794" s="932"/>
      <c r="BC794" s="932"/>
      <c r="BD794" s="932"/>
      <c r="BE794" s="932"/>
      <c r="BF794" s="932"/>
    </row>
    <row r="795" spans="2:58" ht="15" x14ac:dyDescent="0.25">
      <c r="B795" s="932"/>
      <c r="C795" s="932"/>
      <c r="D795" s="932"/>
      <c r="E795" s="932"/>
      <c r="F795" s="932"/>
      <c r="G795" s="932"/>
      <c r="H795" s="932"/>
      <c r="I795" s="932"/>
      <c r="J795" s="932"/>
      <c r="K795" s="932"/>
      <c r="L795" s="932"/>
      <c r="M795" s="932"/>
      <c r="N795" s="932"/>
      <c r="O795" s="932"/>
      <c r="P795" s="932"/>
      <c r="Q795" s="932"/>
      <c r="R795" s="932"/>
      <c r="S795" s="932"/>
      <c r="T795" s="932"/>
      <c r="U795" s="932"/>
      <c r="V795" s="932"/>
      <c r="W795" s="932"/>
      <c r="X795" s="932"/>
      <c r="Y795" s="932"/>
      <c r="Z795" s="932"/>
      <c r="AA795" s="932"/>
      <c r="AB795" s="932"/>
      <c r="AC795" s="932"/>
      <c r="AD795" s="932"/>
      <c r="AE795" s="932"/>
      <c r="AF795" s="932"/>
      <c r="AG795" s="932"/>
      <c r="AH795" s="932"/>
      <c r="AI795" s="932"/>
      <c r="AJ795" s="932"/>
      <c r="AK795" s="932"/>
      <c r="AL795" s="932"/>
      <c r="AM795" s="932"/>
      <c r="AN795" s="932"/>
      <c r="AO795" s="932"/>
      <c r="AP795" s="932"/>
      <c r="AQ795" s="932"/>
      <c r="AR795" s="932"/>
      <c r="AS795" s="932"/>
      <c r="AT795" s="932"/>
      <c r="AU795" s="932"/>
      <c r="AV795" s="932"/>
      <c r="AW795" s="932"/>
      <c r="AX795" s="932"/>
      <c r="AY795" s="932"/>
      <c r="AZ795" s="932"/>
      <c r="BA795" s="932"/>
      <c r="BB795" s="932"/>
      <c r="BC795" s="932"/>
      <c r="BD795" s="932"/>
      <c r="BE795" s="932"/>
      <c r="BF795" s="932"/>
    </row>
    <row r="796" spans="2:58" ht="15" x14ac:dyDescent="0.25">
      <c r="B796" s="932"/>
      <c r="C796" s="932"/>
      <c r="D796" s="932"/>
      <c r="E796" s="932"/>
      <c r="F796" s="932"/>
      <c r="G796" s="932"/>
      <c r="H796" s="932"/>
      <c r="I796" s="932"/>
      <c r="J796" s="932"/>
      <c r="K796" s="932"/>
      <c r="L796" s="932"/>
      <c r="M796" s="932"/>
      <c r="N796" s="932"/>
      <c r="O796" s="932"/>
      <c r="P796" s="932"/>
      <c r="Q796" s="932"/>
      <c r="R796" s="932"/>
      <c r="S796" s="932"/>
      <c r="T796" s="932"/>
      <c r="U796" s="932"/>
      <c r="V796" s="932"/>
      <c r="W796" s="932"/>
      <c r="X796" s="932"/>
      <c r="Y796" s="932"/>
      <c r="Z796" s="932"/>
      <c r="AA796" s="932"/>
      <c r="AB796" s="932"/>
      <c r="AC796" s="932"/>
      <c r="AD796" s="932"/>
      <c r="AE796" s="932"/>
      <c r="AF796" s="932"/>
      <c r="AG796" s="932"/>
      <c r="AH796" s="932"/>
      <c r="AI796" s="932"/>
      <c r="AJ796" s="932"/>
      <c r="AK796" s="932"/>
      <c r="AL796" s="932"/>
      <c r="AM796" s="932"/>
      <c r="AN796" s="932"/>
      <c r="AO796" s="932"/>
      <c r="AP796" s="932"/>
      <c r="AQ796" s="932"/>
      <c r="AR796" s="932"/>
      <c r="AS796" s="932"/>
      <c r="AT796" s="932"/>
      <c r="AU796" s="932"/>
      <c r="AV796" s="932"/>
      <c r="AW796" s="932"/>
      <c r="AX796" s="932"/>
      <c r="AY796" s="932"/>
      <c r="AZ796" s="932"/>
      <c r="BA796" s="932"/>
      <c r="BB796" s="932"/>
      <c r="BC796" s="932"/>
      <c r="BD796" s="932"/>
      <c r="BE796" s="932"/>
      <c r="BF796" s="932"/>
    </row>
    <row r="797" spans="2:58" ht="15" x14ac:dyDescent="0.25">
      <c r="B797" s="932"/>
      <c r="C797" s="932"/>
      <c r="D797" s="932"/>
      <c r="E797" s="932"/>
      <c r="F797" s="932"/>
      <c r="G797" s="932"/>
      <c r="H797" s="932"/>
      <c r="I797" s="932"/>
      <c r="J797" s="932"/>
      <c r="K797" s="932"/>
      <c r="L797" s="932"/>
      <c r="M797" s="932"/>
      <c r="N797" s="932"/>
      <c r="O797" s="932"/>
      <c r="P797" s="932"/>
      <c r="Q797" s="932"/>
      <c r="R797" s="932"/>
      <c r="S797" s="932"/>
      <c r="T797" s="932"/>
      <c r="U797" s="932"/>
      <c r="V797" s="932"/>
      <c r="W797" s="932"/>
      <c r="X797" s="932"/>
      <c r="Y797" s="932"/>
      <c r="Z797" s="932"/>
      <c r="AA797" s="932"/>
      <c r="AB797" s="932"/>
      <c r="AC797" s="932"/>
      <c r="AD797" s="932"/>
      <c r="AE797" s="932"/>
      <c r="AF797" s="932"/>
      <c r="AG797" s="932"/>
      <c r="AH797" s="932"/>
      <c r="AI797" s="932"/>
      <c r="AJ797" s="932"/>
      <c r="AK797" s="932"/>
      <c r="AL797" s="932"/>
      <c r="AM797" s="932"/>
      <c r="AN797" s="932"/>
      <c r="AO797" s="932"/>
      <c r="AP797" s="932"/>
      <c r="AQ797" s="932"/>
      <c r="AR797" s="932"/>
      <c r="AS797" s="932"/>
      <c r="AT797" s="932"/>
      <c r="AU797" s="932"/>
      <c r="AV797" s="932"/>
      <c r="AW797" s="932"/>
      <c r="AX797" s="932"/>
      <c r="AY797" s="932"/>
      <c r="AZ797" s="932"/>
      <c r="BA797" s="932"/>
      <c r="BB797" s="932"/>
      <c r="BC797" s="932"/>
      <c r="BD797" s="932"/>
      <c r="BE797" s="932"/>
      <c r="BF797" s="932"/>
    </row>
    <row r="798" spans="2:58" ht="15" x14ac:dyDescent="0.25">
      <c r="B798" s="932"/>
      <c r="C798" s="932"/>
      <c r="D798" s="932"/>
      <c r="E798" s="932"/>
      <c r="F798" s="932"/>
      <c r="G798" s="932"/>
      <c r="H798" s="932"/>
      <c r="I798" s="932"/>
      <c r="J798" s="932"/>
      <c r="K798" s="932"/>
      <c r="L798" s="932"/>
      <c r="M798" s="932"/>
      <c r="N798" s="932"/>
      <c r="O798" s="932"/>
      <c r="P798" s="932"/>
      <c r="Q798" s="932"/>
      <c r="R798" s="932"/>
      <c r="S798" s="932"/>
      <c r="T798" s="932"/>
      <c r="U798" s="932"/>
      <c r="V798" s="932"/>
      <c r="W798" s="932"/>
      <c r="X798" s="932"/>
      <c r="Y798" s="932"/>
      <c r="Z798" s="932"/>
      <c r="AA798" s="932"/>
      <c r="AB798" s="932"/>
      <c r="AC798" s="932"/>
      <c r="AD798" s="932"/>
      <c r="AE798" s="932"/>
      <c r="AF798" s="932"/>
      <c r="AG798" s="932"/>
      <c r="AH798" s="932"/>
      <c r="AI798" s="932"/>
      <c r="AJ798" s="932"/>
      <c r="AK798" s="932"/>
      <c r="AL798" s="932"/>
      <c r="AM798" s="932"/>
      <c r="AN798" s="932"/>
      <c r="AO798" s="932"/>
      <c r="AP798" s="932"/>
      <c r="AQ798" s="932"/>
      <c r="AR798" s="932"/>
      <c r="AS798" s="932"/>
      <c r="AT798" s="932"/>
      <c r="AU798" s="932"/>
      <c r="AV798" s="932"/>
      <c r="AW798" s="932"/>
      <c r="AX798" s="932"/>
      <c r="AY798" s="932"/>
      <c r="AZ798" s="932"/>
      <c r="BA798" s="932"/>
      <c r="BB798" s="932"/>
      <c r="BC798" s="932"/>
      <c r="BD798" s="932"/>
      <c r="BE798" s="932"/>
      <c r="BF798" s="932"/>
    </row>
    <row r="799" spans="2:58" ht="15" x14ac:dyDescent="0.25">
      <c r="B799" s="932"/>
      <c r="C799" s="932"/>
      <c r="D799" s="932"/>
      <c r="E799" s="932"/>
      <c r="F799" s="932"/>
      <c r="G799" s="932"/>
      <c r="H799" s="932"/>
      <c r="I799" s="932"/>
      <c r="J799" s="932"/>
      <c r="K799" s="932"/>
      <c r="L799" s="932"/>
      <c r="M799" s="932"/>
      <c r="N799" s="932"/>
      <c r="O799" s="932"/>
      <c r="P799" s="932"/>
      <c r="Q799" s="932"/>
      <c r="R799" s="932"/>
      <c r="S799" s="932"/>
      <c r="T799" s="932"/>
      <c r="U799" s="932"/>
      <c r="V799" s="932"/>
      <c r="W799" s="932"/>
      <c r="X799" s="932"/>
      <c r="Y799" s="932"/>
      <c r="Z799" s="932"/>
      <c r="AA799" s="932"/>
      <c r="AB799" s="932"/>
      <c r="AC799" s="932"/>
      <c r="AD799" s="932"/>
      <c r="AE799" s="932"/>
      <c r="AF799" s="932"/>
      <c r="AG799" s="932"/>
      <c r="AH799" s="932"/>
      <c r="AI799" s="932"/>
      <c r="AJ799" s="932"/>
      <c r="AK799" s="932"/>
      <c r="AL799" s="932"/>
      <c r="AM799" s="932"/>
      <c r="AN799" s="932"/>
      <c r="AO799" s="932"/>
      <c r="AP799" s="932"/>
      <c r="AQ799" s="932"/>
      <c r="AR799" s="932"/>
      <c r="AS799" s="932"/>
      <c r="AT799" s="932"/>
      <c r="AU799" s="932"/>
      <c r="AV799" s="932"/>
      <c r="AW799" s="932"/>
      <c r="AX799" s="932"/>
      <c r="AY799" s="932"/>
      <c r="AZ799" s="932"/>
      <c r="BA799" s="932"/>
      <c r="BB799" s="932"/>
      <c r="BC799" s="932"/>
      <c r="BD799" s="932"/>
      <c r="BE799" s="932"/>
      <c r="BF799" s="932"/>
    </row>
    <row r="800" spans="2:58" ht="15" x14ac:dyDescent="0.25">
      <c r="B800" s="932"/>
      <c r="C800" s="932"/>
      <c r="D800" s="932"/>
      <c r="E800" s="932"/>
      <c r="F800" s="932"/>
      <c r="G800" s="932"/>
      <c r="H800" s="932"/>
      <c r="I800" s="932"/>
      <c r="J800" s="932"/>
      <c r="K800" s="932"/>
      <c r="L800" s="932"/>
      <c r="M800" s="932"/>
      <c r="N800" s="932"/>
      <c r="O800" s="932"/>
      <c r="P800" s="932"/>
      <c r="Q800" s="932"/>
      <c r="R800" s="932"/>
      <c r="S800" s="932"/>
      <c r="T800" s="932"/>
      <c r="U800" s="932"/>
      <c r="V800" s="932"/>
      <c r="W800" s="932"/>
      <c r="X800" s="932"/>
      <c r="Y800" s="932"/>
      <c r="Z800" s="932"/>
      <c r="AA800" s="932"/>
      <c r="AB800" s="932"/>
      <c r="AC800" s="932"/>
      <c r="AD800" s="932"/>
      <c r="AE800" s="932"/>
      <c r="AF800" s="932"/>
      <c r="AG800" s="932"/>
      <c r="AH800" s="932"/>
      <c r="AI800" s="932"/>
      <c r="AJ800" s="932"/>
      <c r="AK800" s="932"/>
      <c r="AL800" s="932"/>
      <c r="AM800" s="932"/>
      <c r="AN800" s="932"/>
      <c r="AO800" s="932"/>
      <c r="AP800" s="932"/>
      <c r="AQ800" s="932"/>
      <c r="AR800" s="932"/>
      <c r="AS800" s="932"/>
      <c r="AT800" s="932"/>
      <c r="AU800" s="932"/>
      <c r="AV800" s="932"/>
      <c r="AW800" s="932"/>
      <c r="AX800" s="932"/>
      <c r="AY800" s="932"/>
      <c r="AZ800" s="932"/>
      <c r="BA800" s="932"/>
      <c r="BB800" s="932"/>
      <c r="BC800" s="932"/>
      <c r="BD800" s="932"/>
      <c r="BE800" s="932"/>
      <c r="BF800" s="932"/>
    </row>
    <row r="801" spans="2:58" ht="15" x14ac:dyDescent="0.25">
      <c r="B801" s="932"/>
      <c r="C801" s="932"/>
      <c r="D801" s="932"/>
      <c r="E801" s="932"/>
      <c r="F801" s="932"/>
      <c r="G801" s="932"/>
      <c r="H801" s="932"/>
      <c r="I801" s="932"/>
      <c r="J801" s="932"/>
      <c r="K801" s="932"/>
      <c r="L801" s="932"/>
      <c r="M801" s="932"/>
      <c r="N801" s="932"/>
      <c r="O801" s="932"/>
      <c r="P801" s="932"/>
      <c r="Q801" s="932"/>
      <c r="R801" s="932"/>
      <c r="S801" s="932"/>
      <c r="T801" s="932"/>
      <c r="U801" s="932"/>
      <c r="V801" s="932"/>
      <c r="W801" s="932"/>
      <c r="X801" s="932"/>
      <c r="Y801" s="932"/>
      <c r="Z801" s="932"/>
      <c r="AA801" s="932"/>
      <c r="AB801" s="932"/>
      <c r="AC801" s="932"/>
      <c r="AD801" s="932"/>
      <c r="AE801" s="932"/>
      <c r="AF801" s="932"/>
      <c r="AG801" s="932"/>
      <c r="AH801" s="932"/>
      <c r="AI801" s="932"/>
      <c r="AJ801" s="932"/>
      <c r="AK801" s="932"/>
      <c r="AL801" s="932"/>
      <c r="AM801" s="932"/>
      <c r="AN801" s="932"/>
      <c r="AO801" s="932"/>
      <c r="AP801" s="932"/>
      <c r="AQ801" s="932"/>
      <c r="AR801" s="932"/>
      <c r="AS801" s="932"/>
      <c r="AT801" s="932"/>
      <c r="AU801" s="932"/>
      <c r="AV801" s="932"/>
      <c r="AW801" s="932"/>
      <c r="AX801" s="932"/>
      <c r="AY801" s="932"/>
      <c r="AZ801" s="932"/>
      <c r="BA801" s="932"/>
      <c r="BB801" s="932"/>
      <c r="BC801" s="932"/>
      <c r="BD801" s="932"/>
      <c r="BE801" s="932"/>
      <c r="BF801" s="932"/>
    </row>
    <row r="802" spans="2:58" ht="15" x14ac:dyDescent="0.25">
      <c r="B802" s="932"/>
      <c r="C802" s="932"/>
      <c r="D802" s="932"/>
      <c r="E802" s="932"/>
      <c r="F802" s="932"/>
      <c r="G802" s="932"/>
      <c r="H802" s="932"/>
      <c r="I802" s="932"/>
      <c r="J802" s="932"/>
      <c r="K802" s="932"/>
      <c r="L802" s="932"/>
      <c r="M802" s="932"/>
      <c r="N802" s="932"/>
      <c r="O802" s="932"/>
      <c r="P802" s="932"/>
      <c r="Q802" s="932"/>
      <c r="R802" s="932"/>
      <c r="S802" s="932"/>
      <c r="T802" s="932"/>
      <c r="U802" s="932"/>
      <c r="V802" s="932"/>
      <c r="W802" s="932"/>
      <c r="X802" s="932"/>
      <c r="Y802" s="932"/>
      <c r="Z802" s="932"/>
      <c r="AA802" s="932"/>
      <c r="AB802" s="932"/>
      <c r="AC802" s="932"/>
      <c r="AD802" s="932"/>
      <c r="AE802" s="932"/>
      <c r="AF802" s="932"/>
      <c r="AG802" s="932"/>
      <c r="AH802" s="932"/>
      <c r="AI802" s="932"/>
      <c r="AJ802" s="932"/>
      <c r="AK802" s="932"/>
      <c r="AL802" s="932"/>
      <c r="AM802" s="932"/>
      <c r="AN802" s="932"/>
      <c r="AO802" s="932"/>
      <c r="AP802" s="932"/>
      <c r="AQ802" s="932"/>
      <c r="AR802" s="932"/>
      <c r="AS802" s="932"/>
      <c r="AT802" s="932"/>
      <c r="AU802" s="932"/>
      <c r="AV802" s="932"/>
      <c r="AW802" s="932"/>
      <c r="AX802" s="932"/>
      <c r="AY802" s="932"/>
      <c r="AZ802" s="932"/>
      <c r="BA802" s="932"/>
      <c r="BB802" s="932"/>
      <c r="BC802" s="932"/>
      <c r="BD802" s="932"/>
      <c r="BE802" s="932"/>
      <c r="BF802" s="932"/>
    </row>
    <row r="803" spans="2:58" ht="15" x14ac:dyDescent="0.25">
      <c r="B803" s="932"/>
      <c r="C803" s="932"/>
      <c r="D803" s="932"/>
      <c r="E803" s="932"/>
      <c r="F803" s="932"/>
      <c r="G803" s="932"/>
      <c r="H803" s="932"/>
      <c r="I803" s="932"/>
      <c r="J803" s="932"/>
      <c r="K803" s="932"/>
      <c r="L803" s="932"/>
      <c r="M803" s="932"/>
      <c r="N803" s="932"/>
      <c r="O803" s="932"/>
      <c r="P803" s="932"/>
      <c r="Q803" s="932"/>
      <c r="R803" s="932"/>
      <c r="S803" s="932"/>
      <c r="T803" s="932"/>
      <c r="U803" s="932"/>
      <c r="V803" s="932"/>
      <c r="W803" s="932"/>
      <c r="X803" s="932"/>
      <c r="Y803" s="932"/>
      <c r="Z803" s="932"/>
      <c r="AA803" s="932"/>
      <c r="AB803" s="932"/>
      <c r="AC803" s="932"/>
      <c r="AD803" s="932"/>
      <c r="AE803" s="932"/>
      <c r="AF803" s="932"/>
      <c r="AG803" s="932"/>
      <c r="AH803" s="932"/>
      <c r="AI803" s="932"/>
      <c r="AJ803" s="932"/>
      <c r="AK803" s="932"/>
      <c r="AL803" s="932"/>
      <c r="AM803" s="932"/>
      <c r="AN803" s="932"/>
      <c r="AO803" s="932"/>
      <c r="AP803" s="932"/>
      <c r="AQ803" s="932"/>
      <c r="AR803" s="932"/>
      <c r="AS803" s="932"/>
      <c r="AT803" s="932"/>
      <c r="AU803" s="932"/>
      <c r="AV803" s="932"/>
      <c r="AW803" s="932"/>
      <c r="AX803" s="932"/>
      <c r="AY803" s="932"/>
      <c r="AZ803" s="932"/>
      <c r="BA803" s="932"/>
      <c r="BB803" s="932"/>
      <c r="BC803" s="932"/>
      <c r="BD803" s="932"/>
      <c r="BE803" s="932"/>
      <c r="BF803" s="932"/>
    </row>
    <row r="804" spans="2:58" ht="15" x14ac:dyDescent="0.25">
      <c r="B804" s="932"/>
      <c r="C804" s="932"/>
      <c r="D804" s="932"/>
      <c r="E804" s="932"/>
      <c r="F804" s="932"/>
      <c r="G804" s="932"/>
      <c r="H804" s="932"/>
      <c r="I804" s="932"/>
      <c r="J804" s="932"/>
      <c r="K804" s="932"/>
      <c r="L804" s="932"/>
      <c r="M804" s="932"/>
      <c r="N804" s="932"/>
      <c r="O804" s="932"/>
      <c r="P804" s="932"/>
      <c r="Q804" s="932"/>
      <c r="R804" s="932"/>
      <c r="S804" s="932"/>
      <c r="T804" s="932"/>
      <c r="U804" s="932"/>
      <c r="V804" s="932"/>
      <c r="W804" s="932"/>
      <c r="X804" s="932"/>
      <c r="Y804" s="932"/>
      <c r="Z804" s="932"/>
      <c r="AA804" s="932"/>
      <c r="AB804" s="932"/>
      <c r="AC804" s="932"/>
      <c r="AD804" s="932"/>
      <c r="AE804" s="932"/>
      <c r="AF804" s="932"/>
      <c r="AG804" s="932"/>
      <c r="AH804" s="932"/>
      <c r="AI804" s="932"/>
      <c r="AJ804" s="932"/>
      <c r="AK804" s="932"/>
      <c r="AL804" s="932"/>
      <c r="AM804" s="932"/>
      <c r="AN804" s="932"/>
      <c r="AO804" s="932"/>
      <c r="AP804" s="932"/>
      <c r="AQ804" s="932"/>
      <c r="AR804" s="932"/>
      <c r="AS804" s="932"/>
      <c r="AT804" s="932"/>
      <c r="AU804" s="932"/>
      <c r="AV804" s="932"/>
      <c r="AW804" s="932"/>
      <c r="AX804" s="932"/>
      <c r="AY804" s="932"/>
      <c r="AZ804" s="932"/>
      <c r="BA804" s="932"/>
      <c r="BB804" s="932"/>
      <c r="BC804" s="932"/>
      <c r="BD804" s="932"/>
      <c r="BE804" s="932"/>
      <c r="BF804" s="932"/>
    </row>
    <row r="805" spans="2:58" ht="15" x14ac:dyDescent="0.25">
      <c r="B805" s="932"/>
      <c r="C805" s="932"/>
      <c r="D805" s="932"/>
      <c r="E805" s="932"/>
      <c r="F805" s="932"/>
      <c r="G805" s="932"/>
      <c r="H805" s="932"/>
      <c r="I805" s="932"/>
      <c r="J805" s="932"/>
      <c r="K805" s="932"/>
      <c r="L805" s="932"/>
      <c r="M805" s="932"/>
      <c r="N805" s="932"/>
      <c r="O805" s="932"/>
      <c r="P805" s="932"/>
      <c r="Q805" s="932"/>
      <c r="R805" s="932"/>
      <c r="S805" s="932"/>
      <c r="T805" s="932"/>
      <c r="U805" s="932"/>
      <c r="V805" s="932"/>
      <c r="W805" s="932"/>
      <c r="X805" s="932"/>
      <c r="Y805" s="932"/>
      <c r="Z805" s="932"/>
      <c r="AA805" s="932"/>
      <c r="AB805" s="932"/>
      <c r="AC805" s="932"/>
      <c r="AD805" s="932"/>
      <c r="AE805" s="932"/>
      <c r="AF805" s="932"/>
      <c r="AG805" s="932"/>
      <c r="AH805" s="932"/>
      <c r="AI805" s="932"/>
      <c r="AJ805" s="932"/>
      <c r="AK805" s="932"/>
      <c r="AL805" s="932"/>
      <c r="AM805" s="932"/>
      <c r="AN805" s="932"/>
      <c r="AO805" s="932"/>
      <c r="AP805" s="932"/>
      <c r="AQ805" s="932"/>
      <c r="AR805" s="932"/>
      <c r="AS805" s="932"/>
      <c r="AT805" s="932"/>
      <c r="AU805" s="932"/>
      <c r="AV805" s="932"/>
      <c r="AW805" s="932"/>
      <c r="AX805" s="932"/>
      <c r="AY805" s="932"/>
      <c r="AZ805" s="932"/>
      <c r="BA805" s="932"/>
      <c r="BB805" s="932"/>
      <c r="BC805" s="932"/>
      <c r="BD805" s="932"/>
      <c r="BE805" s="932"/>
      <c r="BF805" s="932"/>
    </row>
    <row r="806" spans="2:58" ht="15" x14ac:dyDescent="0.25">
      <c r="B806" s="932"/>
      <c r="C806" s="932"/>
      <c r="D806" s="932"/>
      <c r="E806" s="932"/>
      <c r="F806" s="932"/>
      <c r="G806" s="932"/>
      <c r="H806" s="932"/>
      <c r="I806" s="932"/>
      <c r="J806" s="932"/>
      <c r="K806" s="932"/>
      <c r="L806" s="932"/>
      <c r="M806" s="932"/>
      <c r="N806" s="932"/>
      <c r="O806" s="932"/>
      <c r="P806" s="932"/>
      <c r="Q806" s="932"/>
      <c r="R806" s="932"/>
      <c r="S806" s="932"/>
      <c r="T806" s="932"/>
      <c r="U806" s="932"/>
      <c r="V806" s="932"/>
      <c r="W806" s="932"/>
      <c r="X806" s="932"/>
      <c r="Y806" s="932"/>
      <c r="Z806" s="932"/>
      <c r="AA806" s="932"/>
      <c r="AB806" s="932"/>
      <c r="AC806" s="932"/>
      <c r="AD806" s="932"/>
      <c r="AE806" s="932"/>
      <c r="AF806" s="932"/>
      <c r="AG806" s="932"/>
      <c r="AH806" s="932"/>
      <c r="AI806" s="932"/>
      <c r="AJ806" s="932"/>
      <c r="AK806" s="932"/>
      <c r="AL806" s="932"/>
      <c r="AM806" s="932"/>
      <c r="AN806" s="932"/>
      <c r="AO806" s="932"/>
      <c r="AP806" s="932"/>
      <c r="AQ806" s="932"/>
      <c r="AR806" s="932"/>
      <c r="AS806" s="932"/>
      <c r="AT806" s="932"/>
      <c r="AU806" s="932"/>
      <c r="AV806" s="932"/>
      <c r="AW806" s="932"/>
      <c r="AX806" s="932"/>
      <c r="AY806" s="932"/>
      <c r="AZ806" s="932"/>
      <c r="BA806" s="932"/>
      <c r="BB806" s="932"/>
      <c r="BC806" s="932"/>
      <c r="BD806" s="932"/>
      <c r="BE806" s="932"/>
      <c r="BF806" s="932"/>
    </row>
    <row r="807" spans="2:58" ht="15" x14ac:dyDescent="0.25">
      <c r="B807" s="932"/>
      <c r="C807" s="932"/>
      <c r="D807" s="932"/>
      <c r="E807" s="932"/>
      <c r="F807" s="932"/>
      <c r="G807" s="932"/>
      <c r="H807" s="932"/>
      <c r="I807" s="932"/>
      <c r="J807" s="932"/>
      <c r="K807" s="932"/>
      <c r="L807" s="932"/>
      <c r="M807" s="932"/>
      <c r="N807" s="932"/>
      <c r="O807" s="932"/>
      <c r="P807" s="932"/>
      <c r="Q807" s="932"/>
      <c r="R807" s="932"/>
      <c r="S807" s="932"/>
      <c r="T807" s="932"/>
      <c r="U807" s="932"/>
      <c r="V807" s="932"/>
      <c r="W807" s="932"/>
      <c r="X807" s="932"/>
      <c r="Y807" s="932"/>
      <c r="Z807" s="932"/>
      <c r="AA807" s="932"/>
      <c r="AB807" s="932"/>
      <c r="AC807" s="932"/>
      <c r="AD807" s="932"/>
      <c r="AE807" s="932"/>
      <c r="AF807" s="932"/>
      <c r="AG807" s="932"/>
      <c r="AH807" s="932"/>
      <c r="AI807" s="932"/>
      <c r="AJ807" s="932"/>
      <c r="AK807" s="932"/>
      <c r="AL807" s="932"/>
      <c r="AM807" s="932"/>
      <c r="AN807" s="932"/>
      <c r="AO807" s="932"/>
      <c r="AP807" s="932"/>
      <c r="AQ807" s="932"/>
      <c r="AR807" s="932"/>
      <c r="AS807" s="932"/>
      <c r="AT807" s="932"/>
      <c r="AU807" s="932"/>
      <c r="AV807" s="932"/>
      <c r="AW807" s="932"/>
      <c r="AX807" s="932"/>
      <c r="AY807" s="932"/>
      <c r="AZ807" s="932"/>
      <c r="BA807" s="932"/>
      <c r="BB807" s="932"/>
      <c r="BC807" s="932"/>
      <c r="BD807" s="932"/>
      <c r="BE807" s="932"/>
      <c r="BF807" s="932"/>
    </row>
    <row r="808" spans="2:58" ht="15" x14ac:dyDescent="0.25">
      <c r="B808" s="932"/>
      <c r="C808" s="932"/>
      <c r="D808" s="932"/>
      <c r="E808" s="932"/>
      <c r="F808" s="932"/>
      <c r="G808" s="932"/>
      <c r="H808" s="932"/>
      <c r="I808" s="932"/>
      <c r="J808" s="932"/>
      <c r="K808" s="932"/>
      <c r="L808" s="932"/>
      <c r="M808" s="932"/>
      <c r="N808" s="932"/>
      <c r="O808" s="932"/>
      <c r="P808" s="932"/>
      <c r="Q808" s="932"/>
      <c r="R808" s="932"/>
      <c r="S808" s="932"/>
      <c r="T808" s="932"/>
      <c r="U808" s="932"/>
      <c r="V808" s="932"/>
      <c r="W808" s="932"/>
      <c r="X808" s="932"/>
      <c r="Y808" s="932"/>
      <c r="Z808" s="932"/>
      <c r="AA808" s="932"/>
      <c r="AB808" s="932"/>
      <c r="AC808" s="932"/>
      <c r="AD808" s="932"/>
      <c r="AE808" s="932"/>
      <c r="AF808" s="932"/>
      <c r="AG808" s="932"/>
      <c r="AH808" s="932"/>
      <c r="AI808" s="932"/>
      <c r="AJ808" s="932"/>
      <c r="AK808" s="932"/>
      <c r="AL808" s="932"/>
      <c r="AM808" s="932"/>
      <c r="AN808" s="932"/>
      <c r="AO808" s="932"/>
      <c r="AP808" s="932"/>
      <c r="AQ808" s="932"/>
      <c r="AR808" s="932"/>
      <c r="AS808" s="932"/>
      <c r="AT808" s="932"/>
      <c r="AU808" s="932"/>
      <c r="AV808" s="932"/>
      <c r="AW808" s="932"/>
      <c r="AX808" s="932"/>
      <c r="AY808" s="932"/>
      <c r="AZ808" s="932"/>
      <c r="BA808" s="932"/>
      <c r="BB808" s="932"/>
      <c r="BC808" s="932"/>
      <c r="BD808" s="932"/>
      <c r="BE808" s="932"/>
      <c r="BF808" s="932"/>
    </row>
    <row r="809" spans="2:58" ht="15" x14ac:dyDescent="0.25">
      <c r="B809" s="932"/>
      <c r="C809" s="932"/>
      <c r="D809" s="932"/>
      <c r="E809" s="932"/>
      <c r="F809" s="932"/>
      <c r="G809" s="932"/>
      <c r="H809" s="932"/>
      <c r="I809" s="932"/>
      <c r="J809" s="932"/>
      <c r="K809" s="932"/>
      <c r="L809" s="932"/>
      <c r="M809" s="932"/>
      <c r="N809" s="932"/>
      <c r="O809" s="932"/>
      <c r="P809" s="932"/>
      <c r="Q809" s="932"/>
      <c r="R809" s="932"/>
      <c r="S809" s="932"/>
      <c r="T809" s="932"/>
      <c r="U809" s="932"/>
      <c r="V809" s="932"/>
      <c r="W809" s="932"/>
      <c r="X809" s="932"/>
      <c r="Y809" s="932"/>
      <c r="Z809" s="932"/>
      <c r="AA809" s="932"/>
      <c r="AB809" s="932"/>
      <c r="AC809" s="932"/>
      <c r="AD809" s="932"/>
      <c r="AE809" s="932"/>
      <c r="AF809" s="932"/>
      <c r="AG809" s="932"/>
      <c r="AH809" s="932"/>
      <c r="AI809" s="932"/>
      <c r="AJ809" s="932"/>
      <c r="AK809" s="932"/>
      <c r="AL809" s="932"/>
      <c r="AM809" s="932"/>
      <c r="AN809" s="932"/>
      <c r="AO809" s="932"/>
      <c r="AP809" s="932"/>
      <c r="AQ809" s="932"/>
      <c r="AR809" s="932"/>
      <c r="AS809" s="932"/>
      <c r="AT809" s="932"/>
      <c r="AU809" s="932"/>
      <c r="AV809" s="932"/>
      <c r="AW809" s="932"/>
      <c r="AX809" s="932"/>
      <c r="AY809" s="932"/>
      <c r="AZ809" s="932"/>
      <c r="BA809" s="932"/>
      <c r="BB809" s="932"/>
      <c r="BC809" s="932"/>
      <c r="BD809" s="932"/>
      <c r="BE809" s="932"/>
      <c r="BF809" s="932"/>
    </row>
    <row r="810" spans="2:58" ht="15" x14ac:dyDescent="0.25">
      <c r="B810" s="932"/>
      <c r="C810" s="932"/>
      <c r="D810" s="932"/>
      <c r="E810" s="932"/>
      <c r="F810" s="932"/>
      <c r="G810" s="932"/>
      <c r="H810" s="932"/>
      <c r="I810" s="932"/>
      <c r="J810" s="932"/>
      <c r="K810" s="932"/>
      <c r="L810" s="932"/>
      <c r="M810" s="932"/>
      <c r="N810" s="932"/>
      <c r="O810" s="932"/>
      <c r="P810" s="932"/>
      <c r="Q810" s="932"/>
      <c r="R810" s="932"/>
      <c r="S810" s="932"/>
      <c r="T810" s="932"/>
      <c r="U810" s="932"/>
      <c r="V810" s="932"/>
      <c r="W810" s="932"/>
      <c r="X810" s="932"/>
      <c r="Y810" s="932"/>
      <c r="Z810" s="932"/>
      <c r="AA810" s="932"/>
      <c r="AB810" s="932"/>
      <c r="AC810" s="932"/>
      <c r="AD810" s="932"/>
      <c r="AE810" s="932"/>
      <c r="AF810" s="932"/>
      <c r="AG810" s="932"/>
      <c r="AH810" s="932"/>
      <c r="AI810" s="932"/>
      <c r="AJ810" s="932"/>
      <c r="AK810" s="932"/>
      <c r="AL810" s="932"/>
      <c r="AM810" s="932"/>
      <c r="AN810" s="932"/>
      <c r="AO810" s="932"/>
      <c r="AP810" s="932"/>
      <c r="AQ810" s="932"/>
      <c r="AR810" s="932"/>
      <c r="AS810" s="932"/>
      <c r="AT810" s="932"/>
      <c r="AU810" s="932"/>
      <c r="AV810" s="932"/>
      <c r="AW810" s="932"/>
      <c r="AX810" s="932"/>
      <c r="AY810" s="932"/>
      <c r="AZ810" s="932"/>
      <c r="BA810" s="932"/>
      <c r="BB810" s="932"/>
      <c r="BC810" s="932"/>
      <c r="BD810" s="932"/>
      <c r="BE810" s="932"/>
      <c r="BF810" s="932"/>
    </row>
    <row r="811" spans="2:58" ht="15" x14ac:dyDescent="0.25">
      <c r="B811" s="932"/>
      <c r="C811" s="932"/>
      <c r="D811" s="932"/>
      <c r="E811" s="932"/>
      <c r="F811" s="932"/>
      <c r="G811" s="932"/>
      <c r="H811" s="932"/>
      <c r="I811" s="932"/>
      <c r="J811" s="932"/>
      <c r="K811" s="932"/>
      <c r="L811" s="932"/>
      <c r="M811" s="932"/>
      <c r="N811" s="932"/>
      <c r="O811" s="932"/>
      <c r="P811" s="932"/>
      <c r="Q811" s="932"/>
      <c r="R811" s="932"/>
      <c r="S811" s="932"/>
      <c r="T811" s="932"/>
      <c r="U811" s="932"/>
      <c r="V811" s="932"/>
      <c r="W811" s="932"/>
      <c r="X811" s="932"/>
      <c r="Y811" s="932"/>
      <c r="Z811" s="932"/>
      <c r="AA811" s="932"/>
      <c r="AB811" s="932"/>
      <c r="AC811" s="932"/>
      <c r="AD811" s="932"/>
      <c r="AE811" s="932"/>
      <c r="AF811" s="932"/>
      <c r="AG811" s="932"/>
      <c r="AH811" s="932"/>
      <c r="AI811" s="932"/>
      <c r="AJ811" s="932"/>
      <c r="AK811" s="932"/>
      <c r="AL811" s="932"/>
      <c r="AM811" s="932"/>
      <c r="AN811" s="932"/>
      <c r="AO811" s="932"/>
      <c r="AP811" s="932"/>
      <c r="AQ811" s="932"/>
      <c r="AR811" s="932"/>
      <c r="AS811" s="932"/>
      <c r="AT811" s="932"/>
      <c r="AU811" s="932"/>
      <c r="AV811" s="932"/>
      <c r="AW811" s="932"/>
      <c r="AX811" s="932"/>
      <c r="AY811" s="932"/>
      <c r="AZ811" s="932"/>
      <c r="BA811" s="932"/>
      <c r="BB811" s="932"/>
      <c r="BC811" s="932"/>
      <c r="BD811" s="932"/>
      <c r="BE811" s="932"/>
      <c r="BF811" s="932"/>
    </row>
    <row r="812" spans="2:58" ht="15" x14ac:dyDescent="0.25">
      <c r="B812" s="932"/>
      <c r="C812" s="932"/>
      <c r="D812" s="932"/>
      <c r="E812" s="932"/>
      <c r="F812" s="932"/>
      <c r="G812" s="932"/>
      <c r="H812" s="932"/>
      <c r="I812" s="932"/>
      <c r="J812" s="932"/>
      <c r="K812" s="932"/>
      <c r="L812" s="932"/>
      <c r="M812" s="932"/>
      <c r="N812" s="932"/>
      <c r="O812" s="932"/>
      <c r="P812" s="932"/>
      <c r="Q812" s="932"/>
      <c r="R812" s="932"/>
      <c r="S812" s="932"/>
      <c r="T812" s="932"/>
      <c r="U812" s="932"/>
      <c r="V812" s="932"/>
      <c r="W812" s="932"/>
      <c r="X812" s="932"/>
      <c r="Y812" s="932"/>
      <c r="Z812" s="932"/>
      <c r="AA812" s="932"/>
      <c r="AB812" s="932"/>
      <c r="AC812" s="932"/>
      <c r="AD812" s="932"/>
      <c r="AE812" s="932"/>
      <c r="AF812" s="932"/>
      <c r="AG812" s="932"/>
      <c r="AH812" s="932"/>
      <c r="AI812" s="932"/>
      <c r="AJ812" s="932"/>
      <c r="AK812" s="932"/>
      <c r="AL812" s="932"/>
      <c r="AM812" s="932"/>
      <c r="AN812" s="932"/>
      <c r="AO812" s="932"/>
      <c r="AP812" s="932"/>
      <c r="AQ812" s="932"/>
      <c r="AR812" s="932"/>
      <c r="AS812" s="932"/>
      <c r="AT812" s="932"/>
      <c r="AU812" s="932"/>
      <c r="AV812" s="932"/>
      <c r="AW812" s="932"/>
      <c r="AX812" s="932"/>
      <c r="AY812" s="932"/>
      <c r="AZ812" s="932"/>
      <c r="BA812" s="932"/>
      <c r="BB812" s="932"/>
      <c r="BC812" s="932"/>
      <c r="BD812" s="932"/>
      <c r="BE812" s="932"/>
      <c r="BF812" s="932"/>
    </row>
    <row r="813" spans="2:58" ht="15" x14ac:dyDescent="0.25">
      <c r="B813" s="932"/>
      <c r="C813" s="932"/>
      <c r="D813" s="932"/>
      <c r="E813" s="932"/>
      <c r="F813" s="932"/>
      <c r="G813" s="932"/>
      <c r="H813" s="932"/>
      <c r="I813" s="932"/>
      <c r="J813" s="932"/>
      <c r="K813" s="932"/>
      <c r="L813" s="932"/>
      <c r="M813" s="932"/>
      <c r="N813" s="932"/>
      <c r="O813" s="932"/>
      <c r="P813" s="932"/>
      <c r="Q813" s="932"/>
      <c r="R813" s="932"/>
      <c r="S813" s="932"/>
      <c r="T813" s="932"/>
      <c r="U813" s="932"/>
      <c r="V813" s="932"/>
      <c r="W813" s="932"/>
      <c r="X813" s="932"/>
      <c r="Y813" s="932"/>
      <c r="Z813" s="932"/>
      <c r="AA813" s="932"/>
      <c r="AB813" s="932"/>
      <c r="AC813" s="932"/>
      <c r="AD813" s="932"/>
      <c r="AE813" s="932"/>
      <c r="AF813" s="932"/>
      <c r="AG813" s="932"/>
      <c r="AH813" s="932"/>
      <c r="AI813" s="932"/>
      <c r="AJ813" s="932"/>
      <c r="AK813" s="932"/>
      <c r="AL813" s="932"/>
      <c r="AM813" s="932"/>
      <c r="AN813" s="932"/>
      <c r="AO813" s="932"/>
      <c r="AP813" s="932"/>
      <c r="AQ813" s="932"/>
      <c r="AR813" s="932"/>
      <c r="AS813" s="932"/>
      <c r="AT813" s="932"/>
      <c r="AU813" s="932"/>
      <c r="AV813" s="932"/>
      <c r="AW813" s="932"/>
      <c r="AX813" s="932"/>
      <c r="AY813" s="932"/>
      <c r="AZ813" s="932"/>
      <c r="BA813" s="932"/>
      <c r="BB813" s="932"/>
      <c r="BC813" s="932"/>
      <c r="BD813" s="932"/>
      <c r="BE813" s="932"/>
      <c r="BF813" s="932"/>
    </row>
    <row r="814" spans="2:58" ht="15" x14ac:dyDescent="0.25">
      <c r="B814" s="932"/>
      <c r="C814" s="932"/>
      <c r="D814" s="932"/>
      <c r="E814" s="932"/>
      <c r="F814" s="932"/>
      <c r="G814" s="932"/>
      <c r="H814" s="932"/>
      <c r="I814" s="932"/>
      <c r="J814" s="932"/>
      <c r="K814" s="932"/>
      <c r="L814" s="932"/>
      <c r="M814" s="932"/>
      <c r="N814" s="932"/>
      <c r="O814" s="932"/>
      <c r="P814" s="932"/>
      <c r="Q814" s="932"/>
      <c r="R814" s="932"/>
      <c r="S814" s="932"/>
      <c r="T814" s="932"/>
      <c r="U814" s="932"/>
      <c r="V814" s="932"/>
      <c r="W814" s="932"/>
      <c r="X814" s="932"/>
      <c r="Y814" s="932"/>
      <c r="Z814" s="932"/>
      <c r="AA814" s="932"/>
      <c r="AB814" s="932"/>
      <c r="AC814" s="932"/>
      <c r="AD814" s="932"/>
      <c r="AE814" s="932"/>
      <c r="AF814" s="932"/>
      <c r="AG814" s="932"/>
      <c r="AH814" s="932"/>
      <c r="AI814" s="932"/>
      <c r="AJ814" s="932"/>
      <c r="AK814" s="932"/>
      <c r="AL814" s="932"/>
      <c r="AM814" s="932"/>
      <c r="AN814" s="932"/>
      <c r="AO814" s="932"/>
      <c r="AP814" s="932"/>
      <c r="AQ814" s="932"/>
      <c r="AR814" s="932"/>
      <c r="AS814" s="932"/>
      <c r="AT814" s="932"/>
      <c r="AU814" s="932"/>
      <c r="AV814" s="932"/>
      <c r="AW814" s="932"/>
      <c r="AX814" s="932"/>
      <c r="AY814" s="932"/>
      <c r="AZ814" s="932"/>
      <c r="BA814" s="932"/>
      <c r="BB814" s="932"/>
      <c r="BC814" s="932"/>
      <c r="BD814" s="932"/>
      <c r="BE814" s="932"/>
      <c r="BF814" s="932"/>
    </row>
    <row r="815" spans="2:58" ht="15" x14ac:dyDescent="0.25">
      <c r="B815" s="932"/>
      <c r="C815" s="932"/>
      <c r="D815" s="932"/>
      <c r="E815" s="932"/>
      <c r="F815" s="932"/>
      <c r="G815" s="932"/>
      <c r="H815" s="932"/>
      <c r="I815" s="932"/>
      <c r="J815" s="932"/>
      <c r="K815" s="932"/>
      <c r="L815" s="932"/>
      <c r="M815" s="932"/>
      <c r="N815" s="932"/>
      <c r="O815" s="932"/>
      <c r="P815" s="932"/>
      <c r="Q815" s="932"/>
      <c r="R815" s="932"/>
      <c r="S815" s="932"/>
      <c r="T815" s="932"/>
      <c r="U815" s="932"/>
      <c r="V815" s="932"/>
      <c r="W815" s="932"/>
      <c r="X815" s="932"/>
      <c r="Y815" s="932"/>
      <c r="Z815" s="932"/>
      <c r="AA815" s="932"/>
      <c r="AB815" s="932"/>
      <c r="AC815" s="932"/>
      <c r="AD815" s="932"/>
      <c r="AE815" s="932"/>
      <c r="AF815" s="932"/>
      <c r="AG815" s="932"/>
      <c r="AH815" s="932"/>
      <c r="AI815" s="932"/>
      <c r="AJ815" s="932"/>
      <c r="AK815" s="932"/>
      <c r="AL815" s="932"/>
      <c r="AM815" s="932"/>
      <c r="AN815" s="932"/>
      <c r="AO815" s="932"/>
      <c r="AP815" s="932"/>
      <c r="AQ815" s="932"/>
      <c r="AR815" s="932"/>
      <c r="AS815" s="932"/>
      <c r="AT815" s="932"/>
      <c r="AU815" s="932"/>
      <c r="AV815" s="932"/>
      <c r="AW815" s="932"/>
      <c r="AX815" s="932"/>
      <c r="AY815" s="932"/>
      <c r="AZ815" s="932"/>
      <c r="BA815" s="932"/>
      <c r="BB815" s="932"/>
      <c r="BC815" s="932"/>
      <c r="BD815" s="932"/>
      <c r="BE815" s="932"/>
      <c r="BF815" s="932"/>
    </row>
    <row r="816" spans="2:58" ht="15" x14ac:dyDescent="0.25">
      <c r="B816" s="932"/>
      <c r="C816" s="932"/>
      <c r="D816" s="932"/>
      <c r="E816" s="932"/>
      <c r="F816" s="932"/>
      <c r="G816" s="932"/>
      <c r="H816" s="932"/>
      <c r="I816" s="932"/>
      <c r="J816" s="932"/>
      <c r="K816" s="932"/>
      <c r="L816" s="932"/>
      <c r="M816" s="932"/>
      <c r="N816" s="932"/>
      <c r="O816" s="932"/>
      <c r="P816" s="932"/>
      <c r="Q816" s="932"/>
      <c r="R816" s="932"/>
      <c r="S816" s="932"/>
      <c r="T816" s="932"/>
      <c r="U816" s="932"/>
      <c r="V816" s="932"/>
      <c r="W816" s="932"/>
      <c r="X816" s="932"/>
      <c r="Y816" s="932"/>
      <c r="Z816" s="932"/>
      <c r="AA816" s="932"/>
      <c r="AB816" s="932"/>
      <c r="AC816" s="932"/>
      <c r="AD816" s="932"/>
      <c r="AE816" s="932"/>
      <c r="AF816" s="932"/>
      <c r="AG816" s="932"/>
      <c r="AH816" s="932"/>
      <c r="AI816" s="932"/>
      <c r="AJ816" s="932"/>
      <c r="AK816" s="932"/>
      <c r="AL816" s="932"/>
      <c r="AM816" s="932"/>
      <c r="AN816" s="932"/>
      <c r="AO816" s="932"/>
      <c r="AP816" s="932"/>
      <c r="AQ816" s="932"/>
      <c r="AR816" s="932"/>
      <c r="AS816" s="932"/>
      <c r="AT816" s="932"/>
      <c r="AU816" s="932"/>
      <c r="AV816" s="932"/>
      <c r="AW816" s="932"/>
      <c r="AX816" s="932"/>
      <c r="AY816" s="932"/>
      <c r="AZ816" s="932"/>
      <c r="BA816" s="932"/>
      <c r="BB816" s="932"/>
      <c r="BC816" s="932"/>
      <c r="BD816" s="932"/>
      <c r="BE816" s="932"/>
      <c r="BF816" s="932"/>
    </row>
    <row r="817" spans="2:58" ht="15" x14ac:dyDescent="0.25">
      <c r="B817" s="932"/>
      <c r="C817" s="932"/>
      <c r="D817" s="932"/>
      <c r="E817" s="932"/>
      <c r="F817" s="932"/>
      <c r="G817" s="932"/>
      <c r="H817" s="932"/>
      <c r="I817" s="932"/>
      <c r="J817" s="932"/>
      <c r="K817" s="932"/>
      <c r="L817" s="932"/>
      <c r="M817" s="932"/>
      <c r="N817" s="932"/>
      <c r="O817" s="932"/>
      <c r="P817" s="932"/>
      <c r="Q817" s="932"/>
      <c r="R817" s="932"/>
      <c r="S817" s="932"/>
      <c r="T817" s="932"/>
      <c r="U817" s="932"/>
      <c r="V817" s="932"/>
      <c r="W817" s="932"/>
      <c r="X817" s="932"/>
      <c r="Y817" s="932"/>
      <c r="Z817" s="932"/>
      <c r="AA817" s="932"/>
      <c r="AB817" s="932"/>
      <c r="AC817" s="932"/>
      <c r="AD817" s="932"/>
      <c r="AE817" s="932"/>
      <c r="AF817" s="932"/>
      <c r="AG817" s="932"/>
      <c r="AH817" s="932"/>
      <c r="AI817" s="932"/>
      <c r="AJ817" s="932"/>
      <c r="AK817" s="932"/>
      <c r="AL817" s="932"/>
      <c r="AM817" s="932"/>
      <c r="AN817" s="932"/>
      <c r="AO817" s="932"/>
      <c r="AP817" s="932"/>
      <c r="AQ817" s="932"/>
      <c r="AR817" s="932"/>
      <c r="AS817" s="932"/>
      <c r="AT817" s="932"/>
      <c r="AU817" s="932"/>
      <c r="AV817" s="932"/>
      <c r="AW817" s="932"/>
      <c r="AX817" s="932"/>
      <c r="AY817" s="932"/>
      <c r="AZ817" s="932"/>
      <c r="BA817" s="932"/>
      <c r="BB817" s="932"/>
      <c r="BC817" s="932"/>
      <c r="BD817" s="932"/>
      <c r="BE817" s="932"/>
      <c r="BF817" s="932"/>
    </row>
    <row r="818" spans="2:58" ht="15" x14ac:dyDescent="0.25">
      <c r="B818" s="932"/>
      <c r="C818" s="932"/>
      <c r="D818" s="932"/>
      <c r="E818" s="932"/>
      <c r="F818" s="932"/>
      <c r="G818" s="932"/>
      <c r="H818" s="932"/>
      <c r="I818" s="932"/>
      <c r="J818" s="932"/>
      <c r="K818" s="932"/>
      <c r="L818" s="932"/>
      <c r="M818" s="932"/>
      <c r="N818" s="932"/>
      <c r="O818" s="932"/>
      <c r="P818" s="932"/>
      <c r="Q818" s="932"/>
      <c r="R818" s="932"/>
      <c r="S818" s="932"/>
      <c r="T818" s="932"/>
      <c r="U818" s="932"/>
      <c r="V818" s="932"/>
      <c r="W818" s="932"/>
      <c r="X818" s="932"/>
      <c r="Y818" s="932"/>
      <c r="Z818" s="932"/>
      <c r="AA818" s="932"/>
      <c r="AB818" s="932"/>
      <c r="AC818" s="932"/>
      <c r="AD818" s="932"/>
      <c r="AE818" s="932"/>
      <c r="AF818" s="932"/>
      <c r="AG818" s="932"/>
      <c r="AH818" s="932"/>
      <c r="AI818" s="932"/>
      <c r="AJ818" s="932"/>
      <c r="AK818" s="932"/>
      <c r="AL818" s="932"/>
      <c r="AM818" s="932"/>
      <c r="AN818" s="932"/>
      <c r="AO818" s="932"/>
      <c r="AP818" s="932"/>
      <c r="AQ818" s="932"/>
      <c r="AR818" s="932"/>
      <c r="AS818" s="932"/>
      <c r="AT818" s="932"/>
      <c r="AU818" s="932"/>
      <c r="AV818" s="932"/>
      <c r="AW818" s="932"/>
      <c r="AX818" s="932"/>
      <c r="AY818" s="932"/>
      <c r="AZ818" s="932"/>
      <c r="BA818" s="932"/>
      <c r="BB818" s="932"/>
      <c r="BC818" s="932"/>
      <c r="BD818" s="932"/>
      <c r="BE818" s="932"/>
      <c r="BF818" s="932"/>
    </row>
    <row r="819" spans="2:58" ht="15" x14ac:dyDescent="0.25">
      <c r="B819" s="932"/>
      <c r="C819" s="932"/>
      <c r="D819" s="932"/>
      <c r="E819" s="932"/>
      <c r="F819" s="932"/>
      <c r="G819" s="932"/>
      <c r="H819" s="932"/>
      <c r="I819" s="932"/>
      <c r="J819" s="932"/>
      <c r="K819" s="932"/>
      <c r="L819" s="932"/>
      <c r="M819" s="932"/>
      <c r="N819" s="932"/>
      <c r="O819" s="932"/>
      <c r="P819" s="932"/>
      <c r="Q819" s="932"/>
      <c r="R819" s="932"/>
      <c r="S819" s="932"/>
      <c r="T819" s="932"/>
      <c r="U819" s="932"/>
      <c r="V819" s="932"/>
      <c r="W819" s="932"/>
      <c r="X819" s="932"/>
      <c r="Y819" s="932"/>
      <c r="Z819" s="932"/>
      <c r="AA819" s="932"/>
      <c r="AB819" s="932"/>
      <c r="AC819" s="932"/>
      <c r="AD819" s="932"/>
      <c r="AE819" s="932"/>
      <c r="AF819" s="932"/>
      <c r="AG819" s="932"/>
      <c r="AH819" s="932"/>
      <c r="AI819" s="932"/>
      <c r="AJ819" s="932"/>
      <c r="AK819" s="932"/>
      <c r="AL819" s="932"/>
      <c r="AM819" s="932"/>
      <c r="AN819" s="932"/>
      <c r="AO819" s="932"/>
      <c r="AP819" s="932"/>
      <c r="AQ819" s="932"/>
      <c r="AR819" s="932"/>
      <c r="AS819" s="932"/>
      <c r="AT819" s="932"/>
      <c r="AU819" s="932"/>
      <c r="AV819" s="932"/>
      <c r="AW819" s="932"/>
      <c r="AX819" s="932"/>
      <c r="AY819" s="932"/>
      <c r="AZ819" s="932"/>
      <c r="BA819" s="932"/>
      <c r="BB819" s="932"/>
      <c r="BC819" s="932"/>
      <c r="BD819" s="932"/>
      <c r="BE819" s="932"/>
      <c r="BF819" s="932"/>
    </row>
    <row r="820" spans="2:58" ht="15" x14ac:dyDescent="0.25">
      <c r="B820" s="932"/>
      <c r="C820" s="932"/>
      <c r="D820" s="932"/>
      <c r="E820" s="932"/>
      <c r="F820" s="932"/>
      <c r="G820" s="932"/>
      <c r="H820" s="932"/>
      <c r="I820" s="932"/>
      <c r="J820" s="932"/>
      <c r="K820" s="932"/>
      <c r="L820" s="932"/>
      <c r="M820" s="932"/>
      <c r="N820" s="932"/>
      <c r="O820" s="932"/>
      <c r="P820" s="932"/>
      <c r="Q820" s="932"/>
      <c r="R820" s="932"/>
      <c r="S820" s="932"/>
      <c r="T820" s="932"/>
      <c r="U820" s="932"/>
      <c r="V820" s="932"/>
      <c r="W820" s="932"/>
      <c r="X820" s="932"/>
      <c r="Y820" s="932"/>
      <c r="Z820" s="932"/>
      <c r="AA820" s="932"/>
      <c r="AB820" s="932"/>
      <c r="AC820" s="932"/>
      <c r="AD820" s="932"/>
      <c r="AE820" s="932"/>
      <c r="AF820" s="932"/>
      <c r="AG820" s="932"/>
      <c r="AH820" s="932"/>
      <c r="AI820" s="932"/>
      <c r="AJ820" s="932"/>
      <c r="AK820" s="932"/>
      <c r="AL820" s="932"/>
      <c r="AM820" s="932"/>
      <c r="AN820" s="932"/>
      <c r="AO820" s="932"/>
      <c r="AP820" s="932"/>
      <c r="AQ820" s="932"/>
      <c r="AR820" s="932"/>
      <c r="AS820" s="932"/>
      <c r="AT820" s="932"/>
      <c r="AU820" s="932"/>
      <c r="AV820" s="932"/>
      <c r="AW820" s="932"/>
      <c r="AX820" s="932"/>
      <c r="AY820" s="932"/>
      <c r="AZ820" s="932"/>
      <c r="BA820" s="932"/>
      <c r="BB820" s="932"/>
      <c r="BC820" s="932"/>
      <c r="BD820" s="932"/>
      <c r="BE820" s="932"/>
      <c r="BF820" s="932"/>
    </row>
    <row r="821" spans="2:58" ht="15" x14ac:dyDescent="0.25">
      <c r="B821" s="932"/>
      <c r="C821" s="932"/>
      <c r="D821" s="932"/>
      <c r="E821" s="932"/>
      <c r="F821" s="932"/>
      <c r="G821" s="932"/>
      <c r="H821" s="932"/>
      <c r="I821" s="932"/>
      <c r="J821" s="932"/>
      <c r="K821" s="932"/>
      <c r="L821" s="932"/>
      <c r="M821" s="932"/>
      <c r="N821" s="932"/>
      <c r="O821" s="932"/>
      <c r="P821" s="932"/>
      <c r="Q821" s="932"/>
      <c r="R821" s="932"/>
      <c r="S821" s="932"/>
      <c r="T821" s="932"/>
      <c r="U821" s="932"/>
      <c r="V821" s="932"/>
      <c r="W821" s="932"/>
      <c r="X821" s="932"/>
      <c r="Y821" s="932"/>
      <c r="Z821" s="932"/>
      <c r="AA821" s="932"/>
      <c r="AB821" s="932"/>
      <c r="AC821" s="932"/>
      <c r="AD821" s="932"/>
      <c r="AE821" s="932"/>
      <c r="AF821" s="932"/>
      <c r="AG821" s="932"/>
      <c r="AH821" s="932"/>
      <c r="AI821" s="932"/>
      <c r="AJ821" s="932"/>
      <c r="AK821" s="932"/>
      <c r="AL821" s="932"/>
      <c r="AM821" s="932"/>
      <c r="AN821" s="932"/>
      <c r="AO821" s="932"/>
      <c r="AP821" s="932"/>
      <c r="AQ821" s="932"/>
      <c r="AR821" s="932"/>
      <c r="AS821" s="932"/>
      <c r="AT821" s="932"/>
      <c r="AU821" s="932"/>
      <c r="AV821" s="932"/>
      <c r="AW821" s="932"/>
      <c r="AX821" s="932"/>
      <c r="AY821" s="932"/>
      <c r="AZ821" s="932"/>
      <c r="BA821" s="932"/>
      <c r="BB821" s="932"/>
      <c r="BC821" s="932"/>
      <c r="BD821" s="932"/>
      <c r="BE821" s="932"/>
      <c r="BF821" s="932"/>
    </row>
    <row r="822" spans="2:58" ht="15" x14ac:dyDescent="0.25">
      <c r="B822" s="932"/>
      <c r="C822" s="932"/>
      <c r="D822" s="932"/>
      <c r="E822" s="932"/>
      <c r="F822" s="932"/>
      <c r="G822" s="932"/>
      <c r="H822" s="932"/>
      <c r="I822" s="932"/>
      <c r="J822" s="932"/>
      <c r="K822" s="932"/>
      <c r="L822" s="932"/>
      <c r="M822" s="932"/>
      <c r="N822" s="932"/>
      <c r="O822" s="932"/>
      <c r="P822" s="932"/>
      <c r="Q822" s="932"/>
      <c r="R822" s="932"/>
      <c r="S822" s="932"/>
      <c r="T822" s="932"/>
      <c r="U822" s="932"/>
      <c r="V822" s="932"/>
      <c r="W822" s="932"/>
      <c r="X822" s="932"/>
      <c r="Y822" s="932"/>
      <c r="Z822" s="932"/>
      <c r="AA822" s="932"/>
      <c r="AB822" s="932"/>
      <c r="AC822" s="932"/>
      <c r="AD822" s="932"/>
      <c r="AE822" s="932"/>
      <c r="AF822" s="932"/>
      <c r="AG822" s="932"/>
      <c r="AH822" s="932"/>
      <c r="AI822" s="932"/>
      <c r="AJ822" s="932"/>
      <c r="AK822" s="932"/>
      <c r="AL822" s="932"/>
      <c r="AM822" s="932"/>
      <c r="AN822" s="932"/>
      <c r="AO822" s="932"/>
      <c r="AP822" s="932"/>
      <c r="AQ822" s="932"/>
      <c r="AR822" s="932"/>
      <c r="AS822" s="932"/>
      <c r="AT822" s="932"/>
      <c r="AU822" s="932"/>
      <c r="AV822" s="932"/>
      <c r="AW822" s="932"/>
      <c r="AX822" s="932"/>
      <c r="AY822" s="932"/>
      <c r="AZ822" s="932"/>
      <c r="BA822" s="932"/>
      <c r="BB822" s="932"/>
      <c r="BC822" s="932"/>
      <c r="BD822" s="932"/>
      <c r="BE822" s="932"/>
      <c r="BF822" s="932"/>
    </row>
    <row r="823" spans="2:58" ht="15" x14ac:dyDescent="0.25">
      <c r="B823" s="932"/>
      <c r="C823" s="932"/>
      <c r="D823" s="932"/>
      <c r="E823" s="932"/>
      <c r="F823" s="932"/>
      <c r="G823" s="932"/>
      <c r="H823" s="932"/>
      <c r="I823" s="932"/>
      <c r="J823" s="932"/>
      <c r="K823" s="932"/>
      <c r="L823" s="932"/>
      <c r="M823" s="932"/>
      <c r="N823" s="932"/>
      <c r="O823" s="932"/>
      <c r="P823" s="932"/>
      <c r="Q823" s="932"/>
      <c r="R823" s="932"/>
      <c r="S823" s="932"/>
      <c r="T823" s="932"/>
      <c r="U823" s="932"/>
      <c r="V823" s="932"/>
      <c r="W823" s="932"/>
      <c r="X823" s="932"/>
      <c r="Y823" s="932"/>
      <c r="Z823" s="932"/>
      <c r="AA823" s="932"/>
      <c r="AB823" s="932"/>
      <c r="AC823" s="932"/>
      <c r="AD823" s="932"/>
      <c r="AE823" s="932"/>
      <c r="AF823" s="932"/>
      <c r="AG823" s="932"/>
      <c r="AH823" s="932"/>
      <c r="AI823" s="932"/>
      <c r="AJ823" s="932"/>
      <c r="AK823" s="932"/>
      <c r="AL823" s="932"/>
      <c r="AM823" s="932"/>
      <c r="AN823" s="932"/>
      <c r="AO823" s="932"/>
      <c r="AP823" s="932"/>
      <c r="AQ823" s="932"/>
      <c r="AR823" s="932"/>
      <c r="AS823" s="932"/>
      <c r="AT823" s="932"/>
      <c r="AU823" s="932"/>
      <c r="AV823" s="932"/>
      <c r="AW823" s="932"/>
      <c r="AX823" s="932"/>
      <c r="AY823" s="932"/>
      <c r="AZ823" s="932"/>
      <c r="BA823" s="932"/>
      <c r="BB823" s="932"/>
      <c r="BC823" s="932"/>
      <c r="BD823" s="932"/>
      <c r="BE823" s="932"/>
      <c r="BF823" s="932"/>
    </row>
    <row r="824" spans="2:58" ht="15" x14ac:dyDescent="0.25">
      <c r="B824" s="932"/>
      <c r="C824" s="932"/>
      <c r="D824" s="932"/>
      <c r="E824" s="932"/>
      <c r="F824" s="932"/>
      <c r="G824" s="932"/>
      <c r="H824" s="932"/>
      <c r="I824" s="932"/>
      <c r="J824" s="932"/>
      <c r="K824" s="932"/>
      <c r="L824" s="932"/>
      <c r="M824" s="932"/>
      <c r="N824" s="932"/>
      <c r="O824" s="932"/>
      <c r="P824" s="932"/>
      <c r="Q824" s="932"/>
      <c r="R824" s="932"/>
      <c r="S824" s="932"/>
      <c r="T824" s="932"/>
      <c r="U824" s="932"/>
      <c r="V824" s="932"/>
      <c r="W824" s="932"/>
      <c r="X824" s="932"/>
      <c r="Y824" s="932"/>
      <c r="Z824" s="932"/>
      <c r="AA824" s="932"/>
      <c r="AB824" s="932"/>
      <c r="AC824" s="932"/>
      <c r="AD824" s="932"/>
      <c r="AE824" s="932"/>
      <c r="AF824" s="932"/>
      <c r="AG824" s="932"/>
      <c r="AH824" s="932"/>
      <c r="AI824" s="932"/>
      <c r="AJ824" s="932"/>
      <c r="AK824" s="932"/>
      <c r="AL824" s="932"/>
      <c r="AM824" s="932"/>
      <c r="AN824" s="932"/>
      <c r="AO824" s="932"/>
      <c r="AP824" s="932"/>
      <c r="AQ824" s="932"/>
      <c r="AR824" s="932"/>
      <c r="AS824" s="932"/>
      <c r="AT824" s="932"/>
      <c r="AU824" s="932"/>
      <c r="AV824" s="932"/>
      <c r="AW824" s="932"/>
      <c r="AX824" s="932"/>
      <c r="AY824" s="932"/>
      <c r="AZ824" s="932"/>
      <c r="BA824" s="932"/>
      <c r="BB824" s="932"/>
      <c r="BC824" s="932"/>
      <c r="BD824" s="932"/>
      <c r="BE824" s="932"/>
      <c r="BF824" s="932"/>
    </row>
    <row r="825" spans="2:58" ht="15" x14ac:dyDescent="0.25">
      <c r="B825" s="932"/>
      <c r="C825" s="932"/>
      <c r="D825" s="932"/>
      <c r="E825" s="932"/>
      <c r="F825" s="932"/>
      <c r="G825" s="932"/>
      <c r="H825" s="932"/>
      <c r="I825" s="932"/>
      <c r="J825" s="932"/>
      <c r="K825" s="932"/>
      <c r="L825" s="932"/>
      <c r="M825" s="932"/>
      <c r="N825" s="932"/>
      <c r="O825" s="932"/>
      <c r="P825" s="932"/>
      <c r="Q825" s="932"/>
      <c r="R825" s="932"/>
      <c r="S825" s="932"/>
      <c r="T825" s="932"/>
      <c r="U825" s="932"/>
      <c r="V825" s="932"/>
      <c r="W825" s="932"/>
      <c r="X825" s="932"/>
      <c r="Y825" s="932"/>
      <c r="Z825" s="932"/>
      <c r="AA825" s="932"/>
      <c r="AB825" s="932"/>
      <c r="AC825" s="932"/>
      <c r="AD825" s="932"/>
      <c r="AE825" s="932"/>
      <c r="AF825" s="932"/>
      <c r="AG825" s="932"/>
      <c r="AH825" s="932"/>
      <c r="AI825" s="932"/>
      <c r="AJ825" s="932"/>
      <c r="AK825" s="932"/>
      <c r="AL825" s="932"/>
      <c r="AM825" s="932"/>
      <c r="AN825" s="932"/>
      <c r="AO825" s="932"/>
      <c r="AP825" s="932"/>
      <c r="AQ825" s="932"/>
      <c r="AR825" s="932"/>
      <c r="AS825" s="932"/>
      <c r="AT825" s="932"/>
      <c r="AU825" s="932"/>
      <c r="AV825" s="932"/>
      <c r="AW825" s="932"/>
      <c r="AX825" s="932"/>
      <c r="AY825" s="932"/>
      <c r="AZ825" s="932"/>
      <c r="BA825" s="932"/>
      <c r="BB825" s="932"/>
      <c r="BC825" s="932"/>
      <c r="BD825" s="932"/>
      <c r="BE825" s="932"/>
      <c r="BF825" s="932"/>
    </row>
    <row r="826" spans="2:58" ht="15" x14ac:dyDescent="0.25">
      <c r="B826" s="932"/>
      <c r="C826" s="932"/>
      <c r="D826" s="932"/>
      <c r="E826" s="932"/>
      <c r="F826" s="932"/>
      <c r="G826" s="932"/>
      <c r="H826" s="932"/>
      <c r="I826" s="932"/>
      <c r="J826" s="932"/>
      <c r="K826" s="932"/>
      <c r="L826" s="932"/>
      <c r="M826" s="932"/>
      <c r="N826" s="932"/>
      <c r="O826" s="932"/>
      <c r="P826" s="932"/>
      <c r="Q826" s="932"/>
      <c r="R826" s="932"/>
      <c r="S826" s="932"/>
      <c r="T826" s="932"/>
      <c r="U826" s="932"/>
      <c r="V826" s="932"/>
      <c r="W826" s="932"/>
      <c r="X826" s="932"/>
      <c r="Y826" s="932"/>
      <c r="Z826" s="932"/>
      <c r="AA826" s="932"/>
      <c r="AB826" s="932"/>
      <c r="AC826" s="932"/>
      <c r="AD826" s="932"/>
      <c r="AE826" s="932"/>
      <c r="AF826" s="932"/>
      <c r="AG826" s="932"/>
      <c r="AH826" s="932"/>
      <c r="AI826" s="932"/>
      <c r="AJ826" s="932"/>
      <c r="AK826" s="932"/>
      <c r="AL826" s="932"/>
      <c r="AM826" s="932"/>
      <c r="AN826" s="932"/>
      <c r="AO826" s="932"/>
      <c r="AP826" s="932"/>
      <c r="AQ826" s="932"/>
      <c r="AR826" s="932"/>
      <c r="AS826" s="932"/>
      <c r="AT826" s="932"/>
      <c r="AU826" s="932"/>
      <c r="AV826" s="932"/>
      <c r="AW826" s="932"/>
      <c r="AX826" s="932"/>
      <c r="AY826" s="932"/>
      <c r="AZ826" s="932"/>
      <c r="BA826" s="932"/>
      <c r="BB826" s="932"/>
      <c r="BC826" s="932"/>
      <c r="BD826" s="932"/>
      <c r="BE826" s="932"/>
      <c r="BF826" s="932"/>
    </row>
    <row r="827" spans="2:58" ht="15" x14ac:dyDescent="0.25">
      <c r="B827" s="932"/>
      <c r="C827" s="932"/>
      <c r="D827" s="932"/>
      <c r="E827" s="932"/>
      <c r="F827" s="932"/>
      <c r="G827" s="932"/>
      <c r="H827" s="932"/>
      <c r="I827" s="932"/>
      <c r="J827" s="932"/>
      <c r="K827" s="932"/>
      <c r="L827" s="932"/>
      <c r="M827" s="932"/>
      <c r="N827" s="932"/>
      <c r="O827" s="932"/>
      <c r="P827" s="932"/>
      <c r="Q827" s="932"/>
      <c r="R827" s="932"/>
      <c r="S827" s="932"/>
      <c r="T827" s="932"/>
      <c r="U827" s="932"/>
      <c r="V827" s="932"/>
      <c r="W827" s="932"/>
      <c r="X827" s="932"/>
      <c r="Y827" s="932"/>
      <c r="Z827" s="932"/>
      <c r="AA827" s="932"/>
      <c r="AB827" s="932"/>
      <c r="AC827" s="932"/>
      <c r="AD827" s="932"/>
      <c r="AE827" s="932"/>
      <c r="AF827" s="932"/>
      <c r="AG827" s="932"/>
      <c r="AH827" s="932"/>
      <c r="AI827" s="932"/>
      <c r="AJ827" s="932"/>
      <c r="AK827" s="932"/>
      <c r="AL827" s="932"/>
      <c r="AM827" s="932"/>
      <c r="AN827" s="932"/>
      <c r="AO827" s="932"/>
      <c r="AP827" s="932"/>
      <c r="AQ827" s="932"/>
      <c r="AR827" s="932"/>
      <c r="AS827" s="932"/>
      <c r="AT827" s="932"/>
      <c r="AU827" s="932"/>
      <c r="AV827" s="932"/>
      <c r="AW827" s="932"/>
      <c r="AX827" s="932"/>
      <c r="AY827" s="932"/>
      <c r="AZ827" s="932"/>
      <c r="BA827" s="932"/>
      <c r="BB827" s="932"/>
      <c r="BC827" s="932"/>
      <c r="BD827" s="932"/>
      <c r="BE827" s="932"/>
      <c r="BF827" s="932"/>
    </row>
    <row r="828" spans="2:58" ht="15" x14ac:dyDescent="0.25">
      <c r="B828" s="932"/>
      <c r="C828" s="932"/>
      <c r="D828" s="932"/>
      <c r="E828" s="932"/>
      <c r="F828" s="932"/>
      <c r="G828" s="932"/>
      <c r="H828" s="932"/>
      <c r="I828" s="932"/>
      <c r="J828" s="932"/>
      <c r="K828" s="932"/>
      <c r="L828" s="932"/>
      <c r="M828" s="932"/>
      <c r="N828" s="932"/>
      <c r="O828" s="932"/>
      <c r="P828" s="932"/>
      <c r="Q828" s="932"/>
      <c r="R828" s="932"/>
      <c r="S828" s="932"/>
      <c r="T828" s="932"/>
      <c r="U828" s="932"/>
      <c r="V828" s="932"/>
      <c r="W828" s="932"/>
      <c r="X828" s="932"/>
      <c r="Y828" s="932"/>
      <c r="Z828" s="932"/>
      <c r="AA828" s="932"/>
      <c r="AB828" s="932"/>
      <c r="AC828" s="932"/>
      <c r="AD828" s="932"/>
      <c r="AE828" s="932"/>
      <c r="AF828" s="932"/>
      <c r="AG828" s="932"/>
      <c r="AH828" s="932"/>
      <c r="AI828" s="932"/>
      <c r="AJ828" s="932"/>
      <c r="AK828" s="932"/>
      <c r="AL828" s="932"/>
      <c r="AM828" s="932"/>
      <c r="AN828" s="932"/>
      <c r="AO828" s="932"/>
      <c r="AP828" s="932"/>
      <c r="AQ828" s="932"/>
      <c r="AR828" s="932"/>
      <c r="AS828" s="932"/>
      <c r="AT828" s="932"/>
      <c r="AU828" s="932"/>
      <c r="AV828" s="932"/>
      <c r="AW828" s="932"/>
      <c r="AX828" s="932"/>
      <c r="AY828" s="932"/>
      <c r="AZ828" s="932"/>
      <c r="BA828" s="932"/>
      <c r="BB828" s="932"/>
      <c r="BC828" s="932"/>
      <c r="BD828" s="932"/>
      <c r="BE828" s="932"/>
      <c r="BF828" s="932"/>
    </row>
    <row r="829" spans="2:58" ht="15" x14ac:dyDescent="0.25">
      <c r="B829" s="932"/>
      <c r="C829" s="932"/>
      <c r="D829" s="932"/>
      <c r="E829" s="932"/>
      <c r="F829" s="932"/>
      <c r="G829" s="932"/>
      <c r="H829" s="932"/>
      <c r="I829" s="932"/>
      <c r="J829" s="932"/>
      <c r="K829" s="932"/>
      <c r="L829" s="932"/>
      <c r="M829" s="932"/>
      <c r="N829" s="932"/>
      <c r="O829" s="932"/>
      <c r="P829" s="932"/>
      <c r="Q829" s="932"/>
      <c r="R829" s="932"/>
      <c r="S829" s="932"/>
      <c r="T829" s="932"/>
      <c r="U829" s="932"/>
      <c r="V829" s="932"/>
      <c r="W829" s="932"/>
      <c r="X829" s="932"/>
      <c r="Y829" s="932"/>
      <c r="Z829" s="932"/>
      <c r="AA829" s="932"/>
      <c r="AB829" s="932"/>
      <c r="AC829" s="932"/>
      <c r="AD829" s="932"/>
      <c r="AE829" s="932"/>
      <c r="AF829" s="932"/>
      <c r="AG829" s="932"/>
      <c r="AH829" s="932"/>
      <c r="AI829" s="932"/>
      <c r="AJ829" s="932"/>
      <c r="AK829" s="932"/>
      <c r="AL829" s="932"/>
      <c r="AM829" s="932"/>
      <c r="AN829" s="932"/>
      <c r="AO829" s="932"/>
      <c r="AP829" s="932"/>
      <c r="AQ829" s="932"/>
      <c r="AR829" s="932"/>
      <c r="AS829" s="932"/>
      <c r="AT829" s="932"/>
      <c r="AU829" s="932"/>
      <c r="AV829" s="932"/>
      <c r="AW829" s="932"/>
      <c r="AX829" s="932"/>
      <c r="AY829" s="932"/>
      <c r="AZ829" s="932"/>
      <c r="BA829" s="932"/>
      <c r="BB829" s="932"/>
      <c r="BC829" s="932"/>
      <c r="BD829" s="932"/>
      <c r="BE829" s="932"/>
      <c r="BF829" s="932"/>
    </row>
    <row r="830" spans="2:58" ht="15" x14ac:dyDescent="0.25">
      <c r="B830" s="932"/>
      <c r="C830" s="932"/>
      <c r="D830" s="932"/>
      <c r="E830" s="932"/>
      <c r="F830" s="932"/>
      <c r="G830" s="932"/>
      <c r="H830" s="932"/>
      <c r="I830" s="932"/>
      <c r="J830" s="932"/>
      <c r="K830" s="932"/>
      <c r="L830" s="932"/>
      <c r="M830" s="932"/>
      <c r="N830" s="932"/>
      <c r="O830" s="932"/>
      <c r="P830" s="932"/>
      <c r="Q830" s="932"/>
      <c r="R830" s="932"/>
      <c r="S830" s="932"/>
      <c r="T830" s="932"/>
      <c r="U830" s="932"/>
      <c r="V830" s="932"/>
      <c r="W830" s="932"/>
      <c r="X830" s="932"/>
      <c r="Y830" s="932"/>
      <c r="Z830" s="932"/>
      <c r="AA830" s="932"/>
      <c r="AB830" s="932"/>
      <c r="AC830" s="932"/>
      <c r="AD830" s="932"/>
      <c r="AE830" s="932"/>
      <c r="AF830" s="932"/>
      <c r="AG830" s="932"/>
      <c r="AH830" s="932"/>
      <c r="AI830" s="932"/>
      <c r="AJ830" s="932"/>
      <c r="AK830" s="932"/>
      <c r="AL830" s="932"/>
      <c r="AM830" s="932"/>
      <c r="AN830" s="932"/>
      <c r="AO830" s="932"/>
      <c r="AP830" s="932"/>
      <c r="AQ830" s="932"/>
      <c r="AR830" s="932"/>
      <c r="AS830" s="932"/>
      <c r="AT830" s="932"/>
      <c r="AU830" s="932"/>
      <c r="AV830" s="932"/>
      <c r="AW830" s="932"/>
      <c r="AX830" s="932"/>
      <c r="AY830" s="932"/>
      <c r="AZ830" s="932"/>
      <c r="BA830" s="932"/>
      <c r="BB830" s="932"/>
      <c r="BC830" s="932"/>
      <c r="BD830" s="932"/>
      <c r="BE830" s="932"/>
      <c r="BF830" s="932"/>
    </row>
    <row r="831" spans="2:58" ht="15" x14ac:dyDescent="0.25">
      <c r="B831" s="932"/>
      <c r="C831" s="932"/>
      <c r="D831" s="932"/>
      <c r="E831" s="932"/>
      <c r="F831" s="932"/>
      <c r="G831" s="932"/>
      <c r="H831" s="932"/>
      <c r="I831" s="932"/>
      <c r="J831" s="932"/>
      <c r="K831" s="932"/>
      <c r="L831" s="932"/>
      <c r="M831" s="932"/>
      <c r="N831" s="932"/>
      <c r="O831" s="932"/>
      <c r="P831" s="932"/>
      <c r="Q831" s="932"/>
      <c r="R831" s="932"/>
      <c r="S831" s="932"/>
      <c r="T831" s="932"/>
      <c r="U831" s="932"/>
      <c r="V831" s="932"/>
      <c r="W831" s="932"/>
      <c r="X831" s="932"/>
      <c r="Y831" s="932"/>
      <c r="Z831" s="932"/>
      <c r="AA831" s="932"/>
      <c r="AB831" s="932"/>
      <c r="AC831" s="932"/>
      <c r="AD831" s="932"/>
      <c r="AE831" s="932"/>
      <c r="AF831" s="932"/>
      <c r="AG831" s="932"/>
      <c r="AH831" s="932"/>
      <c r="AI831" s="932"/>
      <c r="AJ831" s="932"/>
      <c r="AK831" s="932"/>
      <c r="AL831" s="932"/>
      <c r="AM831" s="932"/>
      <c r="AN831" s="932"/>
      <c r="AO831" s="932"/>
      <c r="AP831" s="932"/>
      <c r="AQ831" s="932"/>
      <c r="AR831" s="932"/>
      <c r="AS831" s="932"/>
      <c r="AT831" s="932"/>
      <c r="AU831" s="932"/>
      <c r="AV831" s="932"/>
      <c r="AW831" s="932"/>
      <c r="AX831" s="932"/>
      <c r="AY831" s="932"/>
      <c r="AZ831" s="932"/>
      <c r="BA831" s="932"/>
      <c r="BB831" s="932"/>
      <c r="BC831" s="932"/>
      <c r="BD831" s="932"/>
      <c r="BE831" s="932"/>
      <c r="BF831" s="932"/>
    </row>
    <row r="832" spans="2:58" ht="15" x14ac:dyDescent="0.25">
      <c r="B832" s="932"/>
      <c r="C832" s="932"/>
      <c r="D832" s="932"/>
      <c r="E832" s="932"/>
      <c r="F832" s="932"/>
      <c r="G832" s="932"/>
      <c r="H832" s="932"/>
      <c r="I832" s="932"/>
      <c r="J832" s="932"/>
      <c r="K832" s="932"/>
      <c r="L832" s="932"/>
      <c r="M832" s="932"/>
      <c r="N832" s="932"/>
      <c r="O832" s="932"/>
      <c r="P832" s="932"/>
      <c r="Q832" s="932"/>
      <c r="R832" s="932"/>
      <c r="S832" s="932"/>
      <c r="T832" s="932"/>
      <c r="U832" s="932"/>
      <c r="V832" s="932"/>
      <c r="W832" s="932"/>
      <c r="X832" s="932"/>
      <c r="Y832" s="932"/>
      <c r="Z832" s="932"/>
      <c r="AA832" s="932"/>
      <c r="AB832" s="932"/>
      <c r="AC832" s="932"/>
      <c r="AD832" s="932"/>
      <c r="AE832" s="932"/>
      <c r="AF832" s="932"/>
      <c r="AG832" s="932"/>
      <c r="AH832" s="932"/>
      <c r="AI832" s="932"/>
      <c r="AJ832" s="932"/>
      <c r="AK832" s="932"/>
      <c r="AL832" s="932"/>
      <c r="AM832" s="932"/>
      <c r="AN832" s="932"/>
      <c r="AO832" s="932"/>
      <c r="AP832" s="932"/>
      <c r="AQ832" s="932"/>
      <c r="AR832" s="932"/>
      <c r="AS832" s="932"/>
      <c r="AT832" s="932"/>
      <c r="AU832" s="932"/>
      <c r="AV832" s="932"/>
      <c r="AW832" s="932"/>
      <c r="AX832" s="932"/>
      <c r="AY832" s="932"/>
      <c r="AZ832" s="932"/>
      <c r="BA832" s="932"/>
      <c r="BB832" s="932"/>
      <c r="BC832" s="932"/>
      <c r="BD832" s="932"/>
      <c r="BE832" s="932"/>
      <c r="BF832" s="932"/>
    </row>
    <row r="833" spans="2:58" ht="15" x14ac:dyDescent="0.25">
      <c r="B833" s="932"/>
      <c r="C833" s="932"/>
      <c r="D833" s="932"/>
      <c r="E833" s="932"/>
      <c r="F833" s="932"/>
      <c r="G833" s="932"/>
      <c r="H833" s="932"/>
      <c r="I833" s="932"/>
      <c r="J833" s="932"/>
      <c r="K833" s="932"/>
      <c r="L833" s="932"/>
      <c r="M833" s="932"/>
      <c r="N833" s="932"/>
      <c r="O833" s="932"/>
      <c r="P833" s="932"/>
      <c r="Q833" s="932"/>
      <c r="R833" s="932"/>
      <c r="S833" s="932"/>
      <c r="T833" s="932"/>
      <c r="U833" s="932"/>
      <c r="V833" s="932"/>
      <c r="W833" s="932"/>
      <c r="X833" s="932"/>
      <c r="Y833" s="932"/>
      <c r="Z833" s="932"/>
      <c r="AA833" s="932"/>
      <c r="AB833" s="932"/>
      <c r="AC833" s="932"/>
      <c r="AD833" s="932"/>
      <c r="AE833" s="932"/>
      <c r="AF833" s="932"/>
      <c r="AG833" s="932"/>
      <c r="AH833" s="932"/>
      <c r="AI833" s="932"/>
      <c r="AJ833" s="932"/>
      <c r="AK833" s="932"/>
      <c r="AL833" s="932"/>
      <c r="AM833" s="932"/>
      <c r="AN833" s="932"/>
      <c r="AO833" s="932"/>
      <c r="AP833" s="932"/>
      <c r="AQ833" s="932"/>
      <c r="AR833" s="932"/>
      <c r="AS833" s="932"/>
      <c r="AT833" s="932"/>
      <c r="AU833" s="932"/>
      <c r="AV833" s="932"/>
      <c r="AW833" s="932"/>
      <c r="AX833" s="932"/>
      <c r="AY833" s="932"/>
      <c r="AZ833" s="932"/>
      <c r="BA833" s="932"/>
      <c r="BB833" s="932"/>
      <c r="BC833" s="932"/>
      <c r="BD833" s="932"/>
      <c r="BE833" s="932"/>
      <c r="BF833" s="932"/>
    </row>
    <row r="834" spans="2:58" ht="15" x14ac:dyDescent="0.25">
      <c r="B834" s="932"/>
      <c r="C834" s="932"/>
      <c r="D834" s="932"/>
      <c r="E834" s="932"/>
      <c r="F834" s="932"/>
      <c r="G834" s="932"/>
      <c r="H834" s="932"/>
      <c r="I834" s="932"/>
      <c r="J834" s="932"/>
      <c r="K834" s="932"/>
      <c r="L834" s="932"/>
      <c r="M834" s="932"/>
      <c r="N834" s="932"/>
      <c r="O834" s="932"/>
      <c r="P834" s="932"/>
      <c r="Q834" s="932"/>
      <c r="R834" s="932"/>
      <c r="S834" s="932"/>
      <c r="T834" s="932"/>
      <c r="U834" s="932"/>
      <c r="V834" s="932"/>
      <c r="W834" s="932"/>
      <c r="X834" s="932"/>
      <c r="Y834" s="932"/>
      <c r="Z834" s="932"/>
      <c r="AA834" s="932"/>
      <c r="AB834" s="932"/>
      <c r="AC834" s="932"/>
      <c r="AD834" s="932"/>
      <c r="AE834" s="932"/>
      <c r="AF834" s="932"/>
      <c r="AG834" s="932"/>
      <c r="AH834" s="932"/>
      <c r="AI834" s="932"/>
      <c r="AJ834" s="932"/>
      <c r="AK834" s="932"/>
      <c r="AL834" s="932"/>
      <c r="AM834" s="932"/>
      <c r="AN834" s="932"/>
      <c r="AO834" s="932"/>
      <c r="AP834" s="932"/>
      <c r="AQ834" s="932"/>
      <c r="AR834" s="932"/>
      <c r="AS834" s="932"/>
      <c r="AT834" s="932"/>
      <c r="AU834" s="932"/>
      <c r="AV834" s="932"/>
      <c r="AW834" s="932"/>
      <c r="AX834" s="932"/>
      <c r="AY834" s="932"/>
      <c r="AZ834" s="932"/>
      <c r="BA834" s="932"/>
      <c r="BB834" s="932"/>
      <c r="BC834" s="932"/>
      <c r="BD834" s="932"/>
      <c r="BE834" s="932"/>
      <c r="BF834" s="932"/>
    </row>
    <row r="835" spans="2:58" ht="15" x14ac:dyDescent="0.25">
      <c r="B835" s="932"/>
      <c r="C835" s="932"/>
      <c r="D835" s="932"/>
      <c r="E835" s="932"/>
      <c r="F835" s="932"/>
      <c r="G835" s="932"/>
      <c r="H835" s="932"/>
      <c r="I835" s="932"/>
      <c r="J835" s="932"/>
      <c r="K835" s="932"/>
      <c r="L835" s="932"/>
      <c r="M835" s="932"/>
      <c r="N835" s="932"/>
      <c r="O835" s="932"/>
      <c r="P835" s="932"/>
      <c r="Q835" s="932"/>
      <c r="R835" s="932"/>
      <c r="S835" s="932"/>
      <c r="T835" s="932"/>
      <c r="U835" s="932"/>
      <c r="V835" s="932"/>
      <c r="W835" s="932"/>
      <c r="X835" s="932"/>
      <c r="Y835" s="932"/>
      <c r="Z835" s="932"/>
      <c r="AA835" s="932"/>
      <c r="AB835" s="932"/>
      <c r="AC835" s="932"/>
      <c r="AD835" s="932"/>
      <c r="AE835" s="932"/>
      <c r="AF835" s="932"/>
      <c r="AG835" s="932"/>
      <c r="AH835" s="932"/>
      <c r="AI835" s="932"/>
      <c r="AJ835" s="932"/>
      <c r="AK835" s="932"/>
      <c r="AL835" s="932"/>
      <c r="AM835" s="932"/>
      <c r="AN835" s="932"/>
      <c r="AO835" s="932"/>
      <c r="AP835" s="932"/>
      <c r="AQ835" s="932"/>
      <c r="AR835" s="932"/>
      <c r="AS835" s="932"/>
      <c r="AT835" s="932"/>
      <c r="AU835" s="932"/>
      <c r="AV835" s="932"/>
      <c r="AW835" s="932"/>
      <c r="AX835" s="932"/>
      <c r="AY835" s="932"/>
      <c r="AZ835" s="932"/>
      <c r="BA835" s="932"/>
      <c r="BB835" s="932"/>
      <c r="BC835" s="932"/>
      <c r="BD835" s="932"/>
      <c r="BE835" s="932"/>
      <c r="BF835" s="932"/>
    </row>
    <row r="836" spans="2:58" ht="15" x14ac:dyDescent="0.25">
      <c r="B836" s="932"/>
      <c r="C836" s="932"/>
      <c r="D836" s="932"/>
      <c r="E836" s="932"/>
      <c r="F836" s="932"/>
      <c r="G836" s="932"/>
      <c r="H836" s="932"/>
      <c r="I836" s="932"/>
      <c r="J836" s="932"/>
      <c r="K836" s="932"/>
      <c r="L836" s="932"/>
      <c r="M836" s="932"/>
      <c r="N836" s="932"/>
      <c r="O836" s="932"/>
      <c r="P836" s="932"/>
      <c r="Q836" s="932"/>
      <c r="R836" s="932"/>
      <c r="S836" s="932"/>
      <c r="T836" s="932"/>
      <c r="U836" s="932"/>
      <c r="V836" s="932"/>
      <c r="W836" s="932"/>
      <c r="X836" s="932"/>
      <c r="Y836" s="932"/>
      <c r="Z836" s="932"/>
      <c r="AA836" s="932"/>
      <c r="AB836" s="932"/>
      <c r="AC836" s="932"/>
      <c r="AD836" s="932"/>
      <c r="AE836" s="932"/>
      <c r="AF836" s="932"/>
      <c r="AG836" s="932"/>
      <c r="AH836" s="932"/>
      <c r="AI836" s="932"/>
      <c r="AJ836" s="932"/>
      <c r="AK836" s="932"/>
      <c r="AL836" s="932"/>
      <c r="AM836" s="932"/>
      <c r="AN836" s="932"/>
      <c r="AO836" s="932"/>
      <c r="AP836" s="932"/>
      <c r="AQ836" s="932"/>
      <c r="AR836" s="932"/>
      <c r="AS836" s="932"/>
      <c r="AT836" s="932"/>
      <c r="AU836" s="932"/>
      <c r="AV836" s="932"/>
      <c r="AW836" s="932"/>
      <c r="AX836" s="932"/>
      <c r="AY836" s="932"/>
      <c r="AZ836" s="932"/>
      <c r="BA836" s="932"/>
      <c r="BB836" s="932"/>
      <c r="BC836" s="932"/>
      <c r="BD836" s="932"/>
      <c r="BE836" s="932"/>
      <c r="BF836" s="932"/>
    </row>
    <row r="837" spans="2:58" ht="15" x14ac:dyDescent="0.25">
      <c r="B837" s="932"/>
      <c r="C837" s="932"/>
      <c r="D837" s="932"/>
      <c r="E837" s="932"/>
      <c r="F837" s="932"/>
      <c r="G837" s="932"/>
      <c r="H837" s="932"/>
      <c r="I837" s="932"/>
      <c r="J837" s="932"/>
      <c r="K837" s="932"/>
      <c r="L837" s="932"/>
      <c r="M837" s="932"/>
      <c r="N837" s="932"/>
      <c r="O837" s="932"/>
      <c r="P837" s="932"/>
      <c r="Q837" s="932"/>
      <c r="R837" s="932"/>
      <c r="S837" s="932"/>
      <c r="T837" s="932"/>
      <c r="U837" s="932"/>
      <c r="V837" s="932"/>
      <c r="W837" s="932"/>
      <c r="X837" s="932"/>
      <c r="Y837" s="932"/>
      <c r="Z837" s="932"/>
      <c r="AA837" s="932"/>
      <c r="AB837" s="932"/>
      <c r="AC837" s="932"/>
      <c r="AD837" s="932"/>
      <c r="AE837" s="932"/>
      <c r="AF837" s="932"/>
      <c r="AG837" s="932"/>
      <c r="AH837" s="932"/>
      <c r="AI837" s="932"/>
      <c r="AJ837" s="932"/>
      <c r="AK837" s="932"/>
      <c r="AL837" s="932"/>
      <c r="AM837" s="932"/>
      <c r="AN837" s="932"/>
      <c r="AO837" s="932"/>
      <c r="AP837" s="932"/>
      <c r="AQ837" s="932"/>
      <c r="AR837" s="932"/>
      <c r="AS837" s="932"/>
      <c r="AT837" s="932"/>
      <c r="AU837" s="932"/>
      <c r="AV837" s="932"/>
      <c r="AW837" s="932"/>
      <c r="AX837" s="932"/>
      <c r="AY837" s="932"/>
      <c r="AZ837" s="932"/>
      <c r="BA837" s="932"/>
      <c r="BB837" s="932"/>
      <c r="BC837" s="932"/>
      <c r="BD837" s="932"/>
      <c r="BE837" s="932"/>
      <c r="BF837" s="932"/>
    </row>
    <row r="838" spans="2:58" ht="15" x14ac:dyDescent="0.25">
      <c r="B838" s="932"/>
      <c r="C838" s="932"/>
      <c r="D838" s="932"/>
      <c r="E838" s="932"/>
      <c r="F838" s="932"/>
      <c r="G838" s="932"/>
      <c r="H838" s="932"/>
      <c r="I838" s="932"/>
      <c r="J838" s="932"/>
      <c r="K838" s="932"/>
      <c r="L838" s="932"/>
      <c r="M838" s="932"/>
      <c r="N838" s="932"/>
      <c r="O838" s="932"/>
      <c r="P838" s="932"/>
      <c r="Q838" s="932"/>
      <c r="R838" s="932"/>
      <c r="S838" s="932"/>
      <c r="T838" s="932"/>
      <c r="U838" s="932"/>
      <c r="V838" s="932"/>
      <c r="W838" s="932"/>
      <c r="X838" s="932"/>
      <c r="Y838" s="932"/>
      <c r="Z838" s="932"/>
      <c r="AA838" s="932"/>
      <c r="AB838" s="932"/>
      <c r="AC838" s="932"/>
      <c r="AD838" s="932"/>
      <c r="AE838" s="932"/>
      <c r="AF838" s="932"/>
      <c r="AG838" s="932"/>
      <c r="AH838" s="932"/>
      <c r="AI838" s="932"/>
      <c r="AJ838" s="932"/>
      <c r="AK838" s="932"/>
      <c r="AL838" s="932"/>
      <c r="AM838" s="932"/>
      <c r="AN838" s="932"/>
      <c r="AO838" s="932"/>
      <c r="AP838" s="932"/>
      <c r="AQ838" s="932"/>
      <c r="AR838" s="932"/>
      <c r="AS838" s="932"/>
      <c r="AT838" s="932"/>
      <c r="AU838" s="932"/>
      <c r="AV838" s="932"/>
      <c r="AW838" s="932"/>
      <c r="AX838" s="932"/>
      <c r="AY838" s="932"/>
      <c r="AZ838" s="932"/>
      <c r="BA838" s="932"/>
      <c r="BB838" s="932"/>
      <c r="BC838" s="932"/>
      <c r="BD838" s="932"/>
      <c r="BE838" s="932"/>
      <c r="BF838" s="932"/>
    </row>
    <row r="839" spans="2:58" ht="15" x14ac:dyDescent="0.25">
      <c r="B839" s="932"/>
      <c r="C839" s="932"/>
      <c r="D839" s="932"/>
      <c r="E839" s="932"/>
      <c r="F839" s="932"/>
      <c r="G839" s="932"/>
      <c r="H839" s="932"/>
      <c r="I839" s="932"/>
      <c r="J839" s="932"/>
      <c r="K839" s="932"/>
      <c r="L839" s="932"/>
      <c r="M839" s="932"/>
      <c r="N839" s="932"/>
      <c r="O839" s="932"/>
      <c r="P839" s="932"/>
      <c r="Q839" s="932"/>
      <c r="R839" s="932"/>
      <c r="S839" s="932"/>
      <c r="T839" s="932"/>
      <c r="U839" s="932"/>
      <c r="V839" s="932"/>
      <c r="W839" s="932"/>
      <c r="X839" s="932"/>
      <c r="Y839" s="932"/>
      <c r="Z839" s="932"/>
      <c r="AA839" s="932"/>
      <c r="AB839" s="932"/>
      <c r="AC839" s="932"/>
      <c r="AD839" s="932"/>
      <c r="AE839" s="932"/>
      <c r="AF839" s="932"/>
      <c r="AG839" s="932"/>
      <c r="AH839" s="932"/>
      <c r="AI839" s="932"/>
      <c r="AJ839" s="932"/>
      <c r="AK839" s="932"/>
      <c r="AL839" s="932"/>
      <c r="AM839" s="932"/>
      <c r="AN839" s="932"/>
      <c r="AO839" s="932"/>
      <c r="AP839" s="932"/>
      <c r="AQ839" s="932"/>
      <c r="AR839" s="932"/>
      <c r="AS839" s="932"/>
      <c r="AT839" s="932"/>
      <c r="AU839" s="932"/>
      <c r="AV839" s="932"/>
      <c r="AW839" s="932"/>
      <c r="AX839" s="932"/>
      <c r="AY839" s="932"/>
      <c r="AZ839" s="932"/>
      <c r="BA839" s="932"/>
      <c r="BB839" s="932"/>
      <c r="BC839" s="932"/>
      <c r="BD839" s="932"/>
      <c r="BE839" s="932"/>
      <c r="BF839" s="932"/>
    </row>
    <row r="840" spans="2:58" ht="15" x14ac:dyDescent="0.25">
      <c r="B840" s="932"/>
      <c r="C840" s="932"/>
      <c r="D840" s="932"/>
      <c r="E840" s="932"/>
      <c r="F840" s="932"/>
      <c r="G840" s="932"/>
      <c r="H840" s="932"/>
      <c r="I840" s="932"/>
      <c r="J840" s="932"/>
      <c r="K840" s="932"/>
      <c r="L840" s="932"/>
      <c r="M840" s="932"/>
      <c r="N840" s="932"/>
      <c r="O840" s="932"/>
      <c r="P840" s="932"/>
      <c r="Q840" s="932"/>
      <c r="R840" s="932"/>
      <c r="S840" s="932"/>
      <c r="T840" s="932"/>
      <c r="U840" s="932"/>
      <c r="V840" s="932"/>
      <c r="W840" s="932"/>
      <c r="X840" s="932"/>
      <c r="Y840" s="932"/>
      <c r="Z840" s="932"/>
      <c r="AA840" s="932"/>
      <c r="AB840" s="932"/>
      <c r="AC840" s="932"/>
      <c r="AD840" s="932"/>
      <c r="AE840" s="932"/>
      <c r="AF840" s="932"/>
      <c r="AG840" s="932"/>
      <c r="AH840" s="932"/>
      <c r="AI840" s="932"/>
      <c r="AJ840" s="932"/>
      <c r="AK840" s="932"/>
      <c r="AL840" s="932"/>
      <c r="AM840" s="932"/>
      <c r="AN840" s="932"/>
      <c r="AO840" s="932"/>
      <c r="AP840" s="932"/>
      <c r="AQ840" s="932"/>
      <c r="AR840" s="932"/>
      <c r="AS840" s="932"/>
      <c r="AT840" s="932"/>
      <c r="AU840" s="932"/>
      <c r="AV840" s="932"/>
      <c r="AW840" s="932"/>
      <c r="AX840" s="932"/>
      <c r="AY840" s="932"/>
      <c r="AZ840" s="932"/>
      <c r="BA840" s="932"/>
      <c r="BB840" s="932"/>
      <c r="BC840" s="932"/>
      <c r="BD840" s="932"/>
      <c r="BE840" s="932"/>
      <c r="BF840" s="932"/>
    </row>
    <row r="841" spans="2:58" ht="15" x14ac:dyDescent="0.25">
      <c r="B841" s="932"/>
      <c r="C841" s="932"/>
      <c r="D841" s="932"/>
      <c r="E841" s="932"/>
      <c r="F841" s="932"/>
      <c r="G841" s="932"/>
      <c r="H841" s="932"/>
      <c r="I841" s="932"/>
      <c r="J841" s="932"/>
      <c r="K841" s="932"/>
      <c r="L841" s="932"/>
      <c r="M841" s="932"/>
      <c r="N841" s="932"/>
      <c r="O841" s="932"/>
      <c r="P841" s="932"/>
      <c r="Q841" s="932"/>
      <c r="R841" s="932"/>
      <c r="S841" s="932"/>
      <c r="T841" s="932"/>
      <c r="U841" s="932"/>
      <c r="V841" s="932"/>
      <c r="W841" s="932"/>
      <c r="X841" s="932"/>
      <c r="Y841" s="932"/>
      <c r="Z841" s="932"/>
      <c r="AA841" s="932"/>
      <c r="AB841" s="932"/>
      <c r="AC841" s="932"/>
      <c r="AD841" s="932"/>
      <c r="AE841" s="932"/>
      <c r="AF841" s="932"/>
      <c r="AG841" s="932"/>
      <c r="AH841" s="932"/>
      <c r="AI841" s="932"/>
      <c r="AJ841" s="932"/>
      <c r="AK841" s="932"/>
      <c r="AL841" s="932"/>
      <c r="AM841" s="932"/>
      <c r="AN841" s="932"/>
      <c r="AO841" s="932"/>
      <c r="AP841" s="932"/>
      <c r="AQ841" s="932"/>
      <c r="AR841" s="932"/>
      <c r="AS841" s="932"/>
      <c r="AT841" s="932"/>
      <c r="AU841" s="932"/>
      <c r="AV841" s="932"/>
      <c r="AW841" s="932"/>
      <c r="AX841" s="932"/>
      <c r="AY841" s="932"/>
      <c r="AZ841" s="932"/>
      <c r="BA841" s="932"/>
      <c r="BB841" s="932"/>
      <c r="BC841" s="932"/>
      <c r="BD841" s="932"/>
      <c r="BE841" s="932"/>
      <c r="BF841" s="932"/>
    </row>
    <row r="842" spans="2:58" ht="15" x14ac:dyDescent="0.25">
      <c r="B842" s="932"/>
      <c r="C842" s="932"/>
      <c r="D842" s="932"/>
      <c r="E842" s="932"/>
      <c r="F842" s="932"/>
      <c r="G842" s="932"/>
      <c r="H842" s="932"/>
      <c r="I842" s="932"/>
      <c r="J842" s="932"/>
      <c r="K842" s="932"/>
      <c r="L842" s="932"/>
      <c r="M842" s="932"/>
      <c r="N842" s="932"/>
      <c r="O842" s="932"/>
      <c r="P842" s="932"/>
      <c r="Q842" s="932"/>
      <c r="R842" s="932"/>
      <c r="S842" s="932"/>
      <c r="T842" s="932"/>
      <c r="U842" s="932"/>
      <c r="V842" s="932"/>
      <c r="W842" s="932"/>
      <c r="X842" s="932"/>
      <c r="Y842" s="932"/>
      <c r="Z842" s="932"/>
      <c r="AA842" s="932"/>
      <c r="AB842" s="932"/>
      <c r="AC842" s="932"/>
      <c r="AD842" s="932"/>
      <c r="AE842" s="932"/>
      <c r="AF842" s="932"/>
      <c r="AG842" s="932"/>
      <c r="AH842" s="932"/>
      <c r="AI842" s="932"/>
      <c r="AJ842" s="932"/>
      <c r="AK842" s="932"/>
      <c r="AL842" s="932"/>
      <c r="AM842" s="932"/>
      <c r="AN842" s="932"/>
      <c r="AO842" s="932"/>
      <c r="AP842" s="932"/>
      <c r="AQ842" s="932"/>
      <c r="AR842" s="932"/>
      <c r="AS842" s="932"/>
      <c r="AT842" s="932"/>
      <c r="AU842" s="932"/>
      <c r="AV842" s="932"/>
      <c r="AW842" s="932"/>
      <c r="AX842" s="932"/>
      <c r="AY842" s="932"/>
      <c r="AZ842" s="932"/>
      <c r="BA842" s="932"/>
      <c r="BB842" s="932"/>
      <c r="BC842" s="932"/>
      <c r="BD842" s="932"/>
      <c r="BE842" s="932"/>
      <c r="BF842" s="932"/>
    </row>
    <row r="843" spans="2:58" ht="15" x14ac:dyDescent="0.25">
      <c r="B843" s="932"/>
      <c r="C843" s="932"/>
      <c r="D843" s="932"/>
      <c r="E843" s="932"/>
      <c r="F843" s="932"/>
      <c r="G843" s="932"/>
      <c r="H843" s="932"/>
      <c r="I843" s="932"/>
      <c r="J843" s="932"/>
      <c r="K843" s="932"/>
      <c r="L843" s="932"/>
      <c r="M843" s="932"/>
      <c r="N843" s="932"/>
      <c r="O843" s="932"/>
      <c r="P843" s="932"/>
      <c r="Q843" s="932"/>
      <c r="R843" s="932"/>
      <c r="S843" s="932"/>
      <c r="T843" s="932"/>
      <c r="U843" s="932"/>
      <c r="V843" s="932"/>
      <c r="W843" s="932"/>
      <c r="X843" s="932"/>
      <c r="Y843" s="932"/>
      <c r="Z843" s="932"/>
      <c r="AA843" s="932"/>
      <c r="AB843" s="932"/>
      <c r="AC843" s="932"/>
      <c r="AD843" s="932"/>
      <c r="AE843" s="932"/>
      <c r="AF843" s="932"/>
      <c r="AG843" s="932"/>
      <c r="AH843" s="932"/>
      <c r="AI843" s="932"/>
      <c r="AJ843" s="932"/>
      <c r="AK843" s="932"/>
      <c r="AL843" s="932"/>
      <c r="AM843" s="932"/>
      <c r="AN843" s="932"/>
      <c r="AO843" s="932"/>
      <c r="AP843" s="932"/>
      <c r="AQ843" s="932"/>
      <c r="AR843" s="932"/>
      <c r="AS843" s="932"/>
      <c r="AT843" s="932"/>
      <c r="AU843" s="932"/>
      <c r="AV843" s="932"/>
      <c r="AW843" s="932"/>
      <c r="AX843" s="932"/>
      <c r="AY843" s="932"/>
      <c r="AZ843" s="932"/>
      <c r="BA843" s="932"/>
      <c r="BB843" s="932"/>
      <c r="BC843" s="932"/>
      <c r="BD843" s="932"/>
      <c r="BE843" s="932"/>
      <c r="BF843" s="932"/>
    </row>
    <row r="844" spans="2:58" ht="15" x14ac:dyDescent="0.25">
      <c r="B844" s="932"/>
      <c r="C844" s="932"/>
      <c r="D844" s="932"/>
      <c r="E844" s="932"/>
      <c r="F844" s="932"/>
      <c r="G844" s="932"/>
      <c r="H844" s="932"/>
      <c r="I844" s="932"/>
      <c r="J844" s="932"/>
      <c r="K844" s="932"/>
      <c r="L844" s="932"/>
      <c r="M844" s="932"/>
      <c r="N844" s="932"/>
      <c r="O844" s="932"/>
      <c r="P844" s="932"/>
      <c r="Q844" s="932"/>
      <c r="R844" s="932"/>
      <c r="S844" s="932"/>
      <c r="T844" s="932"/>
      <c r="U844" s="932"/>
      <c r="V844" s="932"/>
      <c r="W844" s="932"/>
      <c r="X844" s="932"/>
      <c r="Y844" s="932"/>
      <c r="Z844" s="932"/>
      <c r="AA844" s="932"/>
      <c r="AB844" s="932"/>
      <c r="AC844" s="932"/>
      <c r="AD844" s="932"/>
      <c r="AE844" s="932"/>
      <c r="AF844" s="932"/>
      <c r="AG844" s="932"/>
      <c r="AH844" s="932"/>
      <c r="AI844" s="932"/>
      <c r="AJ844" s="932"/>
      <c r="AK844" s="932"/>
      <c r="AL844" s="932"/>
      <c r="AM844" s="932"/>
      <c r="AN844" s="932"/>
      <c r="AO844" s="932"/>
      <c r="AP844" s="932"/>
      <c r="AQ844" s="932"/>
      <c r="AR844" s="932"/>
      <c r="AS844" s="932"/>
      <c r="AT844" s="932"/>
      <c r="AU844" s="932"/>
      <c r="AV844" s="932"/>
      <c r="AW844" s="932"/>
      <c r="AX844" s="932"/>
      <c r="AY844" s="932"/>
      <c r="AZ844" s="932"/>
      <c r="BA844" s="932"/>
      <c r="BB844" s="932"/>
      <c r="BC844" s="932"/>
      <c r="BD844" s="932"/>
      <c r="BE844" s="932"/>
      <c r="BF844" s="932"/>
    </row>
    <row r="845" spans="2:58" ht="15" x14ac:dyDescent="0.25">
      <c r="B845" s="932"/>
      <c r="C845" s="932"/>
      <c r="D845" s="932"/>
      <c r="E845" s="932"/>
      <c r="F845" s="932"/>
      <c r="G845" s="932"/>
      <c r="H845" s="932"/>
      <c r="I845" s="932"/>
      <c r="J845" s="932"/>
      <c r="K845" s="932"/>
      <c r="L845" s="932"/>
      <c r="M845" s="932"/>
      <c r="N845" s="932"/>
      <c r="O845" s="932"/>
      <c r="P845" s="932"/>
      <c r="Q845" s="932"/>
      <c r="R845" s="932"/>
      <c r="S845" s="932"/>
      <c r="T845" s="932"/>
      <c r="U845" s="932"/>
      <c r="V845" s="932"/>
      <c r="W845" s="932"/>
      <c r="X845" s="932"/>
      <c r="Y845" s="932"/>
      <c r="Z845" s="932"/>
      <c r="AA845" s="932"/>
      <c r="AB845" s="932"/>
      <c r="AC845" s="932"/>
      <c r="AD845" s="932"/>
      <c r="AE845" s="932"/>
      <c r="AF845" s="932"/>
      <c r="AG845" s="932"/>
      <c r="AH845" s="932"/>
      <c r="AI845" s="932"/>
      <c r="AJ845" s="932"/>
      <c r="AK845" s="932"/>
      <c r="AL845" s="932"/>
      <c r="AM845" s="932"/>
      <c r="AN845" s="932"/>
      <c r="AO845" s="932"/>
      <c r="AP845" s="932"/>
      <c r="AQ845" s="932"/>
      <c r="AR845" s="932"/>
      <c r="AS845" s="932"/>
      <c r="AT845" s="932"/>
      <c r="AU845" s="932"/>
      <c r="AV845" s="932"/>
      <c r="AW845" s="932"/>
      <c r="AX845" s="932"/>
      <c r="AY845" s="932"/>
      <c r="AZ845" s="932"/>
      <c r="BA845" s="932"/>
      <c r="BB845" s="932"/>
      <c r="BC845" s="932"/>
      <c r="BD845" s="932"/>
      <c r="BE845" s="932"/>
      <c r="BF845" s="932"/>
    </row>
    <row r="846" spans="2:58" ht="15" x14ac:dyDescent="0.25">
      <c r="B846" s="932"/>
      <c r="C846" s="932"/>
      <c r="D846" s="932"/>
      <c r="E846" s="932"/>
      <c r="F846" s="932"/>
      <c r="G846" s="932"/>
      <c r="H846" s="932"/>
      <c r="I846" s="932"/>
      <c r="J846" s="932"/>
      <c r="K846" s="932"/>
      <c r="L846" s="932"/>
      <c r="M846" s="932"/>
      <c r="N846" s="932"/>
      <c r="O846" s="932"/>
      <c r="P846" s="932"/>
      <c r="Q846" s="932"/>
      <c r="R846" s="932"/>
      <c r="S846" s="932"/>
      <c r="T846" s="932"/>
      <c r="U846" s="932"/>
      <c r="V846" s="932"/>
      <c r="W846" s="932"/>
      <c r="X846" s="932"/>
      <c r="Y846" s="932"/>
      <c r="Z846" s="932"/>
      <c r="AA846" s="932"/>
      <c r="AB846" s="932"/>
      <c r="AC846" s="932"/>
      <c r="AD846" s="932"/>
      <c r="AE846" s="932"/>
      <c r="AF846" s="932"/>
      <c r="AG846" s="932"/>
      <c r="AH846" s="932"/>
      <c r="AI846" s="932"/>
      <c r="AJ846" s="932"/>
      <c r="AK846" s="932"/>
      <c r="AL846" s="932"/>
      <c r="AM846" s="932"/>
      <c r="AN846" s="932"/>
      <c r="AO846" s="932"/>
      <c r="AP846" s="932"/>
      <c r="AQ846" s="932"/>
      <c r="AR846" s="932"/>
      <c r="AS846" s="932"/>
      <c r="AT846" s="932"/>
      <c r="AU846" s="932"/>
      <c r="AV846" s="932"/>
      <c r="AW846" s="932"/>
      <c r="AX846" s="932"/>
      <c r="AY846" s="932"/>
      <c r="AZ846" s="932"/>
      <c r="BA846" s="932"/>
      <c r="BB846" s="932"/>
      <c r="BC846" s="932"/>
      <c r="BD846" s="932"/>
      <c r="BE846" s="932"/>
      <c r="BF846" s="932"/>
    </row>
    <row r="847" spans="2:58" ht="15" x14ac:dyDescent="0.25">
      <c r="B847" s="932"/>
      <c r="C847" s="932"/>
      <c r="D847" s="932"/>
      <c r="E847" s="932"/>
      <c r="F847" s="932"/>
      <c r="G847" s="932"/>
      <c r="H847" s="932"/>
      <c r="I847" s="932"/>
      <c r="J847" s="932"/>
      <c r="K847" s="932"/>
      <c r="L847" s="932"/>
      <c r="M847" s="932"/>
      <c r="N847" s="932"/>
      <c r="O847" s="932"/>
      <c r="P847" s="932"/>
      <c r="Q847" s="932"/>
      <c r="R847" s="932"/>
      <c r="S847" s="932"/>
      <c r="T847" s="932"/>
      <c r="U847" s="932"/>
      <c r="V847" s="932"/>
      <c r="W847" s="932"/>
      <c r="X847" s="932"/>
      <c r="Y847" s="932"/>
      <c r="Z847" s="932"/>
      <c r="AA847" s="932"/>
      <c r="AB847" s="932"/>
      <c r="AC847" s="932"/>
      <c r="AD847" s="932"/>
      <c r="AE847" s="932"/>
      <c r="AF847" s="932"/>
      <c r="AG847" s="932"/>
      <c r="AH847" s="932"/>
      <c r="AI847" s="932"/>
      <c r="AJ847" s="932"/>
      <c r="AK847" s="932"/>
      <c r="AL847" s="932"/>
      <c r="AM847" s="932"/>
      <c r="AN847" s="932"/>
      <c r="AO847" s="932"/>
      <c r="AP847" s="932"/>
      <c r="AQ847" s="932"/>
      <c r="AR847" s="932"/>
      <c r="AS847" s="932"/>
      <c r="AT847" s="932"/>
      <c r="AU847" s="932"/>
      <c r="AV847" s="932"/>
      <c r="AW847" s="932"/>
      <c r="AX847" s="932"/>
      <c r="AY847" s="932"/>
      <c r="AZ847" s="932"/>
      <c r="BA847" s="932"/>
      <c r="BB847" s="932"/>
      <c r="BC847" s="932"/>
      <c r="BD847" s="932"/>
      <c r="BE847" s="932"/>
      <c r="BF847" s="932"/>
    </row>
    <row r="848" spans="2:58" ht="15" x14ac:dyDescent="0.25">
      <c r="B848" s="932"/>
      <c r="C848" s="932"/>
      <c r="D848" s="932"/>
      <c r="E848" s="932"/>
      <c r="F848" s="932"/>
      <c r="G848" s="932"/>
      <c r="H848" s="932"/>
      <c r="I848" s="932"/>
      <c r="J848" s="932"/>
      <c r="K848" s="932"/>
      <c r="L848" s="932"/>
      <c r="M848" s="932"/>
      <c r="N848" s="932"/>
      <c r="O848" s="932"/>
      <c r="P848" s="932"/>
      <c r="Q848" s="932"/>
      <c r="R848" s="932"/>
      <c r="S848" s="932"/>
      <c r="T848" s="932"/>
      <c r="U848" s="932"/>
      <c r="V848" s="932"/>
      <c r="W848" s="932"/>
      <c r="X848" s="932"/>
      <c r="Y848" s="932"/>
      <c r="Z848" s="932"/>
      <c r="AA848" s="932"/>
      <c r="AB848" s="932"/>
      <c r="AC848" s="932"/>
      <c r="AD848" s="932"/>
      <c r="AE848" s="932"/>
      <c r="AF848" s="932"/>
      <c r="AG848" s="932"/>
      <c r="AH848" s="932"/>
      <c r="AI848" s="932"/>
      <c r="AJ848" s="932"/>
      <c r="AK848" s="932"/>
      <c r="AL848" s="932"/>
      <c r="AM848" s="932"/>
      <c r="AN848" s="932"/>
      <c r="AO848" s="932"/>
      <c r="AP848" s="932"/>
      <c r="AQ848" s="932"/>
      <c r="AR848" s="932"/>
      <c r="AS848" s="932"/>
      <c r="AT848" s="932"/>
      <c r="AU848" s="932"/>
      <c r="AV848" s="932"/>
      <c r="AW848" s="932"/>
      <c r="AX848" s="932"/>
      <c r="AY848" s="932"/>
      <c r="AZ848" s="932"/>
      <c r="BA848" s="932"/>
      <c r="BB848" s="932"/>
      <c r="BC848" s="932"/>
      <c r="BD848" s="932"/>
      <c r="BE848" s="932"/>
      <c r="BF848" s="932"/>
    </row>
    <row r="849" spans="2:58" ht="15" x14ac:dyDescent="0.25">
      <c r="B849" s="932"/>
      <c r="C849" s="932"/>
      <c r="D849" s="932"/>
      <c r="E849" s="932"/>
      <c r="F849" s="932"/>
      <c r="G849" s="932"/>
      <c r="H849" s="932"/>
      <c r="I849" s="932"/>
      <c r="J849" s="932"/>
      <c r="K849" s="932"/>
      <c r="L849" s="932"/>
      <c r="M849" s="932"/>
      <c r="N849" s="932"/>
      <c r="O849" s="932"/>
      <c r="P849" s="932"/>
      <c r="Q849" s="932"/>
      <c r="R849" s="932"/>
      <c r="S849" s="932"/>
      <c r="T849" s="932"/>
      <c r="U849" s="932"/>
      <c r="V849" s="932"/>
      <c r="W849" s="932"/>
      <c r="X849" s="932"/>
      <c r="Y849" s="932"/>
      <c r="Z849" s="932"/>
      <c r="AA849" s="932"/>
      <c r="AB849" s="932"/>
      <c r="AC849" s="932"/>
      <c r="AD849" s="932"/>
      <c r="AE849" s="932"/>
      <c r="AF849" s="932"/>
      <c r="AG849" s="932"/>
      <c r="AH849" s="932"/>
      <c r="AI849" s="932"/>
      <c r="AJ849" s="932"/>
      <c r="AK849" s="932"/>
      <c r="AL849" s="932"/>
      <c r="AM849" s="932"/>
      <c r="AN849" s="932"/>
      <c r="AO849" s="932"/>
      <c r="AP849" s="932"/>
      <c r="AQ849" s="932"/>
      <c r="AR849" s="932"/>
      <c r="AS849" s="932"/>
      <c r="AT849" s="932"/>
      <c r="AU849" s="932"/>
      <c r="AV849" s="932"/>
      <c r="AW849" s="932"/>
      <c r="AX849" s="932"/>
      <c r="AY849" s="932"/>
      <c r="AZ849" s="932"/>
      <c r="BA849" s="932"/>
      <c r="BB849" s="932"/>
      <c r="BC849" s="932"/>
      <c r="BD849" s="932"/>
      <c r="BE849" s="932"/>
      <c r="BF849" s="932"/>
    </row>
    <row r="850" spans="2:58" ht="15" x14ac:dyDescent="0.25">
      <c r="B850" s="932"/>
      <c r="C850" s="932"/>
      <c r="D850" s="932"/>
      <c r="E850" s="932"/>
      <c r="F850" s="932"/>
      <c r="G850" s="932"/>
      <c r="H850" s="932"/>
      <c r="I850" s="932"/>
      <c r="J850" s="932"/>
      <c r="K850" s="932"/>
      <c r="L850" s="932"/>
      <c r="M850" s="932"/>
      <c r="N850" s="932"/>
      <c r="O850" s="932"/>
      <c r="P850" s="932"/>
      <c r="Q850" s="932"/>
      <c r="R850" s="932"/>
      <c r="S850" s="932"/>
      <c r="T850" s="932"/>
      <c r="U850" s="932"/>
      <c r="V850" s="932"/>
      <c r="W850" s="932"/>
      <c r="X850" s="932"/>
      <c r="Y850" s="932"/>
      <c r="Z850" s="932"/>
      <c r="AA850" s="932"/>
      <c r="AB850" s="932"/>
      <c r="AC850" s="932"/>
      <c r="AD850" s="932"/>
      <c r="AE850" s="932"/>
      <c r="AF850" s="932"/>
      <c r="AG850" s="932"/>
      <c r="AH850" s="932"/>
      <c r="AI850" s="932"/>
      <c r="AJ850" s="932"/>
      <c r="AK850" s="932"/>
      <c r="AL850" s="932"/>
      <c r="AM850" s="932"/>
      <c r="AN850" s="932"/>
      <c r="AO850" s="932"/>
      <c r="AP850" s="932"/>
      <c r="AQ850" s="932"/>
      <c r="AR850" s="932"/>
      <c r="AS850" s="932"/>
      <c r="AT850" s="932"/>
      <c r="AU850" s="932"/>
      <c r="AV850" s="932"/>
      <c r="AW850" s="932"/>
      <c r="AX850" s="932"/>
      <c r="AY850" s="932"/>
      <c r="AZ850" s="932"/>
      <c r="BA850" s="932"/>
      <c r="BB850" s="932"/>
      <c r="BC850" s="932"/>
      <c r="BD850" s="932"/>
      <c r="BE850" s="932"/>
      <c r="BF850" s="932"/>
    </row>
    <row r="851" spans="2:58" ht="15" x14ac:dyDescent="0.25">
      <c r="B851" s="932"/>
      <c r="C851" s="932"/>
      <c r="D851" s="932"/>
      <c r="E851" s="932"/>
      <c r="F851" s="932"/>
      <c r="G851" s="932"/>
      <c r="H851" s="932"/>
      <c r="I851" s="932"/>
      <c r="J851" s="932"/>
      <c r="K851" s="932"/>
      <c r="L851" s="932"/>
      <c r="M851" s="932"/>
      <c r="N851" s="932"/>
      <c r="O851" s="932"/>
      <c r="P851" s="932"/>
      <c r="Q851" s="932"/>
      <c r="R851" s="932"/>
      <c r="S851" s="932"/>
      <c r="T851" s="932"/>
      <c r="U851" s="932"/>
      <c r="V851" s="932"/>
      <c r="W851" s="932"/>
      <c r="X851" s="932"/>
      <c r="Y851" s="932"/>
      <c r="Z851" s="932"/>
      <c r="AA851" s="932"/>
      <c r="AB851" s="932"/>
      <c r="AC851" s="932"/>
      <c r="AD851" s="932"/>
      <c r="AE851" s="932"/>
      <c r="AF851" s="932"/>
      <c r="AG851" s="932"/>
      <c r="AH851" s="932"/>
      <c r="AI851" s="932"/>
      <c r="AJ851" s="932"/>
      <c r="AK851" s="932"/>
      <c r="AL851" s="932"/>
      <c r="AM851" s="932"/>
      <c r="AN851" s="932"/>
      <c r="AO851" s="932"/>
      <c r="AP851" s="932"/>
      <c r="AQ851" s="932"/>
      <c r="AR851" s="932"/>
      <c r="AS851" s="932"/>
      <c r="AT851" s="932"/>
      <c r="AU851" s="932"/>
      <c r="AV851" s="932"/>
      <c r="AW851" s="932"/>
      <c r="AX851" s="932"/>
      <c r="AY851" s="932"/>
      <c r="AZ851" s="932"/>
      <c r="BA851" s="932"/>
      <c r="BB851" s="932"/>
      <c r="BC851" s="932"/>
      <c r="BD851" s="932"/>
      <c r="BE851" s="932"/>
      <c r="BF851" s="932"/>
    </row>
    <row r="852" spans="2:58" ht="15" x14ac:dyDescent="0.25">
      <c r="B852" s="932"/>
      <c r="C852" s="932"/>
      <c r="D852" s="932"/>
      <c r="E852" s="932"/>
      <c r="F852" s="932"/>
      <c r="G852" s="932"/>
      <c r="H852" s="932"/>
      <c r="I852" s="932"/>
      <c r="J852" s="932"/>
      <c r="K852" s="932"/>
      <c r="L852" s="932"/>
      <c r="M852" s="932"/>
      <c r="N852" s="932"/>
      <c r="O852" s="932"/>
      <c r="P852" s="932"/>
      <c r="Q852" s="932"/>
      <c r="R852" s="932"/>
      <c r="S852" s="932"/>
      <c r="T852" s="932"/>
      <c r="U852" s="932"/>
      <c r="V852" s="932"/>
      <c r="W852" s="932"/>
      <c r="X852" s="932"/>
      <c r="Y852" s="932"/>
      <c r="Z852" s="932"/>
      <c r="AA852" s="932"/>
      <c r="AB852" s="932"/>
      <c r="AC852" s="932"/>
      <c r="AD852" s="932"/>
      <c r="AE852" s="932"/>
      <c r="AF852" s="932"/>
      <c r="AG852" s="932"/>
      <c r="AH852" s="932"/>
      <c r="AI852" s="932"/>
      <c r="AJ852" s="932"/>
      <c r="AK852" s="932"/>
      <c r="AL852" s="932"/>
      <c r="AM852" s="932"/>
      <c r="AN852" s="932"/>
      <c r="AO852" s="932"/>
      <c r="AP852" s="932"/>
      <c r="AQ852" s="932"/>
      <c r="AR852" s="932"/>
      <c r="AS852" s="932"/>
      <c r="AT852" s="932"/>
      <c r="AU852" s="932"/>
      <c r="AV852" s="932"/>
      <c r="AW852" s="932"/>
      <c r="AX852" s="932"/>
      <c r="AY852" s="932"/>
      <c r="AZ852" s="932"/>
      <c r="BA852" s="932"/>
      <c r="BB852" s="932"/>
      <c r="BC852" s="932"/>
      <c r="BD852" s="932"/>
      <c r="BE852" s="932"/>
      <c r="BF852" s="932"/>
    </row>
    <row r="853" spans="2:58" ht="15" x14ac:dyDescent="0.25">
      <c r="B853" s="932"/>
      <c r="C853" s="932"/>
      <c r="D853" s="932"/>
      <c r="E853" s="932"/>
      <c r="F853" s="932"/>
      <c r="G853" s="932"/>
      <c r="H853" s="932"/>
      <c r="I853" s="932"/>
      <c r="J853" s="932"/>
      <c r="K853" s="932"/>
      <c r="L853" s="932"/>
      <c r="M853" s="932"/>
      <c r="N853" s="932"/>
      <c r="O853" s="932"/>
      <c r="P853" s="932"/>
      <c r="Q853" s="932"/>
      <c r="R853" s="932"/>
      <c r="S853" s="932"/>
      <c r="T853" s="932"/>
      <c r="U853" s="932"/>
      <c r="V853" s="932"/>
      <c r="W853" s="932"/>
      <c r="X853" s="932"/>
      <c r="Y853" s="932"/>
      <c r="Z853" s="932"/>
      <c r="AA853" s="932"/>
      <c r="AB853" s="932"/>
      <c r="AC853" s="932"/>
      <c r="AD853" s="932"/>
      <c r="AE853" s="932"/>
      <c r="AF853" s="932"/>
      <c r="AG853" s="932"/>
      <c r="AH853" s="932"/>
      <c r="AI853" s="932"/>
      <c r="AJ853" s="932"/>
      <c r="AK853" s="932"/>
      <c r="AL853" s="932"/>
      <c r="AM853" s="932"/>
      <c r="AN853" s="932"/>
      <c r="AO853" s="932"/>
      <c r="AP853" s="932"/>
      <c r="AQ853" s="932"/>
      <c r="AR853" s="932"/>
      <c r="AS853" s="932"/>
      <c r="AT853" s="932"/>
      <c r="AU853" s="932"/>
      <c r="AV853" s="932"/>
      <c r="AW853" s="932"/>
      <c r="AX853" s="932"/>
      <c r="AY853" s="932"/>
      <c r="AZ853" s="932"/>
      <c r="BA853" s="932"/>
      <c r="BB853" s="932"/>
      <c r="BC853" s="932"/>
      <c r="BD853" s="932"/>
      <c r="BE853" s="932"/>
      <c r="BF853" s="932"/>
    </row>
    <row r="854" spans="2:58" ht="15" x14ac:dyDescent="0.25">
      <c r="B854" s="932"/>
      <c r="C854" s="932"/>
      <c r="D854" s="932"/>
      <c r="E854" s="932"/>
      <c r="F854" s="932"/>
      <c r="G854" s="932"/>
      <c r="H854" s="932"/>
      <c r="I854" s="932"/>
      <c r="J854" s="932"/>
      <c r="K854" s="932"/>
      <c r="L854" s="932"/>
      <c r="M854" s="932"/>
      <c r="N854" s="932"/>
      <c r="O854" s="932"/>
      <c r="P854" s="932"/>
      <c r="Q854" s="932"/>
      <c r="R854" s="932"/>
      <c r="S854" s="932"/>
      <c r="T854" s="932"/>
      <c r="U854" s="932"/>
      <c r="V854" s="932"/>
      <c r="W854" s="932"/>
      <c r="X854" s="932"/>
      <c r="Y854" s="932"/>
      <c r="Z854" s="932"/>
      <c r="AA854" s="932"/>
      <c r="AB854" s="932"/>
      <c r="AC854" s="932"/>
      <c r="AD854" s="932"/>
      <c r="AE854" s="932"/>
      <c r="AF854" s="932"/>
      <c r="AG854" s="932"/>
      <c r="AH854" s="932"/>
      <c r="AI854" s="932"/>
      <c r="AJ854" s="932"/>
      <c r="AK854" s="932"/>
      <c r="AL854" s="932"/>
      <c r="AM854" s="932"/>
      <c r="AN854" s="932"/>
      <c r="AO854" s="932"/>
      <c r="AP854" s="932"/>
      <c r="AQ854" s="932"/>
      <c r="AR854" s="932"/>
      <c r="AS854" s="932"/>
      <c r="AT854" s="932"/>
      <c r="AU854" s="932"/>
      <c r="AV854" s="932"/>
      <c r="AW854" s="932"/>
      <c r="AX854" s="932"/>
      <c r="AY854" s="932"/>
      <c r="AZ854" s="932"/>
      <c r="BA854" s="932"/>
      <c r="BB854" s="932"/>
      <c r="BC854" s="932"/>
      <c r="BD854" s="932"/>
      <c r="BE854" s="932"/>
      <c r="BF854" s="932"/>
    </row>
    <row r="855" spans="2:58" ht="15" x14ac:dyDescent="0.25">
      <c r="B855" s="932"/>
      <c r="C855" s="932"/>
      <c r="D855" s="932"/>
      <c r="E855" s="932"/>
      <c r="F855" s="932"/>
      <c r="G855" s="932"/>
      <c r="H855" s="932"/>
      <c r="I855" s="932"/>
      <c r="J855" s="932"/>
      <c r="K855" s="932"/>
      <c r="L855" s="932"/>
      <c r="M855" s="932"/>
      <c r="N855" s="932"/>
      <c r="O855" s="932"/>
      <c r="P855" s="932"/>
      <c r="Q855" s="932"/>
      <c r="R855" s="932"/>
      <c r="S855" s="932"/>
      <c r="T855" s="932"/>
      <c r="U855" s="932"/>
      <c r="V855" s="932"/>
      <c r="W855" s="932"/>
      <c r="X855" s="932"/>
      <c r="Y855" s="932"/>
      <c r="Z855" s="932"/>
      <c r="AA855" s="932"/>
      <c r="AB855" s="932"/>
      <c r="AC855" s="932"/>
      <c r="AD855" s="932"/>
      <c r="AE855" s="932"/>
      <c r="AF855" s="932"/>
      <c r="AG855" s="932"/>
      <c r="AH855" s="932"/>
      <c r="AI855" s="932"/>
      <c r="AJ855" s="932"/>
      <c r="AK855" s="932"/>
      <c r="AL855" s="932"/>
      <c r="AM855" s="932"/>
      <c r="AN855" s="932"/>
      <c r="AO855" s="932"/>
      <c r="AP855" s="932"/>
      <c r="AQ855" s="932"/>
      <c r="AR855" s="932"/>
      <c r="AS855" s="932"/>
      <c r="AT855" s="932"/>
      <c r="AU855" s="932"/>
      <c r="AV855" s="932"/>
      <c r="AW855" s="932"/>
      <c r="AX855" s="932"/>
      <c r="AY855" s="932"/>
      <c r="AZ855" s="932"/>
      <c r="BA855" s="932"/>
      <c r="BB855" s="932"/>
      <c r="BC855" s="932"/>
      <c r="BD855" s="932"/>
      <c r="BE855" s="932"/>
      <c r="BF855" s="932"/>
    </row>
    <row r="856" spans="2:58" ht="15" x14ac:dyDescent="0.25">
      <c r="B856" s="932"/>
      <c r="C856" s="932"/>
      <c r="D856" s="932"/>
      <c r="E856" s="932"/>
      <c r="F856" s="932"/>
      <c r="G856" s="932"/>
      <c r="H856" s="932"/>
      <c r="I856" s="932"/>
      <c r="J856" s="932"/>
      <c r="K856" s="932"/>
      <c r="L856" s="932"/>
      <c r="M856" s="932"/>
      <c r="N856" s="932"/>
      <c r="O856" s="932"/>
      <c r="P856" s="932"/>
      <c r="Q856" s="932"/>
      <c r="R856" s="932"/>
      <c r="S856" s="932"/>
      <c r="T856" s="932"/>
      <c r="U856" s="932"/>
      <c r="V856" s="932"/>
      <c r="W856" s="932"/>
      <c r="X856" s="932"/>
      <c r="Y856" s="932"/>
      <c r="Z856" s="932"/>
      <c r="AA856" s="932"/>
      <c r="AB856" s="932"/>
      <c r="AC856" s="932"/>
      <c r="AD856" s="932"/>
      <c r="AE856" s="932"/>
      <c r="AF856" s="932"/>
      <c r="AG856" s="932"/>
      <c r="AH856" s="932"/>
      <c r="AI856" s="932"/>
      <c r="AJ856" s="932"/>
      <c r="AK856" s="932"/>
      <c r="AL856" s="932"/>
      <c r="AM856" s="932"/>
      <c r="AN856" s="932"/>
      <c r="AO856" s="932"/>
      <c r="AP856" s="932"/>
      <c r="AQ856" s="932"/>
      <c r="AR856" s="932"/>
      <c r="AS856" s="932"/>
      <c r="AT856" s="932"/>
      <c r="AU856" s="932"/>
      <c r="AV856" s="932"/>
      <c r="AW856" s="932"/>
      <c r="AX856" s="932"/>
      <c r="AY856" s="932"/>
      <c r="AZ856" s="932"/>
      <c r="BA856" s="932"/>
      <c r="BB856" s="932"/>
      <c r="BC856" s="932"/>
      <c r="BD856" s="932"/>
      <c r="BE856" s="932"/>
      <c r="BF856" s="932"/>
    </row>
    <row r="857" spans="2:58" ht="15" x14ac:dyDescent="0.25">
      <c r="B857" s="932"/>
      <c r="C857" s="932"/>
      <c r="D857" s="932"/>
      <c r="E857" s="932"/>
      <c r="F857" s="932"/>
      <c r="G857" s="932"/>
      <c r="H857" s="932"/>
      <c r="I857" s="932"/>
      <c r="J857" s="932"/>
      <c r="K857" s="932"/>
      <c r="L857" s="932"/>
      <c r="M857" s="932"/>
      <c r="N857" s="932"/>
      <c r="O857" s="932"/>
      <c r="P857" s="932"/>
      <c r="Q857" s="932"/>
      <c r="R857" s="932"/>
      <c r="S857" s="932"/>
      <c r="T857" s="932"/>
      <c r="U857" s="932"/>
      <c r="V857" s="932"/>
      <c r="W857" s="932"/>
      <c r="X857" s="932"/>
      <c r="Y857" s="932"/>
      <c r="Z857" s="932"/>
      <c r="AA857" s="932"/>
      <c r="AB857" s="932"/>
      <c r="AC857" s="932"/>
      <c r="AD857" s="932"/>
      <c r="AE857" s="932"/>
      <c r="AF857" s="932"/>
      <c r="AG857" s="932"/>
      <c r="AH857" s="932"/>
      <c r="AI857" s="932"/>
      <c r="AJ857" s="932"/>
      <c r="AK857" s="932"/>
      <c r="AL857" s="932"/>
      <c r="AM857" s="932"/>
      <c r="AN857" s="932"/>
      <c r="AO857" s="932"/>
      <c r="AP857" s="932"/>
      <c r="AQ857" s="932"/>
      <c r="AR857" s="932"/>
      <c r="AS857" s="932"/>
      <c r="AT857" s="932"/>
      <c r="AU857" s="932"/>
      <c r="AV857" s="932"/>
      <c r="AW857" s="932"/>
      <c r="AX857" s="932"/>
      <c r="AY857" s="932"/>
      <c r="AZ857" s="932"/>
      <c r="BA857" s="932"/>
      <c r="BB857" s="932"/>
      <c r="BC857" s="932"/>
      <c r="BD857" s="932"/>
      <c r="BE857" s="932"/>
      <c r="BF857" s="932"/>
    </row>
    <row r="858" spans="2:58" ht="15" x14ac:dyDescent="0.25">
      <c r="B858" s="932"/>
      <c r="C858" s="932"/>
      <c r="D858" s="932"/>
      <c r="E858" s="932"/>
      <c r="F858" s="932"/>
      <c r="G858" s="932"/>
      <c r="H858" s="932"/>
      <c r="I858" s="932"/>
      <c r="J858" s="932"/>
      <c r="K858" s="932"/>
      <c r="L858" s="932"/>
      <c r="M858" s="932"/>
      <c r="N858" s="932"/>
      <c r="O858" s="932"/>
      <c r="P858" s="932"/>
      <c r="Q858" s="932"/>
      <c r="R858" s="932"/>
      <c r="S858" s="932"/>
      <c r="T858" s="932"/>
      <c r="U858" s="932"/>
      <c r="V858" s="932"/>
      <c r="W858" s="932"/>
      <c r="X858" s="932"/>
      <c r="Y858" s="932"/>
      <c r="Z858" s="932"/>
      <c r="AA858" s="932"/>
      <c r="AB858" s="932"/>
      <c r="AC858" s="932"/>
      <c r="AD858" s="932"/>
      <c r="AE858" s="932"/>
      <c r="AF858" s="932"/>
      <c r="AG858" s="932"/>
      <c r="AH858" s="932"/>
      <c r="AI858" s="932"/>
      <c r="AJ858" s="932"/>
      <c r="AK858" s="932"/>
      <c r="AL858" s="932"/>
      <c r="AM858" s="932"/>
      <c r="AN858" s="932"/>
      <c r="AO858" s="932"/>
      <c r="AP858" s="932"/>
      <c r="AQ858" s="932"/>
      <c r="AR858" s="932"/>
      <c r="AS858" s="932"/>
      <c r="AT858" s="932"/>
      <c r="AU858" s="932"/>
      <c r="AV858" s="932"/>
      <c r="AW858" s="932"/>
      <c r="AX858" s="932"/>
      <c r="AY858" s="932"/>
      <c r="AZ858" s="932"/>
      <c r="BA858" s="932"/>
      <c r="BB858" s="932"/>
      <c r="BC858" s="932"/>
      <c r="BD858" s="932"/>
      <c r="BE858" s="932"/>
      <c r="BF858" s="932"/>
    </row>
    <row r="859" spans="2:58" ht="15" x14ac:dyDescent="0.25">
      <c r="B859" s="932"/>
      <c r="C859" s="932"/>
      <c r="D859" s="932"/>
      <c r="E859" s="932"/>
      <c r="F859" s="932"/>
      <c r="G859" s="932"/>
      <c r="H859" s="932"/>
      <c r="I859" s="932"/>
      <c r="J859" s="932"/>
      <c r="K859" s="932"/>
      <c r="L859" s="932"/>
      <c r="M859" s="932"/>
      <c r="N859" s="932"/>
      <c r="O859" s="932"/>
      <c r="P859" s="932"/>
      <c r="Q859" s="932"/>
      <c r="R859" s="932"/>
      <c r="S859" s="932"/>
      <c r="T859" s="932"/>
      <c r="U859" s="932"/>
      <c r="V859" s="932"/>
      <c r="W859" s="932"/>
      <c r="X859" s="932"/>
      <c r="Y859" s="932"/>
      <c r="Z859" s="932"/>
      <c r="AA859" s="932"/>
      <c r="AB859" s="932"/>
      <c r="AC859" s="932"/>
      <c r="AD859" s="932"/>
      <c r="AE859" s="932"/>
      <c r="AF859" s="932"/>
      <c r="AG859" s="932"/>
      <c r="AH859" s="932"/>
      <c r="AI859" s="932"/>
      <c r="AJ859" s="932"/>
      <c r="AK859" s="932"/>
      <c r="AL859" s="932"/>
      <c r="AM859" s="932"/>
      <c r="AN859" s="932"/>
      <c r="AO859" s="932"/>
      <c r="AP859" s="932"/>
      <c r="AQ859" s="932"/>
      <c r="AR859" s="932"/>
      <c r="AS859" s="932"/>
      <c r="AT859" s="932"/>
      <c r="AU859" s="932"/>
      <c r="AV859" s="932"/>
      <c r="AW859" s="932"/>
      <c r="AX859" s="932"/>
      <c r="AY859" s="932"/>
      <c r="AZ859" s="932"/>
      <c r="BA859" s="932"/>
      <c r="BB859" s="932"/>
      <c r="BC859" s="932"/>
      <c r="BD859" s="932"/>
      <c r="BE859" s="932"/>
      <c r="BF859" s="932"/>
    </row>
    <row r="860" spans="2:58" ht="15" x14ac:dyDescent="0.25">
      <c r="B860" s="932"/>
      <c r="C860" s="932"/>
      <c r="D860" s="932"/>
      <c r="E860" s="932"/>
      <c r="F860" s="932"/>
      <c r="G860" s="932"/>
      <c r="H860" s="932"/>
      <c r="I860" s="932"/>
      <c r="J860" s="932"/>
      <c r="K860" s="932"/>
      <c r="L860" s="932"/>
      <c r="M860" s="932"/>
      <c r="N860" s="932"/>
      <c r="O860" s="932"/>
      <c r="P860" s="932"/>
      <c r="Q860" s="932"/>
      <c r="R860" s="932"/>
      <c r="S860" s="932"/>
      <c r="T860" s="932"/>
      <c r="U860" s="932"/>
      <c r="V860" s="932"/>
      <c r="W860" s="932"/>
      <c r="X860" s="932"/>
      <c r="Y860" s="932"/>
      <c r="Z860" s="932"/>
      <c r="AA860" s="932"/>
      <c r="AB860" s="932"/>
      <c r="AC860" s="932"/>
      <c r="AD860" s="932"/>
      <c r="AE860" s="932"/>
      <c r="AF860" s="932"/>
      <c r="AG860" s="932"/>
      <c r="AH860" s="932"/>
      <c r="AI860" s="932"/>
      <c r="AJ860" s="932"/>
      <c r="AK860" s="932"/>
      <c r="AL860" s="932"/>
      <c r="AM860" s="932"/>
      <c r="AN860" s="932"/>
      <c r="AO860" s="932"/>
      <c r="AP860" s="932"/>
      <c r="AQ860" s="932"/>
      <c r="AR860" s="932"/>
      <c r="AS860" s="932"/>
      <c r="AT860" s="932"/>
      <c r="AU860" s="932"/>
      <c r="AV860" s="932"/>
      <c r="AW860" s="932"/>
      <c r="AX860" s="932"/>
      <c r="AY860" s="932"/>
      <c r="AZ860" s="932"/>
      <c r="BA860" s="932"/>
      <c r="BB860" s="932"/>
      <c r="BC860" s="932"/>
      <c r="BD860" s="932"/>
      <c r="BE860" s="932"/>
      <c r="BF860" s="932"/>
    </row>
    <row r="861" spans="2:58" ht="15" x14ac:dyDescent="0.25">
      <c r="B861" s="932"/>
      <c r="C861" s="932"/>
      <c r="D861" s="932"/>
      <c r="E861" s="932"/>
      <c r="F861" s="932"/>
      <c r="G861" s="932"/>
      <c r="H861" s="932"/>
      <c r="I861" s="932"/>
      <c r="J861" s="932"/>
      <c r="K861" s="932"/>
      <c r="L861" s="932"/>
      <c r="M861" s="932"/>
      <c r="N861" s="932"/>
      <c r="O861" s="932"/>
      <c r="P861" s="932"/>
      <c r="Q861" s="932"/>
      <c r="R861" s="932"/>
      <c r="S861" s="932"/>
      <c r="T861" s="932"/>
      <c r="U861" s="932"/>
      <c r="V861" s="932"/>
      <c r="W861" s="932"/>
      <c r="X861" s="932"/>
      <c r="Y861" s="932"/>
      <c r="Z861" s="932"/>
      <c r="AA861" s="932"/>
      <c r="AB861" s="932"/>
      <c r="AC861" s="932"/>
      <c r="AD861" s="932"/>
      <c r="AE861" s="932"/>
      <c r="AF861" s="932"/>
      <c r="AG861" s="932"/>
      <c r="AH861" s="932"/>
      <c r="AI861" s="932"/>
      <c r="AJ861" s="932"/>
      <c r="AK861" s="932"/>
      <c r="AL861" s="932"/>
      <c r="AM861" s="932"/>
      <c r="AN861" s="932"/>
      <c r="AO861" s="932"/>
      <c r="AP861" s="932"/>
      <c r="AQ861" s="932"/>
      <c r="AR861" s="932"/>
      <c r="AS861" s="932"/>
      <c r="AT861" s="932"/>
      <c r="AU861" s="932"/>
      <c r="AV861" s="932"/>
      <c r="AW861" s="932"/>
      <c r="AX861" s="932"/>
      <c r="AY861" s="932"/>
      <c r="AZ861" s="932"/>
      <c r="BA861" s="932"/>
      <c r="BB861" s="932"/>
      <c r="BC861" s="932"/>
      <c r="BD861" s="932"/>
      <c r="BE861" s="932"/>
      <c r="BF861" s="932"/>
    </row>
    <row r="862" spans="2:58" ht="15" x14ac:dyDescent="0.25">
      <c r="B862" s="932"/>
      <c r="C862" s="932"/>
      <c r="D862" s="932"/>
      <c r="E862" s="932"/>
      <c r="F862" s="932"/>
      <c r="G862" s="932"/>
      <c r="H862" s="932"/>
      <c r="I862" s="932"/>
      <c r="J862" s="932"/>
      <c r="K862" s="932"/>
      <c r="L862" s="932"/>
      <c r="M862" s="932"/>
      <c r="N862" s="932"/>
      <c r="O862" s="932"/>
      <c r="P862" s="932"/>
      <c r="Q862" s="932"/>
      <c r="R862" s="932"/>
      <c r="S862" s="932"/>
      <c r="T862" s="932"/>
      <c r="U862" s="932"/>
      <c r="V862" s="932"/>
      <c r="W862" s="932"/>
      <c r="X862" s="932"/>
      <c r="Y862" s="932"/>
      <c r="Z862" s="932"/>
      <c r="AA862" s="932"/>
      <c r="AB862" s="932"/>
      <c r="AC862" s="932"/>
      <c r="AD862" s="932"/>
      <c r="AE862" s="932"/>
      <c r="AF862" s="932"/>
      <c r="AG862" s="932"/>
      <c r="AH862" s="932"/>
      <c r="AI862" s="932"/>
      <c r="AJ862" s="932"/>
      <c r="AK862" s="932"/>
      <c r="AL862" s="932"/>
      <c r="AM862" s="932"/>
      <c r="AN862" s="932"/>
      <c r="AO862" s="932"/>
      <c r="AP862" s="932"/>
      <c r="AQ862" s="932"/>
      <c r="AR862" s="932"/>
      <c r="AS862" s="932"/>
      <c r="AT862" s="932"/>
      <c r="AU862" s="932"/>
      <c r="AV862" s="932"/>
      <c r="AW862" s="932"/>
      <c r="AX862" s="932"/>
      <c r="AY862" s="932"/>
      <c r="AZ862" s="932"/>
      <c r="BA862" s="932"/>
      <c r="BB862" s="932"/>
      <c r="BC862" s="932"/>
      <c r="BD862" s="932"/>
      <c r="BE862" s="932"/>
      <c r="BF862" s="932"/>
    </row>
    <row r="863" spans="2:58" ht="15" x14ac:dyDescent="0.25">
      <c r="B863" s="932"/>
      <c r="C863" s="932"/>
      <c r="D863" s="932"/>
      <c r="E863" s="932"/>
      <c r="F863" s="932"/>
      <c r="G863" s="932"/>
      <c r="H863" s="932"/>
      <c r="I863" s="932"/>
      <c r="J863" s="932"/>
      <c r="K863" s="932"/>
      <c r="L863" s="932"/>
      <c r="M863" s="932"/>
      <c r="N863" s="932"/>
      <c r="O863" s="932"/>
      <c r="P863" s="932"/>
      <c r="Q863" s="932"/>
      <c r="R863" s="932"/>
      <c r="S863" s="932"/>
      <c r="T863" s="932"/>
      <c r="U863" s="932"/>
      <c r="V863" s="932"/>
      <c r="W863" s="932"/>
      <c r="X863" s="932"/>
      <c r="Y863" s="932"/>
      <c r="Z863" s="932"/>
      <c r="AA863" s="932"/>
      <c r="AB863" s="932"/>
      <c r="AC863" s="932"/>
      <c r="AD863" s="932"/>
      <c r="AE863" s="932"/>
      <c r="AF863" s="932"/>
      <c r="AG863" s="932"/>
      <c r="AH863" s="932"/>
      <c r="AI863" s="932"/>
      <c r="AJ863" s="932"/>
      <c r="AK863" s="932"/>
      <c r="AL863" s="932"/>
      <c r="AM863" s="932"/>
      <c r="AN863" s="932"/>
      <c r="AO863" s="932"/>
      <c r="AP863" s="932"/>
      <c r="AQ863" s="932"/>
      <c r="AR863" s="932"/>
      <c r="AS863" s="932"/>
      <c r="AT863" s="932"/>
      <c r="AU863" s="932"/>
      <c r="AV863" s="932"/>
      <c r="AW863" s="932"/>
      <c r="AX863" s="932"/>
      <c r="AY863" s="932"/>
      <c r="AZ863" s="932"/>
      <c r="BA863" s="932"/>
      <c r="BB863" s="932"/>
      <c r="BC863" s="932"/>
      <c r="BD863" s="932"/>
      <c r="BE863" s="932"/>
      <c r="BF863" s="932"/>
    </row>
    <row r="864" spans="2:58" ht="15" x14ac:dyDescent="0.25">
      <c r="B864" s="932"/>
      <c r="C864" s="932"/>
      <c r="D864" s="932"/>
      <c r="E864" s="932"/>
      <c r="F864" s="932"/>
      <c r="G864" s="932"/>
      <c r="H864" s="932"/>
      <c r="I864" s="932"/>
      <c r="J864" s="932"/>
      <c r="K864" s="932"/>
      <c r="L864" s="932"/>
      <c r="M864" s="932"/>
      <c r="N864" s="932"/>
      <c r="O864" s="932"/>
      <c r="P864" s="932"/>
      <c r="Q864" s="932"/>
      <c r="R864" s="932"/>
      <c r="S864" s="932"/>
      <c r="T864" s="932"/>
      <c r="U864" s="932"/>
      <c r="V864" s="932"/>
      <c r="W864" s="932"/>
      <c r="X864" s="932"/>
      <c r="Y864" s="932"/>
      <c r="Z864" s="932"/>
      <c r="AA864" s="932"/>
      <c r="AB864" s="932"/>
      <c r="AC864" s="932"/>
      <c r="AD864" s="932"/>
      <c r="AE864" s="932"/>
      <c r="AF864" s="932"/>
      <c r="AG864" s="932"/>
      <c r="AH864" s="932"/>
      <c r="AI864" s="932"/>
      <c r="AJ864" s="932"/>
      <c r="AK864" s="932"/>
      <c r="AL864" s="932"/>
      <c r="AM864" s="932"/>
      <c r="AN864" s="932"/>
      <c r="AO864" s="932"/>
      <c r="AP864" s="932"/>
      <c r="AQ864" s="932"/>
      <c r="AR864" s="932"/>
      <c r="AS864" s="932"/>
      <c r="AT864" s="932"/>
      <c r="AU864" s="932"/>
      <c r="AV864" s="932"/>
      <c r="AW864" s="932"/>
      <c r="AX864" s="932"/>
      <c r="AY864" s="932"/>
      <c r="AZ864" s="932"/>
      <c r="BA864" s="932"/>
      <c r="BB864" s="932"/>
      <c r="BC864" s="932"/>
      <c r="BD864" s="932"/>
      <c r="BE864" s="932"/>
      <c r="BF864" s="932"/>
    </row>
    <row r="865" spans="2:58" ht="15" x14ac:dyDescent="0.25">
      <c r="B865" s="932"/>
      <c r="C865" s="932"/>
      <c r="D865" s="932"/>
      <c r="E865" s="932"/>
      <c r="F865" s="932"/>
      <c r="G865" s="932"/>
      <c r="H865" s="932"/>
      <c r="I865" s="932"/>
      <c r="J865" s="932"/>
      <c r="K865" s="932"/>
      <c r="L865" s="932"/>
      <c r="M865" s="932"/>
      <c r="N865" s="932"/>
      <c r="O865" s="932"/>
      <c r="P865" s="932"/>
      <c r="Q865" s="932"/>
      <c r="R865" s="932"/>
      <c r="S865" s="932"/>
      <c r="T865" s="932"/>
      <c r="U865" s="932"/>
      <c r="V865" s="932"/>
      <c r="W865" s="932"/>
      <c r="X865" s="932"/>
      <c r="Y865" s="932"/>
      <c r="Z865" s="932"/>
      <c r="AA865" s="932"/>
      <c r="AB865" s="932"/>
      <c r="AC865" s="932"/>
      <c r="AD865" s="932"/>
      <c r="AE865" s="932"/>
      <c r="AF865" s="932"/>
      <c r="AG865" s="932"/>
      <c r="AH865" s="932"/>
      <c r="AI865" s="932"/>
      <c r="AJ865" s="932"/>
      <c r="AK865" s="932"/>
      <c r="AL865" s="932"/>
      <c r="AM865" s="932"/>
      <c r="AN865" s="932"/>
      <c r="AO865" s="932"/>
      <c r="AP865" s="932"/>
      <c r="AQ865" s="932"/>
      <c r="AR865" s="932"/>
      <c r="AS865" s="932"/>
      <c r="AT865" s="932"/>
      <c r="AU865" s="932"/>
      <c r="AV865" s="932"/>
      <c r="AW865" s="932"/>
      <c r="AX865" s="932"/>
      <c r="AY865" s="932"/>
      <c r="AZ865" s="932"/>
      <c r="BA865" s="932"/>
      <c r="BB865" s="932"/>
      <c r="BC865" s="932"/>
      <c r="BD865" s="932"/>
      <c r="BE865" s="932"/>
      <c r="BF865" s="932"/>
    </row>
    <row r="866" spans="2:58" ht="15" x14ac:dyDescent="0.25">
      <c r="B866" s="932"/>
      <c r="C866" s="932"/>
      <c r="D866" s="932"/>
      <c r="E866" s="932"/>
      <c r="F866" s="932"/>
      <c r="G866" s="932"/>
      <c r="H866" s="932"/>
      <c r="I866" s="932"/>
      <c r="J866" s="932"/>
      <c r="K866" s="932"/>
      <c r="L866" s="932"/>
      <c r="M866" s="932"/>
      <c r="N866" s="932"/>
      <c r="O866" s="932"/>
      <c r="P866" s="932"/>
      <c r="Q866" s="932"/>
      <c r="R866" s="932"/>
      <c r="S866" s="932"/>
      <c r="T866" s="932"/>
      <c r="U866" s="932"/>
      <c r="V866" s="932"/>
      <c r="W866" s="932"/>
      <c r="X866" s="932"/>
      <c r="Y866" s="932"/>
      <c r="Z866" s="932"/>
      <c r="AA866" s="932"/>
      <c r="AB866" s="932"/>
      <c r="AC866" s="932"/>
      <c r="AD866" s="932"/>
      <c r="AE866" s="932"/>
      <c r="AF866" s="932"/>
      <c r="AG866" s="932"/>
      <c r="AH866" s="932"/>
      <c r="AI866" s="932"/>
      <c r="AJ866" s="932"/>
      <c r="AK866" s="932"/>
      <c r="AL866" s="932"/>
      <c r="AM866" s="932"/>
      <c r="AN866" s="932"/>
      <c r="AO866" s="932"/>
      <c r="AP866" s="932"/>
      <c r="AQ866" s="932"/>
      <c r="AR866" s="932"/>
      <c r="AS866" s="932"/>
      <c r="AT866" s="932"/>
      <c r="AU866" s="932"/>
      <c r="AV866" s="932"/>
      <c r="AW866" s="932"/>
      <c r="AX866" s="932"/>
      <c r="AY866" s="932"/>
      <c r="AZ866" s="932"/>
      <c r="BA866" s="932"/>
      <c r="BB866" s="932"/>
      <c r="BC866" s="932"/>
      <c r="BD866" s="932"/>
      <c r="BE866" s="932"/>
      <c r="BF866" s="932"/>
    </row>
    <row r="867" spans="2:58" ht="15" x14ac:dyDescent="0.25">
      <c r="B867" s="932"/>
      <c r="C867" s="932"/>
      <c r="D867" s="932"/>
      <c r="E867" s="932"/>
      <c r="F867" s="932"/>
      <c r="G867" s="932"/>
      <c r="H867" s="932"/>
      <c r="I867" s="932"/>
      <c r="J867" s="932"/>
      <c r="K867" s="932"/>
      <c r="L867" s="932"/>
      <c r="M867" s="932"/>
      <c r="N867" s="932"/>
      <c r="O867" s="932"/>
      <c r="P867" s="932"/>
      <c r="Q867" s="932"/>
      <c r="R867" s="932"/>
      <c r="S867" s="932"/>
      <c r="T867" s="932"/>
      <c r="U867" s="932"/>
      <c r="V867" s="932"/>
      <c r="W867" s="932"/>
      <c r="X867" s="932"/>
      <c r="Y867" s="932"/>
      <c r="Z867" s="932"/>
      <c r="AA867" s="932"/>
      <c r="AB867" s="932"/>
      <c r="AC867" s="932"/>
      <c r="AD867" s="932"/>
      <c r="AE867" s="932"/>
      <c r="AF867" s="932"/>
      <c r="AG867" s="932"/>
      <c r="AH867" s="932"/>
      <c r="AI867" s="932"/>
      <c r="AJ867" s="932"/>
      <c r="AK867" s="932"/>
      <c r="AL867" s="932"/>
      <c r="AM867" s="932"/>
      <c r="AN867" s="932"/>
      <c r="AO867" s="932"/>
      <c r="AP867" s="932"/>
      <c r="AQ867" s="932"/>
      <c r="AR867" s="932"/>
      <c r="AS867" s="932"/>
      <c r="AT867" s="932"/>
      <c r="AU867" s="932"/>
      <c r="AV867" s="932"/>
      <c r="AW867" s="932"/>
      <c r="AX867" s="932"/>
      <c r="AY867" s="932"/>
      <c r="AZ867" s="932"/>
      <c r="BA867" s="932"/>
      <c r="BB867" s="932"/>
      <c r="BC867" s="932"/>
      <c r="BD867" s="932"/>
      <c r="BE867" s="932"/>
      <c r="BF867" s="932"/>
    </row>
    <row r="868" spans="2:58" ht="15" x14ac:dyDescent="0.25">
      <c r="B868" s="932"/>
      <c r="C868" s="932"/>
      <c r="D868" s="932"/>
      <c r="E868" s="932"/>
      <c r="F868" s="932"/>
      <c r="G868" s="932"/>
      <c r="H868" s="932"/>
      <c r="I868" s="932"/>
      <c r="J868" s="932"/>
      <c r="K868" s="932"/>
      <c r="L868" s="932"/>
      <c r="M868" s="932"/>
      <c r="N868" s="932"/>
      <c r="O868" s="932"/>
      <c r="P868" s="932"/>
      <c r="Q868" s="932"/>
      <c r="R868" s="932"/>
      <c r="S868" s="932"/>
      <c r="T868" s="932"/>
      <c r="U868" s="932"/>
      <c r="V868" s="932"/>
      <c r="W868" s="932"/>
      <c r="X868" s="932"/>
      <c r="Y868" s="932"/>
      <c r="Z868" s="932"/>
      <c r="AA868" s="932"/>
      <c r="AB868" s="932"/>
      <c r="AC868" s="932"/>
      <c r="AD868" s="932"/>
      <c r="AE868" s="932"/>
      <c r="AF868" s="932"/>
      <c r="AG868" s="932"/>
      <c r="AH868" s="932"/>
      <c r="AI868" s="932"/>
      <c r="AJ868" s="932"/>
      <c r="AK868" s="932"/>
      <c r="AL868" s="932"/>
      <c r="AM868" s="932"/>
      <c r="AN868" s="932"/>
      <c r="AO868" s="932"/>
      <c r="AP868" s="932"/>
      <c r="AQ868" s="932"/>
      <c r="AR868" s="932"/>
      <c r="AS868" s="932"/>
      <c r="AT868" s="932"/>
      <c r="AU868" s="932"/>
      <c r="AV868" s="932"/>
      <c r="AW868" s="932"/>
      <c r="AX868" s="932"/>
      <c r="AY868" s="932"/>
      <c r="AZ868" s="932"/>
      <c r="BA868" s="932"/>
      <c r="BB868" s="932"/>
      <c r="BC868" s="932"/>
      <c r="BD868" s="932"/>
      <c r="BE868" s="932"/>
      <c r="BF868" s="932"/>
    </row>
    <row r="869" spans="2:58" ht="15" x14ac:dyDescent="0.25">
      <c r="B869" s="932"/>
      <c r="C869" s="932"/>
      <c r="D869" s="932"/>
      <c r="E869" s="932"/>
      <c r="F869" s="932"/>
      <c r="G869" s="932"/>
      <c r="H869" s="932"/>
      <c r="I869" s="932"/>
      <c r="J869" s="932"/>
      <c r="K869" s="932"/>
      <c r="L869" s="932"/>
      <c r="M869" s="932"/>
      <c r="N869" s="932"/>
      <c r="O869" s="932"/>
      <c r="P869" s="932"/>
      <c r="Q869" s="932"/>
      <c r="R869" s="932"/>
      <c r="S869" s="932"/>
      <c r="T869" s="932"/>
      <c r="U869" s="932"/>
      <c r="V869" s="932"/>
      <c r="W869" s="932"/>
      <c r="X869" s="932"/>
      <c r="Y869" s="932"/>
      <c r="Z869" s="932"/>
      <c r="AA869" s="932"/>
      <c r="AB869" s="932"/>
      <c r="AC869" s="932"/>
      <c r="AD869" s="932"/>
      <c r="AE869" s="932"/>
      <c r="AF869" s="932"/>
      <c r="AG869" s="932"/>
      <c r="AH869" s="932"/>
      <c r="AI869" s="932"/>
      <c r="AJ869" s="932"/>
      <c r="AK869" s="932"/>
      <c r="AL869" s="932"/>
      <c r="AM869" s="932"/>
      <c r="AN869" s="932"/>
      <c r="AO869" s="932"/>
      <c r="AP869" s="932"/>
      <c r="AQ869" s="932"/>
      <c r="AR869" s="932"/>
      <c r="AS869" s="932"/>
      <c r="AT869" s="932"/>
      <c r="AU869" s="932"/>
      <c r="AV869" s="932"/>
      <c r="AW869" s="932"/>
      <c r="AX869" s="932"/>
      <c r="AY869" s="932"/>
      <c r="AZ869" s="932"/>
      <c r="BA869" s="932"/>
      <c r="BB869" s="932"/>
      <c r="BC869" s="932"/>
      <c r="BD869" s="932"/>
      <c r="BE869" s="932"/>
      <c r="BF869" s="932"/>
    </row>
    <row r="870" spans="2:58" ht="15" x14ac:dyDescent="0.25">
      <c r="B870" s="932"/>
      <c r="C870" s="932"/>
      <c r="D870" s="932"/>
      <c r="E870" s="932"/>
      <c r="F870" s="932"/>
      <c r="G870" s="932"/>
      <c r="H870" s="932"/>
      <c r="I870" s="932"/>
      <c r="J870" s="932"/>
      <c r="K870" s="932"/>
      <c r="L870" s="932"/>
      <c r="M870" s="932"/>
      <c r="N870" s="932"/>
      <c r="O870" s="932"/>
      <c r="P870" s="932"/>
      <c r="Q870" s="932"/>
      <c r="R870" s="932"/>
      <c r="S870" s="932"/>
      <c r="T870" s="932"/>
      <c r="U870" s="932"/>
      <c r="V870" s="932"/>
      <c r="W870" s="932"/>
      <c r="X870" s="932"/>
      <c r="Y870" s="932"/>
      <c r="Z870" s="932"/>
      <c r="AA870" s="932"/>
      <c r="AB870" s="932"/>
      <c r="AC870" s="932"/>
      <c r="AD870" s="932"/>
      <c r="AE870" s="932"/>
      <c r="AF870" s="932"/>
      <c r="AG870" s="932"/>
      <c r="AH870" s="932"/>
      <c r="AI870" s="932"/>
      <c r="AJ870" s="932"/>
      <c r="AK870" s="932"/>
      <c r="AL870" s="932"/>
      <c r="AM870" s="932"/>
      <c r="AN870" s="932"/>
      <c r="AO870" s="932"/>
      <c r="AP870" s="932"/>
      <c r="AQ870" s="932"/>
      <c r="AR870" s="932"/>
      <c r="AS870" s="932"/>
      <c r="AT870" s="932"/>
      <c r="AU870" s="932"/>
      <c r="AV870" s="932"/>
      <c r="AW870" s="932"/>
      <c r="AX870" s="932"/>
      <c r="AY870" s="932"/>
      <c r="AZ870" s="932"/>
      <c r="BA870" s="932"/>
      <c r="BB870" s="932"/>
      <c r="BC870" s="932"/>
      <c r="BD870" s="932"/>
      <c r="BE870" s="932"/>
      <c r="BF870" s="932"/>
    </row>
    <row r="871" spans="2:58" ht="15" x14ac:dyDescent="0.25">
      <c r="B871" s="932"/>
      <c r="C871" s="932"/>
      <c r="D871" s="932"/>
      <c r="E871" s="932"/>
      <c r="F871" s="932"/>
      <c r="G871" s="932"/>
      <c r="H871" s="932"/>
      <c r="I871" s="932"/>
      <c r="J871" s="932"/>
      <c r="K871" s="932"/>
      <c r="L871" s="932"/>
      <c r="M871" s="932"/>
      <c r="N871" s="932"/>
      <c r="O871" s="932"/>
      <c r="P871" s="932"/>
      <c r="Q871" s="932"/>
      <c r="R871" s="932"/>
      <c r="S871" s="932"/>
      <c r="T871" s="932"/>
      <c r="U871" s="932"/>
      <c r="V871" s="932"/>
      <c r="W871" s="932"/>
      <c r="X871" s="932"/>
      <c r="Y871" s="932"/>
      <c r="Z871" s="932"/>
      <c r="AA871" s="932"/>
      <c r="AB871" s="932"/>
      <c r="AC871" s="932"/>
      <c r="AD871" s="932"/>
      <c r="AE871" s="932"/>
      <c r="AF871" s="932"/>
      <c r="AG871" s="932"/>
      <c r="AH871" s="932"/>
      <c r="AI871" s="932"/>
      <c r="AJ871" s="932"/>
      <c r="AK871" s="932"/>
      <c r="AL871" s="932"/>
      <c r="AM871" s="932"/>
      <c r="AN871" s="932"/>
      <c r="AO871" s="932"/>
      <c r="AP871" s="932"/>
      <c r="AQ871" s="932"/>
      <c r="AR871" s="932"/>
      <c r="AS871" s="932"/>
      <c r="AT871" s="932"/>
      <c r="AU871" s="932"/>
      <c r="AV871" s="932"/>
      <c r="AW871" s="932"/>
      <c r="AX871" s="932"/>
      <c r="AY871" s="932"/>
      <c r="AZ871" s="932"/>
      <c r="BA871" s="932"/>
      <c r="BB871" s="932"/>
      <c r="BC871" s="932"/>
      <c r="BD871" s="932"/>
      <c r="BE871" s="932"/>
      <c r="BF871" s="932"/>
    </row>
    <row r="872" spans="2:58" ht="15" x14ac:dyDescent="0.25">
      <c r="B872" s="932"/>
      <c r="C872" s="932"/>
      <c r="D872" s="932"/>
      <c r="E872" s="932"/>
      <c r="F872" s="932"/>
      <c r="G872" s="932"/>
      <c r="H872" s="932"/>
      <c r="I872" s="932"/>
      <c r="J872" s="932"/>
      <c r="K872" s="932"/>
      <c r="L872" s="932"/>
      <c r="M872" s="932"/>
      <c r="N872" s="932"/>
      <c r="O872" s="932"/>
      <c r="P872" s="932"/>
      <c r="Q872" s="932"/>
      <c r="R872" s="932"/>
      <c r="S872" s="932"/>
      <c r="T872" s="932"/>
      <c r="U872" s="932"/>
      <c r="V872" s="932"/>
      <c r="W872" s="932"/>
      <c r="X872" s="932"/>
      <c r="Y872" s="932"/>
      <c r="Z872" s="932"/>
      <c r="AA872" s="932"/>
      <c r="AB872" s="932"/>
      <c r="AC872" s="932"/>
      <c r="AD872" s="932"/>
      <c r="AE872" s="932"/>
      <c r="AF872" s="932"/>
      <c r="AG872" s="932"/>
      <c r="AH872" s="932"/>
      <c r="AI872" s="932"/>
      <c r="AJ872" s="932"/>
      <c r="AK872" s="932"/>
      <c r="AL872" s="932"/>
      <c r="AM872" s="932"/>
      <c r="AN872" s="932"/>
      <c r="AO872" s="932"/>
      <c r="AP872" s="932"/>
      <c r="AQ872" s="932"/>
      <c r="AR872" s="932"/>
      <c r="AS872" s="932"/>
      <c r="AT872" s="932"/>
      <c r="AU872" s="932"/>
      <c r="AV872" s="932"/>
      <c r="AW872" s="932"/>
      <c r="AX872" s="932"/>
      <c r="AY872" s="932"/>
      <c r="AZ872" s="932"/>
      <c r="BA872" s="932"/>
      <c r="BB872" s="932"/>
      <c r="BC872" s="932"/>
      <c r="BD872" s="932"/>
      <c r="BE872" s="932"/>
      <c r="BF872" s="932"/>
    </row>
    <row r="873" spans="2:58" ht="15" x14ac:dyDescent="0.25">
      <c r="B873" s="932"/>
      <c r="C873" s="932"/>
      <c r="D873" s="932"/>
      <c r="E873" s="932"/>
      <c r="F873" s="932"/>
      <c r="G873" s="932"/>
      <c r="H873" s="932"/>
      <c r="I873" s="932"/>
      <c r="J873" s="932"/>
      <c r="K873" s="932"/>
      <c r="L873" s="932"/>
      <c r="M873" s="932"/>
      <c r="N873" s="932"/>
      <c r="O873" s="932"/>
      <c r="P873" s="932"/>
      <c r="Q873" s="932"/>
      <c r="R873" s="932"/>
      <c r="S873" s="932"/>
      <c r="T873" s="932"/>
      <c r="U873" s="932"/>
      <c r="V873" s="932"/>
      <c r="W873" s="932"/>
      <c r="X873" s="932"/>
      <c r="Y873" s="932"/>
      <c r="Z873" s="932"/>
      <c r="AA873" s="932"/>
      <c r="AB873" s="932"/>
      <c r="AC873" s="932"/>
      <c r="AD873" s="932"/>
      <c r="AE873" s="932"/>
      <c r="AF873" s="932"/>
      <c r="AG873" s="932"/>
      <c r="AH873" s="932"/>
      <c r="AI873" s="932"/>
      <c r="AJ873" s="932"/>
      <c r="AK873" s="932"/>
      <c r="AL873" s="932"/>
      <c r="AM873" s="932"/>
      <c r="AN873" s="932"/>
      <c r="AO873" s="932"/>
      <c r="AP873" s="932"/>
      <c r="AQ873" s="932"/>
      <c r="AR873" s="932"/>
      <c r="AS873" s="932"/>
      <c r="AT873" s="932"/>
      <c r="AU873" s="932"/>
      <c r="AV873" s="932"/>
      <c r="AW873" s="932"/>
      <c r="AX873" s="932"/>
      <c r="AY873" s="932"/>
      <c r="AZ873" s="932"/>
      <c r="BA873" s="932"/>
      <c r="BB873" s="932"/>
      <c r="BC873" s="932"/>
      <c r="BD873" s="932"/>
      <c r="BE873" s="932"/>
      <c r="BF873" s="932"/>
    </row>
    <row r="874" spans="2:58" ht="15" x14ac:dyDescent="0.25">
      <c r="B874" s="932"/>
      <c r="C874" s="932"/>
      <c r="D874" s="932"/>
      <c r="E874" s="932"/>
      <c r="F874" s="932"/>
      <c r="G874" s="932"/>
      <c r="H874" s="932"/>
      <c r="I874" s="932"/>
      <c r="J874" s="932"/>
      <c r="K874" s="932"/>
      <c r="L874" s="932"/>
      <c r="M874" s="932"/>
      <c r="N874" s="932"/>
      <c r="O874" s="932"/>
      <c r="P874" s="932"/>
      <c r="Q874" s="932"/>
      <c r="R874" s="932"/>
      <c r="S874" s="932"/>
      <c r="T874" s="932"/>
      <c r="U874" s="932"/>
      <c r="V874" s="932"/>
      <c r="W874" s="932"/>
      <c r="X874" s="932"/>
      <c r="Y874" s="932"/>
      <c r="Z874" s="932"/>
      <c r="AA874" s="932"/>
      <c r="AB874" s="932"/>
      <c r="AC874" s="932"/>
      <c r="AD874" s="932"/>
      <c r="AE874" s="932"/>
      <c r="AF874" s="932"/>
      <c r="AG874" s="932"/>
      <c r="AH874" s="932"/>
      <c r="AI874" s="932"/>
      <c r="AJ874" s="932"/>
      <c r="AK874" s="932"/>
      <c r="AL874" s="932"/>
      <c r="AM874" s="932"/>
      <c r="AN874" s="932"/>
      <c r="AO874" s="932"/>
      <c r="AP874" s="932"/>
      <c r="AQ874" s="932"/>
      <c r="AR874" s="932"/>
      <c r="AS874" s="932"/>
      <c r="AT874" s="932"/>
      <c r="AU874" s="932"/>
      <c r="AV874" s="932"/>
      <c r="AW874" s="932"/>
      <c r="AX874" s="932"/>
      <c r="AY874" s="932"/>
      <c r="AZ874" s="932"/>
      <c r="BA874" s="932"/>
      <c r="BB874" s="932"/>
      <c r="BC874" s="932"/>
      <c r="BD874" s="932"/>
      <c r="BE874" s="932"/>
      <c r="BF874" s="932"/>
    </row>
    <row r="875" spans="2:58" ht="15" x14ac:dyDescent="0.25">
      <c r="B875" s="932"/>
      <c r="C875" s="932"/>
      <c r="D875" s="932"/>
      <c r="E875" s="932"/>
      <c r="F875" s="932"/>
      <c r="G875" s="932"/>
      <c r="H875" s="932"/>
      <c r="I875" s="932"/>
      <c r="J875" s="932"/>
      <c r="K875" s="932"/>
      <c r="L875" s="932"/>
      <c r="M875" s="932"/>
      <c r="N875" s="932"/>
      <c r="O875" s="932"/>
      <c r="P875" s="932"/>
      <c r="Q875" s="932"/>
      <c r="R875" s="932"/>
      <c r="S875" s="932"/>
      <c r="T875" s="932"/>
      <c r="U875" s="932"/>
      <c r="V875" s="932"/>
      <c r="W875" s="932"/>
      <c r="X875" s="932"/>
      <c r="Y875" s="932"/>
      <c r="Z875" s="932"/>
      <c r="AA875" s="932"/>
      <c r="AB875" s="932"/>
      <c r="AC875" s="932"/>
      <c r="AD875" s="932"/>
      <c r="AE875" s="932"/>
      <c r="AF875" s="932"/>
      <c r="AG875" s="932"/>
      <c r="AH875" s="932"/>
      <c r="AI875" s="932"/>
      <c r="AJ875" s="932"/>
      <c r="AK875" s="932"/>
      <c r="AL875" s="932"/>
      <c r="AM875" s="932"/>
      <c r="AN875" s="932"/>
      <c r="AO875" s="932"/>
      <c r="AP875" s="932"/>
      <c r="AQ875" s="932"/>
      <c r="AR875" s="932"/>
      <c r="AS875" s="932"/>
      <c r="AT875" s="932"/>
      <c r="AU875" s="932"/>
      <c r="AV875" s="932"/>
      <c r="AW875" s="932"/>
      <c r="AX875" s="932"/>
      <c r="AY875" s="932"/>
      <c r="AZ875" s="932"/>
      <c r="BA875" s="932"/>
      <c r="BB875" s="932"/>
      <c r="BC875" s="932"/>
      <c r="BD875" s="932"/>
      <c r="BE875" s="932"/>
      <c r="BF875" s="932"/>
    </row>
    <row r="876" spans="2:58" ht="15" x14ac:dyDescent="0.25">
      <c r="B876" s="932"/>
      <c r="C876" s="932"/>
      <c r="D876" s="932"/>
      <c r="E876" s="932"/>
      <c r="F876" s="932"/>
      <c r="G876" s="932"/>
      <c r="H876" s="932"/>
      <c r="I876" s="932"/>
      <c r="J876" s="932"/>
      <c r="K876" s="932"/>
      <c r="L876" s="932"/>
      <c r="M876" s="932"/>
      <c r="N876" s="932"/>
      <c r="O876" s="932"/>
      <c r="P876" s="932"/>
      <c r="Q876" s="932"/>
      <c r="R876" s="932"/>
      <c r="S876" s="932"/>
      <c r="T876" s="932"/>
      <c r="U876" s="932"/>
      <c r="V876" s="932"/>
      <c r="W876" s="932"/>
      <c r="X876" s="932"/>
      <c r="Y876" s="932"/>
      <c r="Z876" s="932"/>
      <c r="AA876" s="932"/>
      <c r="AB876" s="932"/>
      <c r="AC876" s="932"/>
      <c r="AD876" s="932"/>
      <c r="AE876" s="932"/>
      <c r="AF876" s="932"/>
      <c r="AG876" s="932"/>
      <c r="AH876" s="932"/>
      <c r="AI876" s="932"/>
      <c r="AJ876" s="932"/>
      <c r="AK876" s="932"/>
      <c r="AL876" s="932"/>
      <c r="AM876" s="932"/>
      <c r="AN876" s="932"/>
      <c r="AO876" s="932"/>
      <c r="AP876" s="932"/>
      <c r="AQ876" s="932"/>
      <c r="AR876" s="932"/>
      <c r="AS876" s="932"/>
      <c r="AT876" s="932"/>
      <c r="AU876" s="932"/>
      <c r="AV876" s="932"/>
      <c r="AW876" s="932"/>
      <c r="AX876" s="932"/>
      <c r="AY876" s="932"/>
      <c r="AZ876" s="932"/>
      <c r="BA876" s="932"/>
      <c r="BB876" s="932"/>
      <c r="BC876" s="932"/>
      <c r="BD876" s="932"/>
      <c r="BE876" s="932"/>
      <c r="BF876" s="932"/>
    </row>
    <row r="877" spans="2:58" ht="15" x14ac:dyDescent="0.25">
      <c r="B877" s="932"/>
      <c r="C877" s="932"/>
      <c r="D877" s="932"/>
      <c r="E877" s="932"/>
      <c r="F877" s="932"/>
      <c r="G877" s="932"/>
      <c r="H877" s="932"/>
      <c r="I877" s="932"/>
      <c r="J877" s="932"/>
      <c r="K877" s="932"/>
      <c r="L877" s="932"/>
      <c r="M877" s="932"/>
      <c r="N877" s="932"/>
      <c r="O877" s="932"/>
      <c r="P877" s="932"/>
      <c r="Q877" s="932"/>
      <c r="R877" s="932"/>
      <c r="S877" s="932"/>
      <c r="T877" s="932"/>
      <c r="U877" s="932"/>
      <c r="V877" s="932"/>
      <c r="W877" s="932"/>
      <c r="X877" s="932"/>
      <c r="Y877" s="932"/>
      <c r="Z877" s="932"/>
      <c r="AA877" s="932"/>
      <c r="AB877" s="932"/>
      <c r="AC877" s="932"/>
      <c r="AD877" s="932"/>
      <c r="AE877" s="932"/>
      <c r="AF877" s="932"/>
      <c r="AG877" s="932"/>
      <c r="AH877" s="932"/>
      <c r="AI877" s="932"/>
      <c r="AJ877" s="932"/>
      <c r="AK877" s="932"/>
      <c r="AL877" s="932"/>
      <c r="AM877" s="932"/>
      <c r="AN877" s="932"/>
      <c r="AO877" s="932"/>
      <c r="AP877" s="932"/>
      <c r="AQ877" s="932"/>
      <c r="AR877" s="932"/>
      <c r="AS877" s="932"/>
      <c r="AT877" s="932"/>
      <c r="AU877" s="932"/>
      <c r="AV877" s="932"/>
      <c r="AW877" s="932"/>
      <c r="AX877" s="932"/>
      <c r="AY877" s="932"/>
      <c r="AZ877" s="932"/>
      <c r="BA877" s="932"/>
      <c r="BB877" s="932"/>
      <c r="BC877" s="932"/>
      <c r="BD877" s="932"/>
      <c r="BE877" s="932"/>
      <c r="BF877" s="932"/>
    </row>
    <row r="878" spans="2:58" ht="15" x14ac:dyDescent="0.25">
      <c r="B878" s="932"/>
      <c r="C878" s="932"/>
      <c r="D878" s="932"/>
      <c r="E878" s="932"/>
      <c r="F878" s="932"/>
      <c r="G878" s="932"/>
      <c r="H878" s="932"/>
      <c r="I878" s="932"/>
      <c r="J878" s="932"/>
      <c r="K878" s="932"/>
      <c r="L878" s="932"/>
      <c r="M878" s="932"/>
      <c r="N878" s="932"/>
      <c r="O878" s="932"/>
      <c r="P878" s="932"/>
      <c r="Q878" s="932"/>
      <c r="R878" s="932"/>
      <c r="S878" s="932"/>
      <c r="T878" s="932"/>
      <c r="U878" s="932"/>
      <c r="V878" s="932"/>
      <c r="W878" s="932"/>
      <c r="X878" s="932"/>
      <c r="Y878" s="932"/>
      <c r="Z878" s="932"/>
      <c r="AA878" s="932"/>
      <c r="AB878" s="932"/>
      <c r="AC878" s="932"/>
      <c r="AD878" s="932"/>
      <c r="AE878" s="932"/>
      <c r="AF878" s="932"/>
      <c r="AG878" s="932"/>
      <c r="AH878" s="932"/>
      <c r="AI878" s="932"/>
      <c r="AJ878" s="932"/>
      <c r="AK878" s="932"/>
      <c r="AL878" s="932"/>
      <c r="AM878" s="932"/>
      <c r="AN878" s="932"/>
      <c r="AO878" s="932"/>
      <c r="AP878" s="932"/>
      <c r="AQ878" s="932"/>
      <c r="AR878" s="932"/>
      <c r="AS878" s="932"/>
      <c r="AT878" s="932"/>
      <c r="AU878" s="932"/>
      <c r="AV878" s="932"/>
      <c r="AW878" s="932"/>
      <c r="AX878" s="932"/>
      <c r="AY878" s="932"/>
      <c r="AZ878" s="932"/>
      <c r="BA878" s="932"/>
      <c r="BB878" s="932"/>
      <c r="BC878" s="932"/>
      <c r="BD878" s="932"/>
      <c r="BE878" s="932"/>
      <c r="BF878" s="932"/>
    </row>
    <row r="879" spans="2:58" ht="15" x14ac:dyDescent="0.25">
      <c r="B879" s="932"/>
      <c r="C879" s="932"/>
      <c r="D879" s="932"/>
      <c r="E879" s="932"/>
      <c r="F879" s="932"/>
      <c r="G879" s="932"/>
      <c r="H879" s="932"/>
      <c r="I879" s="932"/>
      <c r="J879" s="932"/>
      <c r="K879" s="932"/>
      <c r="L879" s="932"/>
      <c r="M879" s="932"/>
      <c r="N879" s="932"/>
      <c r="O879" s="932"/>
      <c r="P879" s="932"/>
      <c r="Q879" s="932"/>
      <c r="R879" s="932"/>
      <c r="S879" s="932"/>
      <c r="T879" s="932"/>
      <c r="U879" s="932"/>
      <c r="V879" s="932"/>
      <c r="W879" s="932"/>
      <c r="X879" s="932"/>
      <c r="Y879" s="932"/>
      <c r="Z879" s="932"/>
      <c r="AA879" s="932"/>
      <c r="AB879" s="932"/>
      <c r="AC879" s="932"/>
      <c r="AD879" s="932"/>
      <c r="AE879" s="932"/>
      <c r="AF879" s="932"/>
      <c r="AG879" s="932"/>
      <c r="AH879" s="932"/>
      <c r="AI879" s="932"/>
      <c r="AJ879" s="932"/>
      <c r="AK879" s="932"/>
      <c r="AL879" s="932"/>
      <c r="AM879" s="932"/>
      <c r="AN879" s="932"/>
      <c r="AO879" s="932"/>
      <c r="AP879" s="932"/>
      <c r="AQ879" s="932"/>
      <c r="AR879" s="932"/>
      <c r="AS879" s="932"/>
      <c r="AT879" s="932"/>
      <c r="AU879" s="932"/>
      <c r="AV879" s="932"/>
      <c r="AW879" s="932"/>
      <c r="AX879" s="932"/>
      <c r="AY879" s="932"/>
      <c r="AZ879" s="932"/>
      <c r="BA879" s="932"/>
      <c r="BB879" s="932"/>
      <c r="BC879" s="932"/>
      <c r="BD879" s="932"/>
      <c r="BE879" s="932"/>
      <c r="BF879" s="932"/>
    </row>
    <row r="880" spans="2:58" ht="15" x14ac:dyDescent="0.25">
      <c r="B880" s="932"/>
      <c r="C880" s="932"/>
      <c r="D880" s="932"/>
      <c r="E880" s="932"/>
      <c r="F880" s="932"/>
      <c r="G880" s="932"/>
      <c r="H880" s="932"/>
      <c r="I880" s="932"/>
      <c r="J880" s="932"/>
      <c r="K880" s="932"/>
      <c r="L880" s="932"/>
      <c r="M880" s="932"/>
      <c r="N880" s="932"/>
      <c r="O880" s="932"/>
      <c r="P880" s="932"/>
      <c r="Q880" s="932"/>
      <c r="R880" s="932"/>
      <c r="S880" s="932"/>
      <c r="T880" s="932"/>
      <c r="U880" s="932"/>
      <c r="V880" s="932"/>
      <c r="W880" s="932"/>
      <c r="X880" s="932"/>
      <c r="Y880" s="932"/>
      <c r="Z880" s="932"/>
      <c r="AA880" s="932"/>
      <c r="AB880" s="932"/>
      <c r="AC880" s="932"/>
      <c r="AD880" s="932"/>
      <c r="AE880" s="932"/>
      <c r="AF880" s="932"/>
      <c r="AG880" s="932"/>
      <c r="AH880" s="932"/>
      <c r="AI880" s="932"/>
      <c r="AJ880" s="932"/>
      <c r="AK880" s="932"/>
      <c r="AL880" s="932"/>
      <c r="AM880" s="932"/>
      <c r="AN880" s="932"/>
      <c r="AO880" s="932"/>
      <c r="AP880" s="932"/>
      <c r="AQ880" s="932"/>
      <c r="AR880" s="932"/>
      <c r="AS880" s="932"/>
      <c r="AT880" s="932"/>
      <c r="AU880" s="932"/>
      <c r="AV880" s="932"/>
      <c r="AW880" s="932"/>
      <c r="AX880" s="932"/>
      <c r="AY880" s="932"/>
      <c r="AZ880" s="932"/>
      <c r="BA880" s="932"/>
      <c r="BB880" s="932"/>
      <c r="BC880" s="932"/>
      <c r="BD880" s="932"/>
      <c r="BE880" s="932"/>
      <c r="BF880" s="932"/>
    </row>
    <row r="881" spans="2:58" ht="15" x14ac:dyDescent="0.25">
      <c r="B881" s="932"/>
      <c r="C881" s="932"/>
      <c r="D881" s="932"/>
      <c r="E881" s="932"/>
      <c r="F881" s="932"/>
      <c r="G881" s="932"/>
      <c r="H881" s="932"/>
      <c r="I881" s="932"/>
      <c r="J881" s="932"/>
      <c r="K881" s="932"/>
      <c r="L881" s="932"/>
      <c r="M881" s="932"/>
      <c r="N881" s="932"/>
      <c r="O881" s="932"/>
      <c r="P881" s="932"/>
      <c r="Q881" s="932"/>
      <c r="R881" s="932"/>
      <c r="S881" s="932"/>
      <c r="T881" s="932"/>
      <c r="U881" s="932"/>
      <c r="V881" s="932"/>
      <c r="W881" s="932"/>
      <c r="X881" s="932"/>
      <c r="Y881" s="932"/>
      <c r="Z881" s="932"/>
      <c r="AA881" s="932"/>
      <c r="AB881" s="932"/>
      <c r="AC881" s="932"/>
      <c r="AD881" s="932"/>
      <c r="AE881" s="932"/>
      <c r="AF881" s="932"/>
      <c r="AG881" s="932"/>
      <c r="AH881" s="932"/>
      <c r="AI881" s="932"/>
      <c r="AJ881" s="932"/>
      <c r="AK881" s="932"/>
      <c r="AL881" s="932"/>
      <c r="AM881" s="932"/>
      <c r="AN881" s="932"/>
      <c r="AO881" s="932"/>
      <c r="AP881" s="932"/>
      <c r="AQ881" s="932"/>
      <c r="AR881" s="932"/>
      <c r="AS881" s="932"/>
      <c r="AT881" s="932"/>
      <c r="AU881" s="932"/>
      <c r="AV881" s="932"/>
      <c r="AW881" s="932"/>
      <c r="AX881" s="932"/>
      <c r="AY881" s="932"/>
      <c r="AZ881" s="932"/>
      <c r="BA881" s="932"/>
      <c r="BB881" s="932"/>
      <c r="BC881" s="932"/>
      <c r="BD881" s="932"/>
      <c r="BE881" s="932"/>
      <c r="BF881" s="932"/>
    </row>
    <row r="882" spans="2:58" ht="15" x14ac:dyDescent="0.25">
      <c r="B882" s="932"/>
      <c r="C882" s="932"/>
      <c r="D882" s="932"/>
      <c r="E882" s="932"/>
      <c r="F882" s="932"/>
      <c r="G882" s="932"/>
      <c r="H882" s="932"/>
      <c r="I882" s="932"/>
      <c r="J882" s="932"/>
      <c r="K882" s="932"/>
      <c r="L882" s="932"/>
      <c r="M882" s="932"/>
      <c r="N882" s="932"/>
      <c r="O882" s="932"/>
      <c r="P882" s="932"/>
      <c r="Q882" s="932"/>
      <c r="R882" s="932"/>
      <c r="S882" s="932"/>
      <c r="T882" s="932"/>
      <c r="U882" s="932"/>
      <c r="V882" s="932"/>
      <c r="W882" s="932"/>
      <c r="X882" s="932"/>
      <c r="Y882" s="932"/>
      <c r="Z882" s="932"/>
      <c r="AA882" s="932"/>
      <c r="AB882" s="932"/>
      <c r="AC882" s="932"/>
      <c r="AD882" s="932"/>
      <c r="AE882" s="932"/>
      <c r="AF882" s="932"/>
      <c r="AG882" s="932"/>
      <c r="AH882" s="932"/>
      <c r="AI882" s="932"/>
      <c r="AJ882" s="932"/>
      <c r="AK882" s="932"/>
      <c r="AL882" s="932"/>
      <c r="AM882" s="932"/>
      <c r="AN882" s="932"/>
      <c r="AO882" s="932"/>
      <c r="AP882" s="932"/>
      <c r="AQ882" s="932"/>
      <c r="AR882" s="932"/>
      <c r="AS882" s="932"/>
      <c r="AT882" s="932"/>
      <c r="AU882" s="932"/>
      <c r="AV882" s="932"/>
      <c r="AW882" s="932"/>
      <c r="AX882" s="932"/>
      <c r="AY882" s="932"/>
      <c r="AZ882" s="932"/>
      <c r="BA882" s="932"/>
      <c r="BB882" s="932"/>
      <c r="BC882" s="932"/>
      <c r="BD882" s="932"/>
      <c r="BE882" s="932"/>
      <c r="BF882" s="932"/>
    </row>
    <row r="883" spans="2:58" ht="15" x14ac:dyDescent="0.25">
      <c r="B883" s="932"/>
      <c r="C883" s="932"/>
      <c r="D883" s="932"/>
      <c r="E883" s="932"/>
      <c r="F883" s="932"/>
      <c r="G883" s="932"/>
      <c r="H883" s="932"/>
      <c r="I883" s="932"/>
      <c r="J883" s="932"/>
      <c r="K883" s="932"/>
      <c r="L883" s="932"/>
      <c r="M883" s="932"/>
      <c r="N883" s="932"/>
      <c r="O883" s="932"/>
      <c r="P883" s="932"/>
      <c r="Q883" s="932"/>
      <c r="R883" s="932"/>
      <c r="S883" s="932"/>
      <c r="T883" s="932"/>
      <c r="U883" s="932"/>
      <c r="V883" s="932"/>
      <c r="W883" s="932"/>
      <c r="X883" s="932"/>
      <c r="Y883" s="932"/>
      <c r="Z883" s="932"/>
      <c r="AA883" s="932"/>
      <c r="AB883" s="932"/>
      <c r="AC883" s="932"/>
      <c r="AD883" s="932"/>
      <c r="AE883" s="932"/>
      <c r="AF883" s="932"/>
      <c r="AG883" s="932"/>
      <c r="AH883" s="932"/>
      <c r="AI883" s="932"/>
      <c r="AJ883" s="932"/>
      <c r="AK883" s="932"/>
      <c r="AL883" s="932"/>
      <c r="AM883" s="932"/>
      <c r="AN883" s="932"/>
      <c r="AO883" s="932"/>
      <c r="AP883" s="932"/>
      <c r="AQ883" s="932"/>
      <c r="AR883" s="932"/>
      <c r="AS883" s="932"/>
      <c r="AT883" s="932"/>
      <c r="AU883" s="932"/>
      <c r="AV883" s="932"/>
      <c r="AW883" s="932"/>
      <c r="AX883" s="932"/>
      <c r="AY883" s="932"/>
      <c r="AZ883" s="932"/>
      <c r="BA883" s="932"/>
      <c r="BB883" s="932"/>
      <c r="BC883" s="932"/>
      <c r="BD883" s="932"/>
      <c r="BE883" s="932"/>
      <c r="BF883" s="932"/>
    </row>
    <row r="884" spans="2:58" ht="15" x14ac:dyDescent="0.25">
      <c r="B884" s="932"/>
      <c r="C884" s="932"/>
      <c r="D884" s="932"/>
      <c r="E884" s="932"/>
      <c r="F884" s="932"/>
      <c r="G884" s="932"/>
      <c r="H884" s="932"/>
      <c r="I884" s="932"/>
      <c r="J884" s="932"/>
      <c r="K884" s="932"/>
      <c r="L884" s="932"/>
      <c r="M884" s="932"/>
      <c r="N884" s="932"/>
      <c r="O884" s="932"/>
      <c r="P884" s="932"/>
      <c r="Q884" s="932"/>
      <c r="R884" s="932"/>
      <c r="S884" s="932"/>
      <c r="T884" s="932"/>
      <c r="U884" s="932"/>
      <c r="V884" s="932"/>
      <c r="W884" s="932"/>
      <c r="X884" s="932"/>
      <c r="Y884" s="932"/>
      <c r="Z884" s="932"/>
      <c r="AA884" s="932"/>
      <c r="AB884" s="932"/>
      <c r="AC884" s="932"/>
      <c r="AD884" s="932"/>
      <c r="AE884" s="932"/>
      <c r="AF884" s="932"/>
      <c r="AG884" s="932"/>
      <c r="AH884" s="932"/>
      <c r="AI884" s="932"/>
      <c r="AJ884" s="932"/>
      <c r="AK884" s="932"/>
      <c r="AL884" s="932"/>
      <c r="AM884" s="932"/>
      <c r="AN884" s="932"/>
      <c r="AO884" s="932"/>
      <c r="AP884" s="932"/>
      <c r="AQ884" s="932"/>
      <c r="AR884" s="932"/>
      <c r="AS884" s="932"/>
      <c r="AT884" s="932"/>
      <c r="AU884" s="932"/>
      <c r="AV884" s="932"/>
      <c r="AW884" s="932"/>
      <c r="AX884" s="932"/>
      <c r="AY884" s="932"/>
      <c r="AZ884" s="932"/>
      <c r="BA884" s="932"/>
      <c r="BB884" s="932"/>
      <c r="BC884" s="932"/>
      <c r="BD884" s="932"/>
      <c r="BE884" s="932"/>
      <c r="BF884" s="932"/>
    </row>
    <row r="885" spans="2:58" ht="15" x14ac:dyDescent="0.25">
      <c r="B885" s="932"/>
      <c r="C885" s="932"/>
      <c r="D885" s="932"/>
      <c r="E885" s="932"/>
      <c r="F885" s="932"/>
      <c r="G885" s="932"/>
      <c r="H885" s="932"/>
      <c r="I885" s="932"/>
      <c r="J885" s="932"/>
      <c r="K885" s="932"/>
      <c r="L885" s="932"/>
      <c r="M885" s="932"/>
      <c r="N885" s="932"/>
      <c r="O885" s="932"/>
      <c r="P885" s="932"/>
      <c r="Q885" s="932"/>
      <c r="R885" s="932"/>
      <c r="S885" s="932"/>
      <c r="T885" s="932"/>
      <c r="U885" s="932"/>
      <c r="V885" s="932"/>
      <c r="W885" s="932"/>
      <c r="X885" s="932"/>
      <c r="Y885" s="932"/>
      <c r="Z885" s="932"/>
      <c r="AA885" s="932"/>
      <c r="AB885" s="932"/>
      <c r="AC885" s="932"/>
      <c r="AD885" s="932"/>
      <c r="AE885" s="932"/>
      <c r="AF885" s="932"/>
      <c r="AG885" s="932"/>
      <c r="AH885" s="932"/>
      <c r="AI885" s="932"/>
      <c r="AJ885" s="932"/>
      <c r="AK885" s="932"/>
      <c r="AL885" s="932"/>
      <c r="AM885" s="932"/>
      <c r="AN885" s="932"/>
      <c r="AO885" s="932"/>
      <c r="AP885" s="932"/>
      <c r="AQ885" s="932"/>
      <c r="AR885" s="932"/>
      <c r="AS885" s="932"/>
      <c r="AT885" s="932"/>
      <c r="AU885" s="932"/>
      <c r="AV885" s="932"/>
      <c r="AW885" s="932"/>
      <c r="AX885" s="932"/>
      <c r="AY885" s="932"/>
      <c r="AZ885" s="932"/>
      <c r="BA885" s="932"/>
      <c r="BB885" s="932"/>
      <c r="BC885" s="932"/>
      <c r="BD885" s="932"/>
      <c r="BE885" s="932"/>
      <c r="BF885" s="932"/>
    </row>
    <row r="886" spans="2:58" ht="15" x14ac:dyDescent="0.25">
      <c r="B886" s="932"/>
      <c r="C886" s="932"/>
      <c r="D886" s="932"/>
      <c r="E886" s="932"/>
      <c r="F886" s="932"/>
      <c r="G886" s="932"/>
      <c r="H886" s="932"/>
      <c r="I886" s="932"/>
      <c r="J886" s="932"/>
      <c r="K886" s="932"/>
      <c r="L886" s="932"/>
      <c r="M886" s="932"/>
      <c r="N886" s="932"/>
      <c r="O886" s="932"/>
      <c r="P886" s="932"/>
      <c r="Q886" s="932"/>
      <c r="R886" s="932"/>
      <c r="S886" s="932"/>
      <c r="T886" s="932"/>
      <c r="U886" s="932"/>
      <c r="V886" s="932"/>
      <c r="W886" s="932"/>
      <c r="X886" s="932"/>
      <c r="Y886" s="932"/>
      <c r="Z886" s="932"/>
      <c r="AA886" s="932"/>
      <c r="AB886" s="932"/>
      <c r="AC886" s="932"/>
      <c r="AD886" s="932"/>
      <c r="AE886" s="932"/>
      <c r="AF886" s="932"/>
      <c r="AG886" s="932"/>
      <c r="AH886" s="932"/>
      <c r="AI886" s="932"/>
      <c r="AJ886" s="932"/>
      <c r="AK886" s="932"/>
      <c r="AL886" s="932"/>
      <c r="AM886" s="932"/>
      <c r="AN886" s="932"/>
      <c r="AO886" s="932"/>
      <c r="AP886" s="932"/>
      <c r="AQ886" s="932"/>
      <c r="AR886" s="932"/>
      <c r="AS886" s="932"/>
      <c r="AT886" s="932"/>
      <c r="AU886" s="932"/>
      <c r="AV886" s="932"/>
      <c r="AW886" s="932"/>
      <c r="AX886" s="932"/>
      <c r="AY886" s="932"/>
      <c r="AZ886" s="932"/>
      <c r="BA886" s="932"/>
      <c r="BB886" s="932"/>
      <c r="BC886" s="932"/>
      <c r="BD886" s="932"/>
      <c r="BE886" s="932"/>
      <c r="BF886" s="932"/>
    </row>
    <row r="887" spans="2:58" ht="15" x14ac:dyDescent="0.25">
      <c r="B887" s="932"/>
      <c r="C887" s="932"/>
      <c r="D887" s="932"/>
      <c r="E887" s="932"/>
      <c r="F887" s="932"/>
      <c r="G887" s="932"/>
      <c r="H887" s="932"/>
      <c r="I887" s="932"/>
      <c r="J887" s="932"/>
      <c r="K887" s="932"/>
      <c r="L887" s="932"/>
      <c r="M887" s="932"/>
      <c r="N887" s="932"/>
      <c r="O887" s="932"/>
      <c r="P887" s="932"/>
      <c r="Q887" s="932"/>
      <c r="R887" s="932"/>
      <c r="S887" s="932"/>
      <c r="T887" s="932"/>
      <c r="U887" s="932"/>
      <c r="V887" s="932"/>
      <c r="W887" s="932"/>
      <c r="X887" s="932"/>
      <c r="Y887" s="932"/>
      <c r="Z887" s="932"/>
      <c r="AA887" s="932"/>
      <c r="AB887" s="932"/>
      <c r="AC887" s="932"/>
      <c r="AD887" s="932"/>
      <c r="AE887" s="932"/>
      <c r="AF887" s="932"/>
      <c r="AG887" s="932"/>
      <c r="AH887" s="932"/>
      <c r="AI887" s="932"/>
      <c r="AJ887" s="932"/>
      <c r="AK887" s="932"/>
      <c r="AL887" s="932"/>
      <c r="AM887" s="932"/>
      <c r="AN887" s="932"/>
      <c r="AO887" s="932"/>
      <c r="AP887" s="932"/>
      <c r="AQ887" s="932"/>
      <c r="AR887" s="932"/>
      <c r="AS887" s="932"/>
      <c r="AT887" s="932"/>
      <c r="AU887" s="932"/>
      <c r="AV887" s="932"/>
      <c r="AW887" s="932"/>
      <c r="AX887" s="932"/>
      <c r="AY887" s="932"/>
      <c r="AZ887" s="932"/>
      <c r="BA887" s="932"/>
      <c r="BB887" s="932"/>
      <c r="BC887" s="932"/>
      <c r="BD887" s="932"/>
      <c r="BE887" s="932"/>
      <c r="BF887" s="932"/>
    </row>
    <row r="888" spans="2:58" ht="15" x14ac:dyDescent="0.25">
      <c r="B888" s="932"/>
      <c r="C888" s="932"/>
      <c r="D888" s="932"/>
      <c r="E888" s="932"/>
      <c r="F888" s="932"/>
      <c r="G888" s="932"/>
      <c r="H888" s="932"/>
      <c r="I888" s="932"/>
      <c r="J888" s="932"/>
      <c r="K888" s="932"/>
      <c r="L888" s="932"/>
      <c r="M888" s="932"/>
      <c r="N888" s="932"/>
      <c r="O888" s="932"/>
      <c r="P888" s="932"/>
      <c r="Q888" s="932"/>
      <c r="R888" s="932"/>
      <c r="S888" s="932"/>
      <c r="T888" s="932"/>
      <c r="U888" s="932"/>
      <c r="V888" s="932"/>
      <c r="W888" s="932"/>
      <c r="X888" s="932"/>
      <c r="Y888" s="932"/>
      <c r="Z888" s="932"/>
      <c r="AA888" s="932"/>
      <c r="AB888" s="932"/>
      <c r="AC888" s="932"/>
      <c r="AD888" s="932"/>
      <c r="AE888" s="932"/>
      <c r="AF888" s="932"/>
      <c r="AG888" s="932"/>
      <c r="AH888" s="932"/>
      <c r="AI888" s="932"/>
      <c r="AJ888" s="932"/>
      <c r="AK888" s="932"/>
      <c r="AL888" s="932"/>
      <c r="AM888" s="932"/>
      <c r="AN888" s="932"/>
      <c r="AO888" s="932"/>
      <c r="AP888" s="932"/>
      <c r="AQ888" s="932"/>
      <c r="AR888" s="932"/>
      <c r="AS888" s="932"/>
      <c r="AT888" s="932"/>
      <c r="AU888" s="932"/>
      <c r="AV888" s="932"/>
      <c r="AW888" s="932"/>
      <c r="AX888" s="932"/>
      <c r="AY888" s="932"/>
      <c r="AZ888" s="932"/>
      <c r="BA888" s="932"/>
      <c r="BB888" s="932"/>
      <c r="BC888" s="932"/>
      <c r="BD888" s="932"/>
      <c r="BE888" s="932"/>
      <c r="BF888" s="932"/>
    </row>
    <row r="889" spans="2:58" ht="15" x14ac:dyDescent="0.25">
      <c r="B889" s="932"/>
      <c r="C889" s="932"/>
      <c r="D889" s="932"/>
      <c r="E889" s="932"/>
      <c r="F889" s="932"/>
      <c r="G889" s="932"/>
      <c r="H889" s="932"/>
      <c r="I889" s="932"/>
      <c r="J889" s="932"/>
      <c r="K889" s="932"/>
      <c r="L889" s="932"/>
      <c r="M889" s="932"/>
      <c r="N889" s="932"/>
      <c r="O889" s="932"/>
      <c r="P889" s="932"/>
      <c r="Q889" s="932"/>
      <c r="R889" s="932"/>
      <c r="S889" s="932"/>
      <c r="T889" s="932"/>
      <c r="U889" s="932"/>
      <c r="V889" s="932"/>
      <c r="W889" s="932"/>
      <c r="X889" s="932"/>
      <c r="Y889" s="932"/>
      <c r="Z889" s="932"/>
      <c r="AA889" s="932"/>
      <c r="AB889" s="932"/>
      <c r="AC889" s="932"/>
      <c r="AD889" s="932"/>
      <c r="AE889" s="932"/>
      <c r="AF889" s="932"/>
      <c r="AG889" s="932"/>
      <c r="AH889" s="932"/>
      <c r="AI889" s="932"/>
      <c r="AJ889" s="932"/>
      <c r="AK889" s="932"/>
      <c r="AL889" s="932"/>
      <c r="AM889" s="932"/>
      <c r="AN889" s="932"/>
      <c r="AO889" s="932"/>
      <c r="AP889" s="932"/>
      <c r="AQ889" s="932"/>
      <c r="AR889" s="932"/>
      <c r="AS889" s="932"/>
      <c r="AT889" s="932"/>
      <c r="AU889" s="932"/>
      <c r="AV889" s="932"/>
      <c r="AW889" s="932"/>
      <c r="AX889" s="932"/>
      <c r="AY889" s="932"/>
      <c r="AZ889" s="932"/>
      <c r="BA889" s="932"/>
      <c r="BB889" s="932"/>
      <c r="BC889" s="932"/>
      <c r="BD889" s="932"/>
      <c r="BE889" s="932"/>
      <c r="BF889" s="932"/>
    </row>
    <row r="890" spans="2:58" ht="15" x14ac:dyDescent="0.25">
      <c r="B890" s="932"/>
      <c r="C890" s="932"/>
      <c r="D890" s="932"/>
      <c r="E890" s="932"/>
      <c r="F890" s="932"/>
      <c r="G890" s="932"/>
      <c r="H890" s="932"/>
      <c r="I890" s="932"/>
      <c r="J890" s="932"/>
      <c r="K890" s="932"/>
      <c r="L890" s="932"/>
      <c r="M890" s="932"/>
      <c r="N890" s="932"/>
      <c r="O890" s="932"/>
      <c r="P890" s="932"/>
      <c r="Q890" s="932"/>
      <c r="R890" s="932"/>
      <c r="S890" s="932"/>
      <c r="T890" s="932"/>
      <c r="U890" s="932"/>
      <c r="V890" s="932"/>
      <c r="W890" s="932"/>
      <c r="X890" s="932"/>
      <c r="Y890" s="932"/>
      <c r="Z890" s="932"/>
      <c r="AA890" s="932"/>
      <c r="AB890" s="932"/>
      <c r="AC890" s="932"/>
      <c r="AD890" s="932"/>
      <c r="AE890" s="932"/>
      <c r="AF890" s="932"/>
      <c r="AG890" s="932"/>
      <c r="AH890" s="932"/>
      <c r="AI890" s="932"/>
      <c r="AJ890" s="932"/>
      <c r="AK890" s="932"/>
      <c r="AL890" s="932"/>
      <c r="AM890" s="932"/>
      <c r="AN890" s="932"/>
      <c r="AO890" s="932"/>
      <c r="AP890" s="932"/>
      <c r="AQ890" s="932"/>
      <c r="AR890" s="932"/>
      <c r="AS890" s="932"/>
      <c r="AT890" s="932"/>
      <c r="AU890" s="932"/>
      <c r="AV890" s="932"/>
      <c r="AW890" s="932"/>
      <c r="AX890" s="932"/>
      <c r="AY890" s="932"/>
      <c r="AZ890" s="932"/>
      <c r="BA890" s="932"/>
      <c r="BB890" s="932"/>
      <c r="BC890" s="932"/>
      <c r="BD890" s="932"/>
      <c r="BE890" s="932"/>
      <c r="BF890" s="932"/>
    </row>
    <row r="891" spans="2:58" ht="15" x14ac:dyDescent="0.25">
      <c r="B891" s="932"/>
      <c r="C891" s="932"/>
      <c r="D891" s="932"/>
      <c r="E891" s="932"/>
      <c r="F891" s="932"/>
      <c r="G891" s="932"/>
      <c r="H891" s="932"/>
      <c r="I891" s="932"/>
      <c r="J891" s="932"/>
      <c r="K891" s="932"/>
      <c r="L891" s="932"/>
      <c r="M891" s="932"/>
      <c r="N891" s="932"/>
      <c r="O891" s="932"/>
      <c r="P891" s="932"/>
      <c r="Q891" s="932"/>
      <c r="R891" s="932"/>
      <c r="S891" s="932"/>
      <c r="T891" s="932"/>
      <c r="U891" s="932"/>
      <c r="V891" s="932"/>
      <c r="W891" s="932"/>
      <c r="X891" s="932"/>
      <c r="Y891" s="932"/>
      <c r="Z891" s="932"/>
      <c r="AA891" s="932"/>
      <c r="AB891" s="932"/>
      <c r="AC891" s="932"/>
      <c r="AD891" s="932"/>
      <c r="AE891" s="932"/>
      <c r="AF891" s="932"/>
      <c r="AG891" s="932"/>
      <c r="AH891" s="932"/>
      <c r="AI891" s="932"/>
      <c r="AJ891" s="932"/>
      <c r="AK891" s="932"/>
      <c r="AL891" s="932"/>
      <c r="AM891" s="932"/>
      <c r="AN891" s="932"/>
      <c r="AO891" s="932"/>
      <c r="AP891" s="932"/>
      <c r="AQ891" s="932"/>
      <c r="AR891" s="932"/>
      <c r="AS891" s="932"/>
      <c r="AT891" s="932"/>
      <c r="AU891" s="932"/>
      <c r="AV891" s="932"/>
      <c r="AW891" s="932"/>
      <c r="AX891" s="932"/>
      <c r="AY891" s="932"/>
      <c r="AZ891" s="932"/>
      <c r="BA891" s="932"/>
      <c r="BB891" s="932"/>
      <c r="BC891" s="932"/>
      <c r="BD891" s="932"/>
      <c r="BE891" s="932"/>
      <c r="BF891" s="932"/>
    </row>
    <row r="892" spans="2:58" ht="15" x14ac:dyDescent="0.25">
      <c r="B892" s="932"/>
      <c r="C892" s="932"/>
      <c r="D892" s="932"/>
      <c r="E892" s="932"/>
      <c r="F892" s="932"/>
      <c r="G892" s="932"/>
      <c r="H892" s="932"/>
      <c r="I892" s="932"/>
      <c r="J892" s="932"/>
      <c r="K892" s="932"/>
      <c r="L892" s="932"/>
      <c r="M892" s="932"/>
      <c r="N892" s="932"/>
      <c r="O892" s="932"/>
      <c r="P892" s="932"/>
      <c r="Q892" s="932"/>
      <c r="R892" s="932"/>
      <c r="S892" s="932"/>
      <c r="T892" s="932"/>
      <c r="U892" s="932"/>
      <c r="V892" s="932"/>
      <c r="W892" s="932"/>
      <c r="X892" s="932"/>
      <c r="Y892" s="932"/>
      <c r="Z892" s="932"/>
      <c r="AA892" s="932"/>
      <c r="AB892" s="932"/>
      <c r="AC892" s="932"/>
      <c r="AD892" s="932"/>
      <c r="AE892" s="932"/>
      <c r="AF892" s="932"/>
      <c r="AG892" s="932"/>
      <c r="AH892" s="932"/>
      <c r="AI892" s="932"/>
      <c r="AJ892" s="932"/>
      <c r="AK892" s="932"/>
      <c r="AL892" s="932"/>
      <c r="AM892" s="932"/>
      <c r="AN892" s="932"/>
      <c r="AO892" s="932"/>
      <c r="AP892" s="932"/>
      <c r="AQ892" s="932"/>
      <c r="AR892" s="932"/>
      <c r="AS892" s="932"/>
      <c r="AT892" s="932"/>
      <c r="AU892" s="932"/>
      <c r="AV892" s="932"/>
      <c r="AW892" s="932"/>
      <c r="AX892" s="932"/>
      <c r="AY892" s="932"/>
      <c r="AZ892" s="932"/>
      <c r="BA892" s="932"/>
      <c r="BB892" s="932"/>
      <c r="BC892" s="932"/>
      <c r="BD892" s="932"/>
      <c r="BE892" s="932"/>
      <c r="BF892" s="932"/>
    </row>
    <row r="893" spans="2:58" ht="15" x14ac:dyDescent="0.25">
      <c r="B893" s="932"/>
      <c r="C893" s="932"/>
      <c r="D893" s="932"/>
      <c r="E893" s="932"/>
      <c r="F893" s="932"/>
      <c r="G893" s="932"/>
      <c r="H893" s="932"/>
      <c r="I893" s="932"/>
      <c r="J893" s="932"/>
      <c r="K893" s="932"/>
      <c r="L893" s="932"/>
      <c r="M893" s="932"/>
      <c r="N893" s="932"/>
      <c r="O893" s="932"/>
      <c r="P893" s="932"/>
      <c r="Q893" s="932"/>
      <c r="R893" s="932"/>
      <c r="S893" s="932"/>
      <c r="T893" s="932"/>
      <c r="U893" s="932"/>
      <c r="V893" s="932"/>
      <c r="W893" s="932"/>
      <c r="X893" s="932"/>
      <c r="Y893" s="932"/>
      <c r="Z893" s="932"/>
      <c r="AA893" s="932"/>
      <c r="AB893" s="932"/>
      <c r="AC893" s="932"/>
      <c r="AD893" s="932"/>
      <c r="AE893" s="932"/>
      <c r="AF893" s="932"/>
      <c r="AG893" s="932"/>
      <c r="AH893" s="932"/>
      <c r="AI893" s="932"/>
      <c r="AJ893" s="932"/>
      <c r="AK893" s="932"/>
      <c r="AL893" s="932"/>
      <c r="AM893" s="932"/>
      <c r="AN893" s="932"/>
      <c r="AO893" s="932"/>
      <c r="AP893" s="932"/>
      <c r="AQ893" s="932"/>
      <c r="AR893" s="932"/>
      <c r="AS893" s="932"/>
      <c r="AT893" s="932"/>
      <c r="AU893" s="932"/>
      <c r="AV893" s="932"/>
      <c r="AW893" s="932"/>
      <c r="AX893" s="932"/>
      <c r="AY893" s="932"/>
      <c r="AZ893" s="932"/>
      <c r="BA893" s="932"/>
      <c r="BB893" s="932"/>
      <c r="BC893" s="932"/>
      <c r="BD893" s="932"/>
      <c r="BE893" s="932"/>
      <c r="BF893" s="932"/>
    </row>
    <row r="894" spans="2:58" ht="15" x14ac:dyDescent="0.25">
      <c r="B894" s="932"/>
      <c r="C894" s="932"/>
      <c r="D894" s="932"/>
      <c r="E894" s="932"/>
      <c r="F894" s="932"/>
      <c r="G894" s="932"/>
      <c r="H894" s="932"/>
      <c r="I894" s="932"/>
      <c r="J894" s="932"/>
      <c r="K894" s="932"/>
      <c r="L894" s="932"/>
      <c r="M894" s="932"/>
      <c r="N894" s="932"/>
      <c r="O894" s="932"/>
      <c r="P894" s="932"/>
      <c r="Q894" s="932"/>
      <c r="R894" s="932"/>
      <c r="S894" s="932"/>
      <c r="T894" s="932"/>
      <c r="U894" s="932"/>
      <c r="V894" s="932"/>
      <c r="W894" s="932"/>
      <c r="X894" s="932"/>
      <c r="Y894" s="932"/>
      <c r="Z894" s="932"/>
      <c r="AA894" s="932"/>
      <c r="AB894" s="932"/>
      <c r="AC894" s="932"/>
      <c r="AD894" s="932"/>
      <c r="AE894" s="932"/>
      <c r="AF894" s="932"/>
      <c r="AG894" s="932"/>
      <c r="AH894" s="932"/>
      <c r="AI894" s="932"/>
      <c r="AJ894" s="932"/>
      <c r="AK894" s="932"/>
      <c r="AL894" s="932"/>
      <c r="AM894" s="932"/>
      <c r="AN894" s="932"/>
      <c r="AO894" s="932"/>
      <c r="AP894" s="932"/>
      <c r="AQ894" s="932"/>
      <c r="AR894" s="932"/>
      <c r="AS894" s="932"/>
      <c r="AT894" s="932"/>
      <c r="AU894" s="932"/>
      <c r="AV894" s="932"/>
      <c r="AW894" s="932"/>
      <c r="AX894" s="932"/>
      <c r="AY894" s="932"/>
      <c r="AZ894" s="932"/>
      <c r="BA894" s="932"/>
      <c r="BB894" s="932"/>
      <c r="BC894" s="932"/>
      <c r="BD894" s="932"/>
      <c r="BE894" s="932"/>
      <c r="BF894" s="932"/>
    </row>
    <row r="895" spans="2:58" ht="15" x14ac:dyDescent="0.25">
      <c r="B895" s="932"/>
      <c r="C895" s="932"/>
      <c r="D895" s="932"/>
      <c r="E895" s="932"/>
      <c r="F895" s="932"/>
      <c r="G895" s="932"/>
      <c r="H895" s="932"/>
      <c r="I895" s="932"/>
      <c r="J895" s="932"/>
      <c r="K895" s="932"/>
      <c r="L895" s="932"/>
      <c r="M895" s="932"/>
      <c r="N895" s="932"/>
      <c r="O895" s="932"/>
      <c r="P895" s="932"/>
      <c r="Q895" s="932"/>
      <c r="R895" s="932"/>
      <c r="S895" s="932"/>
      <c r="T895" s="932"/>
      <c r="U895" s="932"/>
      <c r="V895" s="932"/>
      <c r="W895" s="932"/>
      <c r="X895" s="932"/>
      <c r="Y895" s="932"/>
      <c r="Z895" s="932"/>
      <c r="AA895" s="932"/>
      <c r="AB895" s="932"/>
      <c r="AC895" s="932"/>
      <c r="AD895" s="932"/>
      <c r="AE895" s="932"/>
      <c r="AF895" s="932"/>
      <c r="AG895" s="932"/>
      <c r="AH895" s="932"/>
      <c r="AI895" s="932"/>
      <c r="AJ895" s="932"/>
      <c r="AK895" s="932"/>
      <c r="AL895" s="932"/>
      <c r="AM895" s="932"/>
      <c r="AN895" s="932"/>
      <c r="AO895" s="932"/>
      <c r="AP895" s="932"/>
      <c r="AQ895" s="932"/>
      <c r="AR895" s="932"/>
      <c r="AS895" s="932"/>
      <c r="AT895" s="932"/>
      <c r="AU895" s="932"/>
      <c r="AV895" s="932"/>
      <c r="AW895" s="932"/>
      <c r="AX895" s="932"/>
      <c r="AY895" s="932"/>
      <c r="AZ895" s="932"/>
      <c r="BA895" s="932"/>
      <c r="BB895" s="932"/>
      <c r="BC895" s="932"/>
      <c r="BD895" s="932"/>
      <c r="BE895" s="932"/>
      <c r="BF895" s="932"/>
    </row>
    <row r="896" spans="2:58" ht="15" x14ac:dyDescent="0.25">
      <c r="B896" s="932"/>
      <c r="C896" s="932"/>
      <c r="D896" s="932"/>
      <c r="E896" s="932"/>
      <c r="F896" s="932"/>
      <c r="G896" s="932"/>
      <c r="H896" s="932"/>
      <c r="I896" s="932"/>
      <c r="J896" s="932"/>
      <c r="K896" s="932"/>
      <c r="L896" s="932"/>
      <c r="M896" s="932"/>
      <c r="N896" s="932"/>
      <c r="O896" s="932"/>
      <c r="P896" s="932"/>
      <c r="Q896" s="932"/>
      <c r="R896" s="932"/>
      <c r="S896" s="932"/>
      <c r="T896" s="932"/>
      <c r="U896" s="932"/>
      <c r="V896" s="932"/>
      <c r="W896" s="932"/>
      <c r="X896" s="932"/>
      <c r="Y896" s="932"/>
      <c r="Z896" s="932"/>
      <c r="AA896" s="932"/>
      <c r="AB896" s="932"/>
      <c r="AC896" s="932"/>
      <c r="AD896" s="932"/>
      <c r="AE896" s="932"/>
      <c r="AF896" s="932"/>
      <c r="AG896" s="932"/>
      <c r="AH896" s="932"/>
      <c r="AI896" s="932"/>
      <c r="AJ896" s="932"/>
      <c r="AK896" s="932"/>
      <c r="AL896" s="932"/>
      <c r="AM896" s="932"/>
      <c r="AN896" s="932"/>
      <c r="AO896" s="932"/>
      <c r="AP896" s="932"/>
      <c r="AQ896" s="932"/>
      <c r="AR896" s="932"/>
      <c r="AS896" s="932"/>
      <c r="AT896" s="932"/>
      <c r="AU896" s="932"/>
      <c r="AV896" s="932"/>
      <c r="AW896" s="932"/>
      <c r="AX896" s="932"/>
      <c r="AY896" s="932"/>
      <c r="AZ896" s="932"/>
      <c r="BA896" s="932"/>
      <c r="BB896" s="932"/>
      <c r="BC896" s="932"/>
      <c r="BD896" s="932"/>
      <c r="BE896" s="932"/>
      <c r="BF896" s="932"/>
    </row>
    <row r="897" spans="2:58" ht="15" x14ac:dyDescent="0.25">
      <c r="B897" s="932"/>
      <c r="C897" s="932"/>
      <c r="D897" s="932"/>
      <c r="E897" s="932"/>
      <c r="F897" s="932"/>
      <c r="G897" s="932"/>
      <c r="H897" s="932"/>
      <c r="I897" s="932"/>
      <c r="J897" s="932"/>
      <c r="K897" s="932"/>
      <c r="L897" s="932"/>
      <c r="M897" s="932"/>
      <c r="N897" s="932"/>
      <c r="O897" s="932"/>
      <c r="P897" s="932"/>
      <c r="Q897" s="932"/>
      <c r="R897" s="932"/>
      <c r="S897" s="932"/>
      <c r="T897" s="932"/>
      <c r="U897" s="932"/>
      <c r="V897" s="932"/>
      <c r="W897" s="932"/>
      <c r="X897" s="932"/>
      <c r="Y897" s="932"/>
      <c r="Z897" s="932"/>
      <c r="AA897" s="932"/>
      <c r="AB897" s="932"/>
      <c r="AC897" s="932"/>
      <c r="AD897" s="932"/>
      <c r="AE897" s="932"/>
      <c r="AF897" s="932"/>
      <c r="AG897" s="932"/>
      <c r="AH897" s="932"/>
      <c r="AI897" s="932"/>
      <c r="AJ897" s="932"/>
      <c r="AK897" s="932"/>
      <c r="AL897" s="932"/>
      <c r="AM897" s="932"/>
      <c r="AN897" s="932"/>
      <c r="AO897" s="932"/>
      <c r="AP897" s="932"/>
      <c r="AQ897" s="932"/>
      <c r="AR897" s="932"/>
      <c r="AS897" s="932"/>
      <c r="AT897" s="932"/>
      <c r="AU897" s="932"/>
      <c r="AV897" s="932"/>
      <c r="AW897" s="932"/>
      <c r="AX897" s="932"/>
      <c r="AY897" s="932"/>
      <c r="AZ897" s="932"/>
      <c r="BA897" s="932"/>
      <c r="BB897" s="932"/>
      <c r="BC897" s="932"/>
      <c r="BD897" s="932"/>
      <c r="BE897" s="932"/>
      <c r="BF897" s="932"/>
    </row>
    <row r="898" spans="2:58" ht="15" x14ac:dyDescent="0.25">
      <c r="B898" s="932"/>
      <c r="C898" s="932"/>
      <c r="D898" s="932"/>
      <c r="E898" s="932"/>
      <c r="F898" s="932"/>
      <c r="G898" s="932"/>
      <c r="H898" s="932"/>
      <c r="I898" s="932"/>
      <c r="J898" s="932"/>
      <c r="K898" s="932"/>
      <c r="L898" s="932"/>
      <c r="M898" s="932"/>
      <c r="N898" s="932"/>
      <c r="O898" s="932"/>
      <c r="P898" s="932"/>
      <c r="Q898" s="932"/>
      <c r="R898" s="932"/>
      <c r="S898" s="932"/>
      <c r="T898" s="932"/>
      <c r="U898" s="932"/>
      <c r="V898" s="932"/>
      <c r="W898" s="932"/>
      <c r="X898" s="932"/>
      <c r="Y898" s="932"/>
      <c r="Z898" s="932"/>
      <c r="AA898" s="932"/>
      <c r="AB898" s="932"/>
      <c r="AC898" s="932"/>
      <c r="AD898" s="932"/>
      <c r="AE898" s="932"/>
      <c r="AF898" s="932"/>
      <c r="AG898" s="932"/>
      <c r="AH898" s="932"/>
      <c r="AI898" s="932"/>
      <c r="AJ898" s="932"/>
      <c r="AK898" s="932"/>
      <c r="AL898" s="932"/>
      <c r="AM898" s="932"/>
      <c r="AN898" s="932"/>
      <c r="AO898" s="932"/>
      <c r="AP898" s="932"/>
      <c r="AQ898" s="932"/>
      <c r="AR898" s="932"/>
      <c r="AS898" s="932"/>
      <c r="AT898" s="932"/>
      <c r="AU898" s="932"/>
      <c r="AV898" s="932"/>
      <c r="AW898" s="932"/>
      <c r="AX898" s="932"/>
      <c r="AY898" s="932"/>
      <c r="AZ898" s="932"/>
      <c r="BA898" s="932"/>
      <c r="BB898" s="932"/>
      <c r="BC898" s="932"/>
      <c r="BD898" s="932"/>
      <c r="BE898" s="932"/>
      <c r="BF898" s="932"/>
    </row>
    <row r="899" spans="2:58" ht="15" x14ac:dyDescent="0.25">
      <c r="B899" s="932"/>
      <c r="C899" s="932"/>
      <c r="D899" s="932"/>
      <c r="E899" s="932"/>
      <c r="F899" s="932"/>
      <c r="G899" s="932"/>
      <c r="H899" s="932"/>
      <c r="I899" s="932"/>
      <c r="J899" s="932"/>
      <c r="K899" s="932"/>
      <c r="L899" s="932"/>
      <c r="M899" s="932"/>
      <c r="N899" s="932"/>
      <c r="O899" s="932"/>
      <c r="P899" s="932"/>
      <c r="Q899" s="932"/>
      <c r="R899" s="932"/>
      <c r="S899" s="932"/>
      <c r="T899" s="932"/>
      <c r="U899" s="932"/>
      <c r="V899" s="932"/>
      <c r="W899" s="932"/>
      <c r="X899" s="932"/>
      <c r="Y899" s="932"/>
      <c r="Z899" s="932"/>
      <c r="AA899" s="932"/>
      <c r="AB899" s="932"/>
      <c r="AC899" s="932"/>
      <c r="AD899" s="932"/>
      <c r="AE899" s="932"/>
      <c r="AF899" s="932"/>
      <c r="AG899" s="932"/>
      <c r="AH899" s="932"/>
      <c r="AI899" s="932"/>
      <c r="AJ899" s="932"/>
      <c r="AK899" s="932"/>
      <c r="AL899" s="932"/>
      <c r="AM899" s="932"/>
      <c r="AN899" s="932"/>
      <c r="AO899" s="932"/>
      <c r="AP899" s="932"/>
      <c r="AQ899" s="932"/>
      <c r="AR899" s="932"/>
      <c r="AS899" s="932"/>
      <c r="AT899" s="932"/>
      <c r="AU899" s="932"/>
      <c r="AV899" s="932"/>
      <c r="AW899" s="932"/>
      <c r="AX899" s="932"/>
      <c r="AY899" s="932"/>
      <c r="AZ899" s="932"/>
      <c r="BA899" s="932"/>
      <c r="BB899" s="932"/>
      <c r="BC899" s="932"/>
      <c r="BD899" s="932"/>
      <c r="BE899" s="932"/>
      <c r="BF899" s="932"/>
    </row>
    <row r="900" spans="2:58" ht="15" x14ac:dyDescent="0.25">
      <c r="B900" s="932"/>
      <c r="C900" s="932"/>
      <c r="D900" s="932"/>
      <c r="E900" s="932"/>
      <c r="F900" s="932"/>
      <c r="G900" s="932"/>
      <c r="H900" s="932"/>
      <c r="I900" s="932"/>
      <c r="J900" s="932"/>
      <c r="K900" s="932"/>
      <c r="L900" s="932"/>
      <c r="M900" s="932"/>
      <c r="N900" s="932"/>
      <c r="O900" s="932"/>
      <c r="P900" s="932"/>
      <c r="Q900" s="932"/>
      <c r="R900" s="932"/>
      <c r="S900" s="932"/>
      <c r="T900" s="932"/>
      <c r="U900" s="932"/>
      <c r="V900" s="932"/>
      <c r="W900" s="932"/>
      <c r="X900" s="932"/>
      <c r="Y900" s="932"/>
      <c r="Z900" s="932"/>
      <c r="AA900" s="932"/>
      <c r="AB900" s="932"/>
      <c r="AC900" s="932"/>
      <c r="AD900" s="932"/>
      <c r="AE900" s="932"/>
      <c r="AF900" s="932"/>
      <c r="AG900" s="932"/>
      <c r="AH900" s="932"/>
      <c r="AI900" s="932"/>
      <c r="AJ900" s="932"/>
      <c r="AK900" s="932"/>
      <c r="AL900" s="932"/>
      <c r="AM900" s="932"/>
      <c r="AN900" s="932"/>
      <c r="AO900" s="932"/>
      <c r="AP900" s="932"/>
      <c r="AQ900" s="932"/>
      <c r="AR900" s="932"/>
      <c r="AS900" s="932"/>
      <c r="AT900" s="932"/>
      <c r="AU900" s="932"/>
      <c r="AV900" s="932"/>
      <c r="AW900" s="932"/>
      <c r="AX900" s="932"/>
      <c r="AY900" s="932"/>
      <c r="AZ900" s="932"/>
      <c r="BA900" s="932"/>
      <c r="BB900" s="932"/>
      <c r="BC900" s="932"/>
      <c r="BD900" s="932"/>
      <c r="BE900" s="932"/>
      <c r="BF900" s="932"/>
    </row>
    <row r="901" spans="2:58" ht="15" x14ac:dyDescent="0.25">
      <c r="B901" s="932"/>
      <c r="C901" s="932"/>
      <c r="D901" s="932"/>
      <c r="E901" s="932"/>
      <c r="F901" s="932"/>
      <c r="G901" s="932"/>
      <c r="H901" s="932"/>
      <c r="I901" s="932"/>
      <c r="J901" s="932"/>
      <c r="K901" s="932"/>
      <c r="L901" s="932"/>
      <c r="M901" s="932"/>
      <c r="N901" s="932"/>
      <c r="O901" s="932"/>
      <c r="P901" s="932"/>
      <c r="Q901" s="932"/>
      <c r="R901" s="932"/>
      <c r="S901" s="932"/>
      <c r="T901" s="932"/>
      <c r="U901" s="932"/>
      <c r="V901" s="932"/>
      <c r="W901" s="932"/>
      <c r="X901" s="932"/>
      <c r="Y901" s="932"/>
      <c r="Z901" s="932"/>
      <c r="AA901" s="932"/>
      <c r="AB901" s="932"/>
      <c r="AC901" s="932"/>
      <c r="AD901" s="932"/>
      <c r="AE901" s="932"/>
      <c r="AF901" s="932"/>
      <c r="AG901" s="932"/>
      <c r="AH901" s="932"/>
      <c r="AI901" s="932"/>
      <c r="AJ901" s="932"/>
      <c r="AK901" s="932"/>
      <c r="AL901" s="932"/>
      <c r="AM901" s="932"/>
      <c r="AN901" s="932"/>
      <c r="AO901" s="932"/>
      <c r="AP901" s="932"/>
      <c r="AQ901" s="932"/>
      <c r="AR901" s="932"/>
      <c r="AS901" s="932"/>
      <c r="AT901" s="932"/>
      <c r="AU901" s="932"/>
      <c r="AV901" s="932"/>
      <c r="AW901" s="932"/>
      <c r="AX901" s="932"/>
      <c r="AY901" s="932"/>
      <c r="AZ901" s="932"/>
      <c r="BA901" s="932"/>
      <c r="BB901" s="932"/>
      <c r="BC901" s="932"/>
      <c r="BD901" s="932"/>
      <c r="BE901" s="932"/>
      <c r="BF901" s="932"/>
    </row>
    <row r="902" spans="2:58" ht="15" x14ac:dyDescent="0.25">
      <c r="B902" s="932"/>
      <c r="C902" s="932"/>
      <c r="D902" s="932"/>
      <c r="E902" s="932"/>
      <c r="F902" s="932"/>
      <c r="G902" s="932"/>
      <c r="H902" s="932"/>
      <c r="I902" s="932"/>
      <c r="J902" s="932"/>
      <c r="K902" s="932"/>
      <c r="L902" s="932"/>
      <c r="M902" s="932"/>
      <c r="N902" s="932"/>
      <c r="O902" s="932"/>
      <c r="P902" s="932"/>
      <c r="Q902" s="932"/>
      <c r="R902" s="932"/>
      <c r="S902" s="932"/>
      <c r="T902" s="932"/>
      <c r="U902" s="932"/>
      <c r="V902" s="932"/>
      <c r="W902" s="932"/>
      <c r="X902" s="932"/>
      <c r="Y902" s="932"/>
      <c r="Z902" s="932"/>
      <c r="AA902" s="932"/>
      <c r="AB902" s="932"/>
      <c r="AC902" s="932"/>
      <c r="AD902" s="932"/>
      <c r="AE902" s="932"/>
      <c r="AF902" s="932"/>
      <c r="AG902" s="932"/>
      <c r="AH902" s="932"/>
      <c r="AI902" s="932"/>
      <c r="AJ902" s="932"/>
      <c r="AK902" s="932"/>
      <c r="AL902" s="932"/>
      <c r="AM902" s="932"/>
      <c r="AN902" s="932"/>
      <c r="AO902" s="932"/>
      <c r="AP902" s="932"/>
      <c r="AQ902" s="932"/>
      <c r="AR902" s="932"/>
      <c r="AS902" s="932"/>
      <c r="AT902" s="932"/>
      <c r="AU902" s="932"/>
      <c r="AV902" s="932"/>
      <c r="AW902" s="932"/>
      <c r="AX902" s="932"/>
      <c r="AY902" s="932"/>
      <c r="AZ902" s="932"/>
      <c r="BA902" s="932"/>
      <c r="BB902" s="932"/>
      <c r="BC902" s="932"/>
      <c r="BD902" s="932"/>
      <c r="BE902" s="932"/>
      <c r="BF902" s="932"/>
    </row>
    <row r="903" spans="2:58" ht="15" x14ac:dyDescent="0.25">
      <c r="B903" s="932"/>
      <c r="C903" s="932"/>
      <c r="D903" s="932"/>
      <c r="E903" s="932"/>
      <c r="F903" s="932"/>
      <c r="G903" s="932"/>
      <c r="H903" s="932"/>
      <c r="I903" s="932"/>
      <c r="J903" s="932"/>
      <c r="K903" s="932"/>
      <c r="L903" s="932"/>
      <c r="M903" s="932"/>
      <c r="N903" s="932"/>
      <c r="O903" s="932"/>
      <c r="P903" s="932"/>
      <c r="Q903" s="932"/>
      <c r="R903" s="932"/>
      <c r="S903" s="932"/>
      <c r="T903" s="932"/>
      <c r="U903" s="932"/>
      <c r="V903" s="932"/>
      <c r="W903" s="932"/>
      <c r="X903" s="932"/>
      <c r="Y903" s="932"/>
      <c r="Z903" s="932"/>
      <c r="AA903" s="932"/>
      <c r="AB903" s="932"/>
      <c r="AC903" s="932"/>
      <c r="AD903" s="932"/>
      <c r="AE903" s="932"/>
      <c r="AF903" s="932"/>
      <c r="AG903" s="932"/>
      <c r="AH903" s="932"/>
      <c r="AI903" s="932"/>
      <c r="AJ903" s="932"/>
      <c r="AK903" s="932"/>
      <c r="AL903" s="932"/>
      <c r="AM903" s="932"/>
      <c r="AN903" s="932"/>
      <c r="AO903" s="932"/>
      <c r="AP903" s="932"/>
      <c r="AQ903" s="932"/>
      <c r="AR903" s="932"/>
      <c r="AS903" s="932"/>
      <c r="AT903" s="932"/>
      <c r="AU903" s="932"/>
      <c r="AV903" s="932"/>
      <c r="AW903" s="932"/>
      <c r="AX903" s="932"/>
      <c r="AY903" s="932"/>
      <c r="AZ903" s="932"/>
      <c r="BA903" s="932"/>
      <c r="BB903" s="932"/>
      <c r="BC903" s="932"/>
      <c r="BD903" s="932"/>
      <c r="BE903" s="932"/>
      <c r="BF903" s="932"/>
    </row>
    <row r="904" spans="2:58" ht="15" x14ac:dyDescent="0.25">
      <c r="B904" s="932"/>
      <c r="C904" s="932"/>
      <c r="D904" s="932"/>
      <c r="E904" s="932"/>
      <c r="F904" s="932"/>
      <c r="G904" s="932"/>
      <c r="H904" s="932"/>
      <c r="I904" s="932"/>
      <c r="J904" s="932"/>
      <c r="K904" s="932"/>
      <c r="L904" s="932"/>
      <c r="M904" s="932"/>
      <c r="N904" s="932"/>
      <c r="O904" s="932"/>
      <c r="P904" s="932"/>
      <c r="Q904" s="932"/>
      <c r="R904" s="932"/>
      <c r="S904" s="932"/>
      <c r="T904" s="932"/>
      <c r="U904" s="932"/>
      <c r="V904" s="932"/>
      <c r="W904" s="932"/>
      <c r="X904" s="932"/>
      <c r="Y904" s="932"/>
      <c r="Z904" s="932"/>
      <c r="AA904" s="932"/>
      <c r="AB904" s="932"/>
      <c r="AC904" s="932"/>
      <c r="AD904" s="932"/>
      <c r="AE904" s="932"/>
      <c r="AF904" s="932"/>
      <c r="AG904" s="932"/>
      <c r="AH904" s="932"/>
      <c r="AI904" s="932"/>
      <c r="AJ904" s="932"/>
      <c r="AK904" s="932"/>
      <c r="AL904" s="932"/>
      <c r="AM904" s="932"/>
      <c r="AN904" s="932"/>
      <c r="AO904" s="932"/>
      <c r="AP904" s="932"/>
      <c r="AQ904" s="932"/>
      <c r="AR904" s="932"/>
      <c r="AS904" s="932"/>
      <c r="AT904" s="932"/>
      <c r="AU904" s="932"/>
      <c r="AV904" s="932"/>
      <c r="AW904" s="932"/>
      <c r="AX904" s="932"/>
      <c r="AY904" s="932"/>
      <c r="AZ904" s="932"/>
      <c r="BA904" s="932"/>
      <c r="BB904" s="932"/>
      <c r="BC904" s="932"/>
      <c r="BD904" s="932"/>
      <c r="BE904" s="932"/>
      <c r="BF904" s="932"/>
    </row>
    <row r="905" spans="2:58" ht="15" x14ac:dyDescent="0.25">
      <c r="B905" s="932"/>
      <c r="C905" s="932"/>
      <c r="D905" s="932"/>
      <c r="E905" s="932"/>
      <c r="F905" s="932"/>
      <c r="G905" s="932"/>
      <c r="H905" s="932"/>
      <c r="I905" s="932"/>
      <c r="J905" s="932"/>
      <c r="K905" s="932"/>
      <c r="L905" s="932"/>
      <c r="M905" s="932"/>
      <c r="N905" s="932"/>
      <c r="O905" s="932"/>
      <c r="P905" s="932"/>
      <c r="Q905" s="932"/>
      <c r="R905" s="932"/>
      <c r="S905" s="932"/>
      <c r="T905" s="932"/>
      <c r="U905" s="932"/>
      <c r="V905" s="932"/>
      <c r="W905" s="932"/>
      <c r="X905" s="932"/>
      <c r="Y905" s="932"/>
      <c r="Z905" s="932"/>
      <c r="AA905" s="932"/>
      <c r="AB905" s="932"/>
      <c r="AC905" s="932"/>
      <c r="AD905" s="932"/>
      <c r="AE905" s="932"/>
      <c r="AF905" s="932"/>
      <c r="AG905" s="932"/>
      <c r="AH905" s="932"/>
      <c r="AI905" s="932"/>
      <c r="AJ905" s="932"/>
      <c r="AK905" s="932"/>
      <c r="AL905" s="932"/>
      <c r="AM905" s="932"/>
      <c r="AN905" s="932"/>
      <c r="AO905" s="932"/>
      <c r="AP905" s="932"/>
      <c r="AQ905" s="932"/>
      <c r="AR905" s="932"/>
      <c r="AS905" s="932"/>
      <c r="AT905" s="932"/>
      <c r="AU905" s="932"/>
      <c r="AV905" s="932"/>
      <c r="AW905" s="932"/>
      <c r="AX905" s="932"/>
      <c r="AY905" s="932"/>
      <c r="AZ905" s="932"/>
      <c r="BA905" s="932"/>
      <c r="BB905" s="932"/>
      <c r="BC905" s="932"/>
      <c r="BD905" s="932"/>
      <c r="BE905" s="932"/>
      <c r="BF905" s="932"/>
    </row>
    <row r="906" spans="2:58" ht="15" x14ac:dyDescent="0.25">
      <c r="B906" s="932"/>
      <c r="C906" s="932"/>
      <c r="D906" s="932"/>
      <c r="E906" s="932"/>
      <c r="F906" s="932"/>
      <c r="G906" s="932"/>
      <c r="H906" s="932"/>
      <c r="I906" s="932"/>
      <c r="J906" s="932"/>
      <c r="K906" s="932"/>
      <c r="L906" s="932"/>
      <c r="M906" s="932"/>
      <c r="N906" s="932"/>
      <c r="O906" s="932"/>
      <c r="P906" s="932"/>
      <c r="Q906" s="932"/>
      <c r="R906" s="932"/>
      <c r="S906" s="932"/>
      <c r="T906" s="932"/>
      <c r="U906" s="932"/>
      <c r="V906" s="932"/>
      <c r="W906" s="932"/>
      <c r="X906" s="932"/>
      <c r="Y906" s="932"/>
      <c r="Z906" s="932"/>
      <c r="AA906" s="932"/>
      <c r="AB906" s="932"/>
      <c r="AC906" s="932"/>
      <c r="AD906" s="932"/>
      <c r="AE906" s="932"/>
      <c r="AF906" s="932"/>
      <c r="AG906" s="932"/>
      <c r="AH906" s="932"/>
      <c r="AI906" s="932"/>
      <c r="AJ906" s="932"/>
      <c r="AK906" s="932"/>
      <c r="AL906" s="932"/>
      <c r="AM906" s="932"/>
      <c r="AN906" s="932"/>
      <c r="AO906" s="932"/>
      <c r="AP906" s="932"/>
      <c r="AQ906" s="932"/>
      <c r="AR906" s="932"/>
      <c r="AS906" s="932"/>
      <c r="AT906" s="932"/>
      <c r="AU906" s="932"/>
      <c r="AV906" s="932"/>
      <c r="AW906" s="932"/>
      <c r="AX906" s="932"/>
      <c r="AY906" s="932"/>
      <c r="AZ906" s="932"/>
      <c r="BA906" s="932"/>
      <c r="BB906" s="932"/>
      <c r="BC906" s="932"/>
      <c r="BD906" s="932"/>
      <c r="BE906" s="932"/>
      <c r="BF906" s="932"/>
    </row>
    <row r="907" spans="2:58" ht="15" x14ac:dyDescent="0.25">
      <c r="B907" s="932"/>
      <c r="C907" s="932"/>
      <c r="D907" s="932"/>
      <c r="E907" s="932"/>
      <c r="F907" s="932"/>
      <c r="G907" s="932"/>
      <c r="H907" s="932"/>
      <c r="I907" s="932"/>
      <c r="J907" s="932"/>
      <c r="K907" s="932"/>
      <c r="L907" s="932"/>
      <c r="M907" s="932"/>
      <c r="N907" s="932"/>
      <c r="O907" s="932"/>
      <c r="P907" s="932"/>
      <c r="Q907" s="932"/>
      <c r="R907" s="932"/>
      <c r="S907" s="932"/>
      <c r="T907" s="932"/>
      <c r="U907" s="932"/>
      <c r="V907" s="932"/>
      <c r="W907" s="932"/>
      <c r="X907" s="932"/>
      <c r="Y907" s="932"/>
      <c r="Z907" s="932"/>
      <c r="AA907" s="932"/>
      <c r="AB907" s="932"/>
      <c r="AC907" s="932"/>
      <c r="AD907" s="932"/>
      <c r="AE907" s="932"/>
      <c r="AF907" s="932"/>
      <c r="AG907" s="932"/>
      <c r="AH907" s="932"/>
      <c r="AI907" s="932"/>
      <c r="AJ907" s="932"/>
      <c r="AK907" s="932"/>
      <c r="AL907" s="932"/>
      <c r="AM907" s="932"/>
      <c r="AN907" s="932"/>
      <c r="AO907" s="932"/>
      <c r="AP907" s="932"/>
      <c r="AQ907" s="932"/>
      <c r="AR907" s="932"/>
      <c r="AS907" s="932"/>
      <c r="AT907" s="932"/>
      <c r="AU907" s="932"/>
      <c r="AV907" s="932"/>
      <c r="AW907" s="932"/>
      <c r="AX907" s="932"/>
      <c r="AY907" s="932"/>
      <c r="AZ907" s="932"/>
      <c r="BA907" s="932"/>
      <c r="BB907" s="932"/>
      <c r="BC907" s="932"/>
      <c r="BD907" s="932"/>
      <c r="BE907" s="932"/>
      <c r="BF907" s="932"/>
    </row>
    <row r="908" spans="2:58" ht="15" x14ac:dyDescent="0.25">
      <c r="B908" s="932"/>
      <c r="C908" s="932"/>
      <c r="D908" s="932"/>
      <c r="E908" s="932"/>
      <c r="F908" s="932"/>
      <c r="G908" s="932"/>
      <c r="H908" s="932"/>
      <c r="I908" s="932"/>
      <c r="J908" s="932"/>
      <c r="K908" s="932"/>
      <c r="L908" s="932"/>
      <c r="M908" s="932"/>
      <c r="N908" s="932"/>
      <c r="O908" s="932"/>
      <c r="P908" s="932"/>
      <c r="Q908" s="932"/>
      <c r="R908" s="932"/>
      <c r="S908" s="932"/>
      <c r="T908" s="932"/>
      <c r="U908" s="932"/>
      <c r="V908" s="932"/>
      <c r="W908" s="932"/>
      <c r="X908" s="932"/>
      <c r="Y908" s="932"/>
      <c r="Z908" s="932"/>
      <c r="AA908" s="932"/>
      <c r="AB908" s="932"/>
      <c r="AC908" s="932"/>
      <c r="AD908" s="932"/>
      <c r="AE908" s="932"/>
      <c r="AF908" s="932"/>
      <c r="AG908" s="932"/>
      <c r="AH908" s="932"/>
      <c r="AI908" s="932"/>
      <c r="AJ908" s="932"/>
      <c r="AK908" s="932"/>
      <c r="AL908" s="932"/>
      <c r="AM908" s="932"/>
      <c r="AN908" s="932"/>
      <c r="AO908" s="932"/>
      <c r="AP908" s="932"/>
      <c r="AQ908" s="932"/>
      <c r="AR908" s="932"/>
      <c r="AS908" s="932"/>
      <c r="AT908" s="932"/>
      <c r="AU908" s="932"/>
      <c r="AV908" s="932"/>
      <c r="AW908" s="932"/>
      <c r="AX908" s="932"/>
      <c r="AY908" s="932"/>
      <c r="AZ908" s="932"/>
      <c r="BA908" s="932"/>
      <c r="BB908" s="932"/>
      <c r="BC908" s="932"/>
      <c r="BD908" s="932"/>
      <c r="BE908" s="932"/>
      <c r="BF908" s="932"/>
    </row>
    <row r="909" spans="2:58" ht="15" x14ac:dyDescent="0.25">
      <c r="B909" s="932"/>
      <c r="C909" s="932"/>
      <c r="D909" s="932"/>
      <c r="E909" s="932"/>
      <c r="F909" s="932"/>
      <c r="G909" s="932"/>
      <c r="H909" s="932"/>
      <c r="I909" s="932"/>
      <c r="J909" s="932"/>
      <c r="K909" s="932"/>
      <c r="L909" s="932"/>
      <c r="M909" s="932"/>
      <c r="N909" s="932"/>
      <c r="O909" s="932"/>
      <c r="P909" s="932"/>
      <c r="Q909" s="932"/>
      <c r="R909" s="932"/>
      <c r="S909" s="932"/>
      <c r="T909" s="932"/>
      <c r="U909" s="932"/>
      <c r="V909" s="932"/>
      <c r="W909" s="932"/>
      <c r="X909" s="932"/>
      <c r="Y909" s="932"/>
      <c r="Z909" s="932"/>
      <c r="AA909" s="932"/>
      <c r="AB909" s="932"/>
      <c r="AC909" s="932"/>
      <c r="AD909" s="932"/>
      <c r="AE909" s="932"/>
      <c r="AF909" s="932"/>
      <c r="AG909" s="932"/>
      <c r="AH909" s="932"/>
      <c r="AI909" s="932"/>
      <c r="AJ909" s="932"/>
      <c r="AK909" s="932"/>
      <c r="AL909" s="932"/>
      <c r="AM909" s="932"/>
      <c r="AN909" s="932"/>
      <c r="AO909" s="932"/>
      <c r="AP909" s="932"/>
      <c r="AQ909" s="932"/>
      <c r="AR909" s="932"/>
      <c r="AS909" s="932"/>
      <c r="AT909" s="932"/>
      <c r="AU909" s="932"/>
      <c r="AV909" s="932"/>
      <c r="AW909" s="932"/>
      <c r="AX909" s="932"/>
      <c r="AY909" s="932"/>
      <c r="AZ909" s="932"/>
      <c r="BA909" s="932"/>
      <c r="BB909" s="932"/>
      <c r="BC909" s="932"/>
      <c r="BD909" s="932"/>
      <c r="BE909" s="932"/>
      <c r="BF909" s="932"/>
    </row>
    <row r="910" spans="2:58" ht="15" x14ac:dyDescent="0.25">
      <c r="B910" s="932"/>
      <c r="C910" s="932"/>
      <c r="D910" s="932"/>
      <c r="E910" s="932"/>
      <c r="F910" s="932"/>
      <c r="G910" s="932"/>
      <c r="H910" s="932"/>
      <c r="I910" s="932"/>
      <c r="J910" s="932"/>
      <c r="K910" s="932"/>
      <c r="L910" s="932"/>
      <c r="M910" s="932"/>
      <c r="N910" s="932"/>
      <c r="O910" s="932"/>
      <c r="P910" s="932"/>
      <c r="Q910" s="932"/>
      <c r="R910" s="932"/>
      <c r="S910" s="932"/>
      <c r="T910" s="932"/>
      <c r="U910" s="932"/>
      <c r="V910" s="932"/>
      <c r="W910" s="932"/>
      <c r="X910" s="932"/>
      <c r="Y910" s="932"/>
      <c r="Z910" s="932"/>
      <c r="AA910" s="932"/>
      <c r="AB910" s="932"/>
      <c r="AC910" s="932"/>
      <c r="AD910" s="932"/>
      <c r="AE910" s="932"/>
      <c r="AF910" s="932"/>
      <c r="AG910" s="932"/>
      <c r="AH910" s="932"/>
      <c r="AI910" s="932"/>
      <c r="AJ910" s="932"/>
      <c r="AK910" s="932"/>
      <c r="AL910" s="932"/>
      <c r="AM910" s="932"/>
      <c r="AN910" s="932"/>
      <c r="AO910" s="932"/>
      <c r="AP910" s="932"/>
      <c r="AQ910" s="932"/>
      <c r="AR910" s="932"/>
      <c r="AS910" s="932"/>
      <c r="AT910" s="932"/>
      <c r="AU910" s="932"/>
      <c r="AV910" s="932"/>
      <c r="AW910" s="932"/>
      <c r="AX910" s="932"/>
      <c r="AY910" s="932"/>
      <c r="AZ910" s="932"/>
      <c r="BA910" s="932"/>
      <c r="BB910" s="932"/>
      <c r="BC910" s="932"/>
      <c r="BD910" s="932"/>
      <c r="BE910" s="932"/>
      <c r="BF910" s="932"/>
    </row>
    <row r="911" spans="2:58" ht="15" x14ac:dyDescent="0.25">
      <c r="B911" s="932"/>
      <c r="C911" s="932"/>
      <c r="D911" s="932"/>
      <c r="E911" s="932"/>
      <c r="F911" s="932"/>
      <c r="G911" s="932"/>
      <c r="H911" s="932"/>
      <c r="I911" s="932"/>
      <c r="J911" s="932"/>
      <c r="K911" s="932"/>
      <c r="L911" s="932"/>
      <c r="M911" s="932"/>
      <c r="N911" s="932"/>
      <c r="O911" s="932"/>
      <c r="P911" s="932"/>
      <c r="Q911" s="932"/>
      <c r="R911" s="932"/>
      <c r="S911" s="932"/>
      <c r="T911" s="932"/>
      <c r="U911" s="932"/>
      <c r="V911" s="932"/>
      <c r="W911" s="932"/>
      <c r="X911" s="932"/>
      <c r="Y911" s="932"/>
      <c r="Z911" s="932"/>
      <c r="AA911" s="932"/>
      <c r="AB911" s="932"/>
      <c r="AC911" s="932"/>
      <c r="AD911" s="932"/>
      <c r="AE911" s="932"/>
      <c r="AF911" s="932"/>
      <c r="AG911" s="932"/>
      <c r="AH911" s="932"/>
      <c r="AI911" s="932"/>
      <c r="AJ911" s="932"/>
      <c r="AK911" s="932"/>
      <c r="AL911" s="932"/>
      <c r="AM911" s="932"/>
      <c r="AN911" s="932"/>
      <c r="AO911" s="932"/>
      <c r="AP911" s="932"/>
      <c r="AQ911" s="932"/>
      <c r="AR911" s="932"/>
      <c r="AS911" s="932"/>
      <c r="AT911" s="932"/>
      <c r="AU911" s="932"/>
      <c r="AV911" s="932"/>
      <c r="AW911" s="932"/>
      <c r="AX911" s="932"/>
      <c r="AY911" s="932"/>
      <c r="AZ911" s="932"/>
      <c r="BA911" s="932"/>
      <c r="BB911" s="932"/>
      <c r="BC911" s="932"/>
      <c r="BD911" s="932"/>
      <c r="BE911" s="932"/>
      <c r="BF911" s="932"/>
    </row>
    <row r="912" spans="2:58" ht="15" x14ac:dyDescent="0.25">
      <c r="B912" s="932"/>
      <c r="C912" s="932"/>
      <c r="D912" s="932"/>
      <c r="E912" s="932"/>
      <c r="F912" s="932"/>
      <c r="G912" s="932"/>
      <c r="H912" s="932"/>
      <c r="I912" s="932"/>
      <c r="J912" s="932"/>
      <c r="K912" s="932"/>
      <c r="L912" s="932"/>
      <c r="M912" s="932"/>
      <c r="N912" s="932"/>
      <c r="O912" s="932"/>
      <c r="P912" s="932"/>
      <c r="Q912" s="932"/>
      <c r="R912" s="932"/>
      <c r="S912" s="932"/>
      <c r="T912" s="932"/>
      <c r="U912" s="932"/>
      <c r="V912" s="932"/>
      <c r="W912" s="932"/>
      <c r="X912" s="932"/>
      <c r="Y912" s="932"/>
      <c r="Z912" s="932"/>
      <c r="AA912" s="932"/>
      <c r="AB912" s="932"/>
      <c r="AC912" s="932"/>
      <c r="AD912" s="932"/>
      <c r="AE912" s="932"/>
      <c r="AF912" s="932"/>
      <c r="AG912" s="932"/>
      <c r="AH912" s="932"/>
      <c r="AI912" s="932"/>
      <c r="AJ912" s="932"/>
      <c r="AK912" s="932"/>
      <c r="AL912" s="932"/>
      <c r="AM912" s="932"/>
      <c r="AN912" s="932"/>
      <c r="AO912" s="932"/>
      <c r="AP912" s="932"/>
      <c r="AQ912" s="932"/>
      <c r="AR912" s="932"/>
      <c r="AS912" s="932"/>
      <c r="AT912" s="932"/>
      <c r="AU912" s="932"/>
      <c r="AV912" s="932"/>
      <c r="AW912" s="932"/>
      <c r="AX912" s="932"/>
      <c r="AY912" s="932"/>
      <c r="AZ912" s="932"/>
      <c r="BA912" s="932"/>
      <c r="BB912" s="932"/>
      <c r="BC912" s="932"/>
      <c r="BD912" s="932"/>
      <c r="BE912" s="932"/>
      <c r="BF912" s="932"/>
    </row>
    <row r="913" spans="2:58" ht="15" x14ac:dyDescent="0.25">
      <c r="B913" s="932"/>
      <c r="C913" s="932"/>
      <c r="D913" s="932"/>
      <c r="E913" s="932"/>
      <c r="F913" s="932"/>
      <c r="G913" s="932"/>
      <c r="H913" s="932"/>
      <c r="I913" s="932"/>
      <c r="J913" s="932"/>
      <c r="K913" s="932"/>
      <c r="L913" s="932"/>
      <c r="M913" s="932"/>
      <c r="N913" s="932"/>
      <c r="O913" s="932"/>
      <c r="P913" s="932"/>
      <c r="Q913" s="932"/>
      <c r="R913" s="932"/>
      <c r="S913" s="932"/>
      <c r="T913" s="932"/>
      <c r="U913" s="932"/>
      <c r="V913" s="932"/>
      <c r="W913" s="932"/>
      <c r="X913" s="932"/>
      <c r="Y913" s="932"/>
      <c r="Z913" s="932"/>
      <c r="AA913" s="932"/>
      <c r="AB913" s="932"/>
      <c r="AC913" s="932"/>
      <c r="AD913" s="932"/>
      <c r="AE913" s="932"/>
      <c r="AF913" s="932"/>
      <c r="AG913" s="932"/>
      <c r="AH913" s="932"/>
      <c r="AI913" s="932"/>
      <c r="AJ913" s="932"/>
      <c r="AK913" s="932"/>
      <c r="AL913" s="932"/>
      <c r="AM913" s="932"/>
      <c r="AN913" s="932"/>
      <c r="AO913" s="932"/>
      <c r="AP913" s="932"/>
      <c r="AQ913" s="932"/>
      <c r="AR913" s="932"/>
      <c r="AS913" s="932"/>
      <c r="AT913" s="932"/>
      <c r="AU913" s="932"/>
      <c r="AV913" s="932"/>
      <c r="AW913" s="932"/>
      <c r="AX913" s="932"/>
      <c r="AY913" s="932"/>
      <c r="AZ913" s="932"/>
      <c r="BA913" s="932"/>
      <c r="BB913" s="932"/>
      <c r="BC913" s="932"/>
      <c r="BD913" s="932"/>
      <c r="BE913" s="932"/>
      <c r="BF913" s="932"/>
    </row>
    <row r="914" spans="2:58" ht="15" x14ac:dyDescent="0.25">
      <c r="B914" s="932"/>
      <c r="C914" s="932"/>
      <c r="D914" s="932"/>
      <c r="E914" s="932"/>
      <c r="F914" s="932"/>
      <c r="G914" s="932"/>
      <c r="H914" s="932"/>
      <c r="I914" s="932"/>
      <c r="J914" s="932"/>
      <c r="K914" s="932"/>
      <c r="L914" s="932"/>
      <c r="M914" s="932"/>
      <c r="N914" s="932"/>
      <c r="O914" s="932"/>
      <c r="P914" s="932"/>
      <c r="Q914" s="932"/>
      <c r="R914" s="932"/>
      <c r="S914" s="932"/>
      <c r="T914" s="932"/>
      <c r="U914" s="932"/>
      <c r="V914" s="932"/>
      <c r="W914" s="932"/>
      <c r="X914" s="932"/>
      <c r="Y914" s="932"/>
      <c r="Z914" s="932"/>
      <c r="AA914" s="932"/>
      <c r="AB914" s="932"/>
      <c r="AC914" s="932"/>
      <c r="AD914" s="932"/>
      <c r="AE914" s="932"/>
      <c r="AF914" s="932"/>
      <c r="AG914" s="932"/>
      <c r="AH914" s="932"/>
      <c r="AI914" s="932"/>
      <c r="AJ914" s="932"/>
      <c r="AK914" s="932"/>
      <c r="AL914" s="932"/>
      <c r="AM914" s="932"/>
      <c r="AN914" s="932"/>
      <c r="AO914" s="932"/>
      <c r="AP914" s="932"/>
      <c r="AQ914" s="932"/>
      <c r="AR914" s="932"/>
      <c r="AS914" s="932"/>
      <c r="AT914" s="932"/>
      <c r="AU914" s="932"/>
      <c r="AV914" s="932"/>
      <c r="AW914" s="932"/>
      <c r="AX914" s="932"/>
      <c r="AY914" s="932"/>
      <c r="AZ914" s="932"/>
      <c r="BA914" s="932"/>
      <c r="BB914" s="932"/>
      <c r="BC914" s="932"/>
      <c r="BD914" s="932"/>
      <c r="BE914" s="932"/>
      <c r="BF914" s="932"/>
    </row>
    <row r="915" spans="2:58" ht="15" x14ac:dyDescent="0.25">
      <c r="B915" s="932"/>
      <c r="C915" s="932"/>
      <c r="D915" s="932"/>
      <c r="E915" s="932"/>
      <c r="F915" s="932"/>
      <c r="G915" s="932"/>
      <c r="H915" s="932"/>
      <c r="I915" s="932"/>
      <c r="J915" s="932"/>
      <c r="K915" s="932"/>
      <c r="L915" s="932"/>
      <c r="M915" s="932"/>
      <c r="N915" s="932"/>
      <c r="O915" s="932"/>
      <c r="P915" s="932"/>
      <c r="Q915" s="932"/>
      <c r="R915" s="932"/>
      <c r="S915" s="932"/>
      <c r="T915" s="932"/>
      <c r="U915" s="932"/>
      <c r="V915" s="932"/>
      <c r="W915" s="932"/>
      <c r="X915" s="932"/>
      <c r="Y915" s="932"/>
      <c r="Z915" s="932"/>
      <c r="AA915" s="932"/>
      <c r="AB915" s="932"/>
      <c r="AC915" s="932"/>
      <c r="AD915" s="932"/>
      <c r="AE915" s="932"/>
      <c r="AF915" s="932"/>
      <c r="AG915" s="932"/>
      <c r="AH915" s="932"/>
      <c r="AI915" s="932"/>
      <c r="AJ915" s="932"/>
      <c r="AK915" s="932"/>
      <c r="AL915" s="932"/>
      <c r="AM915" s="932"/>
      <c r="AN915" s="932"/>
      <c r="AO915" s="932"/>
      <c r="AP915" s="932"/>
      <c r="AQ915" s="932"/>
      <c r="AR915" s="932"/>
      <c r="AS915" s="932"/>
      <c r="AT915" s="932"/>
      <c r="AU915" s="932"/>
      <c r="AV915" s="932"/>
      <c r="AW915" s="932"/>
      <c r="AX915" s="932"/>
      <c r="AY915" s="932"/>
      <c r="AZ915" s="932"/>
      <c r="BA915" s="932"/>
      <c r="BB915" s="932"/>
      <c r="BC915" s="932"/>
      <c r="BD915" s="932"/>
      <c r="BE915" s="932"/>
      <c r="BF915" s="932"/>
    </row>
    <row r="916" spans="2:58" ht="15" x14ac:dyDescent="0.25">
      <c r="B916" s="932"/>
      <c r="C916" s="932"/>
      <c r="D916" s="932"/>
      <c r="E916" s="932"/>
      <c r="F916" s="932"/>
      <c r="G916" s="932"/>
      <c r="H916" s="932"/>
      <c r="I916" s="932"/>
      <c r="J916" s="932"/>
      <c r="K916" s="932"/>
      <c r="L916" s="932"/>
      <c r="M916" s="932"/>
      <c r="N916" s="932"/>
      <c r="O916" s="932"/>
      <c r="P916" s="932"/>
      <c r="Q916" s="932"/>
      <c r="R916" s="932"/>
      <c r="S916" s="932"/>
      <c r="T916" s="932"/>
      <c r="U916" s="932"/>
      <c r="V916" s="932"/>
      <c r="W916" s="932"/>
      <c r="X916" s="932"/>
      <c r="Y916" s="932"/>
      <c r="Z916" s="932"/>
      <c r="AA916" s="932"/>
      <c r="AB916" s="932"/>
      <c r="AC916" s="932"/>
      <c r="AD916" s="932"/>
      <c r="AE916" s="932"/>
      <c r="AF916" s="932"/>
      <c r="AG916" s="932"/>
      <c r="AH916" s="932"/>
      <c r="AI916" s="932"/>
      <c r="AJ916" s="932"/>
      <c r="AK916" s="932"/>
      <c r="AL916" s="932"/>
      <c r="AM916" s="932"/>
      <c r="AN916" s="932"/>
      <c r="AO916" s="932"/>
      <c r="AP916" s="932"/>
      <c r="AQ916" s="932"/>
      <c r="AR916" s="932"/>
      <c r="AS916" s="932"/>
      <c r="AT916" s="932"/>
      <c r="AU916" s="932"/>
      <c r="AV916" s="932"/>
      <c r="AW916" s="932"/>
      <c r="AX916" s="932"/>
      <c r="AY916" s="932"/>
      <c r="AZ916" s="932"/>
      <c r="BA916" s="932"/>
      <c r="BB916" s="932"/>
      <c r="BC916" s="932"/>
      <c r="BD916" s="932"/>
      <c r="BE916" s="932"/>
      <c r="BF916" s="932"/>
    </row>
    <row r="917" spans="2:58" ht="15" x14ac:dyDescent="0.25">
      <c r="B917" s="932"/>
      <c r="C917" s="932"/>
      <c r="D917" s="932"/>
      <c r="E917" s="932"/>
      <c r="F917" s="932"/>
      <c r="G917" s="932"/>
      <c r="H917" s="932"/>
      <c r="I917" s="932"/>
      <c r="J917" s="932"/>
      <c r="K917" s="932"/>
      <c r="L917" s="932"/>
      <c r="M917" s="932"/>
      <c r="N917" s="932"/>
      <c r="O917" s="932"/>
      <c r="P917" s="932"/>
      <c r="Q917" s="932"/>
      <c r="R917" s="932"/>
      <c r="S917" s="932"/>
      <c r="T917" s="932"/>
      <c r="U917" s="932"/>
      <c r="V917" s="932"/>
      <c r="W917" s="932"/>
      <c r="X917" s="932"/>
      <c r="Y917" s="932"/>
      <c r="Z917" s="932"/>
      <c r="AA917" s="932"/>
      <c r="AB917" s="932"/>
      <c r="AC917" s="932"/>
      <c r="AD917" s="932"/>
      <c r="AE917" s="932"/>
      <c r="AF917" s="932"/>
      <c r="AG917" s="932"/>
      <c r="AH917" s="932"/>
      <c r="AI917" s="932"/>
      <c r="AJ917" s="932"/>
      <c r="AK917" s="932"/>
      <c r="AL917" s="932"/>
      <c r="AM917" s="932"/>
      <c r="AN917" s="932"/>
      <c r="AO917" s="932"/>
      <c r="AP917" s="932"/>
      <c r="AQ917" s="932"/>
      <c r="AR917" s="932"/>
      <c r="AS917" s="932"/>
      <c r="AT917" s="932"/>
      <c r="AU917" s="932"/>
      <c r="AV917" s="932"/>
      <c r="AW917" s="932"/>
      <c r="AX917" s="932"/>
      <c r="AY917" s="932"/>
      <c r="AZ917" s="932"/>
      <c r="BA917" s="932"/>
      <c r="BB917" s="932"/>
      <c r="BC917" s="932"/>
      <c r="BD917" s="932"/>
      <c r="BE917" s="932"/>
      <c r="BF917" s="932"/>
    </row>
    <row r="918" spans="2:58" ht="15" x14ac:dyDescent="0.25">
      <c r="B918" s="932"/>
      <c r="C918" s="932"/>
      <c r="D918" s="932"/>
      <c r="E918" s="932"/>
      <c r="F918" s="932"/>
      <c r="G918" s="932"/>
      <c r="H918" s="932"/>
      <c r="I918" s="932"/>
      <c r="J918" s="932"/>
      <c r="K918" s="932"/>
      <c r="L918" s="932"/>
      <c r="M918" s="932"/>
      <c r="N918" s="932"/>
      <c r="O918" s="932"/>
      <c r="P918" s="932"/>
      <c r="Q918" s="932"/>
      <c r="R918" s="932"/>
      <c r="S918" s="932"/>
      <c r="T918" s="932"/>
      <c r="U918" s="932"/>
      <c r="V918" s="932"/>
      <c r="W918" s="932"/>
      <c r="X918" s="932"/>
      <c r="Y918" s="932"/>
      <c r="Z918" s="932"/>
      <c r="AA918" s="932"/>
      <c r="AB918" s="932"/>
      <c r="AC918" s="932"/>
      <c r="AD918" s="932"/>
      <c r="AE918" s="932"/>
      <c r="AF918" s="932"/>
      <c r="AG918" s="932"/>
      <c r="AH918" s="932"/>
      <c r="AI918" s="932"/>
      <c r="AJ918" s="932"/>
      <c r="AK918" s="932"/>
      <c r="AL918" s="932"/>
      <c r="AM918" s="932"/>
      <c r="AN918" s="932"/>
      <c r="AO918" s="932"/>
      <c r="AP918" s="932"/>
      <c r="AQ918" s="932"/>
      <c r="AR918" s="932"/>
      <c r="AS918" s="932"/>
      <c r="AT918" s="932"/>
      <c r="AU918" s="932"/>
      <c r="AV918" s="932"/>
      <c r="AW918" s="932"/>
      <c r="AX918" s="932"/>
      <c r="AY918" s="932"/>
      <c r="AZ918" s="932"/>
      <c r="BA918" s="932"/>
      <c r="BB918" s="932"/>
      <c r="BC918" s="932"/>
      <c r="BD918" s="932"/>
      <c r="BE918" s="932"/>
      <c r="BF918" s="932"/>
    </row>
    <row r="919" spans="2:58" ht="15" x14ac:dyDescent="0.25">
      <c r="B919" s="932"/>
      <c r="C919" s="932"/>
      <c r="D919" s="932"/>
      <c r="E919" s="932"/>
      <c r="F919" s="932"/>
      <c r="G919" s="932"/>
      <c r="H919" s="932"/>
      <c r="I919" s="932"/>
      <c r="J919" s="932"/>
      <c r="K919" s="932"/>
      <c r="L919" s="932"/>
      <c r="M919" s="932"/>
      <c r="N919" s="932"/>
      <c r="O919" s="932"/>
      <c r="P919" s="932"/>
      <c r="Q919" s="932"/>
      <c r="R919" s="932"/>
      <c r="S919" s="932"/>
      <c r="T919" s="932"/>
      <c r="U919" s="932"/>
      <c r="V919" s="932"/>
      <c r="W919" s="932"/>
      <c r="X919" s="932"/>
      <c r="Y919" s="932"/>
      <c r="Z919" s="932"/>
      <c r="AA919" s="932"/>
      <c r="AB919" s="932"/>
      <c r="AC919" s="932"/>
      <c r="AD919" s="932"/>
      <c r="AE919" s="932"/>
      <c r="AF919" s="932"/>
      <c r="AG919" s="932"/>
      <c r="AH919" s="932"/>
      <c r="AI919" s="932"/>
      <c r="AJ919" s="932"/>
      <c r="AK919" s="932"/>
      <c r="AL919" s="932"/>
      <c r="AM919" s="932"/>
      <c r="AN919" s="932"/>
      <c r="AO919" s="932"/>
      <c r="AP919" s="932"/>
      <c r="AQ919" s="932"/>
      <c r="AR919" s="932"/>
      <c r="AS919" s="932"/>
      <c r="AT919" s="932"/>
      <c r="AU919" s="932"/>
      <c r="AV919" s="932"/>
      <c r="AW919" s="932"/>
      <c r="AX919" s="932"/>
      <c r="AY919" s="932"/>
      <c r="AZ919" s="932"/>
      <c r="BA919" s="932"/>
      <c r="BB919" s="932"/>
      <c r="BC919" s="932"/>
      <c r="BD919" s="932"/>
      <c r="BE919" s="932"/>
      <c r="BF919" s="932"/>
    </row>
    <row r="920" spans="2:58" ht="15" x14ac:dyDescent="0.25">
      <c r="B920" s="932"/>
      <c r="C920" s="932"/>
      <c r="D920" s="932"/>
      <c r="E920" s="932"/>
      <c r="F920" s="932"/>
      <c r="G920" s="932"/>
      <c r="H920" s="932"/>
      <c r="I920" s="932"/>
      <c r="J920" s="932"/>
      <c r="K920" s="932"/>
      <c r="L920" s="932"/>
      <c r="M920" s="932"/>
      <c r="N920" s="932"/>
      <c r="O920" s="932"/>
      <c r="P920" s="932"/>
      <c r="Q920" s="932"/>
      <c r="R920" s="932"/>
      <c r="S920" s="932"/>
      <c r="T920" s="932"/>
      <c r="U920" s="932"/>
      <c r="V920" s="932"/>
      <c r="W920" s="932"/>
      <c r="X920" s="932"/>
      <c r="Y920" s="932"/>
      <c r="Z920" s="932"/>
      <c r="AA920" s="932"/>
      <c r="AB920" s="932"/>
      <c r="AC920" s="932"/>
      <c r="AD920" s="932"/>
      <c r="AE920" s="932"/>
      <c r="AF920" s="932"/>
      <c r="AG920" s="932"/>
      <c r="AH920" s="932"/>
      <c r="AI920" s="932"/>
      <c r="AJ920" s="932"/>
      <c r="AK920" s="932"/>
      <c r="AL920" s="932"/>
      <c r="AM920" s="932"/>
      <c r="AN920" s="932"/>
      <c r="AO920" s="932"/>
      <c r="AP920" s="932"/>
      <c r="AQ920" s="932"/>
      <c r="AR920" s="932"/>
      <c r="AS920" s="932"/>
      <c r="AT920" s="932"/>
      <c r="AU920" s="932"/>
      <c r="AV920" s="932"/>
      <c r="AW920" s="932"/>
      <c r="AX920" s="932"/>
      <c r="AY920" s="932"/>
      <c r="AZ920" s="932"/>
      <c r="BA920" s="932"/>
      <c r="BB920" s="932"/>
      <c r="BC920" s="932"/>
      <c r="BD920" s="932"/>
      <c r="BE920" s="932"/>
      <c r="BF920" s="932"/>
    </row>
    <row r="921" spans="2:58" ht="15" x14ac:dyDescent="0.25">
      <c r="B921" s="932"/>
      <c r="C921" s="932"/>
      <c r="D921" s="932"/>
      <c r="E921" s="932"/>
      <c r="F921" s="932"/>
      <c r="G921" s="932"/>
      <c r="H921" s="932"/>
      <c r="I921" s="932"/>
      <c r="J921" s="932"/>
      <c r="K921" s="932"/>
      <c r="L921" s="932"/>
      <c r="M921" s="932"/>
      <c r="N921" s="932"/>
      <c r="O921" s="932"/>
      <c r="P921" s="932"/>
      <c r="Q921" s="932"/>
      <c r="R921" s="932"/>
      <c r="S921" s="932"/>
      <c r="T921" s="932"/>
      <c r="U921" s="932"/>
      <c r="V921" s="932"/>
      <c r="W921" s="932"/>
      <c r="X921" s="932"/>
      <c r="Y921" s="932"/>
      <c r="Z921" s="932"/>
      <c r="AA921" s="932"/>
      <c r="AB921" s="932"/>
      <c r="AC921" s="932"/>
      <c r="AD921" s="932"/>
      <c r="AE921" s="932"/>
      <c r="AF921" s="932"/>
      <c r="AG921" s="932"/>
      <c r="AH921" s="932"/>
      <c r="AI921" s="932"/>
      <c r="AJ921" s="932"/>
      <c r="AK921" s="932"/>
      <c r="AL921" s="932"/>
      <c r="AM921" s="932"/>
      <c r="AN921" s="932"/>
      <c r="AO921" s="932"/>
      <c r="AP921" s="932"/>
      <c r="AQ921" s="932"/>
      <c r="AR921" s="932"/>
      <c r="AS921" s="932"/>
      <c r="AT921" s="932"/>
      <c r="AU921" s="932"/>
      <c r="AV921" s="932"/>
      <c r="AW921" s="932"/>
      <c r="AX921" s="932"/>
      <c r="AY921" s="932"/>
      <c r="AZ921" s="932"/>
      <c r="BA921" s="932"/>
      <c r="BB921" s="932"/>
      <c r="BC921" s="932"/>
      <c r="BD921" s="932"/>
      <c r="BE921" s="932"/>
      <c r="BF921" s="932"/>
    </row>
    <row r="922" spans="2:58" ht="15" x14ac:dyDescent="0.25">
      <c r="B922" s="932"/>
      <c r="C922" s="932"/>
      <c r="D922" s="932"/>
      <c r="E922" s="932"/>
      <c r="F922" s="932"/>
      <c r="G922" s="932"/>
      <c r="H922" s="932"/>
      <c r="I922" s="932"/>
      <c r="J922" s="932"/>
      <c r="K922" s="932"/>
      <c r="L922" s="932"/>
      <c r="M922" s="932"/>
      <c r="N922" s="932"/>
      <c r="O922" s="932"/>
      <c r="P922" s="932"/>
      <c r="Q922" s="932"/>
      <c r="R922" s="932"/>
      <c r="S922" s="932"/>
      <c r="T922" s="932"/>
      <c r="U922" s="932"/>
      <c r="V922" s="932"/>
      <c r="W922" s="932"/>
      <c r="X922" s="932"/>
      <c r="Y922" s="932"/>
      <c r="Z922" s="932"/>
      <c r="AA922" s="932"/>
      <c r="AB922" s="932"/>
      <c r="AC922" s="932"/>
      <c r="AD922" s="932"/>
      <c r="AE922" s="932"/>
      <c r="AF922" s="932"/>
      <c r="AG922" s="932"/>
      <c r="AH922" s="932"/>
      <c r="AI922" s="932"/>
      <c r="AJ922" s="932"/>
      <c r="AK922" s="932"/>
      <c r="AL922" s="932"/>
      <c r="AM922" s="932"/>
      <c r="AN922" s="932"/>
      <c r="AO922" s="932"/>
      <c r="AP922" s="932"/>
      <c r="AQ922" s="932"/>
      <c r="AR922" s="932"/>
      <c r="AS922" s="932"/>
      <c r="AT922" s="932"/>
      <c r="AU922" s="932"/>
      <c r="AV922" s="932"/>
      <c r="AW922" s="932"/>
      <c r="AX922" s="932"/>
      <c r="AY922" s="932"/>
      <c r="AZ922" s="932"/>
      <c r="BA922" s="932"/>
      <c r="BB922" s="932"/>
      <c r="BC922" s="932"/>
      <c r="BD922" s="932"/>
      <c r="BE922" s="932"/>
      <c r="BF922" s="932"/>
    </row>
    <row r="923" spans="2:58" ht="15" x14ac:dyDescent="0.25">
      <c r="B923" s="932"/>
      <c r="C923" s="932"/>
      <c r="D923" s="932"/>
      <c r="E923" s="932"/>
      <c r="F923" s="932"/>
      <c r="G923" s="932"/>
      <c r="H923" s="932"/>
      <c r="I923" s="932"/>
      <c r="J923" s="932"/>
      <c r="K923" s="932"/>
      <c r="L923" s="932"/>
      <c r="M923" s="932"/>
      <c r="N923" s="932"/>
      <c r="O923" s="932"/>
      <c r="P923" s="932"/>
      <c r="Q923" s="932"/>
      <c r="R923" s="932"/>
      <c r="S923" s="932"/>
      <c r="T923" s="932"/>
      <c r="U923" s="932"/>
      <c r="V923" s="932"/>
      <c r="W923" s="932"/>
      <c r="X923" s="932"/>
      <c r="Y923" s="932"/>
      <c r="Z923" s="932"/>
      <c r="AA923" s="932"/>
      <c r="AB923" s="932"/>
      <c r="AC923" s="932"/>
      <c r="AD923" s="932"/>
      <c r="AE923" s="932"/>
      <c r="AF923" s="932"/>
      <c r="AG923" s="932"/>
      <c r="AH923" s="932"/>
      <c r="AI923" s="932"/>
      <c r="AJ923" s="932"/>
      <c r="AK923" s="932"/>
      <c r="AL923" s="932"/>
      <c r="AM923" s="932"/>
      <c r="AN923" s="932"/>
      <c r="AO923" s="932"/>
      <c r="AP923" s="932"/>
      <c r="AQ923" s="932"/>
      <c r="AR923" s="932"/>
      <c r="AS923" s="932"/>
      <c r="AT923" s="932"/>
      <c r="AU923" s="932"/>
      <c r="AV923" s="932"/>
      <c r="AW923" s="932"/>
      <c r="AX923" s="932"/>
      <c r="AY923" s="932"/>
      <c r="AZ923" s="932"/>
      <c r="BA923" s="932"/>
      <c r="BB923" s="932"/>
      <c r="BC923" s="932"/>
      <c r="BD923" s="932"/>
      <c r="BE923" s="932"/>
      <c r="BF923" s="932"/>
    </row>
    <row r="924" spans="2:58" ht="15" x14ac:dyDescent="0.25">
      <c r="B924" s="932"/>
      <c r="C924" s="932"/>
      <c r="D924" s="932"/>
      <c r="E924" s="932"/>
      <c r="F924" s="932"/>
      <c r="G924" s="932"/>
      <c r="H924" s="932"/>
      <c r="I924" s="932"/>
      <c r="J924" s="932"/>
      <c r="K924" s="932"/>
      <c r="L924" s="932"/>
      <c r="M924" s="932"/>
      <c r="N924" s="932"/>
      <c r="O924" s="932"/>
      <c r="P924" s="932"/>
      <c r="Q924" s="932"/>
      <c r="R924" s="932"/>
      <c r="S924" s="932"/>
      <c r="T924" s="932"/>
      <c r="U924" s="932"/>
      <c r="V924" s="932"/>
      <c r="W924" s="932"/>
      <c r="X924" s="932"/>
      <c r="Y924" s="932"/>
      <c r="Z924" s="932"/>
      <c r="AA924" s="932"/>
      <c r="AB924" s="932"/>
      <c r="AC924" s="932"/>
      <c r="AD924" s="932"/>
      <c r="AE924" s="932"/>
      <c r="AF924" s="932"/>
      <c r="AG924" s="932"/>
      <c r="AH924" s="932"/>
      <c r="AI924" s="932"/>
      <c r="AJ924" s="932"/>
      <c r="AK924" s="932"/>
      <c r="AL924" s="932"/>
      <c r="AM924" s="932"/>
      <c r="AN924" s="932"/>
      <c r="AO924" s="932"/>
      <c r="AP924" s="932"/>
      <c r="AQ924" s="932"/>
      <c r="AR924" s="932"/>
      <c r="AS924" s="932"/>
      <c r="AT924" s="932"/>
      <c r="AU924" s="932"/>
      <c r="AV924" s="932"/>
      <c r="AW924" s="932"/>
      <c r="AX924" s="932"/>
      <c r="AY924" s="932"/>
      <c r="AZ924" s="932"/>
      <c r="BA924" s="932"/>
      <c r="BB924" s="932"/>
      <c r="BC924" s="932"/>
      <c r="BD924" s="932"/>
      <c r="BE924" s="932"/>
      <c r="BF924" s="932"/>
    </row>
    <row r="925" spans="2:58" ht="15" x14ac:dyDescent="0.25">
      <c r="B925" s="932"/>
      <c r="C925" s="932"/>
      <c r="D925" s="932"/>
      <c r="E925" s="932"/>
      <c r="F925" s="932"/>
      <c r="G925" s="932"/>
      <c r="H925" s="932"/>
      <c r="I925" s="932"/>
      <c r="J925" s="932"/>
      <c r="K925" s="932"/>
      <c r="L925" s="932"/>
      <c r="M925" s="932"/>
      <c r="N925" s="932"/>
      <c r="O925" s="932"/>
      <c r="P925" s="932"/>
      <c r="Q925" s="932"/>
      <c r="R925" s="932"/>
      <c r="S925" s="932"/>
      <c r="T925" s="932"/>
      <c r="U925" s="932"/>
      <c r="V925" s="932"/>
      <c r="W925" s="932"/>
      <c r="X925" s="932"/>
      <c r="Y925" s="932"/>
      <c r="Z925" s="932"/>
      <c r="AA925" s="932"/>
      <c r="AB925" s="932"/>
      <c r="AC925" s="932"/>
      <c r="AD925" s="932"/>
      <c r="AE925" s="932"/>
      <c r="AF925" s="932"/>
      <c r="AG925" s="932"/>
      <c r="AH925" s="932"/>
      <c r="AI925" s="932"/>
      <c r="AJ925" s="932"/>
      <c r="AK925" s="932"/>
      <c r="AL925" s="932"/>
      <c r="AM925" s="932"/>
      <c r="AN925" s="932"/>
      <c r="AO925" s="932"/>
      <c r="AP925" s="932"/>
      <c r="AQ925" s="932"/>
      <c r="AR925" s="932"/>
      <c r="AS925" s="932"/>
      <c r="AT925" s="932"/>
      <c r="AU925" s="932"/>
      <c r="AV925" s="932"/>
      <c r="AW925" s="932"/>
      <c r="AX925" s="932"/>
      <c r="AY925" s="932"/>
      <c r="AZ925" s="932"/>
      <c r="BA925" s="932"/>
      <c r="BB925" s="932"/>
      <c r="BC925" s="932"/>
      <c r="BD925" s="932"/>
      <c r="BE925" s="932"/>
      <c r="BF925" s="932"/>
    </row>
    <row r="926" spans="2:58" ht="15" x14ac:dyDescent="0.25">
      <c r="B926" s="932"/>
      <c r="C926" s="932"/>
      <c r="D926" s="932"/>
      <c r="E926" s="932"/>
      <c r="F926" s="932"/>
      <c r="G926" s="932"/>
      <c r="H926" s="932"/>
      <c r="I926" s="932"/>
      <c r="J926" s="932"/>
      <c r="K926" s="932"/>
      <c r="L926" s="932"/>
      <c r="M926" s="932"/>
      <c r="N926" s="932"/>
      <c r="O926" s="932"/>
      <c r="P926" s="932"/>
      <c r="Q926" s="932"/>
      <c r="R926" s="932"/>
      <c r="S926" s="932"/>
      <c r="T926" s="932"/>
      <c r="U926" s="932"/>
      <c r="V926" s="932"/>
      <c r="W926" s="932"/>
      <c r="X926" s="932"/>
      <c r="Y926" s="932"/>
      <c r="Z926" s="932"/>
      <c r="AA926" s="932"/>
      <c r="AB926" s="932"/>
      <c r="AC926" s="932"/>
      <c r="AD926" s="932"/>
      <c r="AE926" s="932"/>
      <c r="AF926" s="932"/>
      <c r="AG926" s="932"/>
      <c r="AH926" s="932"/>
      <c r="AI926" s="932"/>
      <c r="AJ926" s="932"/>
      <c r="AK926" s="932"/>
      <c r="AL926" s="932"/>
      <c r="AM926" s="932"/>
      <c r="AN926" s="932"/>
      <c r="AO926" s="932"/>
      <c r="AP926" s="932"/>
      <c r="AQ926" s="932"/>
      <c r="AR926" s="932"/>
      <c r="AS926" s="932"/>
      <c r="AT926" s="932"/>
      <c r="AU926" s="932"/>
      <c r="AV926" s="932"/>
      <c r="AW926" s="932"/>
      <c r="AX926" s="932"/>
      <c r="AY926" s="932"/>
      <c r="AZ926" s="932"/>
      <c r="BA926" s="932"/>
      <c r="BB926" s="932"/>
      <c r="BC926" s="932"/>
      <c r="BD926" s="932"/>
      <c r="BE926" s="932"/>
      <c r="BF926" s="932"/>
    </row>
    <row r="927" spans="2:58" ht="15" x14ac:dyDescent="0.25">
      <c r="B927" s="932"/>
      <c r="C927" s="932"/>
      <c r="D927" s="932"/>
      <c r="E927" s="932"/>
      <c r="F927" s="932"/>
      <c r="G927" s="932"/>
      <c r="H927" s="932"/>
      <c r="I927" s="932"/>
      <c r="J927" s="932"/>
      <c r="K927" s="932"/>
      <c r="L927" s="932"/>
      <c r="M927" s="932"/>
      <c r="N927" s="932"/>
      <c r="O927" s="932"/>
      <c r="P927" s="932"/>
      <c r="Q927" s="932"/>
      <c r="R927" s="932"/>
      <c r="S927" s="932"/>
      <c r="T927" s="932"/>
      <c r="U927" s="932"/>
      <c r="V927" s="932"/>
      <c r="W927" s="932"/>
      <c r="X927" s="932"/>
      <c r="Y927" s="932"/>
      <c r="Z927" s="932"/>
      <c r="AA927" s="932"/>
      <c r="AB927" s="932"/>
      <c r="AC927" s="932"/>
      <c r="AD927" s="932"/>
      <c r="AE927" s="932"/>
      <c r="AF927" s="932"/>
      <c r="AG927" s="932"/>
      <c r="AH927" s="932"/>
      <c r="AI927" s="932"/>
      <c r="AJ927" s="932"/>
      <c r="AK927" s="932"/>
      <c r="AL927" s="932"/>
      <c r="AM927" s="932"/>
      <c r="AN927" s="932"/>
      <c r="AO927" s="932"/>
      <c r="AP927" s="932"/>
      <c r="AQ927" s="932"/>
      <c r="AR927" s="932"/>
      <c r="AS927" s="932"/>
      <c r="AT927" s="932"/>
      <c r="AU927" s="932"/>
      <c r="AV927" s="932"/>
      <c r="AW927" s="932"/>
      <c r="AX927" s="932"/>
      <c r="AY927" s="932"/>
      <c r="AZ927" s="932"/>
      <c r="BA927" s="932"/>
      <c r="BB927" s="932"/>
      <c r="BC927" s="932"/>
      <c r="BD927" s="932"/>
      <c r="BE927" s="932"/>
      <c r="BF927" s="932"/>
    </row>
    <row r="928" spans="2:58" ht="15" x14ac:dyDescent="0.25">
      <c r="B928" s="932"/>
      <c r="C928" s="932"/>
      <c r="D928" s="932"/>
      <c r="E928" s="932"/>
      <c r="F928" s="932"/>
      <c r="G928" s="932"/>
      <c r="H928" s="932"/>
      <c r="I928" s="932"/>
      <c r="J928" s="932"/>
      <c r="K928" s="932"/>
      <c r="L928" s="932"/>
      <c r="M928" s="932"/>
      <c r="N928" s="932"/>
      <c r="O928" s="932"/>
      <c r="P928" s="932"/>
      <c r="Q928" s="932"/>
      <c r="R928" s="932"/>
      <c r="S928" s="932"/>
      <c r="T928" s="932"/>
      <c r="U928" s="932"/>
      <c r="V928" s="932"/>
      <c r="W928" s="932"/>
      <c r="X928" s="932"/>
      <c r="Y928" s="932"/>
      <c r="Z928" s="932"/>
      <c r="AA928" s="932"/>
      <c r="AB928" s="932"/>
      <c r="AC928" s="932"/>
      <c r="AD928" s="932"/>
      <c r="AE928" s="932"/>
      <c r="AF928" s="932"/>
      <c r="AG928" s="932"/>
      <c r="AH928" s="932"/>
      <c r="AI928" s="932"/>
      <c r="AJ928" s="932"/>
      <c r="AK928" s="932"/>
      <c r="AL928" s="932"/>
      <c r="AM928" s="932"/>
      <c r="AN928" s="932"/>
      <c r="AO928" s="932"/>
      <c r="AP928" s="932"/>
      <c r="AQ928" s="932"/>
      <c r="AR928" s="932"/>
      <c r="AS928" s="932"/>
      <c r="AT928" s="932"/>
      <c r="AU928" s="932"/>
      <c r="AV928" s="932"/>
      <c r="AW928" s="932"/>
      <c r="AX928" s="932"/>
      <c r="AY928" s="932"/>
      <c r="AZ928" s="932"/>
      <c r="BA928" s="932"/>
      <c r="BB928" s="932"/>
      <c r="BC928" s="932"/>
      <c r="BD928" s="932"/>
      <c r="BE928" s="932"/>
      <c r="BF928" s="932"/>
    </row>
    <row r="929" spans="2:58" ht="15" x14ac:dyDescent="0.25">
      <c r="B929" s="932"/>
      <c r="C929" s="932"/>
      <c r="D929" s="932"/>
      <c r="E929" s="932"/>
      <c r="F929" s="932"/>
      <c r="G929" s="932"/>
      <c r="H929" s="932"/>
      <c r="I929" s="932"/>
      <c r="J929" s="932"/>
      <c r="K929" s="932"/>
      <c r="L929" s="932"/>
      <c r="M929" s="932"/>
      <c r="N929" s="932"/>
      <c r="O929" s="932"/>
      <c r="P929" s="932"/>
      <c r="Q929" s="932"/>
      <c r="R929" s="932"/>
      <c r="S929" s="932"/>
      <c r="T929" s="932"/>
      <c r="U929" s="932"/>
      <c r="V929" s="932"/>
      <c r="W929" s="932"/>
      <c r="X929" s="932"/>
      <c r="Y929" s="932"/>
      <c r="Z929" s="932"/>
      <c r="AA929" s="932"/>
      <c r="AB929" s="932"/>
      <c r="AC929" s="932"/>
      <c r="AD929" s="932"/>
      <c r="AE929" s="932"/>
      <c r="AF929" s="932"/>
      <c r="AG929" s="932"/>
      <c r="AH929" s="932"/>
      <c r="AI929" s="932"/>
      <c r="AJ929" s="932"/>
      <c r="AK929" s="932"/>
      <c r="AL929" s="932"/>
      <c r="AM929" s="932"/>
      <c r="AN929" s="932"/>
      <c r="AO929" s="932"/>
      <c r="AP929" s="932"/>
      <c r="AQ929" s="932"/>
      <c r="AR929" s="932"/>
      <c r="AS929" s="932"/>
      <c r="AT929" s="932"/>
      <c r="AU929" s="932"/>
      <c r="AV929" s="932"/>
      <c r="AW929" s="932"/>
      <c r="AX929" s="932"/>
      <c r="AY929" s="932"/>
      <c r="AZ929" s="932"/>
      <c r="BA929" s="932"/>
      <c r="BB929" s="932"/>
      <c r="BC929" s="932"/>
      <c r="BD929" s="932"/>
      <c r="BE929" s="932"/>
      <c r="BF929" s="932"/>
    </row>
    <row r="930" spans="2:58" ht="15" x14ac:dyDescent="0.25">
      <c r="B930" s="932"/>
      <c r="C930" s="932"/>
      <c r="D930" s="932"/>
      <c r="E930" s="932"/>
      <c r="F930" s="932"/>
      <c r="G930" s="932"/>
      <c r="H930" s="932"/>
      <c r="I930" s="932"/>
      <c r="J930" s="932"/>
      <c r="K930" s="932"/>
      <c r="L930" s="932"/>
      <c r="M930" s="932"/>
      <c r="N930" s="932"/>
      <c r="O930" s="932"/>
      <c r="P930" s="932"/>
      <c r="Q930" s="932"/>
      <c r="R930" s="932"/>
      <c r="S930" s="932"/>
      <c r="T930" s="932"/>
      <c r="U930" s="932"/>
      <c r="V930" s="932"/>
      <c r="W930" s="932"/>
      <c r="X930" s="932"/>
      <c r="Y930" s="932"/>
      <c r="Z930" s="932"/>
      <c r="AA930" s="932"/>
      <c r="AB930" s="932"/>
      <c r="AC930" s="932"/>
      <c r="AD930" s="932"/>
      <c r="AE930" s="932"/>
      <c r="AF930" s="932"/>
      <c r="AG930" s="932"/>
      <c r="AH930" s="932"/>
      <c r="AI930" s="932"/>
      <c r="AJ930" s="932"/>
      <c r="AK930" s="932"/>
      <c r="AL930" s="932"/>
      <c r="AM930" s="932"/>
      <c r="AN930" s="932"/>
      <c r="AO930" s="932"/>
      <c r="AP930" s="932"/>
      <c r="AQ930" s="932"/>
      <c r="AR930" s="932"/>
      <c r="AS930" s="932"/>
      <c r="AT930" s="932"/>
      <c r="AU930" s="932"/>
      <c r="AV930" s="932"/>
      <c r="AW930" s="932"/>
      <c r="AX930" s="932"/>
      <c r="AY930" s="932"/>
      <c r="AZ930" s="932"/>
      <c r="BA930" s="932"/>
      <c r="BB930" s="932"/>
      <c r="BC930" s="932"/>
      <c r="BD930" s="932"/>
      <c r="BE930" s="932"/>
      <c r="BF930" s="932"/>
    </row>
    <row r="931" spans="2:58" ht="15" x14ac:dyDescent="0.25">
      <c r="B931" s="932"/>
      <c r="C931" s="932"/>
      <c r="D931" s="932"/>
      <c r="E931" s="932"/>
      <c r="F931" s="932"/>
      <c r="G931" s="932"/>
      <c r="H931" s="932"/>
      <c r="I931" s="932"/>
      <c r="J931" s="932"/>
      <c r="K931" s="932"/>
      <c r="L931" s="932"/>
      <c r="M931" s="932"/>
      <c r="N931" s="932"/>
      <c r="O931" s="932"/>
      <c r="P931" s="932"/>
      <c r="Q931" s="932"/>
      <c r="R931" s="932"/>
      <c r="S931" s="932"/>
      <c r="T931" s="932"/>
      <c r="U931" s="932"/>
      <c r="V931" s="932"/>
      <c r="W931" s="932"/>
      <c r="X931" s="932"/>
      <c r="Y931" s="932"/>
      <c r="Z931" s="932"/>
      <c r="AA931" s="932"/>
      <c r="AB931" s="932"/>
      <c r="AC931" s="932"/>
      <c r="AD931" s="932"/>
      <c r="AE931" s="932"/>
      <c r="AF931" s="932"/>
      <c r="AG931" s="932"/>
      <c r="AH931" s="932"/>
      <c r="AI931" s="932"/>
      <c r="AJ931" s="932"/>
      <c r="AK931" s="932"/>
      <c r="AL931" s="932"/>
      <c r="AM931" s="932"/>
      <c r="AN931" s="932"/>
      <c r="AO931" s="932"/>
      <c r="AP931" s="932"/>
      <c r="AQ931" s="932"/>
      <c r="AR931" s="932"/>
      <c r="AS931" s="932"/>
      <c r="AT931" s="932"/>
      <c r="AU931" s="932"/>
      <c r="AV931" s="932"/>
      <c r="AW931" s="932"/>
      <c r="AX931" s="932"/>
      <c r="AY931" s="932"/>
      <c r="AZ931" s="932"/>
      <c r="BA931" s="932"/>
      <c r="BB931" s="932"/>
      <c r="BC931" s="932"/>
      <c r="BD931" s="932"/>
      <c r="BE931" s="932"/>
      <c r="BF931" s="932"/>
    </row>
    <row r="932" spans="2:58" ht="15" x14ac:dyDescent="0.25">
      <c r="B932" s="932"/>
      <c r="C932" s="932"/>
      <c r="D932" s="932"/>
      <c r="E932" s="932"/>
      <c r="F932" s="932"/>
      <c r="G932" s="932"/>
      <c r="H932" s="932"/>
      <c r="I932" s="932"/>
      <c r="J932" s="932"/>
      <c r="K932" s="932"/>
      <c r="L932" s="932"/>
      <c r="M932" s="932"/>
      <c r="N932" s="932"/>
      <c r="O932" s="932"/>
      <c r="P932" s="932"/>
      <c r="Q932" s="932"/>
      <c r="R932" s="932"/>
      <c r="S932" s="932"/>
      <c r="T932" s="932"/>
      <c r="U932" s="932"/>
      <c r="V932" s="932"/>
      <c r="W932" s="932"/>
      <c r="X932" s="932"/>
      <c r="Y932" s="932"/>
      <c r="Z932" s="932"/>
      <c r="AA932" s="932"/>
      <c r="AB932" s="932"/>
      <c r="AC932" s="932"/>
      <c r="AD932" s="932"/>
      <c r="AE932" s="932"/>
      <c r="AF932" s="932"/>
      <c r="AG932" s="932"/>
      <c r="AH932" s="932"/>
      <c r="AI932" s="932"/>
      <c r="AJ932" s="932"/>
      <c r="AK932" s="932"/>
      <c r="AL932" s="932"/>
      <c r="AM932" s="932"/>
      <c r="AN932" s="932"/>
      <c r="AO932" s="932"/>
      <c r="AP932" s="932"/>
      <c r="AQ932" s="932"/>
      <c r="AR932" s="932"/>
      <c r="AS932" s="932"/>
      <c r="AT932" s="932"/>
      <c r="AU932" s="932"/>
      <c r="AV932" s="932"/>
      <c r="AW932" s="932"/>
      <c r="AX932" s="932"/>
      <c r="AY932" s="932"/>
      <c r="AZ932" s="932"/>
      <c r="BA932" s="932"/>
      <c r="BB932" s="932"/>
      <c r="BC932" s="932"/>
      <c r="BD932" s="932"/>
      <c r="BE932" s="932"/>
      <c r="BF932" s="932"/>
    </row>
    <row r="933" spans="2:58" ht="15" x14ac:dyDescent="0.25">
      <c r="B933" s="932"/>
      <c r="C933" s="932"/>
      <c r="D933" s="932"/>
      <c r="E933" s="932"/>
      <c r="F933" s="932"/>
      <c r="G933" s="932"/>
      <c r="H933" s="932"/>
      <c r="I933" s="932"/>
      <c r="J933" s="932"/>
      <c r="K933" s="932"/>
      <c r="L933" s="932"/>
      <c r="M933" s="932"/>
      <c r="N933" s="932"/>
      <c r="O933" s="932"/>
      <c r="P933" s="932"/>
      <c r="Q933" s="932"/>
      <c r="R933" s="932"/>
      <c r="S933" s="932"/>
      <c r="T933" s="932"/>
      <c r="U933" s="932"/>
      <c r="V933" s="932"/>
      <c r="W933" s="932"/>
      <c r="X933" s="932"/>
      <c r="Y933" s="932"/>
      <c r="Z933" s="932"/>
      <c r="AA933" s="932"/>
      <c r="AB933" s="932"/>
      <c r="AC933" s="932"/>
      <c r="AD933" s="932"/>
      <c r="AE933" s="932"/>
      <c r="AF933" s="932"/>
      <c r="AG933" s="932"/>
      <c r="AH933" s="932"/>
      <c r="AI933" s="932"/>
      <c r="AJ933" s="932"/>
      <c r="AK933" s="932"/>
      <c r="AL933" s="932"/>
      <c r="AM933" s="932"/>
      <c r="AN933" s="932"/>
      <c r="AO933" s="932"/>
      <c r="AP933" s="932"/>
      <c r="AQ933" s="932"/>
      <c r="AR933" s="932"/>
      <c r="AS933" s="932"/>
      <c r="AT933" s="932"/>
      <c r="AU933" s="932"/>
      <c r="AV933" s="932"/>
      <c r="AW933" s="932"/>
      <c r="AX933" s="932"/>
      <c r="AY933" s="932"/>
      <c r="AZ933" s="932"/>
      <c r="BA933" s="932"/>
      <c r="BB933" s="932"/>
      <c r="BC933" s="932"/>
      <c r="BD933" s="932"/>
      <c r="BE933" s="932"/>
      <c r="BF933" s="932"/>
    </row>
    <row r="934" spans="2:58" ht="15" x14ac:dyDescent="0.25">
      <c r="B934" s="932"/>
      <c r="C934" s="932"/>
      <c r="D934" s="932"/>
      <c r="E934" s="932"/>
      <c r="F934" s="932"/>
      <c r="G934" s="932"/>
      <c r="H934" s="932"/>
      <c r="I934" s="932"/>
      <c r="J934" s="932"/>
      <c r="K934" s="932"/>
      <c r="L934" s="932"/>
      <c r="M934" s="932"/>
      <c r="N934" s="932"/>
      <c r="O934" s="932"/>
      <c r="P934" s="932"/>
      <c r="Q934" s="932"/>
      <c r="R934" s="932"/>
      <c r="S934" s="932"/>
      <c r="T934" s="932"/>
      <c r="U934" s="932"/>
      <c r="V934" s="932"/>
      <c r="W934" s="932"/>
      <c r="X934" s="932"/>
      <c r="Y934" s="932"/>
      <c r="Z934" s="932"/>
      <c r="AA934" s="932"/>
      <c r="AB934" s="932"/>
      <c r="AC934" s="932"/>
      <c r="AD934" s="932"/>
      <c r="AE934" s="932"/>
      <c r="AF934" s="932"/>
      <c r="AG934" s="932"/>
      <c r="AH934" s="932"/>
      <c r="AI934" s="932"/>
      <c r="AJ934" s="932"/>
      <c r="AK934" s="932"/>
      <c r="AL934" s="932"/>
      <c r="AM934" s="932"/>
      <c r="AN934" s="932"/>
      <c r="AO934" s="932"/>
      <c r="AP934" s="932"/>
      <c r="AQ934" s="932"/>
      <c r="AR934" s="932"/>
      <c r="AS934" s="932"/>
      <c r="AT934" s="932"/>
      <c r="AU934" s="932"/>
      <c r="AV934" s="932"/>
      <c r="AW934" s="932"/>
      <c r="AX934" s="932"/>
      <c r="AY934" s="932"/>
      <c r="AZ934" s="932"/>
      <c r="BA934" s="932"/>
      <c r="BB934" s="932"/>
      <c r="BC934" s="932"/>
      <c r="BD934" s="932"/>
      <c r="BE934" s="932"/>
      <c r="BF934" s="932"/>
    </row>
    <row r="935" spans="2:58" ht="15" x14ac:dyDescent="0.25">
      <c r="B935" s="932"/>
      <c r="C935" s="932"/>
      <c r="D935" s="932"/>
      <c r="E935" s="932"/>
      <c r="F935" s="932"/>
      <c r="G935" s="932"/>
      <c r="H935" s="932"/>
      <c r="I935" s="932"/>
      <c r="J935" s="932"/>
      <c r="K935" s="932"/>
      <c r="L935" s="932"/>
      <c r="M935" s="932"/>
      <c r="N935" s="932"/>
      <c r="O935" s="932"/>
      <c r="P935" s="932"/>
      <c r="Q935" s="932"/>
      <c r="R935" s="932"/>
      <c r="S935" s="932"/>
      <c r="T935" s="932"/>
      <c r="U935" s="932"/>
      <c r="V935" s="932"/>
      <c r="W935" s="932"/>
      <c r="X935" s="932"/>
      <c r="Y935" s="932"/>
      <c r="Z935" s="932"/>
      <c r="AA935" s="932"/>
      <c r="AB935" s="932"/>
      <c r="AC935" s="932"/>
      <c r="AD935" s="932"/>
      <c r="AE935" s="932"/>
      <c r="AF935" s="932"/>
      <c r="AG935" s="932"/>
      <c r="AH935" s="932"/>
      <c r="AI935" s="932"/>
      <c r="AJ935" s="932"/>
      <c r="AK935" s="932"/>
      <c r="AL935" s="932"/>
      <c r="AM935" s="932"/>
      <c r="AN935" s="932"/>
      <c r="AO935" s="932"/>
      <c r="AP935" s="932"/>
      <c r="AQ935" s="932"/>
      <c r="AR935" s="932"/>
      <c r="AS935" s="932"/>
      <c r="AT935" s="932"/>
      <c r="AU935" s="932"/>
      <c r="AV935" s="932"/>
      <c r="AW935" s="932"/>
      <c r="AX935" s="932"/>
      <c r="AY935" s="932"/>
      <c r="AZ935" s="932"/>
      <c r="BA935" s="932"/>
      <c r="BB935" s="932"/>
      <c r="BC935" s="932"/>
      <c r="BD935" s="932"/>
      <c r="BE935" s="932"/>
      <c r="BF935" s="932"/>
    </row>
    <row r="936" spans="2:58" ht="15" x14ac:dyDescent="0.25">
      <c r="B936" s="932"/>
      <c r="C936" s="932"/>
      <c r="D936" s="932"/>
      <c r="E936" s="932"/>
      <c r="F936" s="932"/>
      <c r="G936" s="932"/>
      <c r="H936" s="932"/>
      <c r="I936" s="932"/>
      <c r="J936" s="932"/>
      <c r="K936" s="932"/>
      <c r="L936" s="932"/>
      <c r="M936" s="932"/>
      <c r="N936" s="932"/>
      <c r="O936" s="932"/>
      <c r="P936" s="932"/>
      <c r="Q936" s="932"/>
      <c r="R936" s="932"/>
      <c r="S936" s="932"/>
      <c r="T936" s="932"/>
      <c r="U936" s="932"/>
      <c r="V936" s="932"/>
      <c r="W936" s="932"/>
      <c r="X936" s="932"/>
      <c r="Y936" s="932"/>
      <c r="Z936" s="932"/>
      <c r="AA936" s="932"/>
      <c r="AB936" s="932"/>
      <c r="AC936" s="932"/>
      <c r="AD936" s="932"/>
      <c r="AE936" s="932"/>
      <c r="AF936" s="932"/>
      <c r="AG936" s="932"/>
      <c r="AH936" s="932"/>
      <c r="AI936" s="932"/>
      <c r="AJ936" s="932"/>
      <c r="AK936" s="932"/>
      <c r="AL936" s="932"/>
      <c r="AM936" s="932"/>
      <c r="AN936" s="932"/>
      <c r="AO936" s="932"/>
      <c r="AP936" s="932"/>
      <c r="AQ936" s="932"/>
      <c r="AR936" s="932"/>
      <c r="AS936" s="932"/>
      <c r="AT936" s="932"/>
      <c r="AU936" s="932"/>
      <c r="AV936" s="932"/>
      <c r="AW936" s="932"/>
      <c r="AX936" s="932"/>
      <c r="AY936" s="932"/>
      <c r="AZ936" s="932"/>
      <c r="BA936" s="932"/>
      <c r="BB936" s="932"/>
      <c r="BC936" s="932"/>
      <c r="BD936" s="932"/>
      <c r="BE936" s="932"/>
      <c r="BF936" s="932"/>
    </row>
    <row r="937" spans="2:58" ht="15" x14ac:dyDescent="0.25">
      <c r="B937" s="932"/>
      <c r="C937" s="932"/>
      <c r="D937" s="932"/>
      <c r="E937" s="932"/>
      <c r="F937" s="932"/>
      <c r="G937" s="932"/>
      <c r="H937" s="932"/>
      <c r="I937" s="932"/>
      <c r="J937" s="932"/>
      <c r="K937" s="932"/>
      <c r="L937" s="932"/>
      <c r="M937" s="932"/>
      <c r="N937" s="932"/>
      <c r="O937" s="932"/>
      <c r="P937" s="932"/>
      <c r="Q937" s="932"/>
      <c r="R937" s="932"/>
      <c r="S937" s="932"/>
      <c r="T937" s="932"/>
      <c r="U937" s="932"/>
      <c r="V937" s="932"/>
      <c r="W937" s="932"/>
      <c r="X937" s="932"/>
      <c r="Y937" s="932"/>
      <c r="Z937" s="932"/>
      <c r="AA937" s="932"/>
      <c r="AB937" s="932"/>
      <c r="AC937" s="932"/>
      <c r="AD937" s="932"/>
      <c r="AE937" s="932"/>
      <c r="AF937" s="932"/>
      <c r="AG937" s="932"/>
      <c r="AH937" s="932"/>
      <c r="AI937" s="932"/>
      <c r="AJ937" s="932"/>
      <c r="AK937" s="932"/>
      <c r="AL937" s="932"/>
      <c r="AM937" s="932"/>
      <c r="AN937" s="932"/>
      <c r="AO937" s="932"/>
      <c r="AP937" s="932"/>
      <c r="AQ937" s="932"/>
      <c r="AR937" s="932"/>
      <c r="AS937" s="932"/>
      <c r="AT937" s="932"/>
      <c r="AU937" s="932"/>
      <c r="AV937" s="932"/>
      <c r="AW937" s="932"/>
      <c r="AX937" s="932"/>
      <c r="AY937" s="932"/>
      <c r="AZ937" s="932"/>
      <c r="BA937" s="932"/>
      <c r="BB937" s="932"/>
      <c r="BC937" s="932"/>
      <c r="BD937" s="932"/>
      <c r="BE937" s="932"/>
      <c r="BF937" s="932"/>
    </row>
    <row r="938" spans="2:58" ht="15" x14ac:dyDescent="0.25">
      <c r="B938" s="932"/>
      <c r="C938" s="932"/>
      <c r="D938" s="932"/>
      <c r="E938" s="932"/>
      <c r="F938" s="932"/>
      <c r="G938" s="932"/>
      <c r="H938" s="932"/>
      <c r="I938" s="932"/>
      <c r="J938" s="932"/>
      <c r="K938" s="932"/>
      <c r="L938" s="932"/>
      <c r="M938" s="932"/>
      <c r="N938" s="932"/>
      <c r="O938" s="932"/>
      <c r="P938" s="932"/>
      <c r="Q938" s="932"/>
      <c r="R938" s="932"/>
      <c r="S938" s="932"/>
      <c r="T938" s="932"/>
      <c r="U938" s="932"/>
      <c r="V938" s="932"/>
      <c r="W938" s="932"/>
      <c r="X938" s="932"/>
      <c r="Y938" s="932"/>
      <c r="Z938" s="932"/>
      <c r="AA938" s="932"/>
      <c r="AB938" s="932"/>
      <c r="AC938" s="932"/>
      <c r="AD938" s="932"/>
      <c r="AE938" s="932"/>
      <c r="AF938" s="932"/>
      <c r="AG938" s="932"/>
      <c r="AH938" s="932"/>
      <c r="AI938" s="932"/>
      <c r="AJ938" s="932"/>
      <c r="AK938" s="932"/>
      <c r="AL938" s="932"/>
      <c r="AM938" s="932"/>
      <c r="AN938" s="932"/>
      <c r="AO938" s="932"/>
      <c r="AP938" s="932"/>
      <c r="AQ938" s="932"/>
      <c r="AR938" s="932"/>
      <c r="AS938" s="932"/>
      <c r="AT938" s="932"/>
      <c r="AU938" s="932"/>
      <c r="AV938" s="932"/>
      <c r="AW938" s="932"/>
      <c r="AX938" s="932"/>
      <c r="AY938" s="932"/>
      <c r="AZ938" s="932"/>
      <c r="BA938" s="932"/>
      <c r="BB938" s="932"/>
      <c r="BC938" s="932"/>
      <c r="BD938" s="932"/>
      <c r="BE938" s="932"/>
      <c r="BF938" s="932"/>
    </row>
    <row r="939" spans="2:58" ht="15" x14ac:dyDescent="0.25">
      <c r="B939" s="932"/>
      <c r="C939" s="932"/>
      <c r="D939" s="932"/>
      <c r="E939" s="932"/>
      <c r="F939" s="932"/>
      <c r="G939" s="932"/>
      <c r="H939" s="932"/>
      <c r="I939" s="932"/>
      <c r="J939" s="932"/>
      <c r="K939" s="932"/>
      <c r="L939" s="932"/>
      <c r="M939" s="932"/>
      <c r="N939" s="932"/>
      <c r="O939" s="932"/>
      <c r="P939" s="932"/>
      <c r="Q939" s="932"/>
      <c r="R939" s="932"/>
      <c r="S939" s="932"/>
      <c r="T939" s="932"/>
      <c r="U939" s="932"/>
      <c r="V939" s="932"/>
      <c r="W939" s="932"/>
      <c r="X939" s="932"/>
      <c r="Y939" s="932"/>
      <c r="Z939" s="932"/>
      <c r="AA939" s="932"/>
      <c r="AB939" s="932"/>
      <c r="AC939" s="932"/>
      <c r="AD939" s="932"/>
      <c r="AE939" s="932"/>
      <c r="AF939" s="932"/>
      <c r="AG939" s="932"/>
      <c r="AH939" s="932"/>
      <c r="AI939" s="932"/>
      <c r="AJ939" s="932"/>
      <c r="AK939" s="932"/>
      <c r="AL939" s="932"/>
      <c r="AM939" s="932"/>
      <c r="AN939" s="932"/>
      <c r="AO939" s="932"/>
      <c r="AP939" s="932"/>
      <c r="AQ939" s="932"/>
      <c r="AR939" s="932"/>
      <c r="AS939" s="932"/>
      <c r="AT939" s="932"/>
      <c r="AU939" s="932"/>
      <c r="AV939" s="932"/>
      <c r="AW939" s="932"/>
      <c r="AX939" s="932"/>
      <c r="AY939" s="932"/>
      <c r="AZ939" s="932"/>
      <c r="BA939" s="932"/>
      <c r="BB939" s="932"/>
      <c r="BC939" s="932"/>
      <c r="BD939" s="932"/>
      <c r="BE939" s="932"/>
      <c r="BF939" s="932"/>
    </row>
    <row r="940" spans="2:58" ht="15" x14ac:dyDescent="0.25">
      <c r="B940" s="932"/>
      <c r="C940" s="932"/>
      <c r="D940" s="932"/>
      <c r="E940" s="932"/>
      <c r="F940" s="932"/>
      <c r="G940" s="932"/>
      <c r="H940" s="932"/>
      <c r="I940" s="932"/>
      <c r="J940" s="932"/>
      <c r="K940" s="932"/>
      <c r="L940" s="932"/>
      <c r="M940" s="932"/>
      <c r="N940" s="932"/>
      <c r="O940" s="932"/>
      <c r="P940" s="932"/>
      <c r="Q940" s="932"/>
      <c r="R940" s="932"/>
      <c r="S940" s="932"/>
      <c r="T940" s="932"/>
      <c r="U940" s="932"/>
      <c r="V940" s="932"/>
      <c r="W940" s="932"/>
      <c r="X940" s="932"/>
      <c r="Y940" s="932"/>
      <c r="Z940" s="932"/>
      <c r="AA940" s="932"/>
      <c r="AB940" s="932"/>
      <c r="AC940" s="932"/>
      <c r="AD940" s="932"/>
      <c r="AE940" s="932"/>
      <c r="AF940" s="932"/>
      <c r="AG940" s="932"/>
      <c r="AH940" s="932"/>
      <c r="AI940" s="932"/>
      <c r="AJ940" s="932"/>
      <c r="AK940" s="932"/>
      <c r="AL940" s="932"/>
      <c r="AM940" s="932"/>
      <c r="AN940" s="932"/>
      <c r="AO940" s="932"/>
      <c r="AP940" s="932"/>
      <c r="AQ940" s="932"/>
      <c r="AR940" s="932"/>
      <c r="AS940" s="932"/>
      <c r="AT940" s="932"/>
      <c r="AU940" s="932"/>
      <c r="AV940" s="932"/>
      <c r="AW940" s="932"/>
      <c r="AX940" s="932"/>
      <c r="AY940" s="932"/>
      <c r="AZ940" s="932"/>
      <c r="BA940" s="932"/>
      <c r="BB940" s="932"/>
      <c r="BC940" s="932"/>
      <c r="BD940" s="932"/>
      <c r="BE940" s="932"/>
      <c r="BF940" s="932"/>
    </row>
    <row r="941" spans="2:58" ht="15" x14ac:dyDescent="0.25">
      <c r="B941" s="932"/>
      <c r="C941" s="932"/>
      <c r="D941" s="932"/>
      <c r="E941" s="932"/>
      <c r="F941" s="932"/>
      <c r="G941" s="932"/>
      <c r="H941" s="932"/>
      <c r="I941" s="932"/>
      <c r="J941" s="932"/>
      <c r="K941" s="932"/>
      <c r="L941" s="932"/>
      <c r="M941" s="932"/>
      <c r="N941" s="932"/>
      <c r="O941" s="932"/>
      <c r="P941" s="932"/>
      <c r="Q941" s="932"/>
      <c r="R941" s="932"/>
      <c r="S941" s="932"/>
      <c r="T941" s="932"/>
      <c r="U941" s="932"/>
      <c r="V941" s="932"/>
      <c r="W941" s="932"/>
      <c r="X941" s="932"/>
      <c r="Y941" s="932"/>
      <c r="Z941" s="932"/>
      <c r="AA941" s="932"/>
      <c r="AB941" s="932"/>
      <c r="AC941" s="932"/>
      <c r="AD941" s="932"/>
      <c r="AE941" s="932"/>
      <c r="AF941" s="932"/>
      <c r="AG941" s="932"/>
      <c r="AH941" s="932"/>
      <c r="AI941" s="932"/>
      <c r="AJ941" s="932"/>
      <c r="AK941" s="932"/>
      <c r="AL941" s="932"/>
      <c r="AM941" s="932"/>
      <c r="AN941" s="932"/>
      <c r="AO941" s="932"/>
      <c r="AP941" s="932"/>
      <c r="AQ941" s="932"/>
      <c r="AR941" s="932"/>
      <c r="AS941" s="932"/>
      <c r="AT941" s="932"/>
      <c r="AU941" s="932"/>
      <c r="AV941" s="932"/>
      <c r="AW941" s="932"/>
      <c r="AX941" s="932"/>
      <c r="AY941" s="932"/>
      <c r="AZ941" s="932"/>
      <c r="BA941" s="932"/>
      <c r="BB941" s="932"/>
      <c r="BC941" s="932"/>
      <c r="BD941" s="932"/>
      <c r="BE941" s="932"/>
      <c r="BF941" s="932"/>
    </row>
    <row r="942" spans="2:58" ht="15" x14ac:dyDescent="0.25">
      <c r="B942" s="932"/>
      <c r="C942" s="932"/>
      <c r="D942" s="932"/>
      <c r="E942" s="932"/>
      <c r="F942" s="932"/>
      <c r="G942" s="932"/>
      <c r="H942" s="932"/>
      <c r="I942" s="932"/>
      <c r="J942" s="932"/>
      <c r="K942" s="932"/>
      <c r="L942" s="932"/>
      <c r="M942" s="932"/>
      <c r="N942" s="932"/>
      <c r="O942" s="932"/>
      <c r="P942" s="932"/>
      <c r="Q942" s="932"/>
      <c r="R942" s="932"/>
      <c r="S942" s="932"/>
      <c r="T942" s="932"/>
      <c r="U942" s="932"/>
      <c r="V942" s="932"/>
      <c r="W942" s="932"/>
      <c r="X942" s="932"/>
      <c r="Y942" s="932"/>
      <c r="Z942" s="932"/>
      <c r="AA942" s="932"/>
      <c r="AB942" s="932"/>
      <c r="AC942" s="932"/>
      <c r="AD942" s="932"/>
      <c r="AE942" s="932"/>
      <c r="AF942" s="932"/>
      <c r="AG942" s="932"/>
      <c r="AH942" s="932"/>
      <c r="AI942" s="932"/>
      <c r="AJ942" s="932"/>
      <c r="AK942" s="932"/>
      <c r="AL942" s="932"/>
      <c r="AM942" s="932"/>
      <c r="AN942" s="932"/>
      <c r="AO942" s="932"/>
      <c r="AP942" s="932"/>
      <c r="AQ942" s="932"/>
      <c r="AR942" s="932"/>
      <c r="AS942" s="932"/>
      <c r="AT942" s="932"/>
      <c r="AU942" s="932"/>
      <c r="AV942" s="932"/>
      <c r="AW942" s="932"/>
      <c r="AX942" s="932"/>
      <c r="AY942" s="932"/>
      <c r="AZ942" s="932"/>
      <c r="BA942" s="932"/>
      <c r="BB942" s="932"/>
      <c r="BC942" s="932"/>
      <c r="BD942" s="932"/>
      <c r="BE942" s="932"/>
      <c r="BF942" s="932"/>
    </row>
    <row r="943" spans="2:58" ht="15" x14ac:dyDescent="0.25">
      <c r="B943" s="932"/>
      <c r="C943" s="932"/>
      <c r="D943" s="932"/>
      <c r="E943" s="932"/>
      <c r="F943" s="932"/>
      <c r="G943" s="932"/>
      <c r="H943" s="932"/>
      <c r="I943" s="932"/>
      <c r="J943" s="932"/>
      <c r="K943" s="932"/>
      <c r="L943" s="932"/>
      <c r="M943" s="932"/>
      <c r="N943" s="932"/>
      <c r="O943" s="932"/>
      <c r="P943" s="932"/>
      <c r="Q943" s="932"/>
      <c r="R943" s="932"/>
      <c r="S943" s="932"/>
      <c r="T943" s="932"/>
      <c r="U943" s="932"/>
      <c r="V943" s="932"/>
      <c r="W943" s="932"/>
      <c r="X943" s="932"/>
      <c r="Y943" s="932"/>
      <c r="Z943" s="932"/>
      <c r="AA943" s="932"/>
      <c r="AB943" s="932"/>
      <c r="AC943" s="932"/>
      <c r="AD943" s="932"/>
      <c r="AE943" s="932"/>
      <c r="AF943" s="932"/>
      <c r="AG943" s="932"/>
      <c r="AH943" s="932"/>
      <c r="AI943" s="932"/>
      <c r="AJ943" s="932"/>
      <c r="AK943" s="932"/>
      <c r="AL943" s="932"/>
      <c r="AM943" s="932"/>
      <c r="AN943" s="932"/>
      <c r="AO943" s="932"/>
      <c r="AP943" s="932"/>
      <c r="AQ943" s="932"/>
      <c r="AR943" s="932"/>
      <c r="AS943" s="932"/>
      <c r="AT943" s="932"/>
      <c r="AU943" s="932"/>
      <c r="AV943" s="932"/>
      <c r="AW943" s="932"/>
      <c r="AX943" s="932"/>
      <c r="AY943" s="932"/>
      <c r="AZ943" s="932"/>
      <c r="BA943" s="932"/>
      <c r="BB943" s="932"/>
      <c r="BC943" s="932"/>
      <c r="BD943" s="932"/>
      <c r="BE943" s="932"/>
      <c r="BF943" s="932"/>
    </row>
    <row r="944" spans="2:58" ht="15" x14ac:dyDescent="0.25">
      <c r="B944" s="932"/>
      <c r="C944" s="932"/>
      <c r="D944" s="932"/>
      <c r="E944" s="932"/>
      <c r="F944" s="932"/>
      <c r="G944" s="932"/>
      <c r="H944" s="932"/>
      <c r="I944" s="932"/>
      <c r="J944" s="932"/>
      <c r="K944" s="932"/>
      <c r="L944" s="932"/>
      <c r="M944" s="932"/>
      <c r="N944" s="932"/>
      <c r="O944" s="932"/>
      <c r="P944" s="932"/>
      <c r="Q944" s="932"/>
      <c r="R944" s="932"/>
      <c r="S944" s="932"/>
      <c r="T944" s="932"/>
      <c r="U944" s="932"/>
      <c r="V944" s="932"/>
      <c r="W944" s="932"/>
      <c r="X944" s="932"/>
      <c r="Y944" s="932"/>
      <c r="Z944" s="932"/>
      <c r="AA944" s="932"/>
      <c r="AB944" s="932"/>
      <c r="AC944" s="932"/>
      <c r="AD944" s="932"/>
      <c r="AE944" s="932"/>
      <c r="AF944" s="932"/>
      <c r="AG944" s="932"/>
      <c r="AH944" s="932"/>
      <c r="AI944" s="932"/>
      <c r="AJ944" s="932"/>
      <c r="AK944" s="932"/>
      <c r="AL944" s="932"/>
      <c r="AM944" s="932"/>
      <c r="AN944" s="932"/>
      <c r="AO944" s="932"/>
      <c r="AP944" s="932"/>
      <c r="AQ944" s="932"/>
      <c r="AR944" s="932"/>
      <c r="AS944" s="932"/>
      <c r="AT944" s="932"/>
      <c r="AU944" s="932"/>
      <c r="AV944" s="932"/>
      <c r="AW944" s="932"/>
      <c r="AX944" s="932"/>
      <c r="AY944" s="932"/>
      <c r="AZ944" s="932"/>
      <c r="BA944" s="932"/>
      <c r="BB944" s="932"/>
      <c r="BC944" s="932"/>
      <c r="BD944" s="932"/>
      <c r="BE944" s="932"/>
      <c r="BF944" s="932"/>
    </row>
    <row r="945" spans="2:58" ht="15" x14ac:dyDescent="0.25">
      <c r="B945" s="932"/>
      <c r="C945" s="932"/>
      <c r="D945" s="932"/>
      <c r="E945" s="932"/>
      <c r="F945" s="932"/>
      <c r="G945" s="932"/>
      <c r="H945" s="932"/>
      <c r="I945" s="932"/>
      <c r="J945" s="932"/>
      <c r="K945" s="932"/>
      <c r="L945" s="932"/>
      <c r="M945" s="932"/>
      <c r="N945" s="932"/>
      <c r="O945" s="932"/>
      <c r="P945" s="932"/>
      <c r="Q945" s="932"/>
      <c r="R945" s="932"/>
      <c r="S945" s="932"/>
      <c r="T945" s="932"/>
      <c r="U945" s="932"/>
      <c r="V945" s="932"/>
      <c r="W945" s="932"/>
      <c r="X945" s="932"/>
      <c r="Y945" s="932"/>
      <c r="Z945" s="932"/>
      <c r="AA945" s="932"/>
      <c r="AB945" s="932"/>
      <c r="AC945" s="932"/>
      <c r="AD945" s="932"/>
      <c r="AE945" s="932"/>
      <c r="AF945" s="932"/>
      <c r="AG945" s="932"/>
      <c r="AH945" s="932"/>
      <c r="AI945" s="932"/>
      <c r="AJ945" s="932"/>
      <c r="AK945" s="932"/>
      <c r="AL945" s="932"/>
      <c r="AM945" s="932"/>
      <c r="AN945" s="932"/>
      <c r="AO945" s="932"/>
      <c r="AP945" s="932"/>
      <c r="AQ945" s="932"/>
      <c r="AR945" s="932"/>
      <c r="AS945" s="932"/>
      <c r="AT945" s="932"/>
      <c r="AU945" s="932"/>
      <c r="AV945" s="932"/>
      <c r="AW945" s="932"/>
      <c r="AX945" s="932"/>
      <c r="AY945" s="932"/>
      <c r="AZ945" s="932"/>
      <c r="BA945" s="932"/>
      <c r="BB945" s="932"/>
      <c r="BC945" s="932"/>
      <c r="BD945" s="932"/>
      <c r="BE945" s="932"/>
      <c r="BF945" s="932"/>
    </row>
    <row r="946" spans="2:58" ht="15" x14ac:dyDescent="0.25">
      <c r="B946" s="932"/>
      <c r="C946" s="932"/>
      <c r="D946" s="932"/>
      <c r="E946" s="932"/>
      <c r="F946" s="932"/>
      <c r="G946" s="932"/>
      <c r="H946" s="932"/>
      <c r="I946" s="932"/>
      <c r="J946" s="932"/>
      <c r="K946" s="932"/>
      <c r="L946" s="932"/>
      <c r="M946" s="932"/>
      <c r="N946" s="932"/>
      <c r="O946" s="932"/>
      <c r="P946" s="932"/>
      <c r="Q946" s="932"/>
      <c r="R946" s="932"/>
      <c r="S946" s="932"/>
      <c r="T946" s="932"/>
      <c r="U946" s="932"/>
      <c r="V946" s="932"/>
      <c r="W946" s="932"/>
      <c r="X946" s="932"/>
      <c r="Y946" s="932"/>
      <c r="Z946" s="932"/>
      <c r="AA946" s="932"/>
      <c r="AB946" s="932"/>
      <c r="AC946" s="932"/>
      <c r="AD946" s="932"/>
      <c r="AE946" s="932"/>
      <c r="AF946" s="932"/>
      <c r="AG946" s="932"/>
      <c r="AH946" s="932"/>
      <c r="AI946" s="932"/>
      <c r="AJ946" s="932"/>
      <c r="AK946" s="932"/>
      <c r="AL946" s="932"/>
      <c r="AM946" s="932"/>
      <c r="AN946" s="932"/>
      <c r="AO946" s="932"/>
      <c r="AP946" s="932"/>
      <c r="AQ946" s="932"/>
      <c r="AR946" s="932"/>
      <c r="AS946" s="932"/>
      <c r="AT946" s="932"/>
      <c r="AU946" s="932"/>
      <c r="AV946" s="932"/>
      <c r="AW946" s="932"/>
      <c r="AX946" s="932"/>
      <c r="AY946" s="932"/>
      <c r="AZ946" s="932"/>
      <c r="BA946" s="932"/>
      <c r="BB946" s="932"/>
      <c r="BC946" s="932"/>
      <c r="BD946" s="932"/>
      <c r="BE946" s="932"/>
      <c r="BF946" s="932"/>
    </row>
    <row r="947" spans="2:58" ht="15" x14ac:dyDescent="0.25">
      <c r="B947" s="932"/>
      <c r="C947" s="932"/>
      <c r="D947" s="932"/>
      <c r="E947" s="932"/>
      <c r="F947" s="932"/>
      <c r="G947" s="932"/>
      <c r="H947" s="932"/>
      <c r="I947" s="932"/>
      <c r="J947" s="932"/>
      <c r="K947" s="932"/>
      <c r="L947" s="932"/>
      <c r="M947" s="932"/>
      <c r="N947" s="932"/>
      <c r="O947" s="932"/>
      <c r="P947" s="932"/>
      <c r="Q947" s="932"/>
      <c r="R947" s="932"/>
      <c r="S947" s="932"/>
      <c r="T947" s="932"/>
      <c r="U947" s="932"/>
      <c r="V947" s="932"/>
      <c r="W947" s="932"/>
      <c r="X947" s="932"/>
      <c r="Y947" s="932"/>
      <c r="Z947" s="932"/>
      <c r="AA947" s="932"/>
      <c r="AB947" s="932"/>
      <c r="AC947" s="932"/>
      <c r="AD947" s="932"/>
      <c r="AE947" s="932"/>
      <c r="AF947" s="932"/>
      <c r="AG947" s="932"/>
      <c r="AH947" s="932"/>
      <c r="AI947" s="932"/>
      <c r="AJ947" s="932"/>
      <c r="AK947" s="932"/>
      <c r="AL947" s="932"/>
      <c r="AM947" s="932"/>
      <c r="AN947" s="932"/>
      <c r="AO947" s="932"/>
      <c r="AP947" s="932"/>
      <c r="AQ947" s="932"/>
      <c r="AR947" s="932"/>
      <c r="AS947" s="932"/>
      <c r="AT947" s="932"/>
      <c r="AU947" s="932"/>
      <c r="AV947" s="932"/>
      <c r="AW947" s="932"/>
      <c r="AX947" s="932"/>
      <c r="AY947" s="932"/>
      <c r="AZ947" s="932"/>
      <c r="BA947" s="932"/>
      <c r="BB947" s="932"/>
      <c r="BC947" s="932"/>
      <c r="BD947" s="932"/>
      <c r="BE947" s="932"/>
      <c r="BF947" s="932"/>
    </row>
    <row r="948" spans="2:58" ht="15" x14ac:dyDescent="0.25">
      <c r="B948" s="932"/>
      <c r="C948" s="932"/>
      <c r="D948" s="932"/>
      <c r="E948" s="932"/>
      <c r="F948" s="932"/>
      <c r="G948" s="932"/>
      <c r="H948" s="932"/>
      <c r="I948" s="932"/>
      <c r="J948" s="932"/>
      <c r="K948" s="932"/>
      <c r="L948" s="932"/>
      <c r="M948" s="932"/>
      <c r="N948" s="932"/>
      <c r="O948" s="932"/>
      <c r="P948" s="932"/>
      <c r="Q948" s="932"/>
      <c r="R948" s="932"/>
      <c r="S948" s="932"/>
      <c r="T948" s="932"/>
      <c r="U948" s="932"/>
      <c r="V948" s="932"/>
      <c r="W948" s="932"/>
      <c r="X948" s="932"/>
      <c r="Y948" s="932"/>
      <c r="Z948" s="932"/>
      <c r="AA948" s="932"/>
      <c r="AB948" s="932"/>
      <c r="AC948" s="932"/>
      <c r="AD948" s="932"/>
      <c r="AE948" s="932"/>
      <c r="AF948" s="932"/>
      <c r="AG948" s="932"/>
      <c r="AH948" s="932"/>
      <c r="AI948" s="932"/>
      <c r="AJ948" s="932"/>
      <c r="AK948" s="932"/>
      <c r="AL948" s="932"/>
      <c r="AM948" s="932"/>
      <c r="AN948" s="932"/>
      <c r="AO948" s="932"/>
      <c r="AP948" s="932"/>
      <c r="AQ948" s="932"/>
      <c r="AR948" s="932"/>
      <c r="AS948" s="932"/>
      <c r="AT948" s="932"/>
      <c r="AU948" s="932"/>
      <c r="AV948" s="932"/>
      <c r="AW948" s="932"/>
      <c r="AX948" s="932"/>
      <c r="AY948" s="932"/>
      <c r="AZ948" s="932"/>
      <c r="BA948" s="932"/>
      <c r="BB948" s="932"/>
      <c r="BC948" s="932"/>
      <c r="BD948" s="932"/>
      <c r="BE948" s="932"/>
      <c r="BF948" s="932"/>
    </row>
    <row r="949" spans="2:58" ht="15" x14ac:dyDescent="0.25">
      <c r="B949" s="932"/>
      <c r="C949" s="932"/>
      <c r="D949" s="932"/>
      <c r="E949" s="932"/>
      <c r="F949" s="932"/>
      <c r="G949" s="932"/>
      <c r="H949" s="932"/>
      <c r="I949" s="932"/>
      <c r="J949" s="932"/>
      <c r="K949" s="932"/>
      <c r="L949" s="932"/>
      <c r="M949" s="932"/>
      <c r="N949" s="932"/>
      <c r="O949" s="932"/>
      <c r="P949" s="932"/>
      <c r="Q949" s="932"/>
      <c r="R949" s="932"/>
      <c r="S949" s="932"/>
      <c r="T949" s="932"/>
      <c r="U949" s="932"/>
      <c r="V949" s="932"/>
      <c r="W949" s="932"/>
      <c r="X949" s="932"/>
      <c r="Y949" s="932"/>
      <c r="Z949" s="932"/>
      <c r="AA949" s="932"/>
      <c r="AB949" s="932"/>
      <c r="AC949" s="932"/>
      <c r="AD949" s="932"/>
      <c r="AE949" s="932"/>
      <c r="AF949" s="932"/>
      <c r="AG949" s="932"/>
      <c r="AH949" s="932"/>
      <c r="AI949" s="932"/>
      <c r="AJ949" s="932"/>
      <c r="AK949" s="932"/>
      <c r="AL949" s="932"/>
      <c r="AM949" s="932"/>
      <c r="AN949" s="932"/>
      <c r="AO949" s="932"/>
      <c r="AP949" s="932"/>
      <c r="AQ949" s="932"/>
      <c r="AR949" s="932"/>
      <c r="AS949" s="932"/>
      <c r="AT949" s="932"/>
      <c r="AU949" s="932"/>
      <c r="AV949" s="932"/>
      <c r="AW949" s="932"/>
      <c r="AX949" s="932"/>
      <c r="AY949" s="932"/>
      <c r="AZ949" s="932"/>
      <c r="BA949" s="932"/>
      <c r="BB949" s="932"/>
      <c r="BC949" s="932"/>
      <c r="BD949" s="932"/>
      <c r="BE949" s="932"/>
      <c r="BF949" s="932"/>
    </row>
    <row r="950" spans="2:58" ht="15" x14ac:dyDescent="0.25">
      <c r="B950" s="932"/>
      <c r="C950" s="932"/>
      <c r="D950" s="932"/>
      <c r="E950" s="932"/>
      <c r="F950" s="932"/>
      <c r="G950" s="932"/>
      <c r="H950" s="932"/>
      <c r="I950" s="932"/>
      <c r="J950" s="932"/>
      <c r="K950" s="932"/>
      <c r="L950" s="932"/>
      <c r="M950" s="932"/>
      <c r="N950" s="932"/>
      <c r="O950" s="932"/>
      <c r="P950" s="932"/>
      <c r="Q950" s="932"/>
      <c r="R950" s="932"/>
      <c r="S950" s="932"/>
      <c r="T950" s="932"/>
      <c r="U950" s="932"/>
      <c r="V950" s="932"/>
      <c r="W950" s="932"/>
      <c r="X950" s="932"/>
      <c r="Y950" s="932"/>
      <c r="Z950" s="932"/>
      <c r="AA950" s="932"/>
      <c r="AB950" s="932"/>
      <c r="AC950" s="932"/>
      <c r="AD950" s="932"/>
      <c r="AE950" s="932"/>
      <c r="AF950" s="932"/>
      <c r="AG950" s="932"/>
      <c r="AH950" s="932"/>
      <c r="AI950" s="932"/>
      <c r="AJ950" s="932"/>
      <c r="AK950" s="932"/>
      <c r="AL950" s="932"/>
      <c r="AM950" s="932"/>
      <c r="AN950" s="932"/>
      <c r="AO950" s="932"/>
      <c r="AP950" s="932"/>
      <c r="AQ950" s="932"/>
      <c r="AR950" s="932"/>
      <c r="AS950" s="932"/>
      <c r="AT950" s="932"/>
      <c r="AU950" s="932"/>
      <c r="AV950" s="932"/>
      <c r="AW950" s="932"/>
      <c r="AX950" s="932"/>
      <c r="AY950" s="932"/>
      <c r="AZ950" s="932"/>
      <c r="BA950" s="932"/>
      <c r="BB950" s="932"/>
      <c r="BC950" s="932"/>
      <c r="BD950" s="932"/>
      <c r="BE950" s="932"/>
      <c r="BF950" s="932"/>
    </row>
    <row r="951" spans="2:58" ht="15" x14ac:dyDescent="0.25">
      <c r="B951" s="932"/>
      <c r="C951" s="932"/>
      <c r="D951" s="932"/>
      <c r="E951" s="932"/>
      <c r="F951" s="932"/>
      <c r="G951" s="932"/>
      <c r="H951" s="932"/>
      <c r="I951" s="932"/>
      <c r="J951" s="932"/>
      <c r="K951" s="932"/>
      <c r="L951" s="932"/>
      <c r="M951" s="932"/>
      <c r="N951" s="932"/>
      <c r="O951" s="932"/>
      <c r="P951" s="932"/>
      <c r="Q951" s="932"/>
      <c r="R951" s="932"/>
      <c r="S951" s="932"/>
      <c r="T951" s="932"/>
      <c r="U951" s="932"/>
      <c r="V951" s="932"/>
      <c r="W951" s="932"/>
      <c r="X951" s="932"/>
      <c r="Y951" s="932"/>
      <c r="Z951" s="932"/>
      <c r="AA951" s="932"/>
      <c r="AB951" s="932"/>
      <c r="AC951" s="932"/>
      <c r="AD951" s="932"/>
      <c r="AE951" s="932"/>
      <c r="AF951" s="932"/>
      <c r="AG951" s="932"/>
      <c r="AH951" s="932"/>
      <c r="AI951" s="932"/>
      <c r="AJ951" s="932"/>
      <c r="AK951" s="932"/>
      <c r="AL951" s="932"/>
      <c r="AM951" s="932"/>
      <c r="AN951" s="932"/>
      <c r="AO951" s="932"/>
      <c r="AP951" s="932"/>
      <c r="AQ951" s="932"/>
      <c r="AR951" s="932"/>
      <c r="AS951" s="932"/>
      <c r="AT951" s="932"/>
      <c r="AU951" s="932"/>
      <c r="AV951" s="932"/>
      <c r="AW951" s="932"/>
      <c r="AX951" s="932"/>
      <c r="AY951" s="932"/>
      <c r="AZ951" s="932"/>
      <c r="BA951" s="932"/>
      <c r="BB951" s="932"/>
      <c r="BC951" s="932"/>
      <c r="BD951" s="932"/>
      <c r="BE951" s="932"/>
      <c r="BF951" s="932"/>
    </row>
    <row r="952" spans="2:58" ht="15" x14ac:dyDescent="0.25">
      <c r="B952" s="932"/>
      <c r="C952" s="932"/>
      <c r="D952" s="932"/>
      <c r="E952" s="932"/>
      <c r="F952" s="932"/>
      <c r="G952" s="932"/>
      <c r="H952" s="932"/>
      <c r="I952" s="932"/>
      <c r="J952" s="932"/>
      <c r="K952" s="932"/>
      <c r="L952" s="932"/>
      <c r="M952" s="932"/>
      <c r="N952" s="932"/>
      <c r="O952" s="932"/>
      <c r="P952" s="932"/>
      <c r="Q952" s="932"/>
      <c r="R952" s="932"/>
      <c r="S952" s="932"/>
      <c r="T952" s="932"/>
      <c r="U952" s="932"/>
      <c r="V952" s="932"/>
      <c r="W952" s="932"/>
      <c r="X952" s="932"/>
      <c r="Y952" s="932"/>
      <c r="Z952" s="932"/>
      <c r="AA952" s="932"/>
      <c r="AB952" s="932"/>
      <c r="AC952" s="932"/>
      <c r="AD952" s="932"/>
      <c r="AE952" s="932"/>
      <c r="AF952" s="932"/>
      <c r="AG952" s="932"/>
      <c r="AH952" s="932"/>
      <c r="AI952" s="932"/>
      <c r="AJ952" s="932"/>
      <c r="AK952" s="932"/>
      <c r="AL952" s="932"/>
      <c r="AM952" s="932"/>
      <c r="AN952" s="932"/>
      <c r="AO952" s="932"/>
      <c r="AP952" s="932"/>
      <c r="AQ952" s="932"/>
      <c r="AR952" s="932"/>
      <c r="AS952" s="932"/>
      <c r="AT952" s="932"/>
      <c r="AU952" s="932"/>
      <c r="AV952" s="932"/>
      <c r="AW952" s="932"/>
      <c r="AX952" s="932"/>
      <c r="AY952" s="932"/>
      <c r="AZ952" s="932"/>
      <c r="BA952" s="932"/>
      <c r="BB952" s="932"/>
      <c r="BC952" s="932"/>
      <c r="BD952" s="932"/>
      <c r="BE952" s="932"/>
      <c r="BF952" s="932"/>
    </row>
    <row r="953" spans="2:58" ht="15" x14ac:dyDescent="0.25">
      <c r="B953" s="932"/>
      <c r="C953" s="932"/>
      <c r="D953" s="932"/>
      <c r="E953" s="932"/>
      <c r="F953" s="932"/>
      <c r="G953" s="932"/>
      <c r="H953" s="932"/>
      <c r="I953" s="932"/>
      <c r="J953" s="932"/>
      <c r="K953" s="932"/>
      <c r="L953" s="932"/>
      <c r="M953" s="932"/>
      <c r="N953" s="932"/>
      <c r="O953" s="932"/>
      <c r="P953" s="932"/>
      <c r="Q953" s="932"/>
      <c r="R953" s="932"/>
      <c r="S953" s="932"/>
      <c r="T953" s="932"/>
      <c r="U953" s="932"/>
      <c r="V953" s="932"/>
      <c r="W953" s="932"/>
      <c r="X953" s="932"/>
      <c r="Y953" s="932"/>
      <c r="Z953" s="932"/>
      <c r="AA953" s="932"/>
      <c r="AB953" s="932"/>
      <c r="AC953" s="932"/>
      <c r="AD953" s="932"/>
      <c r="AE953" s="932"/>
      <c r="AF953" s="932"/>
      <c r="AG953" s="932"/>
      <c r="AH953" s="932"/>
      <c r="AI953" s="932"/>
      <c r="AJ953" s="932"/>
      <c r="AK953" s="932"/>
      <c r="AL953" s="932"/>
      <c r="AM953" s="932"/>
      <c r="AN953" s="932"/>
      <c r="AO953" s="932"/>
      <c r="AP953" s="932"/>
      <c r="AQ953" s="932"/>
      <c r="AR953" s="932"/>
      <c r="AS953" s="932"/>
      <c r="AT953" s="932"/>
      <c r="AU953" s="932"/>
      <c r="AV953" s="932"/>
      <c r="AW953" s="932"/>
      <c r="AX953" s="932"/>
      <c r="AY953" s="932"/>
      <c r="AZ953" s="932"/>
      <c r="BA953" s="932"/>
      <c r="BB953" s="932"/>
      <c r="BC953" s="932"/>
      <c r="BD953" s="932"/>
      <c r="BE953" s="932"/>
      <c r="BF953" s="932"/>
    </row>
    <row r="954" spans="2:58" ht="15" x14ac:dyDescent="0.25">
      <c r="B954" s="932"/>
      <c r="C954" s="932"/>
      <c r="D954" s="932"/>
      <c r="E954" s="932"/>
      <c r="F954" s="932"/>
      <c r="G954" s="932"/>
      <c r="H954" s="932"/>
      <c r="I954" s="932"/>
      <c r="J954" s="932"/>
      <c r="K954" s="932"/>
      <c r="L954" s="932"/>
      <c r="M954" s="932"/>
      <c r="N954" s="932"/>
      <c r="O954" s="932"/>
      <c r="P954" s="932"/>
      <c r="Q954" s="932"/>
      <c r="R954" s="932"/>
      <c r="S954" s="932"/>
      <c r="T954" s="932"/>
      <c r="U954" s="932"/>
      <c r="V954" s="932"/>
      <c r="W954" s="932"/>
      <c r="X954" s="932"/>
      <c r="Y954" s="932"/>
      <c r="Z954" s="932"/>
      <c r="AA954" s="932"/>
      <c r="AB954" s="932"/>
      <c r="AC954" s="932"/>
      <c r="AD954" s="932"/>
      <c r="AE954" s="932"/>
      <c r="AF954" s="932"/>
      <c r="AG954" s="932"/>
      <c r="AH954" s="932"/>
      <c r="AI954" s="932"/>
      <c r="AJ954" s="932"/>
      <c r="AK954" s="932"/>
      <c r="AL954" s="932"/>
      <c r="AM954" s="932"/>
      <c r="AN954" s="932"/>
      <c r="AO954" s="932"/>
      <c r="AP954" s="932"/>
      <c r="AQ954" s="932"/>
      <c r="AR954" s="932"/>
      <c r="AS954" s="932"/>
      <c r="AT954" s="932"/>
      <c r="AU954" s="932"/>
      <c r="AV954" s="932"/>
      <c r="AW954" s="932"/>
      <c r="AX954" s="932"/>
      <c r="AY954" s="932"/>
      <c r="AZ954" s="932"/>
      <c r="BA954" s="932"/>
      <c r="BB954" s="932"/>
      <c r="BC954" s="932"/>
      <c r="BD954" s="932"/>
      <c r="BE954" s="932"/>
      <c r="BF954" s="932"/>
    </row>
    <row r="955" spans="2:58" ht="15" x14ac:dyDescent="0.25">
      <c r="B955" s="932"/>
      <c r="C955" s="932"/>
      <c r="D955" s="932"/>
      <c r="E955" s="932"/>
      <c r="F955" s="932"/>
      <c r="G955" s="932"/>
      <c r="H955" s="932"/>
      <c r="I955" s="932"/>
      <c r="J955" s="932"/>
      <c r="K955" s="932"/>
      <c r="L955" s="932"/>
      <c r="M955" s="932"/>
      <c r="N955" s="932"/>
      <c r="O955" s="932"/>
      <c r="P955" s="932"/>
      <c r="Q955" s="932"/>
      <c r="R955" s="932"/>
      <c r="S955" s="932"/>
      <c r="T955" s="932"/>
      <c r="U955" s="932"/>
      <c r="V955" s="932"/>
      <c r="W955" s="932"/>
      <c r="X955" s="932"/>
      <c r="Y955" s="932"/>
      <c r="Z955" s="932"/>
      <c r="AA955" s="932"/>
      <c r="AB955" s="932"/>
      <c r="AC955" s="932"/>
      <c r="AD955" s="932"/>
      <c r="AE955" s="932"/>
      <c r="AF955" s="932"/>
      <c r="AG955" s="932"/>
      <c r="AH955" s="932"/>
      <c r="AI955" s="932"/>
      <c r="AJ955" s="932"/>
      <c r="AK955" s="932"/>
      <c r="AL955" s="932"/>
      <c r="AM955" s="932"/>
      <c r="AN955" s="932"/>
      <c r="AO955" s="932"/>
      <c r="AP955" s="932"/>
      <c r="AQ955" s="932"/>
      <c r="AR955" s="932"/>
      <c r="AS955" s="932"/>
      <c r="AT955" s="932"/>
      <c r="AU955" s="932"/>
      <c r="AV955" s="932"/>
      <c r="AW955" s="932"/>
      <c r="AX955" s="932"/>
      <c r="AY955" s="932"/>
      <c r="AZ955" s="932"/>
      <c r="BA955" s="932"/>
      <c r="BB955" s="932"/>
      <c r="BC955" s="932"/>
      <c r="BD955" s="932"/>
      <c r="BE955" s="932"/>
      <c r="BF955" s="932"/>
    </row>
    <row r="956" spans="2:58" ht="15" x14ac:dyDescent="0.25">
      <c r="B956" s="932"/>
      <c r="C956" s="932"/>
      <c r="D956" s="932"/>
      <c r="E956" s="932"/>
      <c r="F956" s="932"/>
      <c r="G956" s="932"/>
      <c r="H956" s="932"/>
      <c r="I956" s="932"/>
      <c r="J956" s="932"/>
      <c r="K956" s="932"/>
      <c r="L956" s="932"/>
      <c r="M956" s="932"/>
      <c r="N956" s="932"/>
      <c r="O956" s="932"/>
      <c r="P956" s="932"/>
      <c r="Q956" s="932"/>
      <c r="R956" s="932"/>
      <c r="S956" s="932"/>
      <c r="T956" s="932"/>
      <c r="U956" s="932"/>
      <c r="V956" s="932"/>
      <c r="W956" s="932"/>
      <c r="X956" s="932"/>
      <c r="Y956" s="932"/>
      <c r="Z956" s="932"/>
      <c r="AA956" s="932"/>
      <c r="AB956" s="932"/>
      <c r="AC956" s="932"/>
      <c r="AD956" s="932"/>
      <c r="AE956" s="932"/>
      <c r="AF956" s="932"/>
      <c r="AG956" s="932"/>
      <c r="AH956" s="932"/>
      <c r="AI956" s="932"/>
      <c r="AJ956" s="932"/>
      <c r="AK956" s="932"/>
      <c r="AL956" s="932"/>
      <c r="AM956" s="932"/>
      <c r="AN956" s="932"/>
      <c r="AO956" s="932"/>
      <c r="AP956" s="932"/>
      <c r="AQ956" s="932"/>
      <c r="AR956" s="932"/>
      <c r="AS956" s="932"/>
      <c r="AT956" s="932"/>
      <c r="AU956" s="932"/>
      <c r="AV956" s="932"/>
      <c r="AW956" s="932"/>
      <c r="AX956" s="932"/>
      <c r="AY956" s="932"/>
      <c r="AZ956" s="932"/>
      <c r="BA956" s="932"/>
      <c r="BB956" s="932"/>
      <c r="BC956" s="932"/>
      <c r="BD956" s="932"/>
      <c r="BE956" s="932"/>
      <c r="BF956" s="932"/>
    </row>
    <row r="957" spans="2:58" ht="15" x14ac:dyDescent="0.25">
      <c r="B957" s="932"/>
      <c r="C957" s="932"/>
      <c r="D957" s="932"/>
      <c r="E957" s="932"/>
      <c r="F957" s="932"/>
      <c r="G957" s="932"/>
      <c r="H957" s="932"/>
      <c r="I957" s="932"/>
      <c r="J957" s="932"/>
      <c r="K957" s="932"/>
      <c r="L957" s="932"/>
      <c r="M957" s="932"/>
      <c r="N957" s="932"/>
      <c r="O957" s="932"/>
      <c r="P957" s="932"/>
      <c r="Q957" s="932"/>
      <c r="R957" s="932"/>
      <c r="S957" s="932"/>
      <c r="T957" s="932"/>
      <c r="U957" s="932"/>
      <c r="V957" s="932"/>
      <c r="W957" s="932"/>
      <c r="X957" s="932"/>
      <c r="Y957" s="932"/>
      <c r="Z957" s="932"/>
      <c r="AA957" s="932"/>
      <c r="AB957" s="932"/>
      <c r="AC957" s="932"/>
      <c r="AD957" s="932"/>
      <c r="AE957" s="932"/>
      <c r="AF957" s="932"/>
      <c r="AG957" s="932"/>
      <c r="AH957" s="932"/>
      <c r="AI957" s="932"/>
      <c r="AJ957" s="932"/>
      <c r="AK957" s="932"/>
      <c r="AL957" s="932"/>
      <c r="AM957" s="932"/>
      <c r="AN957" s="932"/>
      <c r="AO957" s="932"/>
      <c r="AP957" s="932"/>
      <c r="AQ957" s="932"/>
      <c r="AR957" s="932"/>
      <c r="AS957" s="932"/>
      <c r="AT957" s="932"/>
      <c r="AU957" s="932"/>
      <c r="AV957" s="932"/>
      <c r="AW957" s="932"/>
      <c r="AX957" s="932"/>
      <c r="AY957" s="932"/>
      <c r="AZ957" s="932"/>
      <c r="BA957" s="932"/>
      <c r="BB957" s="932"/>
      <c r="BC957" s="932"/>
      <c r="BD957" s="932"/>
      <c r="BE957" s="932"/>
      <c r="BF957" s="932"/>
    </row>
    <row r="958" spans="2:58" ht="15" x14ac:dyDescent="0.25">
      <c r="B958" s="932"/>
      <c r="C958" s="932"/>
      <c r="D958" s="932"/>
      <c r="E958" s="932"/>
      <c r="F958" s="932"/>
      <c r="G958" s="932"/>
      <c r="H958" s="932"/>
      <c r="I958" s="932"/>
      <c r="J958" s="932"/>
      <c r="K958" s="932"/>
      <c r="L958" s="932"/>
      <c r="M958" s="932"/>
      <c r="N958" s="932"/>
      <c r="O958" s="932"/>
      <c r="P958" s="932"/>
      <c r="Q958" s="932"/>
      <c r="R958" s="932"/>
      <c r="S958" s="932"/>
      <c r="T958" s="932"/>
      <c r="U958" s="932"/>
      <c r="V958" s="932"/>
      <c r="W958" s="932"/>
      <c r="X958" s="932"/>
      <c r="Y958" s="932"/>
      <c r="Z958" s="932"/>
      <c r="AA958" s="932"/>
      <c r="AB958" s="932"/>
      <c r="AC958" s="932"/>
      <c r="AD958" s="932"/>
      <c r="AE958" s="932"/>
      <c r="AF958" s="932"/>
      <c r="AG958" s="932"/>
      <c r="AH958" s="932"/>
      <c r="AI958" s="932"/>
      <c r="AJ958" s="932"/>
      <c r="AK958" s="932"/>
      <c r="AL958" s="932"/>
      <c r="AM958" s="932"/>
      <c r="AN958" s="932"/>
      <c r="AO958" s="932"/>
      <c r="AP958" s="932"/>
      <c r="AQ958" s="932"/>
      <c r="AR958" s="932"/>
      <c r="AS958" s="932"/>
      <c r="AT958" s="932"/>
      <c r="AU958" s="932"/>
      <c r="AV958" s="932"/>
      <c r="AW958" s="932"/>
      <c r="AX958" s="932"/>
      <c r="AY958" s="932"/>
      <c r="AZ958" s="932"/>
      <c r="BA958" s="932"/>
      <c r="BB958" s="932"/>
      <c r="BC958" s="932"/>
      <c r="BD958" s="932"/>
      <c r="BE958" s="932"/>
      <c r="BF958" s="932"/>
    </row>
    <row r="959" spans="2:58" ht="15" x14ac:dyDescent="0.25">
      <c r="B959" s="932"/>
      <c r="C959" s="932"/>
      <c r="D959" s="932"/>
      <c r="E959" s="932"/>
      <c r="F959" s="932"/>
      <c r="G959" s="932"/>
      <c r="H959" s="932"/>
      <c r="I959" s="932"/>
      <c r="J959" s="932"/>
      <c r="K959" s="932"/>
      <c r="L959" s="932"/>
      <c r="M959" s="932"/>
      <c r="N959" s="932"/>
      <c r="O959" s="932"/>
      <c r="P959" s="932"/>
      <c r="Q959" s="932"/>
      <c r="R959" s="932"/>
      <c r="S959" s="932"/>
      <c r="T959" s="932"/>
      <c r="U959" s="932"/>
      <c r="V959" s="932"/>
      <c r="W959" s="932"/>
      <c r="X959" s="932"/>
      <c r="Y959" s="932"/>
      <c r="Z959" s="932"/>
      <c r="AA959" s="932"/>
      <c r="AB959" s="932"/>
      <c r="AC959" s="932"/>
      <c r="AD959" s="932"/>
      <c r="AE959" s="932"/>
      <c r="AF959" s="932"/>
      <c r="AG959" s="932"/>
      <c r="AH959" s="932"/>
      <c r="AI959" s="932"/>
      <c r="AJ959" s="932"/>
      <c r="AK959" s="932"/>
      <c r="AL959" s="932"/>
      <c r="AM959" s="932"/>
      <c r="AN959" s="932"/>
      <c r="AO959" s="932"/>
      <c r="AP959" s="932"/>
      <c r="AQ959" s="932"/>
      <c r="AR959" s="932"/>
      <c r="AS959" s="932"/>
      <c r="AT959" s="932"/>
      <c r="AU959" s="932"/>
      <c r="AV959" s="932"/>
      <c r="AW959" s="932"/>
      <c r="AX959" s="932"/>
      <c r="AY959" s="932"/>
      <c r="AZ959" s="932"/>
      <c r="BA959" s="932"/>
      <c r="BB959" s="932"/>
      <c r="BC959" s="932"/>
      <c r="BD959" s="932"/>
      <c r="BE959" s="932"/>
      <c r="BF959" s="932"/>
    </row>
    <row r="960" spans="2:58" ht="15" x14ac:dyDescent="0.25">
      <c r="B960" s="932"/>
      <c r="C960" s="932"/>
      <c r="D960" s="932"/>
      <c r="E960" s="932"/>
      <c r="F960" s="932"/>
      <c r="G960" s="932"/>
      <c r="H960" s="932"/>
      <c r="I960" s="932"/>
      <c r="J960" s="932"/>
      <c r="K960" s="932"/>
      <c r="L960" s="932"/>
      <c r="M960" s="932"/>
      <c r="N960" s="932"/>
      <c r="O960" s="932"/>
      <c r="P960" s="932"/>
      <c r="Q960" s="932"/>
      <c r="R960" s="932"/>
      <c r="S960" s="932"/>
      <c r="T960" s="932"/>
      <c r="U960" s="932"/>
      <c r="V960" s="932"/>
      <c r="W960" s="932"/>
      <c r="X960" s="932"/>
      <c r="Y960" s="932"/>
      <c r="Z960" s="932"/>
      <c r="AA960" s="932"/>
      <c r="AB960" s="932"/>
      <c r="AC960" s="932"/>
      <c r="AD960" s="932"/>
      <c r="AE960" s="932"/>
      <c r="AF960" s="932"/>
      <c r="AG960" s="932"/>
      <c r="AH960" s="932"/>
      <c r="AI960" s="932"/>
      <c r="AJ960" s="932"/>
      <c r="AK960" s="932"/>
      <c r="AL960" s="932"/>
      <c r="AM960" s="932"/>
      <c r="AN960" s="932"/>
      <c r="AO960" s="932"/>
      <c r="AP960" s="932"/>
      <c r="AQ960" s="932"/>
      <c r="AR960" s="932"/>
      <c r="AS960" s="932"/>
      <c r="AT960" s="932"/>
      <c r="AU960" s="932"/>
      <c r="AV960" s="932"/>
      <c r="AW960" s="932"/>
      <c r="AX960" s="932"/>
      <c r="AY960" s="932"/>
      <c r="AZ960" s="932"/>
      <c r="BA960" s="932"/>
      <c r="BB960" s="932"/>
      <c r="BC960" s="932"/>
      <c r="BD960" s="932"/>
      <c r="BE960" s="932"/>
      <c r="BF960" s="932"/>
    </row>
    <row r="961" spans="2:58" ht="15" x14ac:dyDescent="0.25">
      <c r="B961" s="932"/>
      <c r="C961" s="932"/>
      <c r="D961" s="932"/>
      <c r="E961" s="932"/>
      <c r="F961" s="932"/>
      <c r="G961" s="932"/>
      <c r="H961" s="932"/>
      <c r="I961" s="932"/>
      <c r="J961" s="932"/>
      <c r="K961" s="932"/>
      <c r="L961" s="932"/>
      <c r="M961" s="932"/>
      <c r="N961" s="932"/>
      <c r="O961" s="932"/>
      <c r="P961" s="932"/>
      <c r="Q961" s="932"/>
      <c r="R961" s="932"/>
      <c r="S961" s="932"/>
      <c r="T961" s="932"/>
      <c r="U961" s="932"/>
      <c r="V961" s="932"/>
      <c r="W961" s="932"/>
      <c r="X961" s="932"/>
      <c r="Y961" s="932"/>
      <c r="Z961" s="932"/>
      <c r="AA961" s="932"/>
      <c r="AB961" s="932"/>
      <c r="AC961" s="932"/>
      <c r="AD961" s="932"/>
      <c r="AE961" s="932"/>
      <c r="AF961" s="932"/>
      <c r="AG961" s="932"/>
      <c r="AH961" s="932"/>
      <c r="AI961" s="932"/>
      <c r="AJ961" s="932"/>
      <c r="AK961" s="932"/>
      <c r="AL961" s="932"/>
      <c r="AM961" s="932"/>
      <c r="AN961" s="932"/>
      <c r="AO961" s="932"/>
      <c r="AP961" s="932"/>
      <c r="AQ961" s="932"/>
      <c r="AR961" s="932"/>
      <c r="AS961" s="932"/>
      <c r="AT961" s="932"/>
      <c r="AU961" s="932"/>
      <c r="AV961" s="932"/>
      <c r="AW961" s="932"/>
      <c r="AX961" s="932"/>
      <c r="AY961" s="932"/>
      <c r="AZ961" s="932"/>
      <c r="BA961" s="932"/>
      <c r="BB961" s="932"/>
      <c r="BC961" s="932"/>
      <c r="BD961" s="932"/>
      <c r="BE961" s="932"/>
      <c r="BF961" s="932"/>
    </row>
    <row r="962" spans="2:58" ht="15" x14ac:dyDescent="0.25">
      <c r="B962" s="932"/>
      <c r="C962" s="932"/>
      <c r="D962" s="932"/>
      <c r="E962" s="932"/>
      <c r="F962" s="932"/>
      <c r="G962" s="932"/>
      <c r="H962" s="932"/>
      <c r="I962" s="932"/>
      <c r="J962" s="932"/>
      <c r="K962" s="932"/>
      <c r="L962" s="932"/>
      <c r="M962" s="932"/>
      <c r="N962" s="932"/>
      <c r="O962" s="932"/>
      <c r="P962" s="932"/>
      <c r="Q962" s="932"/>
      <c r="R962" s="932"/>
      <c r="S962" s="932"/>
      <c r="T962" s="932"/>
      <c r="U962" s="932"/>
      <c r="V962" s="932"/>
      <c r="W962" s="932"/>
      <c r="X962" s="932"/>
      <c r="Y962" s="932"/>
      <c r="Z962" s="932"/>
      <c r="AA962" s="932"/>
      <c r="AB962" s="932"/>
      <c r="AC962" s="932"/>
      <c r="AD962" s="932"/>
      <c r="AE962" s="932"/>
      <c r="AF962" s="932"/>
      <c r="AG962" s="932"/>
      <c r="AH962" s="932"/>
      <c r="AI962" s="932"/>
      <c r="AJ962" s="932"/>
      <c r="AK962" s="932"/>
      <c r="AL962" s="932"/>
      <c r="AM962" s="932"/>
      <c r="AN962" s="932"/>
      <c r="AO962" s="932"/>
      <c r="AP962" s="932"/>
      <c r="AQ962" s="932"/>
      <c r="AR962" s="932"/>
      <c r="AS962" s="932"/>
      <c r="AT962" s="932"/>
      <c r="AU962" s="932"/>
      <c r="AV962" s="932"/>
      <c r="AW962" s="932"/>
      <c r="AX962" s="932"/>
      <c r="AY962" s="932"/>
      <c r="AZ962" s="932"/>
      <c r="BA962" s="932"/>
      <c r="BB962" s="932"/>
      <c r="BC962" s="932"/>
      <c r="BD962" s="932"/>
      <c r="BE962" s="932"/>
      <c r="BF962" s="932"/>
    </row>
    <row r="963" spans="2:58" ht="15" x14ac:dyDescent="0.25">
      <c r="B963" s="932"/>
      <c r="C963" s="932"/>
      <c r="D963" s="932"/>
      <c r="E963" s="932"/>
      <c r="F963" s="932"/>
      <c r="G963" s="932"/>
      <c r="H963" s="932"/>
      <c r="I963" s="932"/>
      <c r="J963" s="932"/>
      <c r="K963" s="932"/>
      <c r="L963" s="932"/>
      <c r="M963" s="932"/>
      <c r="N963" s="932"/>
      <c r="O963" s="932"/>
      <c r="P963" s="932"/>
      <c r="Q963" s="932"/>
      <c r="R963" s="932"/>
      <c r="S963" s="932"/>
      <c r="T963" s="932"/>
      <c r="U963" s="932"/>
      <c r="V963" s="932"/>
      <c r="W963" s="932"/>
      <c r="X963" s="932"/>
      <c r="Y963" s="932"/>
      <c r="Z963" s="932"/>
      <c r="AA963" s="932"/>
      <c r="AB963" s="932"/>
      <c r="AC963" s="932"/>
      <c r="AD963" s="932"/>
      <c r="AE963" s="932"/>
      <c r="AF963" s="932"/>
      <c r="AG963" s="932"/>
      <c r="AH963" s="932"/>
      <c r="AI963" s="932"/>
      <c r="AJ963" s="932"/>
      <c r="AK963" s="932"/>
      <c r="AL963" s="932"/>
      <c r="AM963" s="932"/>
      <c r="AN963" s="932"/>
      <c r="AO963" s="932"/>
      <c r="AP963" s="932"/>
      <c r="AQ963" s="932"/>
      <c r="AR963" s="932"/>
      <c r="AS963" s="932"/>
      <c r="AT963" s="932"/>
      <c r="AU963" s="932"/>
      <c r="AV963" s="932"/>
      <c r="AW963" s="932"/>
      <c r="AX963" s="932"/>
      <c r="AY963" s="932"/>
      <c r="AZ963" s="932"/>
      <c r="BA963" s="932"/>
      <c r="BB963" s="932"/>
      <c r="BC963" s="932"/>
      <c r="BD963" s="932"/>
      <c r="BE963" s="932"/>
      <c r="BF963" s="932"/>
    </row>
    <row r="964" spans="2:58" ht="15" x14ac:dyDescent="0.25">
      <c r="B964" s="932"/>
      <c r="C964" s="932"/>
      <c r="D964" s="932"/>
      <c r="E964" s="932"/>
      <c r="F964" s="932"/>
      <c r="G964" s="932"/>
      <c r="H964" s="932"/>
      <c r="I964" s="932"/>
      <c r="J964" s="932"/>
      <c r="K964" s="932"/>
      <c r="L964" s="932"/>
      <c r="M964" s="932"/>
      <c r="N964" s="932"/>
      <c r="O964" s="932"/>
      <c r="P964" s="932"/>
      <c r="Q964" s="932"/>
      <c r="R964" s="932"/>
      <c r="S964" s="932"/>
      <c r="T964" s="932"/>
      <c r="U964" s="932"/>
      <c r="V964" s="932"/>
      <c r="W964" s="932"/>
      <c r="X964" s="932"/>
      <c r="Y964" s="932"/>
      <c r="Z964" s="932"/>
      <c r="AA964" s="932"/>
      <c r="AB964" s="932"/>
      <c r="AC964" s="932"/>
      <c r="AD964" s="932"/>
      <c r="AE964" s="932"/>
      <c r="AF964" s="932"/>
      <c r="AG964" s="932"/>
      <c r="AH964" s="932"/>
      <c r="AI964" s="932"/>
      <c r="AJ964" s="932"/>
      <c r="AK964" s="932"/>
      <c r="AL964" s="932"/>
      <c r="AM964" s="932"/>
      <c r="AN964" s="932"/>
      <c r="AO964" s="932"/>
      <c r="AP964" s="932"/>
      <c r="AQ964" s="932"/>
      <c r="AR964" s="932"/>
      <c r="AS964" s="932"/>
      <c r="AT964" s="932"/>
      <c r="AU964" s="932"/>
      <c r="AV964" s="932"/>
      <c r="AW964" s="932"/>
      <c r="AX964" s="932"/>
      <c r="AY964" s="932"/>
      <c r="AZ964" s="932"/>
      <c r="BA964" s="932"/>
      <c r="BB964" s="932"/>
      <c r="BC964" s="932"/>
      <c r="BD964" s="932"/>
      <c r="BE964" s="932"/>
      <c r="BF964" s="932"/>
    </row>
    <row r="965" spans="2:58" ht="15" x14ac:dyDescent="0.25">
      <c r="B965" s="932"/>
      <c r="C965" s="932"/>
      <c r="D965" s="932"/>
      <c r="E965" s="932"/>
      <c r="F965" s="932"/>
      <c r="G965" s="932"/>
      <c r="H965" s="932"/>
      <c r="I965" s="932"/>
      <c r="J965" s="932"/>
      <c r="K965" s="932"/>
      <c r="L965" s="932"/>
      <c r="M965" s="932"/>
      <c r="N965" s="932"/>
      <c r="O965" s="932"/>
      <c r="P965" s="932"/>
      <c r="Q965" s="932"/>
      <c r="R965" s="932"/>
      <c r="S965" s="932"/>
      <c r="T965" s="932"/>
      <c r="U965" s="932"/>
      <c r="V965" s="932"/>
      <c r="W965" s="932"/>
      <c r="X965" s="932"/>
      <c r="Y965" s="932"/>
      <c r="Z965" s="932"/>
      <c r="AA965" s="932"/>
      <c r="AB965" s="932"/>
      <c r="AC965" s="932"/>
      <c r="AD965" s="932"/>
      <c r="AE965" s="932"/>
      <c r="AF965" s="932"/>
      <c r="AG965" s="932"/>
      <c r="AH965" s="932"/>
      <c r="AI965" s="932"/>
      <c r="AJ965" s="932"/>
      <c r="AK965" s="932"/>
      <c r="AL965" s="932"/>
      <c r="AM965" s="932"/>
      <c r="AN965" s="932"/>
      <c r="AO965" s="932"/>
      <c r="AP965" s="932"/>
      <c r="AQ965" s="932"/>
      <c r="AR965" s="932"/>
      <c r="AS965" s="932"/>
      <c r="AT965" s="932"/>
      <c r="AU965" s="932"/>
      <c r="AV965" s="932"/>
      <c r="AW965" s="932"/>
      <c r="AX965" s="932"/>
      <c r="AY965" s="932"/>
      <c r="AZ965" s="932"/>
      <c r="BA965" s="932"/>
      <c r="BB965" s="932"/>
      <c r="BC965" s="932"/>
      <c r="BD965" s="932"/>
      <c r="BE965" s="932"/>
      <c r="BF965" s="932"/>
    </row>
    <row r="966" spans="2:58" ht="15" x14ac:dyDescent="0.25">
      <c r="B966" s="932"/>
      <c r="C966" s="932"/>
      <c r="D966" s="932"/>
      <c r="E966" s="932"/>
      <c r="F966" s="932"/>
      <c r="G966" s="932"/>
      <c r="H966" s="932"/>
      <c r="I966" s="932"/>
      <c r="J966" s="932"/>
      <c r="K966" s="932"/>
      <c r="L966" s="932"/>
      <c r="M966" s="932"/>
      <c r="N966" s="932"/>
      <c r="O966" s="932"/>
      <c r="P966" s="932"/>
      <c r="Q966" s="932"/>
      <c r="R966" s="932"/>
      <c r="S966" s="932"/>
      <c r="T966" s="932"/>
      <c r="U966" s="932"/>
      <c r="V966" s="932"/>
      <c r="W966" s="932"/>
      <c r="X966" s="932"/>
      <c r="Y966" s="932"/>
      <c r="Z966" s="932"/>
      <c r="AA966" s="932"/>
      <c r="AB966" s="932"/>
      <c r="AC966" s="932"/>
      <c r="AD966" s="932"/>
      <c r="AE966" s="932"/>
      <c r="AF966" s="932"/>
      <c r="AG966" s="932"/>
      <c r="AH966" s="932"/>
      <c r="AI966" s="932"/>
      <c r="AJ966" s="932"/>
      <c r="AK966" s="932"/>
      <c r="AL966" s="932"/>
      <c r="AM966" s="932"/>
      <c r="AN966" s="932"/>
      <c r="AO966" s="932"/>
      <c r="AP966" s="932"/>
      <c r="AQ966" s="932"/>
      <c r="AR966" s="932"/>
      <c r="AS966" s="932"/>
      <c r="AT966" s="932"/>
      <c r="AU966" s="932"/>
      <c r="AV966" s="932"/>
      <c r="AW966" s="932"/>
      <c r="AX966" s="932"/>
      <c r="AY966" s="932"/>
      <c r="AZ966" s="932"/>
      <c r="BA966" s="932"/>
      <c r="BB966" s="932"/>
      <c r="BC966" s="932"/>
      <c r="BD966" s="932"/>
      <c r="BE966" s="932"/>
      <c r="BF966" s="932"/>
    </row>
    <row r="967" spans="2:58" ht="15" x14ac:dyDescent="0.25">
      <c r="B967" s="932"/>
      <c r="C967" s="932"/>
      <c r="D967" s="932"/>
      <c r="E967" s="932"/>
      <c r="F967" s="932"/>
      <c r="G967" s="932"/>
      <c r="H967" s="932"/>
      <c r="I967" s="932"/>
      <c r="J967" s="932"/>
      <c r="K967" s="932"/>
      <c r="L967" s="932"/>
      <c r="M967" s="932"/>
      <c r="N967" s="932"/>
      <c r="O967" s="932"/>
      <c r="P967" s="932"/>
      <c r="Q967" s="932"/>
      <c r="R967" s="932"/>
      <c r="S967" s="932"/>
      <c r="T967" s="932"/>
      <c r="U967" s="932"/>
      <c r="V967" s="932"/>
      <c r="W967" s="932"/>
      <c r="X967" s="932"/>
      <c r="Y967" s="932"/>
      <c r="Z967" s="932"/>
      <c r="AA967" s="932"/>
      <c r="AB967" s="932"/>
      <c r="AC967" s="932"/>
      <c r="AD967" s="932"/>
      <c r="AE967" s="932"/>
      <c r="AF967" s="932"/>
      <c r="AG967" s="932"/>
      <c r="AH967" s="932"/>
      <c r="AI967" s="932"/>
      <c r="AJ967" s="932"/>
      <c r="AK967" s="932"/>
      <c r="AL967" s="932"/>
      <c r="AM967" s="932"/>
      <c r="AN967" s="932"/>
      <c r="AO967" s="932"/>
      <c r="AP967" s="932"/>
      <c r="AQ967" s="932"/>
      <c r="AR967" s="932"/>
      <c r="AS967" s="932"/>
      <c r="AT967" s="932"/>
      <c r="AU967" s="932"/>
      <c r="AV967" s="932"/>
      <c r="AW967" s="932"/>
      <c r="AX967" s="932"/>
      <c r="AY967" s="932"/>
      <c r="AZ967" s="932"/>
      <c r="BA967" s="932"/>
      <c r="BB967" s="932"/>
      <c r="BC967" s="932"/>
      <c r="BD967" s="932"/>
      <c r="BE967" s="932"/>
      <c r="BF967" s="932"/>
    </row>
    <row r="968" spans="2:58" ht="15" x14ac:dyDescent="0.25">
      <c r="B968" s="932"/>
      <c r="C968" s="932"/>
      <c r="D968" s="932"/>
      <c r="E968" s="932"/>
      <c r="F968" s="932"/>
      <c r="G968" s="932"/>
      <c r="H968" s="932"/>
      <c r="I968" s="932"/>
      <c r="J968" s="932"/>
      <c r="K968" s="932"/>
      <c r="L968" s="932"/>
      <c r="M968" s="932"/>
      <c r="N968" s="932"/>
      <c r="O968" s="932"/>
      <c r="P968" s="932"/>
      <c r="Q968" s="932"/>
      <c r="R968" s="932"/>
      <c r="S968" s="932"/>
      <c r="T968" s="932"/>
      <c r="U968" s="932"/>
      <c r="V968" s="932"/>
      <c r="W968" s="932"/>
      <c r="X968" s="932"/>
      <c r="Y968" s="932"/>
      <c r="Z968" s="932"/>
      <c r="AA968" s="932"/>
      <c r="AB968" s="932"/>
      <c r="AC968" s="932"/>
      <c r="AD968" s="932"/>
      <c r="AE968" s="932"/>
      <c r="AF968" s="932"/>
      <c r="AG968" s="932"/>
      <c r="AH968" s="932"/>
      <c r="AI968" s="932"/>
      <c r="AJ968" s="932"/>
      <c r="AK968" s="932"/>
      <c r="AL968" s="932"/>
      <c r="AM968" s="932"/>
      <c r="AN968" s="932"/>
      <c r="AO968" s="932"/>
      <c r="AP968" s="932"/>
      <c r="AQ968" s="932"/>
      <c r="AR968" s="932"/>
      <c r="AS968" s="932"/>
      <c r="AT968" s="932"/>
      <c r="AU968" s="932"/>
      <c r="AV968" s="932"/>
      <c r="AW968" s="932"/>
      <c r="AX968" s="932"/>
      <c r="AY968" s="932"/>
      <c r="AZ968" s="932"/>
      <c r="BA968" s="932"/>
      <c r="BB968" s="932"/>
      <c r="BC968" s="932"/>
      <c r="BD968" s="932"/>
      <c r="BE968" s="932"/>
      <c r="BF968" s="932"/>
    </row>
    <row r="969" spans="2:58" ht="15" x14ac:dyDescent="0.25">
      <c r="B969" s="932"/>
      <c r="C969" s="932"/>
      <c r="D969" s="932"/>
      <c r="E969" s="932"/>
      <c r="F969" s="932"/>
      <c r="G969" s="932"/>
      <c r="H969" s="932"/>
      <c r="I969" s="932"/>
      <c r="J969" s="932"/>
      <c r="K969" s="932"/>
      <c r="L969" s="932"/>
      <c r="M969" s="932"/>
      <c r="N969" s="932"/>
      <c r="O969" s="932"/>
      <c r="P969" s="932"/>
      <c r="Q969" s="932"/>
      <c r="R969" s="932"/>
      <c r="S969" s="932"/>
      <c r="T969" s="932"/>
      <c r="U969" s="932"/>
      <c r="V969" s="932"/>
      <c r="W969" s="932"/>
      <c r="X969" s="932"/>
      <c r="Y969" s="932"/>
      <c r="Z969" s="932"/>
      <c r="AA969" s="932"/>
      <c r="AB969" s="932"/>
      <c r="AC969" s="932"/>
      <c r="AD969" s="932"/>
      <c r="AE969" s="932"/>
      <c r="AF969" s="932"/>
      <c r="AG969" s="932"/>
      <c r="AH969" s="932"/>
      <c r="AI969" s="932"/>
      <c r="AJ969" s="932"/>
      <c r="AK969" s="932"/>
      <c r="AL969" s="932"/>
      <c r="AM969" s="932"/>
      <c r="AN969" s="932"/>
      <c r="AO969" s="932"/>
      <c r="AP969" s="932"/>
      <c r="AQ969" s="932"/>
      <c r="AR969" s="932"/>
      <c r="AS969" s="932"/>
      <c r="AT969" s="932"/>
      <c r="AU969" s="932"/>
      <c r="AV969" s="932"/>
      <c r="AW969" s="932"/>
      <c r="AX969" s="932"/>
      <c r="AY969" s="932"/>
      <c r="AZ969" s="932"/>
      <c r="BA969" s="932"/>
      <c r="BB969" s="932"/>
      <c r="BC969" s="932"/>
      <c r="BD969" s="932"/>
      <c r="BE969" s="932"/>
      <c r="BF969" s="932"/>
    </row>
    <row r="970" spans="2:58" ht="15" x14ac:dyDescent="0.25">
      <c r="B970" s="932"/>
      <c r="C970" s="932"/>
      <c r="D970" s="932"/>
      <c r="E970" s="932"/>
      <c r="F970" s="932"/>
      <c r="G970" s="932"/>
      <c r="H970" s="932"/>
      <c r="I970" s="932"/>
      <c r="J970" s="932"/>
      <c r="K970" s="932"/>
      <c r="L970" s="932"/>
      <c r="M970" s="932"/>
      <c r="N970" s="932"/>
      <c r="O970" s="932"/>
      <c r="P970" s="932"/>
      <c r="Q970" s="932"/>
      <c r="R970" s="932"/>
      <c r="S970" s="932"/>
      <c r="T970" s="932"/>
      <c r="U970" s="932"/>
      <c r="V970" s="932"/>
      <c r="W970" s="932"/>
      <c r="X970" s="932"/>
      <c r="Y970" s="932"/>
      <c r="Z970" s="932"/>
      <c r="AA970" s="932"/>
      <c r="AB970" s="932"/>
      <c r="AC970" s="932"/>
      <c r="AD970" s="932"/>
      <c r="AE970" s="932"/>
      <c r="AF970" s="932"/>
      <c r="AG970" s="932"/>
      <c r="AH970" s="932"/>
      <c r="AI970" s="932"/>
      <c r="AJ970" s="932"/>
      <c r="AK970" s="932"/>
      <c r="AL970" s="932"/>
      <c r="AM970" s="932"/>
      <c r="AN970" s="932"/>
      <c r="AO970" s="932"/>
      <c r="AP970" s="932"/>
      <c r="AQ970" s="932"/>
      <c r="AR970" s="932"/>
      <c r="AS970" s="932"/>
      <c r="AT970" s="932"/>
      <c r="AU970" s="932"/>
      <c r="AV970" s="932"/>
      <c r="AW970" s="932"/>
      <c r="AX970" s="932"/>
      <c r="AY970" s="932"/>
      <c r="AZ970" s="932"/>
      <c r="BA970" s="932"/>
      <c r="BB970" s="932"/>
      <c r="BC970" s="932"/>
      <c r="BD970" s="932"/>
      <c r="BE970" s="932"/>
      <c r="BF970" s="932"/>
    </row>
    <row r="971" spans="2:58" ht="15" x14ac:dyDescent="0.25">
      <c r="B971" s="932"/>
      <c r="C971" s="932"/>
      <c r="D971" s="932"/>
      <c r="E971" s="932"/>
      <c r="F971" s="932"/>
      <c r="G971" s="932"/>
      <c r="H971" s="932"/>
      <c r="I971" s="932"/>
      <c r="J971" s="932"/>
      <c r="K971" s="932"/>
      <c r="L971" s="932"/>
      <c r="M971" s="932"/>
      <c r="N971" s="932"/>
      <c r="O971" s="932"/>
      <c r="P971" s="932"/>
      <c r="Q971" s="932"/>
      <c r="R971" s="932"/>
      <c r="S971" s="932"/>
      <c r="T971" s="932"/>
      <c r="U971" s="932"/>
      <c r="V971" s="932"/>
      <c r="W971" s="932"/>
      <c r="X971" s="932"/>
      <c r="Y971" s="932"/>
      <c r="Z971" s="932"/>
      <c r="AA971" s="932"/>
      <c r="AB971" s="932"/>
      <c r="AC971" s="932"/>
      <c r="AD971" s="932"/>
      <c r="AE971" s="932"/>
      <c r="AF971" s="932"/>
      <c r="AG971" s="932"/>
      <c r="AH971" s="932"/>
      <c r="AI971" s="932"/>
      <c r="AJ971" s="932"/>
      <c r="AK971" s="932"/>
      <c r="AL971" s="932"/>
      <c r="AM971" s="932"/>
      <c r="AN971" s="932"/>
      <c r="AO971" s="932"/>
      <c r="AP971" s="932"/>
      <c r="AQ971" s="932"/>
      <c r="AR971" s="932"/>
      <c r="AS971" s="932"/>
      <c r="AT971" s="932"/>
      <c r="AU971" s="932"/>
      <c r="AV971" s="932"/>
      <c r="AW971" s="932"/>
      <c r="AX971" s="932"/>
      <c r="AY971" s="932"/>
      <c r="AZ971" s="932"/>
      <c r="BA971" s="932"/>
      <c r="BB971" s="932"/>
      <c r="BC971" s="932"/>
      <c r="BD971" s="932"/>
      <c r="BE971" s="932"/>
      <c r="BF971" s="932"/>
    </row>
    <row r="972" spans="2:58" ht="15" x14ac:dyDescent="0.25">
      <c r="B972" s="932"/>
      <c r="C972" s="932"/>
      <c r="D972" s="932"/>
      <c r="E972" s="932"/>
      <c r="F972" s="932"/>
      <c r="G972" s="932"/>
      <c r="H972" s="932"/>
      <c r="I972" s="932"/>
      <c r="J972" s="932"/>
      <c r="K972" s="932"/>
      <c r="L972" s="932"/>
      <c r="M972" s="932"/>
      <c r="N972" s="932"/>
      <c r="O972" s="932"/>
      <c r="P972" s="932"/>
      <c r="Q972" s="932"/>
      <c r="R972" s="932"/>
      <c r="S972" s="932"/>
      <c r="T972" s="932"/>
      <c r="U972" s="932"/>
      <c r="V972" s="932"/>
      <c r="W972" s="932"/>
      <c r="X972" s="932"/>
      <c r="Y972" s="932"/>
      <c r="Z972" s="932"/>
      <c r="AA972" s="932"/>
      <c r="AB972" s="932"/>
      <c r="AC972" s="932"/>
      <c r="AD972" s="932"/>
      <c r="AE972" s="932"/>
      <c r="AF972" s="932"/>
      <c r="AG972" s="932"/>
      <c r="AH972" s="932"/>
      <c r="AI972" s="932"/>
      <c r="AJ972" s="932"/>
      <c r="AK972" s="932"/>
      <c r="AL972" s="932"/>
      <c r="AM972" s="932"/>
      <c r="AN972" s="932"/>
      <c r="AO972" s="932"/>
      <c r="AP972" s="932"/>
      <c r="AQ972" s="932"/>
      <c r="AR972" s="932"/>
      <c r="AS972" s="932"/>
      <c r="AT972" s="932"/>
      <c r="AU972" s="932"/>
      <c r="AV972" s="932"/>
      <c r="AW972" s="932"/>
      <c r="AX972" s="932"/>
      <c r="AY972" s="932"/>
      <c r="AZ972" s="932"/>
      <c r="BA972" s="932"/>
      <c r="BB972" s="932"/>
      <c r="BC972" s="932"/>
      <c r="BD972" s="932"/>
      <c r="BE972" s="932"/>
      <c r="BF972" s="932"/>
    </row>
    <row r="973" spans="2:58" ht="15" x14ac:dyDescent="0.25">
      <c r="B973" s="932"/>
      <c r="C973" s="932"/>
      <c r="D973" s="932"/>
      <c r="E973" s="932"/>
      <c r="F973" s="932"/>
      <c r="G973" s="932"/>
      <c r="H973" s="932"/>
      <c r="I973" s="932"/>
      <c r="J973" s="932"/>
      <c r="K973" s="932"/>
      <c r="L973" s="932"/>
      <c r="M973" s="932"/>
      <c r="N973" s="932"/>
      <c r="O973" s="932"/>
      <c r="P973" s="932"/>
      <c r="Q973" s="932"/>
      <c r="R973" s="932"/>
      <c r="S973" s="932"/>
      <c r="T973" s="932"/>
      <c r="U973" s="932"/>
      <c r="V973" s="932"/>
      <c r="W973" s="932"/>
      <c r="X973" s="932"/>
      <c r="Y973" s="932"/>
      <c r="Z973" s="932"/>
      <c r="AA973" s="932"/>
      <c r="AB973" s="932"/>
      <c r="AC973" s="932"/>
      <c r="AD973" s="932"/>
      <c r="AE973" s="932"/>
      <c r="AF973" s="932"/>
      <c r="AG973" s="932"/>
      <c r="AH973" s="932"/>
      <c r="AI973" s="932"/>
      <c r="AJ973" s="932"/>
      <c r="AK973" s="932"/>
      <c r="AL973" s="932"/>
      <c r="AM973" s="932"/>
      <c r="AN973" s="932"/>
      <c r="AO973" s="932"/>
      <c r="AP973" s="932"/>
      <c r="AQ973" s="932"/>
      <c r="AR973" s="932"/>
      <c r="AS973" s="932"/>
      <c r="AT973" s="932"/>
      <c r="AU973" s="932"/>
      <c r="AV973" s="932"/>
      <c r="AW973" s="932"/>
      <c r="AX973" s="932"/>
      <c r="AY973" s="932"/>
      <c r="AZ973" s="932"/>
      <c r="BA973" s="932"/>
      <c r="BB973" s="932"/>
      <c r="BC973" s="932"/>
      <c r="BD973" s="932"/>
      <c r="BE973" s="932"/>
      <c r="BF973" s="932"/>
    </row>
    <row r="974" spans="2:58" ht="15" x14ac:dyDescent="0.25">
      <c r="B974" s="932"/>
      <c r="C974" s="932"/>
      <c r="D974" s="932"/>
      <c r="E974" s="932"/>
      <c r="F974" s="932"/>
      <c r="G974" s="932"/>
      <c r="H974" s="932"/>
      <c r="I974" s="932"/>
      <c r="J974" s="932"/>
      <c r="K974" s="932"/>
      <c r="L974" s="932"/>
      <c r="M974" s="932"/>
      <c r="N974" s="932"/>
      <c r="O974" s="932"/>
      <c r="P974" s="932"/>
      <c r="Q974" s="932"/>
      <c r="R974" s="932"/>
      <c r="S974" s="932"/>
      <c r="T974" s="932"/>
      <c r="U974" s="932"/>
      <c r="V974" s="932"/>
      <c r="W974" s="932"/>
      <c r="X974" s="932"/>
      <c r="Y974" s="932"/>
      <c r="Z974" s="932"/>
      <c r="AA974" s="932"/>
      <c r="AB974" s="932"/>
      <c r="AC974" s="932"/>
      <c r="AD974" s="932"/>
      <c r="AE974" s="932"/>
      <c r="AF974" s="932"/>
      <c r="AG974" s="932"/>
      <c r="AH974" s="932"/>
      <c r="AI974" s="932"/>
      <c r="AJ974" s="932"/>
      <c r="AK974" s="932"/>
      <c r="AL974" s="932"/>
      <c r="AM974" s="932"/>
      <c r="AN974" s="932"/>
      <c r="AO974" s="932"/>
      <c r="AP974" s="932"/>
      <c r="AQ974" s="932"/>
      <c r="AR974" s="932"/>
      <c r="AS974" s="932"/>
      <c r="AT974" s="932"/>
      <c r="AU974" s="932"/>
      <c r="AV974" s="932"/>
      <c r="AW974" s="932"/>
      <c r="AX974" s="932"/>
      <c r="AY974" s="932"/>
      <c r="AZ974" s="932"/>
      <c r="BA974" s="932"/>
      <c r="BB974" s="932"/>
      <c r="BC974" s="932"/>
      <c r="BD974" s="932"/>
      <c r="BE974" s="932"/>
      <c r="BF974" s="932"/>
    </row>
    <row r="975" spans="2:58" ht="15" x14ac:dyDescent="0.25">
      <c r="B975" s="932"/>
      <c r="C975" s="932"/>
      <c r="D975" s="932"/>
      <c r="E975" s="932"/>
      <c r="F975" s="932"/>
      <c r="G975" s="932"/>
      <c r="H975" s="932"/>
      <c r="I975" s="932"/>
      <c r="J975" s="932"/>
      <c r="K975" s="932"/>
      <c r="L975" s="932"/>
      <c r="M975" s="932"/>
      <c r="N975" s="932"/>
      <c r="O975" s="932"/>
      <c r="P975" s="932"/>
      <c r="Q975" s="932"/>
      <c r="R975" s="932"/>
      <c r="S975" s="932"/>
      <c r="T975" s="932"/>
      <c r="U975" s="932"/>
      <c r="V975" s="932"/>
      <c r="W975" s="932"/>
      <c r="X975" s="932"/>
      <c r="Y975" s="932"/>
      <c r="Z975" s="932"/>
      <c r="AA975" s="932"/>
      <c r="AB975" s="932"/>
      <c r="AC975" s="932"/>
      <c r="AD975" s="932"/>
      <c r="AE975" s="932"/>
      <c r="AF975" s="932"/>
      <c r="AG975" s="932"/>
      <c r="AH975" s="932"/>
      <c r="AI975" s="932"/>
      <c r="AJ975" s="932"/>
      <c r="AK975" s="932"/>
      <c r="AL975" s="932"/>
      <c r="AM975" s="932"/>
      <c r="AN975" s="932"/>
      <c r="AO975" s="932"/>
      <c r="AP975" s="932"/>
      <c r="AQ975" s="932"/>
      <c r="AR975" s="932"/>
      <c r="AS975" s="932"/>
      <c r="AT975" s="932"/>
      <c r="AU975" s="932"/>
      <c r="AV975" s="932"/>
      <c r="AW975" s="932"/>
      <c r="AX975" s="932"/>
      <c r="AY975" s="932"/>
      <c r="AZ975" s="932"/>
      <c r="BA975" s="932"/>
      <c r="BB975" s="932"/>
      <c r="BC975" s="932"/>
      <c r="BD975" s="932"/>
      <c r="BE975" s="932"/>
      <c r="BF975" s="932"/>
    </row>
    <row r="976" spans="2:58" ht="15" x14ac:dyDescent="0.25">
      <c r="B976" s="932"/>
      <c r="C976" s="932"/>
      <c r="D976" s="932"/>
      <c r="E976" s="932"/>
      <c r="F976" s="932"/>
      <c r="G976" s="932"/>
      <c r="H976" s="932"/>
      <c r="I976" s="932"/>
      <c r="J976" s="932"/>
      <c r="K976" s="932"/>
      <c r="L976" s="932"/>
      <c r="M976" s="932"/>
      <c r="N976" s="932"/>
      <c r="O976" s="932"/>
      <c r="P976" s="932"/>
      <c r="Q976" s="932"/>
      <c r="R976" s="932"/>
      <c r="S976" s="932"/>
      <c r="T976" s="932"/>
      <c r="U976" s="932"/>
      <c r="V976" s="932"/>
      <c r="W976" s="932"/>
      <c r="X976" s="932"/>
      <c r="Y976" s="932"/>
      <c r="Z976" s="932"/>
      <c r="AA976" s="932"/>
      <c r="AB976" s="932"/>
      <c r="AC976" s="932"/>
      <c r="AD976" s="932"/>
      <c r="AE976" s="932"/>
      <c r="AF976" s="932"/>
      <c r="AG976" s="932"/>
      <c r="AH976" s="932"/>
      <c r="AI976" s="932"/>
      <c r="AJ976" s="932"/>
      <c r="AK976" s="932"/>
      <c r="AL976" s="932"/>
      <c r="AM976" s="932"/>
      <c r="AN976" s="932"/>
      <c r="AO976" s="932"/>
      <c r="AP976" s="932"/>
      <c r="AQ976" s="932"/>
      <c r="AR976" s="932"/>
      <c r="AS976" s="932"/>
      <c r="AT976" s="932"/>
      <c r="AU976" s="932"/>
      <c r="AV976" s="932"/>
      <c r="AW976" s="932"/>
      <c r="AX976" s="932"/>
      <c r="AY976" s="932"/>
      <c r="AZ976" s="932"/>
      <c r="BA976" s="932"/>
      <c r="BB976" s="932"/>
      <c r="BC976" s="932"/>
      <c r="BD976" s="932"/>
      <c r="BE976" s="932"/>
      <c r="BF976" s="932"/>
    </row>
    <row r="977" spans="2:58" ht="15" x14ac:dyDescent="0.25">
      <c r="B977" s="932"/>
      <c r="C977" s="932"/>
      <c r="D977" s="932"/>
      <c r="E977" s="932"/>
      <c r="F977" s="932"/>
      <c r="G977" s="932"/>
      <c r="H977" s="932"/>
      <c r="I977" s="932"/>
      <c r="J977" s="932"/>
      <c r="K977" s="932"/>
      <c r="L977" s="932"/>
      <c r="M977" s="932"/>
      <c r="N977" s="932"/>
      <c r="O977" s="932"/>
      <c r="P977" s="932"/>
      <c r="Q977" s="932"/>
      <c r="R977" s="932"/>
      <c r="S977" s="932"/>
      <c r="T977" s="932"/>
      <c r="U977" s="932"/>
      <c r="V977" s="932"/>
      <c r="W977" s="932"/>
      <c r="X977" s="932"/>
      <c r="Y977" s="932"/>
      <c r="Z977" s="932"/>
      <c r="AA977" s="932"/>
      <c r="AB977" s="932"/>
      <c r="AC977" s="932"/>
      <c r="AD977" s="932"/>
      <c r="AE977" s="932"/>
      <c r="AF977" s="932"/>
      <c r="AG977" s="932"/>
      <c r="AH977" s="932"/>
      <c r="AI977" s="932"/>
      <c r="AJ977" s="932"/>
      <c r="AK977" s="932"/>
      <c r="AL977" s="932"/>
      <c r="AM977" s="932"/>
      <c r="AN977" s="932"/>
      <c r="AO977" s="932"/>
      <c r="AP977" s="932"/>
      <c r="AQ977" s="932"/>
      <c r="AR977" s="932"/>
      <c r="AS977" s="932"/>
      <c r="AT977" s="932"/>
      <c r="AU977" s="932"/>
      <c r="AV977" s="932"/>
      <c r="AW977" s="932"/>
      <c r="AX977" s="932"/>
      <c r="AY977" s="932"/>
      <c r="AZ977" s="932"/>
      <c r="BA977" s="932"/>
      <c r="BB977" s="932"/>
      <c r="BC977" s="932"/>
      <c r="BD977" s="932"/>
      <c r="BE977" s="932"/>
      <c r="BF977" s="932"/>
    </row>
    <row r="978" spans="2:58" ht="15" x14ac:dyDescent="0.25">
      <c r="B978" s="932"/>
      <c r="C978" s="932"/>
      <c r="D978" s="932"/>
      <c r="E978" s="932"/>
      <c r="F978" s="932"/>
      <c r="G978" s="932"/>
      <c r="H978" s="932"/>
      <c r="I978" s="932"/>
      <c r="J978" s="932"/>
      <c r="K978" s="932"/>
      <c r="L978" s="932"/>
      <c r="M978" s="932"/>
      <c r="N978" s="932"/>
      <c r="O978" s="932"/>
      <c r="P978" s="932"/>
      <c r="Q978" s="932"/>
      <c r="R978" s="932"/>
      <c r="S978" s="932"/>
      <c r="T978" s="932"/>
      <c r="U978" s="932"/>
      <c r="V978" s="932"/>
      <c r="W978" s="932"/>
      <c r="X978" s="932"/>
      <c r="Y978" s="932"/>
      <c r="Z978" s="932"/>
      <c r="AA978" s="932"/>
      <c r="AB978" s="932"/>
      <c r="AC978" s="932"/>
      <c r="AD978" s="932"/>
      <c r="AE978" s="932"/>
      <c r="AF978" s="932"/>
      <c r="AG978" s="932"/>
      <c r="AH978" s="932"/>
      <c r="AI978" s="932"/>
      <c r="AJ978" s="932"/>
      <c r="AK978" s="932"/>
      <c r="AL978" s="932"/>
      <c r="AM978" s="932"/>
      <c r="AN978" s="932"/>
      <c r="AO978" s="932"/>
      <c r="AP978" s="932"/>
      <c r="AQ978" s="932"/>
      <c r="AR978" s="932"/>
      <c r="AS978" s="932"/>
      <c r="AT978" s="932"/>
      <c r="AU978" s="932"/>
      <c r="AV978" s="932"/>
      <c r="AW978" s="932"/>
      <c r="AX978" s="932"/>
      <c r="AY978" s="932"/>
      <c r="AZ978" s="932"/>
      <c r="BA978" s="932"/>
      <c r="BB978" s="932"/>
      <c r="BC978" s="932"/>
      <c r="BD978" s="932"/>
      <c r="BE978" s="932"/>
      <c r="BF978" s="932"/>
    </row>
    <row r="979" spans="2:58" ht="15" x14ac:dyDescent="0.25">
      <c r="B979" s="932"/>
      <c r="C979" s="932"/>
      <c r="D979" s="932"/>
      <c r="E979" s="932"/>
      <c r="F979" s="932"/>
      <c r="G979" s="932"/>
      <c r="H979" s="932"/>
      <c r="I979" s="932"/>
      <c r="J979" s="932"/>
      <c r="K979" s="932"/>
      <c r="L979" s="932"/>
      <c r="M979" s="932"/>
      <c r="N979" s="932"/>
      <c r="O979" s="932"/>
      <c r="P979" s="932"/>
      <c r="Q979" s="932"/>
      <c r="R979" s="932"/>
      <c r="S979" s="932"/>
      <c r="T979" s="932"/>
      <c r="U979" s="932"/>
      <c r="V979" s="932"/>
      <c r="W979" s="932"/>
      <c r="X979" s="932"/>
      <c r="Y979" s="932"/>
      <c r="Z979" s="932"/>
      <c r="AA979" s="932"/>
      <c r="AB979" s="932"/>
      <c r="AC979" s="932"/>
      <c r="AD979" s="932"/>
      <c r="AE979" s="932"/>
      <c r="AF979" s="932"/>
      <c r="AG979" s="932"/>
      <c r="AH979" s="932"/>
      <c r="AI979" s="932"/>
      <c r="AJ979" s="932"/>
      <c r="AK979" s="932"/>
      <c r="AL979" s="932"/>
      <c r="AM979" s="932"/>
      <c r="AN979" s="932"/>
      <c r="AO979" s="932"/>
      <c r="AP979" s="932"/>
      <c r="AQ979" s="932"/>
      <c r="AR979" s="932"/>
      <c r="AS979" s="932"/>
      <c r="AT979" s="932"/>
      <c r="AU979" s="932"/>
      <c r="AV979" s="932"/>
      <c r="AW979" s="932"/>
      <c r="AX979" s="932"/>
      <c r="AY979" s="932"/>
      <c r="AZ979" s="932"/>
      <c r="BA979" s="932"/>
      <c r="BB979" s="932"/>
      <c r="BC979" s="932"/>
      <c r="BD979" s="932"/>
      <c r="BE979" s="932"/>
      <c r="BF979" s="932"/>
    </row>
    <row r="980" spans="2:58" ht="15" x14ac:dyDescent="0.25">
      <c r="B980" s="932"/>
      <c r="C980" s="932"/>
      <c r="D980" s="932"/>
      <c r="E980" s="932"/>
      <c r="F980" s="932"/>
      <c r="G980" s="932"/>
      <c r="H980" s="932"/>
      <c r="I980" s="932"/>
      <c r="J980" s="932"/>
      <c r="K980" s="932"/>
      <c r="L980" s="932"/>
      <c r="M980" s="932"/>
      <c r="N980" s="932"/>
      <c r="O980" s="932"/>
      <c r="P980" s="932"/>
      <c r="Q980" s="932"/>
      <c r="R980" s="932"/>
      <c r="S980" s="932"/>
      <c r="T980" s="932"/>
      <c r="U980" s="932"/>
      <c r="V980" s="932"/>
      <c r="W980" s="932"/>
      <c r="X980" s="932"/>
      <c r="Y980" s="932"/>
      <c r="Z980" s="932"/>
      <c r="AA980" s="932"/>
      <c r="AB980" s="932"/>
      <c r="AC980" s="932"/>
      <c r="AD980" s="932"/>
      <c r="AE980" s="932"/>
      <c r="AF980" s="932"/>
      <c r="AG980" s="932"/>
      <c r="AH980" s="932"/>
      <c r="AI980" s="932"/>
      <c r="AJ980" s="932"/>
      <c r="AK980" s="932"/>
      <c r="AL980" s="932"/>
      <c r="AM980" s="932"/>
      <c r="AN980" s="932"/>
      <c r="AO980" s="932"/>
      <c r="AP980" s="932"/>
      <c r="AQ980" s="932"/>
      <c r="AR980" s="932"/>
      <c r="AS980" s="932"/>
      <c r="AT980" s="932"/>
      <c r="AU980" s="932"/>
      <c r="AV980" s="932"/>
      <c r="AW980" s="932"/>
      <c r="AX980" s="932"/>
      <c r="AY980" s="932"/>
      <c r="AZ980" s="932"/>
      <c r="BA980" s="932"/>
      <c r="BB980" s="932"/>
      <c r="BC980" s="932"/>
      <c r="BD980" s="932"/>
      <c r="BE980" s="932"/>
      <c r="BF980" s="932"/>
    </row>
    <row r="981" spans="2:58" ht="15" x14ac:dyDescent="0.25">
      <c r="B981" s="932"/>
      <c r="C981" s="932"/>
      <c r="D981" s="932"/>
      <c r="E981" s="932"/>
      <c r="F981" s="932"/>
      <c r="G981" s="932"/>
      <c r="H981" s="932"/>
      <c r="I981" s="932"/>
      <c r="J981" s="932"/>
      <c r="K981" s="932"/>
      <c r="L981" s="932"/>
      <c r="M981" s="932"/>
      <c r="N981" s="932"/>
      <c r="O981" s="932"/>
      <c r="P981" s="932"/>
      <c r="Q981" s="932"/>
      <c r="R981" s="932"/>
      <c r="S981" s="932"/>
      <c r="T981" s="932"/>
      <c r="U981" s="932"/>
      <c r="V981" s="932"/>
      <c r="W981" s="932"/>
      <c r="X981" s="932"/>
      <c r="Y981" s="932"/>
      <c r="Z981" s="932"/>
      <c r="AA981" s="932"/>
      <c r="AB981" s="932"/>
      <c r="AC981" s="932"/>
      <c r="AD981" s="932"/>
      <c r="AE981" s="932"/>
      <c r="AF981" s="932"/>
      <c r="AG981" s="932"/>
      <c r="AH981" s="932"/>
      <c r="AI981" s="932"/>
      <c r="AJ981" s="932"/>
      <c r="AK981" s="932"/>
      <c r="AL981" s="932"/>
      <c r="AM981" s="932"/>
      <c r="AN981" s="932"/>
      <c r="AO981" s="932"/>
      <c r="AP981" s="932"/>
      <c r="AQ981" s="932"/>
      <c r="AR981" s="932"/>
      <c r="AS981" s="932"/>
      <c r="AT981" s="932"/>
      <c r="AU981" s="932"/>
      <c r="AV981" s="932"/>
      <c r="AW981" s="932"/>
      <c r="AX981" s="932"/>
      <c r="AY981" s="932"/>
      <c r="AZ981" s="932"/>
      <c r="BA981" s="932"/>
      <c r="BB981" s="932"/>
      <c r="BC981" s="932"/>
      <c r="BD981" s="932"/>
      <c r="BE981" s="932"/>
      <c r="BF981" s="932"/>
    </row>
    <row r="982" spans="2:58" ht="15" x14ac:dyDescent="0.25">
      <c r="B982" s="932"/>
      <c r="C982" s="932"/>
      <c r="D982" s="932"/>
      <c r="E982" s="932"/>
      <c r="F982" s="932"/>
      <c r="G982" s="932"/>
      <c r="H982" s="932"/>
      <c r="I982" s="932"/>
      <c r="J982" s="932"/>
      <c r="K982" s="932"/>
      <c r="L982" s="932"/>
      <c r="M982" s="932"/>
      <c r="N982" s="932"/>
      <c r="O982" s="932"/>
      <c r="P982" s="932"/>
      <c r="Q982" s="932"/>
      <c r="R982" s="932"/>
      <c r="S982" s="932"/>
      <c r="T982" s="932"/>
      <c r="U982" s="932"/>
      <c r="V982" s="932"/>
      <c r="W982" s="932"/>
      <c r="X982" s="932"/>
      <c r="Y982" s="932"/>
      <c r="Z982" s="932"/>
      <c r="AA982" s="932"/>
      <c r="AB982" s="932"/>
      <c r="AC982" s="932"/>
      <c r="AD982" s="932"/>
      <c r="AE982" s="932"/>
      <c r="AF982" s="932"/>
      <c r="AG982" s="932"/>
      <c r="AH982" s="932"/>
      <c r="AI982" s="932"/>
      <c r="AJ982" s="932"/>
      <c r="AK982" s="932"/>
      <c r="AL982" s="932"/>
      <c r="AM982" s="932"/>
      <c r="AN982" s="932"/>
      <c r="AO982" s="932"/>
      <c r="AP982" s="932"/>
      <c r="AQ982" s="932"/>
      <c r="AR982" s="932"/>
      <c r="AS982" s="932"/>
      <c r="AT982" s="932"/>
      <c r="AU982" s="932"/>
      <c r="AV982" s="932"/>
      <c r="AW982" s="932"/>
      <c r="AX982" s="932"/>
      <c r="AY982" s="932"/>
      <c r="AZ982" s="932"/>
      <c r="BA982" s="932"/>
      <c r="BB982" s="932"/>
      <c r="BC982" s="932"/>
      <c r="BD982" s="932"/>
      <c r="BE982" s="932"/>
      <c r="BF982" s="932"/>
    </row>
    <row r="983" spans="2:58" ht="15" x14ac:dyDescent="0.25">
      <c r="B983" s="932"/>
      <c r="C983" s="932"/>
      <c r="D983" s="932"/>
      <c r="E983" s="932"/>
      <c r="F983" s="932"/>
      <c r="G983" s="932"/>
      <c r="H983" s="932"/>
      <c r="I983" s="932"/>
      <c r="J983" s="932"/>
      <c r="K983" s="932"/>
      <c r="L983" s="932"/>
      <c r="M983" s="932"/>
      <c r="N983" s="932"/>
      <c r="O983" s="932"/>
      <c r="P983" s="932"/>
      <c r="Q983" s="932"/>
      <c r="R983" s="932"/>
      <c r="S983" s="932"/>
      <c r="T983" s="932"/>
      <c r="U983" s="932"/>
      <c r="V983" s="932"/>
      <c r="W983" s="932"/>
      <c r="X983" s="932"/>
      <c r="Y983" s="932"/>
      <c r="Z983" s="932"/>
      <c r="AA983" s="932"/>
      <c r="AB983" s="932"/>
      <c r="AC983" s="932"/>
      <c r="AD983" s="932"/>
      <c r="AE983" s="932"/>
      <c r="AF983" s="932"/>
      <c r="AG983" s="932"/>
      <c r="AH983" s="932"/>
      <c r="AI983" s="932"/>
      <c r="AJ983" s="932"/>
      <c r="AK983" s="932"/>
      <c r="AL983" s="932"/>
      <c r="AM983" s="932"/>
      <c r="AN983" s="932"/>
      <c r="AO983" s="932"/>
      <c r="AP983" s="932"/>
      <c r="AQ983" s="932"/>
      <c r="AR983" s="932"/>
      <c r="AS983" s="932"/>
      <c r="AT983" s="932"/>
      <c r="AU983" s="932"/>
      <c r="AV983" s="932"/>
      <c r="AW983" s="932"/>
      <c r="AX983" s="932"/>
      <c r="AY983" s="932"/>
      <c r="AZ983" s="932"/>
      <c r="BA983" s="932"/>
      <c r="BB983" s="932"/>
      <c r="BC983" s="932"/>
      <c r="BD983" s="932"/>
      <c r="BE983" s="932"/>
      <c r="BF983" s="932"/>
    </row>
    <row r="984" spans="2:58" ht="15" x14ac:dyDescent="0.25">
      <c r="B984" s="932"/>
      <c r="C984" s="932"/>
      <c r="D984" s="932"/>
      <c r="E984" s="932"/>
      <c r="F984" s="932"/>
      <c r="G984" s="932"/>
      <c r="H984" s="932"/>
      <c r="I984" s="932"/>
      <c r="J984" s="932"/>
      <c r="K984" s="932"/>
      <c r="L984" s="932"/>
      <c r="M984" s="932"/>
      <c r="N984" s="932"/>
      <c r="O984" s="932"/>
      <c r="P984" s="932"/>
      <c r="Q984" s="932"/>
      <c r="R984" s="932"/>
      <c r="S984" s="932"/>
      <c r="T984" s="932"/>
      <c r="U984" s="932"/>
      <c r="V984" s="932"/>
      <c r="W984" s="932"/>
      <c r="X984" s="932"/>
      <c r="Y984" s="932"/>
      <c r="Z984" s="932"/>
      <c r="AA984" s="932"/>
      <c r="AB984" s="932"/>
      <c r="AC984" s="932"/>
      <c r="AD984" s="932"/>
      <c r="AE984" s="932"/>
      <c r="AF984" s="932"/>
      <c r="AG984" s="932"/>
      <c r="AH984" s="932"/>
      <c r="AI984" s="932"/>
      <c r="AJ984" s="932"/>
      <c r="AK984" s="932"/>
      <c r="AL984" s="932"/>
      <c r="AM984" s="932"/>
      <c r="AN984" s="932"/>
      <c r="AO984" s="932"/>
      <c r="AP984" s="932"/>
      <c r="AQ984" s="932"/>
      <c r="AR984" s="932"/>
      <c r="AS984" s="932"/>
      <c r="AT984" s="932"/>
      <c r="AU984" s="932"/>
      <c r="AV984" s="932"/>
      <c r="AW984" s="932"/>
      <c r="AX984" s="932"/>
      <c r="AY984" s="932"/>
      <c r="AZ984" s="932"/>
      <c r="BA984" s="932"/>
      <c r="BB984" s="932"/>
      <c r="BC984" s="932"/>
      <c r="BD984" s="932"/>
      <c r="BE984" s="932"/>
      <c r="BF984" s="932"/>
    </row>
    <row r="985" spans="2:58" ht="15" x14ac:dyDescent="0.25">
      <c r="B985" s="932"/>
      <c r="C985" s="932"/>
      <c r="D985" s="932"/>
      <c r="E985" s="932"/>
      <c r="F985" s="932"/>
      <c r="G985" s="932"/>
      <c r="H985" s="932"/>
      <c r="I985" s="932"/>
      <c r="J985" s="932"/>
      <c r="K985" s="932"/>
      <c r="L985" s="932"/>
      <c r="M985" s="932"/>
      <c r="N985" s="932"/>
      <c r="O985" s="932"/>
      <c r="P985" s="932"/>
      <c r="Q985" s="932"/>
      <c r="R985" s="932"/>
      <c r="S985" s="932"/>
      <c r="T985" s="932"/>
      <c r="U985" s="932"/>
      <c r="V985" s="932"/>
      <c r="W985" s="932"/>
      <c r="X985" s="932"/>
      <c r="Y985" s="932"/>
      <c r="Z985" s="932"/>
      <c r="AA985" s="932"/>
      <c r="AB985" s="932"/>
      <c r="AC985" s="932"/>
      <c r="AD985" s="932"/>
      <c r="AE985" s="932"/>
      <c r="AF985" s="932"/>
      <c r="AG985" s="932"/>
      <c r="AH985" s="932"/>
      <c r="AI985" s="932"/>
      <c r="AJ985" s="932"/>
      <c r="AK985" s="932"/>
      <c r="AL985" s="932"/>
      <c r="AM985" s="932"/>
      <c r="AN985" s="932"/>
      <c r="AO985" s="932"/>
      <c r="AP985" s="932"/>
      <c r="AQ985" s="932"/>
      <c r="AR985" s="932"/>
      <c r="AS985" s="932"/>
      <c r="AT985" s="932"/>
      <c r="AU985" s="932"/>
      <c r="AV985" s="932"/>
      <c r="AW985" s="932"/>
      <c r="AX985" s="932"/>
      <c r="AY985" s="932"/>
      <c r="AZ985" s="932"/>
      <c r="BA985" s="932"/>
      <c r="BB985" s="932"/>
      <c r="BC985" s="932"/>
      <c r="BD985" s="932"/>
      <c r="BE985" s="932"/>
      <c r="BF985" s="932"/>
    </row>
    <row r="986" spans="2:58" ht="15" x14ac:dyDescent="0.25">
      <c r="B986" s="932"/>
      <c r="C986" s="932"/>
      <c r="D986" s="932"/>
      <c r="E986" s="932"/>
      <c r="F986" s="932"/>
      <c r="G986" s="932"/>
      <c r="H986" s="932"/>
      <c r="I986" s="932"/>
      <c r="J986" s="932"/>
      <c r="K986" s="932"/>
      <c r="L986" s="932"/>
      <c r="M986" s="932"/>
      <c r="N986" s="932"/>
      <c r="O986" s="932"/>
      <c r="P986" s="932"/>
      <c r="Q986" s="932"/>
      <c r="R986" s="932"/>
      <c r="S986" s="932"/>
      <c r="T986" s="932"/>
      <c r="U986" s="932"/>
      <c r="V986" s="932"/>
      <c r="W986" s="932"/>
      <c r="X986" s="932"/>
      <c r="Y986" s="932"/>
      <c r="Z986" s="932"/>
      <c r="AA986" s="932"/>
      <c r="AB986" s="932"/>
      <c r="AC986" s="932"/>
      <c r="AD986" s="932"/>
      <c r="AE986" s="932"/>
      <c r="AF986" s="932"/>
      <c r="AG986" s="932"/>
      <c r="AH986" s="932"/>
      <c r="AI986" s="932"/>
      <c r="AJ986" s="932"/>
      <c r="AK986" s="932"/>
      <c r="AL986" s="932"/>
      <c r="AM986" s="932"/>
      <c r="AN986" s="932"/>
      <c r="AO986" s="932"/>
      <c r="AP986" s="932"/>
      <c r="AQ986" s="932"/>
      <c r="AR986" s="932"/>
      <c r="AS986" s="932"/>
      <c r="AT986" s="932"/>
      <c r="AU986" s="932"/>
      <c r="AV986" s="932"/>
      <c r="AW986" s="932"/>
      <c r="AX986" s="932"/>
      <c r="AY986" s="932"/>
      <c r="AZ986" s="932"/>
      <c r="BA986" s="932"/>
      <c r="BB986" s="932"/>
      <c r="BC986" s="932"/>
      <c r="BD986" s="932"/>
      <c r="BE986" s="932"/>
      <c r="BF986" s="932"/>
    </row>
    <row r="987" spans="2:58" ht="15" x14ac:dyDescent="0.25">
      <c r="B987" s="932"/>
      <c r="C987" s="932"/>
      <c r="D987" s="932"/>
      <c r="E987" s="932"/>
      <c r="F987" s="932"/>
      <c r="G987" s="932"/>
      <c r="H987" s="932"/>
      <c r="I987" s="932"/>
      <c r="J987" s="932"/>
      <c r="K987" s="932"/>
      <c r="L987" s="932"/>
      <c r="M987" s="932"/>
      <c r="N987" s="932"/>
      <c r="O987" s="932"/>
      <c r="P987" s="932"/>
      <c r="Q987" s="932"/>
      <c r="R987" s="932"/>
      <c r="S987" s="932"/>
      <c r="T987" s="932"/>
      <c r="U987" s="932"/>
      <c r="V987" s="932"/>
      <c r="W987" s="932"/>
      <c r="X987" s="932"/>
      <c r="Y987" s="932"/>
      <c r="Z987" s="932"/>
      <c r="AA987" s="932"/>
      <c r="AB987" s="932"/>
      <c r="AC987" s="932"/>
      <c r="AD987" s="932"/>
      <c r="AE987" s="932"/>
      <c r="AF987" s="932"/>
      <c r="AG987" s="932"/>
      <c r="AH987" s="932"/>
      <c r="AI987" s="932"/>
      <c r="AJ987" s="932"/>
      <c r="AK987" s="932"/>
      <c r="AL987" s="932"/>
      <c r="AM987" s="932"/>
      <c r="AN987" s="932"/>
      <c r="AO987" s="932"/>
      <c r="AP987" s="932"/>
      <c r="AQ987" s="932"/>
      <c r="AR987" s="932"/>
      <c r="AS987" s="932"/>
      <c r="AT987" s="932"/>
      <c r="AU987" s="932"/>
      <c r="AV987" s="932"/>
      <c r="AW987" s="932"/>
      <c r="AX987" s="932"/>
      <c r="AY987" s="932"/>
      <c r="AZ987" s="932"/>
      <c r="BA987" s="932"/>
      <c r="BB987" s="932"/>
      <c r="BC987" s="932"/>
      <c r="BD987" s="932"/>
      <c r="BE987" s="932"/>
      <c r="BF987" s="932"/>
    </row>
    <row r="988" spans="2:58" ht="15" x14ac:dyDescent="0.25">
      <c r="B988" s="932"/>
      <c r="C988" s="932"/>
      <c r="D988" s="932"/>
      <c r="E988" s="932"/>
      <c r="F988" s="932"/>
      <c r="G988" s="932"/>
      <c r="H988" s="932"/>
      <c r="I988" s="932"/>
      <c r="J988" s="932"/>
      <c r="K988" s="932"/>
      <c r="L988" s="932"/>
      <c r="M988" s="932"/>
      <c r="N988" s="932"/>
      <c r="O988" s="932"/>
      <c r="P988" s="932"/>
      <c r="Q988" s="932"/>
      <c r="R988" s="932"/>
      <c r="S988" s="932"/>
      <c r="T988" s="932"/>
      <c r="U988" s="932"/>
      <c r="V988" s="932"/>
      <c r="W988" s="932"/>
      <c r="X988" s="932"/>
      <c r="Y988" s="932"/>
      <c r="Z988" s="932"/>
      <c r="AA988" s="932"/>
      <c r="AB988" s="932"/>
      <c r="AC988" s="932"/>
      <c r="AD988" s="932"/>
      <c r="AE988" s="932"/>
      <c r="AF988" s="932"/>
      <c r="AG988" s="932"/>
      <c r="AH988" s="932"/>
      <c r="AI988" s="932"/>
      <c r="AJ988" s="932"/>
      <c r="AK988" s="932"/>
      <c r="AL988" s="932"/>
      <c r="AM988" s="932"/>
      <c r="AN988" s="932"/>
      <c r="AO988" s="932"/>
      <c r="AP988" s="932"/>
      <c r="AQ988" s="932"/>
      <c r="AR988" s="932"/>
      <c r="AS988" s="932"/>
      <c r="AT988" s="932"/>
      <c r="AU988" s="932"/>
      <c r="AV988" s="932"/>
      <c r="AW988" s="932"/>
      <c r="AX988" s="932"/>
      <c r="AY988" s="932"/>
      <c r="AZ988" s="932"/>
      <c r="BA988" s="932"/>
      <c r="BB988" s="932"/>
      <c r="BC988" s="932"/>
      <c r="BD988" s="932"/>
      <c r="BE988" s="932"/>
      <c r="BF988" s="932"/>
    </row>
    <row r="989" spans="2:58" ht="15" x14ac:dyDescent="0.25">
      <c r="B989" s="932"/>
      <c r="C989" s="932"/>
      <c r="D989" s="932"/>
      <c r="E989" s="932"/>
      <c r="F989" s="932"/>
      <c r="G989" s="932"/>
      <c r="H989" s="932"/>
      <c r="I989" s="932"/>
      <c r="J989" s="932"/>
      <c r="K989" s="932"/>
      <c r="L989" s="932"/>
      <c r="M989" s="932"/>
      <c r="N989" s="932"/>
      <c r="O989" s="932"/>
      <c r="P989" s="932"/>
      <c r="Q989" s="932"/>
      <c r="R989" s="932"/>
      <c r="S989" s="932"/>
      <c r="T989" s="932"/>
      <c r="U989" s="932"/>
      <c r="V989" s="932"/>
      <c r="W989" s="932"/>
      <c r="X989" s="932"/>
      <c r="Y989" s="932"/>
      <c r="Z989" s="932"/>
      <c r="AA989" s="932"/>
      <c r="AB989" s="932"/>
      <c r="AC989" s="932"/>
      <c r="AD989" s="932"/>
      <c r="AE989" s="932"/>
      <c r="AF989" s="932"/>
      <c r="AG989" s="932"/>
      <c r="AH989" s="932"/>
      <c r="AI989" s="932"/>
      <c r="AJ989" s="932"/>
      <c r="AK989" s="932"/>
      <c r="AL989" s="932"/>
      <c r="AM989" s="932"/>
      <c r="AN989" s="932"/>
      <c r="AO989" s="932"/>
      <c r="AP989" s="932"/>
      <c r="AQ989" s="932"/>
      <c r="AR989" s="932"/>
      <c r="AS989" s="932"/>
      <c r="AT989" s="932"/>
      <c r="AU989" s="932"/>
      <c r="AV989" s="932"/>
      <c r="AW989" s="932"/>
      <c r="AX989" s="932"/>
      <c r="AY989" s="932"/>
      <c r="AZ989" s="932"/>
      <c r="BA989" s="932"/>
      <c r="BB989" s="932"/>
      <c r="BC989" s="932"/>
      <c r="BD989" s="932"/>
      <c r="BE989" s="932"/>
      <c r="BF989" s="932"/>
    </row>
    <row r="990" spans="2:58" ht="15" x14ac:dyDescent="0.25">
      <c r="B990" s="932"/>
      <c r="C990" s="932"/>
      <c r="D990" s="932"/>
      <c r="E990" s="932"/>
      <c r="F990" s="932"/>
      <c r="G990" s="932"/>
      <c r="H990" s="932"/>
      <c r="I990" s="932"/>
      <c r="J990" s="932"/>
      <c r="K990" s="932"/>
      <c r="L990" s="932"/>
      <c r="M990" s="932"/>
      <c r="N990" s="932"/>
      <c r="O990" s="932"/>
      <c r="P990" s="932"/>
      <c r="Q990" s="932"/>
      <c r="R990" s="932"/>
      <c r="S990" s="932"/>
      <c r="T990" s="932"/>
      <c r="U990" s="932"/>
      <c r="V990" s="932"/>
      <c r="W990" s="932"/>
      <c r="X990" s="932"/>
      <c r="Y990" s="932"/>
      <c r="Z990" s="932"/>
      <c r="AA990" s="932"/>
      <c r="AB990" s="932"/>
      <c r="AC990" s="932"/>
      <c r="AD990" s="932"/>
      <c r="AE990" s="932"/>
      <c r="AF990" s="932"/>
      <c r="AG990" s="932"/>
      <c r="AH990" s="932"/>
      <c r="AI990" s="932"/>
      <c r="AJ990" s="932"/>
      <c r="AK990" s="932"/>
      <c r="AL990" s="932"/>
      <c r="AM990" s="932"/>
      <c r="AN990" s="932"/>
      <c r="AO990" s="932"/>
      <c r="AP990" s="932"/>
      <c r="AQ990" s="932"/>
      <c r="AR990" s="932"/>
      <c r="AS990" s="932"/>
      <c r="AT990" s="932"/>
      <c r="AU990" s="932"/>
      <c r="AV990" s="932"/>
      <c r="AW990" s="932"/>
      <c r="AX990" s="932"/>
      <c r="AY990" s="932"/>
      <c r="AZ990" s="932"/>
      <c r="BA990" s="932"/>
      <c r="BB990" s="932"/>
      <c r="BC990" s="932"/>
      <c r="BD990" s="932"/>
      <c r="BE990" s="932"/>
      <c r="BF990" s="932"/>
    </row>
    <row r="991" spans="2:58" ht="15" x14ac:dyDescent="0.25">
      <c r="B991" s="932"/>
      <c r="C991" s="932"/>
      <c r="D991" s="932"/>
      <c r="E991" s="932"/>
      <c r="F991" s="932"/>
      <c r="G991" s="932"/>
      <c r="H991" s="932"/>
      <c r="I991" s="932"/>
      <c r="J991" s="932"/>
      <c r="K991" s="932"/>
      <c r="L991" s="932"/>
      <c r="M991" s="932"/>
      <c r="N991" s="932"/>
      <c r="O991" s="932"/>
      <c r="P991" s="932"/>
      <c r="Q991" s="932"/>
      <c r="R991" s="932"/>
      <c r="S991" s="932"/>
      <c r="T991" s="932"/>
      <c r="U991" s="932"/>
      <c r="V991" s="932"/>
      <c r="W991" s="932"/>
      <c r="X991" s="932"/>
      <c r="Y991" s="932"/>
      <c r="Z991" s="932"/>
      <c r="AA991" s="932"/>
      <c r="AB991" s="932"/>
      <c r="AC991" s="932"/>
      <c r="AD991" s="932"/>
      <c r="AE991" s="932"/>
      <c r="AF991" s="932"/>
      <c r="AG991" s="932"/>
      <c r="AH991" s="932"/>
      <c r="AI991" s="932"/>
      <c r="AJ991" s="932"/>
      <c r="AK991" s="932"/>
      <c r="AL991" s="932"/>
      <c r="AM991" s="932"/>
      <c r="AN991" s="932"/>
      <c r="AO991" s="932"/>
      <c r="AP991" s="932"/>
      <c r="AQ991" s="932"/>
      <c r="AR991" s="932"/>
      <c r="AS991" s="932"/>
      <c r="AT991" s="932"/>
      <c r="AU991" s="932"/>
      <c r="AV991" s="932"/>
      <c r="AW991" s="932"/>
      <c r="AX991" s="932"/>
      <c r="AY991" s="932"/>
      <c r="AZ991" s="932"/>
      <c r="BA991" s="932"/>
      <c r="BB991" s="932"/>
      <c r="BC991" s="932"/>
      <c r="BD991" s="932"/>
      <c r="BE991" s="932"/>
      <c r="BF991" s="932"/>
    </row>
    <row r="992" spans="2:58" ht="15" x14ac:dyDescent="0.25">
      <c r="B992" s="932"/>
      <c r="C992" s="932"/>
      <c r="D992" s="932"/>
      <c r="E992" s="932"/>
      <c r="F992" s="932"/>
      <c r="G992" s="932"/>
      <c r="H992" s="932"/>
      <c r="I992" s="932"/>
      <c r="J992" s="932"/>
      <c r="K992" s="932"/>
      <c r="L992" s="932"/>
      <c r="M992" s="932"/>
      <c r="N992" s="932"/>
      <c r="O992" s="932"/>
      <c r="P992" s="932"/>
      <c r="Q992" s="932"/>
      <c r="R992" s="932"/>
      <c r="S992" s="932"/>
      <c r="T992" s="932"/>
      <c r="U992" s="932"/>
      <c r="V992" s="932"/>
      <c r="W992" s="932"/>
      <c r="X992" s="932"/>
      <c r="Y992" s="932"/>
      <c r="Z992" s="932"/>
      <c r="AA992" s="932"/>
      <c r="AB992" s="932"/>
      <c r="AC992" s="932"/>
      <c r="AD992" s="932"/>
      <c r="AE992" s="932"/>
      <c r="AF992" s="932"/>
      <c r="AG992" s="932"/>
      <c r="AH992" s="932"/>
      <c r="AI992" s="932"/>
      <c r="AJ992" s="932"/>
      <c r="AK992" s="932"/>
      <c r="AL992" s="932"/>
      <c r="AM992" s="932"/>
      <c r="AN992" s="932"/>
      <c r="AO992" s="932"/>
      <c r="AP992" s="932"/>
      <c r="AQ992" s="932"/>
      <c r="AR992" s="932"/>
      <c r="AS992" s="932"/>
      <c r="AT992" s="932"/>
      <c r="AU992" s="932"/>
      <c r="AV992" s="932"/>
      <c r="AW992" s="932"/>
      <c r="AX992" s="932"/>
      <c r="AY992" s="932"/>
      <c r="AZ992" s="932"/>
      <c r="BA992" s="932"/>
      <c r="BB992" s="932"/>
      <c r="BC992" s="932"/>
      <c r="BD992" s="932"/>
      <c r="BE992" s="932"/>
      <c r="BF992" s="932"/>
    </row>
    <row r="993" spans="2:58" ht="15" x14ac:dyDescent="0.25">
      <c r="B993" s="932"/>
      <c r="C993" s="932"/>
      <c r="D993" s="932"/>
      <c r="E993" s="932"/>
      <c r="F993" s="932"/>
      <c r="G993" s="932"/>
      <c r="H993" s="932"/>
      <c r="I993" s="932"/>
      <c r="J993" s="932"/>
      <c r="K993" s="932"/>
      <c r="L993" s="932"/>
      <c r="M993" s="932"/>
      <c r="N993" s="932"/>
      <c r="O993" s="932"/>
      <c r="P993" s="932"/>
      <c r="Q993" s="932"/>
      <c r="R993" s="932"/>
      <c r="S993" s="932"/>
      <c r="T993" s="932"/>
      <c r="U993" s="932"/>
      <c r="V993" s="932"/>
      <c r="W993" s="932"/>
      <c r="X993" s="932"/>
      <c r="Y993" s="932"/>
      <c r="Z993" s="932"/>
      <c r="AA993" s="932"/>
      <c r="AB993" s="932"/>
      <c r="AC993" s="932"/>
      <c r="AD993" s="932"/>
      <c r="AE993" s="932"/>
      <c r="AF993" s="932"/>
      <c r="AG993" s="932"/>
      <c r="AH993" s="932"/>
      <c r="AI993" s="932"/>
      <c r="AJ993" s="932"/>
      <c r="AK993" s="932"/>
      <c r="AL993" s="932"/>
      <c r="AM993" s="932"/>
      <c r="AN993" s="932"/>
      <c r="AO993" s="932"/>
      <c r="AP993" s="932"/>
      <c r="AQ993" s="932"/>
      <c r="AR993" s="932"/>
      <c r="AS993" s="932"/>
      <c r="AT993" s="932"/>
      <c r="AU993" s="932"/>
      <c r="AV993" s="932"/>
      <c r="AW993" s="932"/>
      <c r="AX993" s="932"/>
      <c r="AY993" s="932"/>
      <c r="AZ993" s="932"/>
      <c r="BA993" s="932"/>
      <c r="BB993" s="932"/>
      <c r="BC993" s="932"/>
      <c r="BD993" s="932"/>
      <c r="BE993" s="932"/>
      <c r="BF993" s="932"/>
    </row>
    <row r="994" spans="2:58" ht="15" x14ac:dyDescent="0.25">
      <c r="B994" s="932"/>
      <c r="C994" s="932"/>
      <c r="D994" s="932"/>
      <c r="E994" s="932"/>
      <c r="F994" s="932"/>
      <c r="G994" s="932"/>
      <c r="H994" s="932"/>
      <c r="I994" s="932"/>
      <c r="J994" s="932"/>
      <c r="K994" s="932"/>
      <c r="L994" s="932"/>
      <c r="M994" s="932"/>
      <c r="N994" s="932"/>
      <c r="O994" s="932"/>
      <c r="P994" s="932"/>
      <c r="Q994" s="932"/>
      <c r="R994" s="932"/>
      <c r="S994" s="932"/>
      <c r="T994" s="932"/>
      <c r="U994" s="932"/>
      <c r="V994" s="932"/>
      <c r="W994" s="932"/>
      <c r="X994" s="932"/>
      <c r="Y994" s="932"/>
      <c r="Z994" s="932"/>
      <c r="AA994" s="932"/>
      <c r="AB994" s="932"/>
      <c r="AC994" s="932"/>
      <c r="AD994" s="932"/>
      <c r="AE994" s="932"/>
      <c r="AF994" s="932"/>
      <c r="AG994" s="932"/>
      <c r="AH994" s="932"/>
      <c r="AI994" s="932"/>
      <c r="AJ994" s="932"/>
      <c r="AK994" s="932"/>
      <c r="AL994" s="932"/>
      <c r="AM994" s="932"/>
      <c r="AN994" s="932"/>
      <c r="AO994" s="932"/>
      <c r="AP994" s="932"/>
      <c r="AQ994" s="932"/>
      <c r="AR994" s="932"/>
      <c r="AS994" s="932"/>
      <c r="AT994" s="932"/>
      <c r="AU994" s="932"/>
      <c r="AV994" s="932"/>
      <c r="AW994" s="932"/>
      <c r="AX994" s="932"/>
      <c r="AY994" s="932"/>
      <c r="AZ994" s="932"/>
      <c r="BA994" s="932"/>
      <c r="BB994" s="932"/>
      <c r="BC994" s="932"/>
      <c r="BD994" s="932"/>
      <c r="BE994" s="932"/>
      <c r="BF994" s="932"/>
    </row>
    <row r="995" spans="2:58" ht="15" x14ac:dyDescent="0.25">
      <c r="B995" s="932"/>
      <c r="C995" s="932"/>
      <c r="D995" s="932"/>
      <c r="E995" s="932"/>
      <c r="F995" s="932"/>
      <c r="G995" s="932"/>
      <c r="H995" s="932"/>
      <c r="I995" s="932"/>
      <c r="J995" s="932"/>
      <c r="K995" s="932"/>
      <c r="L995" s="932"/>
      <c r="M995" s="932"/>
      <c r="N995" s="932"/>
      <c r="O995" s="932"/>
      <c r="P995" s="932"/>
      <c r="Q995" s="932"/>
      <c r="R995" s="932"/>
      <c r="S995" s="932"/>
      <c r="T995" s="932"/>
      <c r="U995" s="932"/>
      <c r="V995" s="932"/>
      <c r="W995" s="932"/>
      <c r="X995" s="932"/>
      <c r="Y995" s="932"/>
      <c r="Z995" s="932"/>
      <c r="AA995" s="932"/>
      <c r="AB995" s="932"/>
      <c r="AC995" s="932"/>
      <c r="AD995" s="932"/>
      <c r="AE995" s="932"/>
      <c r="AF995" s="932"/>
      <c r="AG995" s="932"/>
      <c r="AH995" s="932"/>
      <c r="AI995" s="932"/>
      <c r="AJ995" s="932"/>
      <c r="AK995" s="932"/>
      <c r="AL995" s="932"/>
      <c r="AM995" s="932"/>
      <c r="AN995" s="932"/>
      <c r="AO995" s="932"/>
      <c r="AP995" s="932"/>
      <c r="AQ995" s="932"/>
      <c r="AR995" s="932"/>
      <c r="AS995" s="932"/>
      <c r="AT995" s="932"/>
      <c r="AU995" s="932"/>
      <c r="AV995" s="932"/>
      <c r="AW995" s="932"/>
      <c r="AX995" s="932"/>
      <c r="AY995" s="932"/>
      <c r="AZ995" s="932"/>
      <c r="BA995" s="932"/>
      <c r="BB995" s="932"/>
      <c r="BC995" s="932"/>
      <c r="BD995" s="932"/>
      <c r="BE995" s="932"/>
      <c r="BF995" s="932"/>
    </row>
    <row r="996" spans="2:58" ht="15" x14ac:dyDescent="0.25">
      <c r="B996" s="932"/>
      <c r="C996" s="932"/>
      <c r="D996" s="932"/>
      <c r="E996" s="932"/>
      <c r="F996" s="932"/>
      <c r="G996" s="932"/>
      <c r="H996" s="932"/>
      <c r="I996" s="932"/>
      <c r="J996" s="932"/>
      <c r="K996" s="932"/>
      <c r="L996" s="932"/>
      <c r="M996" s="932"/>
      <c r="N996" s="932"/>
      <c r="O996" s="932"/>
      <c r="P996" s="932"/>
      <c r="Q996" s="932"/>
      <c r="R996" s="932"/>
      <c r="S996" s="932"/>
      <c r="T996" s="932"/>
      <c r="U996" s="932"/>
      <c r="V996" s="932"/>
      <c r="W996" s="932"/>
      <c r="X996" s="932"/>
      <c r="Y996" s="932"/>
      <c r="Z996" s="932"/>
      <c r="AA996" s="932"/>
      <c r="AB996" s="932"/>
      <c r="AC996" s="932"/>
      <c r="AD996" s="932"/>
      <c r="AE996" s="932"/>
      <c r="AF996" s="932"/>
      <c r="AG996" s="932"/>
      <c r="AH996" s="932"/>
      <c r="AI996" s="932"/>
      <c r="AJ996" s="932"/>
      <c r="AK996" s="932"/>
      <c r="AL996" s="932"/>
      <c r="AM996" s="932"/>
      <c r="AN996" s="932"/>
      <c r="AO996" s="932"/>
      <c r="AP996" s="932"/>
      <c r="AQ996" s="932"/>
      <c r="AR996" s="932"/>
      <c r="AS996" s="932"/>
      <c r="AT996" s="932"/>
      <c r="AU996" s="932"/>
      <c r="AV996" s="932"/>
      <c r="AW996" s="932"/>
      <c r="AX996" s="932"/>
      <c r="AY996" s="932"/>
      <c r="AZ996" s="932"/>
      <c r="BA996" s="932"/>
      <c r="BB996" s="932"/>
      <c r="BC996" s="932"/>
      <c r="BD996" s="932"/>
      <c r="BE996" s="932"/>
      <c r="BF996" s="932"/>
    </row>
    <row r="997" spans="2:58" ht="15" x14ac:dyDescent="0.25">
      <c r="B997" s="932"/>
      <c r="C997" s="932"/>
      <c r="D997" s="932"/>
      <c r="E997" s="932"/>
      <c r="F997" s="932"/>
      <c r="G997" s="932"/>
      <c r="H997" s="932"/>
      <c r="I997" s="932"/>
      <c r="J997" s="932"/>
      <c r="K997" s="932"/>
      <c r="L997" s="932"/>
      <c r="M997" s="932"/>
      <c r="N997" s="932"/>
      <c r="O997" s="932"/>
      <c r="P997" s="932"/>
      <c r="Q997" s="932"/>
      <c r="R997" s="932"/>
      <c r="S997" s="932"/>
      <c r="T997" s="932"/>
      <c r="U997" s="932"/>
      <c r="V997" s="932"/>
      <c r="W997" s="932"/>
      <c r="X997" s="932"/>
      <c r="Y997" s="932"/>
      <c r="Z997" s="932"/>
      <c r="AA997" s="932"/>
      <c r="AB997" s="932"/>
      <c r="AC997" s="932"/>
      <c r="AD997" s="932"/>
      <c r="AE997" s="932"/>
      <c r="AF997" s="932"/>
      <c r="AG997" s="932"/>
      <c r="AH997" s="932"/>
      <c r="AI997" s="932"/>
      <c r="AJ997" s="932"/>
      <c r="AK997" s="932"/>
      <c r="AL997" s="932"/>
      <c r="AM997" s="932"/>
      <c r="AN997" s="932"/>
      <c r="AO997" s="932"/>
      <c r="AP997" s="932"/>
      <c r="AQ997" s="932"/>
      <c r="AR997" s="932"/>
      <c r="AS997" s="932"/>
      <c r="AT997" s="932"/>
      <c r="AU997" s="932"/>
      <c r="AV997" s="932"/>
      <c r="AW997" s="932"/>
      <c r="AX997" s="932"/>
      <c r="AY997" s="932"/>
      <c r="AZ997" s="932"/>
      <c r="BA997" s="932"/>
      <c r="BB997" s="932"/>
      <c r="BC997" s="932"/>
      <c r="BD997" s="932"/>
      <c r="BE997" s="932"/>
      <c r="BF997" s="932"/>
    </row>
    <row r="998" spans="2:58" ht="15" x14ac:dyDescent="0.25">
      <c r="B998" s="932"/>
      <c r="C998" s="932"/>
      <c r="D998" s="932"/>
      <c r="E998" s="932"/>
      <c r="F998" s="932"/>
      <c r="G998" s="932"/>
      <c r="H998" s="932"/>
      <c r="I998" s="932"/>
      <c r="J998" s="932"/>
      <c r="K998" s="932"/>
      <c r="L998" s="932"/>
      <c r="M998" s="932"/>
      <c r="N998" s="932"/>
      <c r="O998" s="932"/>
      <c r="P998" s="932"/>
      <c r="Q998" s="932"/>
      <c r="R998" s="932"/>
      <c r="S998" s="932"/>
      <c r="T998" s="932"/>
      <c r="U998" s="932"/>
      <c r="V998" s="932"/>
      <c r="W998" s="932"/>
      <c r="X998" s="932"/>
      <c r="Y998" s="932"/>
      <c r="Z998" s="932"/>
      <c r="AA998" s="932"/>
      <c r="AB998" s="932"/>
      <c r="AC998" s="932"/>
      <c r="AD998" s="932"/>
      <c r="AE998" s="932"/>
      <c r="AF998" s="932"/>
      <c r="AG998" s="932"/>
      <c r="AH998" s="932"/>
      <c r="AI998" s="932"/>
      <c r="AJ998" s="932"/>
      <c r="AK998" s="932"/>
      <c r="AL998" s="932"/>
      <c r="AM998" s="932"/>
      <c r="AN998" s="932"/>
      <c r="AO998" s="932"/>
      <c r="AP998" s="932"/>
      <c r="AQ998" s="932"/>
      <c r="AR998" s="932"/>
      <c r="AS998" s="932"/>
      <c r="AT998" s="932"/>
      <c r="AU998" s="932"/>
      <c r="AV998" s="932"/>
      <c r="AW998" s="932"/>
      <c r="AX998" s="932"/>
      <c r="AY998" s="932"/>
      <c r="AZ998" s="932"/>
      <c r="BA998" s="932"/>
      <c r="BB998" s="932"/>
      <c r="BC998" s="932"/>
      <c r="BD998" s="932"/>
      <c r="BE998" s="932"/>
      <c r="BF998" s="932"/>
    </row>
    <row r="999" spans="2:58" ht="15" x14ac:dyDescent="0.25">
      <c r="B999" s="932"/>
      <c r="C999" s="932"/>
      <c r="D999" s="932"/>
      <c r="E999" s="932"/>
      <c r="F999" s="932"/>
      <c r="G999" s="932"/>
      <c r="H999" s="932"/>
      <c r="I999" s="932"/>
      <c r="J999" s="932"/>
      <c r="K999" s="932"/>
      <c r="L999" s="932"/>
      <c r="M999" s="932"/>
      <c r="N999" s="932"/>
      <c r="O999" s="932"/>
      <c r="P999" s="932"/>
      <c r="Q999" s="932"/>
      <c r="R999" s="932"/>
      <c r="S999" s="932"/>
      <c r="T999" s="932"/>
      <c r="U999" s="932"/>
      <c r="V999" s="932"/>
      <c r="W999" s="932"/>
      <c r="X999" s="932"/>
      <c r="Y999" s="932"/>
      <c r="Z999" s="932"/>
      <c r="AA999" s="932"/>
      <c r="AB999" s="932"/>
      <c r="AC999" s="932"/>
      <c r="AD999" s="932"/>
      <c r="AE999" s="932"/>
      <c r="AF999" s="932"/>
      <c r="AG999" s="932"/>
      <c r="AH999" s="932"/>
      <c r="AI999" s="932"/>
      <c r="AJ999" s="932"/>
      <c r="AK999" s="932"/>
      <c r="AL999" s="932"/>
      <c r="AM999" s="932"/>
      <c r="AN999" s="932"/>
      <c r="AO999" s="932"/>
      <c r="AP999" s="932"/>
      <c r="AQ999" s="932"/>
      <c r="AR999" s="932"/>
      <c r="AS999" s="932"/>
      <c r="AT999" s="932"/>
      <c r="AU999" s="932"/>
      <c r="AV999" s="932"/>
      <c r="AW999" s="932"/>
      <c r="AX999" s="932"/>
      <c r="AY999" s="932"/>
      <c r="AZ999" s="932"/>
      <c r="BA999" s="932"/>
      <c r="BB999" s="932"/>
      <c r="BC999" s="932"/>
      <c r="BD999" s="932"/>
      <c r="BE999" s="932"/>
      <c r="BF999" s="932"/>
    </row>
    <row r="1000" spans="2:58" ht="15" x14ac:dyDescent="0.25">
      <c r="B1000" s="932"/>
      <c r="C1000" s="932"/>
      <c r="D1000" s="932"/>
      <c r="E1000" s="932"/>
      <c r="F1000" s="932"/>
      <c r="G1000" s="932"/>
      <c r="H1000" s="932"/>
      <c r="I1000" s="932"/>
      <c r="J1000" s="932"/>
      <c r="K1000" s="932"/>
      <c r="L1000" s="932"/>
      <c r="M1000" s="932"/>
      <c r="N1000" s="932"/>
      <c r="O1000" s="932"/>
      <c r="P1000" s="932"/>
      <c r="Q1000" s="932"/>
      <c r="R1000" s="932"/>
      <c r="S1000" s="932"/>
      <c r="T1000" s="932"/>
      <c r="U1000" s="932"/>
      <c r="V1000" s="932"/>
      <c r="W1000" s="932"/>
      <c r="X1000" s="932"/>
      <c r="Y1000" s="932"/>
      <c r="Z1000" s="932"/>
      <c r="AA1000" s="932"/>
      <c r="AB1000" s="932"/>
      <c r="AC1000" s="932"/>
      <c r="AD1000" s="932"/>
      <c r="AE1000" s="932"/>
      <c r="AF1000" s="932"/>
      <c r="AG1000" s="932"/>
      <c r="AH1000" s="932"/>
      <c r="AI1000" s="932"/>
      <c r="AJ1000" s="932"/>
      <c r="AK1000" s="932"/>
      <c r="AL1000" s="932"/>
      <c r="AM1000" s="932"/>
      <c r="AN1000" s="932"/>
      <c r="AO1000" s="932"/>
      <c r="AP1000" s="932"/>
      <c r="AQ1000" s="932"/>
      <c r="AR1000" s="932"/>
      <c r="AS1000" s="932"/>
      <c r="AT1000" s="932"/>
      <c r="AU1000" s="932"/>
      <c r="AV1000" s="932"/>
      <c r="AW1000" s="932"/>
      <c r="AX1000" s="932"/>
      <c r="AY1000" s="932"/>
      <c r="AZ1000" s="932"/>
      <c r="BA1000" s="932"/>
      <c r="BB1000" s="932"/>
      <c r="BC1000" s="932"/>
      <c r="BD1000" s="932"/>
      <c r="BE1000" s="932"/>
      <c r="BF1000" s="932"/>
    </row>
    <row r="1001" spans="2:58" ht="15" x14ac:dyDescent="0.25">
      <c r="B1001" s="932"/>
      <c r="C1001" s="932"/>
      <c r="D1001" s="932"/>
      <c r="E1001" s="932"/>
      <c r="F1001" s="932"/>
      <c r="G1001" s="932"/>
      <c r="H1001" s="932"/>
      <c r="I1001" s="932"/>
      <c r="J1001" s="932"/>
      <c r="K1001" s="932"/>
      <c r="L1001" s="932"/>
      <c r="M1001" s="932"/>
      <c r="N1001" s="932"/>
      <c r="O1001" s="932"/>
      <c r="P1001" s="932"/>
      <c r="Q1001" s="932"/>
      <c r="R1001" s="932"/>
      <c r="S1001" s="932"/>
      <c r="T1001" s="932"/>
      <c r="U1001" s="932"/>
      <c r="V1001" s="932"/>
      <c r="W1001" s="932"/>
      <c r="X1001" s="932"/>
      <c r="Y1001" s="932"/>
      <c r="Z1001" s="932"/>
      <c r="AA1001" s="932"/>
      <c r="AB1001" s="932"/>
      <c r="AC1001" s="932"/>
      <c r="AD1001" s="932"/>
      <c r="AE1001" s="932"/>
      <c r="AF1001" s="932"/>
      <c r="AG1001" s="932"/>
      <c r="AH1001" s="932"/>
      <c r="AI1001" s="932"/>
      <c r="AJ1001" s="932"/>
      <c r="AK1001" s="932"/>
      <c r="AL1001" s="932"/>
      <c r="AM1001" s="932"/>
      <c r="AN1001" s="932"/>
      <c r="AO1001" s="932"/>
      <c r="AP1001" s="932"/>
      <c r="AQ1001" s="932"/>
      <c r="AR1001" s="932"/>
      <c r="AS1001" s="932"/>
      <c r="AT1001" s="932"/>
      <c r="AU1001" s="932"/>
      <c r="AV1001" s="932"/>
      <c r="AW1001" s="932"/>
      <c r="AX1001" s="932"/>
      <c r="AY1001" s="932"/>
      <c r="AZ1001" s="932"/>
      <c r="BA1001" s="932"/>
      <c r="BB1001" s="932"/>
      <c r="BC1001" s="932"/>
      <c r="BD1001" s="932"/>
      <c r="BE1001" s="932"/>
      <c r="BF1001" s="932"/>
    </row>
    <row r="1002" spans="2:58" ht="15" x14ac:dyDescent="0.25">
      <c r="B1002" s="932"/>
      <c r="C1002" s="932"/>
      <c r="D1002" s="932"/>
      <c r="E1002" s="932"/>
      <c r="F1002" s="932"/>
      <c r="G1002" s="932"/>
      <c r="H1002" s="932"/>
      <c r="I1002" s="932"/>
      <c r="J1002" s="932"/>
      <c r="K1002" s="932"/>
      <c r="L1002" s="932"/>
      <c r="M1002" s="932"/>
      <c r="N1002" s="932"/>
      <c r="O1002" s="932"/>
      <c r="P1002" s="932"/>
      <c r="Q1002" s="932"/>
      <c r="R1002" s="932"/>
      <c r="S1002" s="932"/>
      <c r="T1002" s="932"/>
      <c r="U1002" s="932"/>
      <c r="V1002" s="932"/>
      <c r="W1002" s="932"/>
      <c r="X1002" s="932"/>
      <c r="Y1002" s="932"/>
      <c r="Z1002" s="932"/>
      <c r="AA1002" s="932"/>
      <c r="AB1002" s="932"/>
      <c r="AC1002" s="932"/>
      <c r="AD1002" s="932"/>
      <c r="AE1002" s="932"/>
      <c r="AF1002" s="932"/>
      <c r="AG1002" s="932"/>
      <c r="AH1002" s="932"/>
      <c r="AI1002" s="932"/>
      <c r="AJ1002" s="932"/>
      <c r="AK1002" s="932"/>
      <c r="AL1002" s="932"/>
      <c r="AM1002" s="932"/>
      <c r="AN1002" s="932"/>
      <c r="AO1002" s="932"/>
      <c r="AP1002" s="932"/>
      <c r="AQ1002" s="932"/>
      <c r="AR1002" s="932"/>
      <c r="AS1002" s="932"/>
      <c r="AT1002" s="932"/>
      <c r="AU1002" s="932"/>
      <c r="AV1002" s="932"/>
      <c r="AW1002" s="932"/>
      <c r="AX1002" s="932"/>
      <c r="AY1002" s="932"/>
      <c r="AZ1002" s="932"/>
      <c r="BA1002" s="932"/>
      <c r="BB1002" s="932"/>
      <c r="BC1002" s="932"/>
      <c r="BD1002" s="932"/>
      <c r="BE1002" s="932"/>
      <c r="BF1002" s="932"/>
    </row>
    <row r="1003" spans="2:58" ht="15" x14ac:dyDescent="0.25">
      <c r="B1003" s="932"/>
      <c r="C1003" s="932"/>
      <c r="D1003" s="932"/>
      <c r="E1003" s="932"/>
      <c r="F1003" s="932"/>
      <c r="G1003" s="932"/>
      <c r="H1003" s="932"/>
      <c r="I1003" s="932"/>
      <c r="J1003" s="932"/>
      <c r="K1003" s="932"/>
      <c r="L1003" s="932"/>
      <c r="M1003" s="932"/>
      <c r="N1003" s="932"/>
      <c r="O1003" s="932"/>
      <c r="P1003" s="932"/>
      <c r="Q1003" s="932"/>
      <c r="R1003" s="932"/>
      <c r="S1003" s="932"/>
      <c r="T1003" s="932"/>
      <c r="U1003" s="932"/>
      <c r="V1003" s="932"/>
      <c r="W1003" s="932"/>
      <c r="X1003" s="932"/>
      <c r="Y1003" s="932"/>
      <c r="Z1003" s="932"/>
      <c r="AA1003" s="932"/>
      <c r="AB1003" s="932"/>
      <c r="AC1003" s="932"/>
      <c r="AD1003" s="932"/>
      <c r="AE1003" s="932"/>
      <c r="AF1003" s="932"/>
      <c r="AG1003" s="932"/>
      <c r="AH1003" s="932"/>
      <c r="AI1003" s="932"/>
      <c r="AJ1003" s="932"/>
      <c r="AK1003" s="932"/>
      <c r="AL1003" s="932"/>
      <c r="AM1003" s="932"/>
      <c r="AN1003" s="932"/>
      <c r="AO1003" s="932"/>
      <c r="AP1003" s="932"/>
      <c r="AQ1003" s="932"/>
      <c r="AR1003" s="932"/>
      <c r="AS1003" s="932"/>
      <c r="AT1003" s="932"/>
      <c r="AU1003" s="932"/>
      <c r="AV1003" s="932"/>
      <c r="AW1003" s="932"/>
      <c r="AX1003" s="932"/>
      <c r="AY1003" s="932"/>
      <c r="AZ1003" s="932"/>
      <c r="BA1003" s="932"/>
      <c r="BB1003" s="932"/>
      <c r="BC1003" s="932"/>
      <c r="BD1003" s="932"/>
      <c r="BE1003" s="932"/>
      <c r="BF1003" s="932"/>
    </row>
    <row r="1004" spans="2:58" ht="15" x14ac:dyDescent="0.25">
      <c r="B1004" s="932"/>
      <c r="C1004" s="932"/>
      <c r="D1004" s="932"/>
      <c r="E1004" s="932"/>
      <c r="F1004" s="932"/>
      <c r="G1004" s="932"/>
      <c r="H1004" s="932"/>
      <c r="I1004" s="932"/>
      <c r="J1004" s="932"/>
      <c r="K1004" s="932"/>
      <c r="L1004" s="932"/>
      <c r="M1004" s="932"/>
      <c r="N1004" s="932"/>
      <c r="O1004" s="932"/>
      <c r="P1004" s="932"/>
      <c r="Q1004" s="932"/>
      <c r="R1004" s="932"/>
      <c r="S1004" s="932"/>
      <c r="T1004" s="932"/>
      <c r="U1004" s="932"/>
      <c r="V1004" s="932"/>
      <c r="W1004" s="932"/>
      <c r="X1004" s="932"/>
      <c r="Y1004" s="932"/>
      <c r="Z1004" s="932"/>
      <c r="AA1004" s="932"/>
      <c r="AB1004" s="932"/>
      <c r="AC1004" s="932"/>
      <c r="AD1004" s="932"/>
      <c r="AE1004" s="932"/>
      <c r="AF1004" s="932"/>
      <c r="AG1004" s="932"/>
      <c r="AH1004" s="932"/>
      <c r="AI1004" s="932"/>
      <c r="AJ1004" s="932"/>
      <c r="AK1004" s="932"/>
      <c r="AL1004" s="932"/>
      <c r="AM1004" s="932"/>
      <c r="AN1004" s="932"/>
      <c r="AO1004" s="932"/>
      <c r="AP1004" s="932"/>
      <c r="AQ1004" s="932"/>
      <c r="AR1004" s="932"/>
      <c r="AS1004" s="932"/>
      <c r="AT1004" s="932"/>
      <c r="AU1004" s="932"/>
      <c r="AV1004" s="932"/>
      <c r="AW1004" s="932"/>
      <c r="AX1004" s="932"/>
      <c r="AY1004" s="932"/>
      <c r="AZ1004" s="932"/>
      <c r="BA1004" s="932"/>
      <c r="BB1004" s="932"/>
      <c r="BC1004" s="932"/>
      <c r="BD1004" s="932"/>
      <c r="BE1004" s="932"/>
      <c r="BF1004" s="932"/>
    </row>
    <row r="1005" spans="2:58" ht="15" x14ac:dyDescent="0.25">
      <c r="B1005" s="932"/>
      <c r="C1005" s="932"/>
      <c r="D1005" s="932"/>
      <c r="E1005" s="932"/>
      <c r="F1005" s="932"/>
      <c r="G1005" s="932"/>
      <c r="H1005" s="932"/>
      <c r="I1005" s="932"/>
      <c r="J1005" s="932"/>
      <c r="K1005" s="932"/>
      <c r="L1005" s="932"/>
      <c r="M1005" s="932"/>
      <c r="N1005" s="932"/>
      <c r="O1005" s="932"/>
      <c r="P1005" s="932"/>
      <c r="Q1005" s="932"/>
      <c r="R1005" s="932"/>
      <c r="S1005" s="932"/>
      <c r="T1005" s="932"/>
      <c r="U1005" s="932"/>
      <c r="V1005" s="932"/>
      <c r="W1005" s="932"/>
      <c r="X1005" s="932"/>
      <c r="Y1005" s="932"/>
      <c r="Z1005" s="932"/>
      <c r="AA1005" s="932"/>
      <c r="AB1005" s="932"/>
      <c r="AC1005" s="932"/>
      <c r="AD1005" s="932"/>
      <c r="AE1005" s="932"/>
      <c r="AF1005" s="932"/>
      <c r="AG1005" s="932"/>
      <c r="AH1005" s="932"/>
      <c r="AI1005" s="932"/>
      <c r="AJ1005" s="932"/>
      <c r="AK1005" s="932"/>
      <c r="AL1005" s="932"/>
      <c r="AM1005" s="932"/>
      <c r="AN1005" s="932"/>
      <c r="AO1005" s="932"/>
      <c r="AP1005" s="932"/>
      <c r="AQ1005" s="932"/>
      <c r="AR1005" s="932"/>
      <c r="AS1005" s="932"/>
      <c r="AT1005" s="932"/>
      <c r="AU1005" s="932"/>
      <c r="AV1005" s="932"/>
      <c r="AW1005" s="932"/>
      <c r="AX1005" s="932"/>
      <c r="AY1005" s="932"/>
      <c r="AZ1005" s="932"/>
      <c r="BA1005" s="932"/>
      <c r="BB1005" s="932"/>
      <c r="BC1005" s="932"/>
      <c r="BD1005" s="932"/>
      <c r="BE1005" s="932"/>
      <c r="BF1005" s="932"/>
    </row>
    <row r="1006" spans="2:58" ht="15" x14ac:dyDescent="0.25">
      <c r="B1006" s="932"/>
      <c r="C1006" s="932"/>
      <c r="D1006" s="932"/>
      <c r="E1006" s="932"/>
      <c r="F1006" s="932"/>
      <c r="G1006" s="932"/>
      <c r="H1006" s="932"/>
      <c r="I1006" s="932"/>
      <c r="J1006" s="932"/>
      <c r="K1006" s="932"/>
      <c r="L1006" s="932"/>
      <c r="M1006" s="932"/>
      <c r="N1006" s="932"/>
      <c r="O1006" s="932"/>
      <c r="P1006" s="932"/>
      <c r="Q1006" s="932"/>
      <c r="R1006" s="932"/>
      <c r="S1006" s="932"/>
      <c r="T1006" s="932"/>
      <c r="U1006" s="932"/>
      <c r="V1006" s="932"/>
      <c r="W1006" s="932"/>
      <c r="X1006" s="932"/>
      <c r="Y1006" s="932"/>
      <c r="Z1006" s="932"/>
      <c r="AA1006" s="932"/>
      <c r="AB1006" s="932"/>
      <c r="AC1006" s="932"/>
      <c r="AD1006" s="932"/>
      <c r="AE1006" s="932"/>
      <c r="AF1006" s="932"/>
      <c r="AG1006" s="932"/>
      <c r="AH1006" s="932"/>
      <c r="AI1006" s="932"/>
      <c r="AJ1006" s="932"/>
      <c r="AK1006" s="932"/>
      <c r="AL1006" s="932"/>
      <c r="AM1006" s="932"/>
      <c r="AN1006" s="932"/>
      <c r="AO1006" s="932"/>
      <c r="AP1006" s="932"/>
      <c r="AQ1006" s="932"/>
      <c r="AR1006" s="932"/>
      <c r="AS1006" s="932"/>
      <c r="AT1006" s="932"/>
      <c r="AU1006" s="932"/>
      <c r="AV1006" s="932"/>
      <c r="AW1006" s="932"/>
      <c r="AX1006" s="932"/>
      <c r="AY1006" s="932"/>
      <c r="AZ1006" s="932"/>
      <c r="BA1006" s="932"/>
      <c r="BB1006" s="932"/>
      <c r="BC1006" s="932"/>
      <c r="BD1006" s="932"/>
      <c r="BE1006" s="932"/>
      <c r="BF1006" s="932"/>
    </row>
    <row r="1007" spans="2:58" ht="15" x14ac:dyDescent="0.25">
      <c r="B1007" s="932"/>
      <c r="C1007" s="932"/>
      <c r="D1007" s="932"/>
      <c r="E1007" s="932"/>
      <c r="F1007" s="932"/>
      <c r="G1007" s="932"/>
      <c r="H1007" s="932"/>
      <c r="I1007" s="932"/>
      <c r="J1007" s="932"/>
      <c r="K1007" s="932"/>
      <c r="L1007" s="932"/>
      <c r="M1007" s="932"/>
      <c r="N1007" s="932"/>
      <c r="O1007" s="932"/>
      <c r="P1007" s="932"/>
      <c r="Q1007" s="932"/>
      <c r="R1007" s="932"/>
      <c r="S1007" s="932"/>
      <c r="T1007" s="932"/>
      <c r="U1007" s="932"/>
      <c r="V1007" s="932"/>
      <c r="W1007" s="932"/>
      <c r="X1007" s="932"/>
      <c r="Y1007" s="932"/>
      <c r="Z1007" s="932"/>
      <c r="AA1007" s="932"/>
      <c r="AB1007" s="932"/>
      <c r="AC1007" s="932"/>
      <c r="AD1007" s="932"/>
      <c r="AE1007" s="932"/>
      <c r="AF1007" s="932"/>
      <c r="AG1007" s="932"/>
      <c r="AH1007" s="932"/>
      <c r="AI1007" s="932"/>
      <c r="AJ1007" s="932"/>
      <c r="AK1007" s="932"/>
      <c r="AL1007" s="932"/>
      <c r="AM1007" s="932"/>
      <c r="AN1007" s="932"/>
      <c r="AO1007" s="932"/>
      <c r="AP1007" s="932"/>
      <c r="AQ1007" s="932"/>
      <c r="AR1007" s="932"/>
      <c r="AS1007" s="932"/>
      <c r="AT1007" s="932"/>
      <c r="AU1007" s="932"/>
      <c r="AV1007" s="932"/>
      <c r="AW1007" s="932"/>
      <c r="AX1007" s="932"/>
      <c r="AY1007" s="932"/>
      <c r="AZ1007" s="932"/>
      <c r="BA1007" s="932"/>
      <c r="BB1007" s="932"/>
      <c r="BC1007" s="932"/>
      <c r="BD1007" s="932"/>
      <c r="BE1007" s="932"/>
      <c r="BF1007" s="932"/>
    </row>
    <row r="1008" spans="2:58" ht="15" x14ac:dyDescent="0.25">
      <c r="B1008" s="932"/>
      <c r="C1008" s="932"/>
      <c r="D1008" s="932"/>
      <c r="E1008" s="932"/>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932"/>
      <c r="AF1008" s="932"/>
      <c r="AG1008" s="932"/>
      <c r="AH1008" s="932"/>
      <c r="AI1008" s="932"/>
      <c r="AJ1008" s="932"/>
      <c r="AK1008" s="932"/>
      <c r="AL1008" s="932"/>
      <c r="AM1008" s="932"/>
      <c r="AN1008" s="932"/>
      <c r="AO1008" s="932"/>
      <c r="AP1008" s="932"/>
      <c r="AQ1008" s="932"/>
      <c r="AR1008" s="932"/>
      <c r="AS1008" s="932"/>
      <c r="AT1008" s="932"/>
      <c r="AU1008" s="932"/>
      <c r="AV1008" s="932"/>
      <c r="AW1008" s="932"/>
      <c r="AX1008" s="932"/>
      <c r="AY1008" s="932"/>
      <c r="AZ1008" s="932"/>
      <c r="BA1008" s="932"/>
      <c r="BB1008" s="932"/>
      <c r="BC1008" s="932"/>
      <c r="BD1008" s="932"/>
      <c r="BE1008" s="932"/>
      <c r="BF1008" s="932"/>
    </row>
    <row r="1009" spans="2:58" ht="15" x14ac:dyDescent="0.25">
      <c r="B1009" s="932"/>
      <c r="C1009" s="932"/>
      <c r="D1009" s="932"/>
      <c r="E1009" s="932"/>
      <c r="F1009" s="932"/>
      <c r="G1009" s="932"/>
      <c r="H1009" s="932"/>
      <c r="I1009" s="932"/>
      <c r="J1009" s="932"/>
      <c r="K1009" s="932"/>
      <c r="L1009" s="932"/>
      <c r="M1009" s="932"/>
      <c r="N1009" s="932"/>
      <c r="O1009" s="932"/>
      <c r="P1009" s="932"/>
      <c r="Q1009" s="932"/>
      <c r="R1009" s="932"/>
      <c r="S1009" s="932"/>
      <c r="T1009" s="932"/>
      <c r="U1009" s="932"/>
      <c r="V1009" s="932"/>
      <c r="W1009" s="932"/>
      <c r="X1009" s="932"/>
      <c r="Y1009" s="932"/>
      <c r="Z1009" s="932"/>
      <c r="AA1009" s="932"/>
      <c r="AB1009" s="932"/>
      <c r="AC1009" s="932"/>
      <c r="AD1009" s="932"/>
      <c r="AE1009" s="932"/>
      <c r="AF1009" s="932"/>
      <c r="AG1009" s="932"/>
      <c r="AH1009" s="932"/>
      <c r="AI1009" s="932"/>
      <c r="AJ1009" s="932"/>
      <c r="AK1009" s="932"/>
      <c r="AL1009" s="932"/>
      <c r="AM1009" s="932"/>
      <c r="AN1009" s="932"/>
      <c r="AO1009" s="932"/>
      <c r="AP1009" s="932"/>
      <c r="AQ1009" s="932"/>
      <c r="AR1009" s="932"/>
      <c r="AS1009" s="932"/>
      <c r="AT1009" s="932"/>
      <c r="AU1009" s="932"/>
      <c r="AV1009" s="932"/>
      <c r="AW1009" s="932"/>
      <c r="AX1009" s="932"/>
      <c r="AY1009" s="932"/>
      <c r="AZ1009" s="932"/>
      <c r="BA1009" s="932"/>
      <c r="BB1009" s="932"/>
      <c r="BC1009" s="932"/>
      <c r="BD1009" s="932"/>
      <c r="BE1009" s="932"/>
      <c r="BF1009" s="932"/>
    </row>
    <row r="1010" spans="2:58" ht="15" x14ac:dyDescent="0.25">
      <c r="B1010" s="932"/>
      <c r="C1010" s="932"/>
      <c r="D1010" s="932"/>
      <c r="E1010" s="932"/>
      <c r="F1010" s="932"/>
      <c r="G1010" s="932"/>
      <c r="H1010" s="932"/>
      <c r="I1010" s="932"/>
      <c r="J1010" s="932"/>
      <c r="K1010" s="932"/>
      <c r="L1010" s="932"/>
      <c r="M1010" s="932"/>
      <c r="N1010" s="932"/>
      <c r="O1010" s="932"/>
      <c r="P1010" s="932"/>
      <c r="Q1010" s="932"/>
      <c r="R1010" s="932"/>
      <c r="S1010" s="932"/>
      <c r="T1010" s="932"/>
      <c r="U1010" s="932"/>
      <c r="V1010" s="932"/>
      <c r="W1010" s="932"/>
      <c r="X1010" s="932"/>
      <c r="Y1010" s="932"/>
      <c r="Z1010" s="932"/>
      <c r="AA1010" s="932"/>
      <c r="AB1010" s="932"/>
      <c r="AC1010" s="932"/>
      <c r="AD1010" s="932"/>
      <c r="AE1010" s="932"/>
      <c r="AF1010" s="932"/>
      <c r="AG1010" s="932"/>
      <c r="AH1010" s="932"/>
      <c r="AI1010" s="932"/>
      <c r="AJ1010" s="932"/>
      <c r="AK1010" s="932"/>
      <c r="AL1010" s="932"/>
      <c r="AM1010" s="932"/>
      <c r="AN1010" s="932"/>
      <c r="AO1010" s="932"/>
      <c r="AP1010" s="932"/>
      <c r="AQ1010" s="932"/>
      <c r="AR1010" s="932"/>
      <c r="AS1010" s="932"/>
      <c r="AT1010" s="932"/>
      <c r="AU1010" s="932"/>
      <c r="AV1010" s="932"/>
      <c r="AW1010" s="932"/>
      <c r="AX1010" s="932"/>
      <c r="AY1010" s="932"/>
      <c r="AZ1010" s="932"/>
      <c r="BA1010" s="932"/>
      <c r="BB1010" s="932"/>
      <c r="BC1010" s="932"/>
      <c r="BD1010" s="932"/>
      <c r="BE1010" s="932"/>
      <c r="BF1010" s="932"/>
    </row>
    <row r="1011" spans="2:58" ht="15" x14ac:dyDescent="0.25">
      <c r="B1011" s="932"/>
      <c r="C1011" s="932"/>
      <c r="D1011" s="932"/>
      <c r="E1011" s="932"/>
      <c r="F1011" s="932"/>
      <c r="G1011" s="932"/>
      <c r="H1011" s="932"/>
      <c r="I1011" s="932"/>
      <c r="J1011" s="932"/>
      <c r="K1011" s="932"/>
      <c r="L1011" s="932"/>
      <c r="M1011" s="932"/>
      <c r="N1011" s="932"/>
      <c r="O1011" s="932"/>
      <c r="P1011" s="932"/>
      <c r="Q1011" s="932"/>
      <c r="R1011" s="932"/>
      <c r="S1011" s="932"/>
      <c r="T1011" s="932"/>
      <c r="U1011" s="932"/>
      <c r="V1011" s="932"/>
      <c r="W1011" s="932"/>
      <c r="X1011" s="932"/>
      <c r="Y1011" s="932"/>
      <c r="Z1011" s="932"/>
      <c r="AA1011" s="932"/>
      <c r="AB1011" s="932"/>
      <c r="AC1011" s="932"/>
      <c r="AD1011" s="932"/>
      <c r="AE1011" s="932"/>
      <c r="AF1011" s="932"/>
      <c r="AG1011" s="932"/>
      <c r="AH1011" s="932"/>
      <c r="AI1011" s="932"/>
      <c r="AJ1011" s="932"/>
      <c r="AK1011" s="932"/>
      <c r="AL1011" s="932"/>
      <c r="AM1011" s="932"/>
      <c r="AN1011" s="932"/>
      <c r="AO1011" s="932"/>
      <c r="AP1011" s="932"/>
      <c r="AQ1011" s="932"/>
      <c r="AR1011" s="932"/>
      <c r="AS1011" s="932"/>
      <c r="AT1011" s="932"/>
      <c r="AU1011" s="932"/>
      <c r="AV1011" s="932"/>
      <c r="AW1011" s="932"/>
      <c r="AX1011" s="932"/>
      <c r="AY1011" s="932"/>
      <c r="AZ1011" s="932"/>
      <c r="BA1011" s="932"/>
      <c r="BB1011" s="932"/>
      <c r="BC1011" s="932"/>
      <c r="BD1011" s="932"/>
      <c r="BE1011" s="932"/>
      <c r="BF1011" s="932"/>
    </row>
    <row r="1012" spans="2:58" ht="15" x14ac:dyDescent="0.25">
      <c r="B1012" s="932"/>
      <c r="C1012" s="932"/>
      <c r="D1012" s="932"/>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s="932"/>
      <c r="AM1012" s="932"/>
      <c r="AN1012" s="932"/>
      <c r="AO1012" s="932"/>
      <c r="AP1012" s="932"/>
      <c r="AQ1012" s="932"/>
      <c r="AR1012" s="932"/>
      <c r="AS1012" s="932"/>
      <c r="AT1012" s="932"/>
      <c r="AU1012" s="932"/>
      <c r="AV1012" s="932"/>
      <c r="AW1012" s="932"/>
      <c r="AX1012" s="932"/>
      <c r="AY1012" s="932"/>
      <c r="AZ1012" s="932"/>
      <c r="BA1012" s="932"/>
      <c r="BB1012" s="932"/>
      <c r="BC1012" s="932"/>
      <c r="BD1012" s="932"/>
      <c r="BE1012" s="932"/>
      <c r="BF1012" s="932"/>
    </row>
    <row r="1013" spans="2:58" ht="15" x14ac:dyDescent="0.25">
      <c r="B1013" s="932"/>
      <c r="C1013" s="932"/>
      <c r="D1013" s="932"/>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s="932"/>
      <c r="AM1013" s="932"/>
      <c r="AN1013" s="932"/>
      <c r="AO1013" s="932"/>
      <c r="AP1013" s="932"/>
      <c r="AQ1013" s="932"/>
      <c r="AR1013" s="932"/>
      <c r="AS1013" s="932"/>
      <c r="AT1013" s="932"/>
      <c r="AU1013" s="932"/>
      <c r="AV1013" s="932"/>
      <c r="AW1013" s="932"/>
      <c r="AX1013" s="932"/>
      <c r="AY1013" s="932"/>
      <c r="AZ1013" s="932"/>
      <c r="BA1013" s="932"/>
      <c r="BB1013" s="932"/>
      <c r="BC1013" s="932"/>
      <c r="BD1013" s="932"/>
      <c r="BE1013" s="932"/>
      <c r="BF1013" s="932"/>
    </row>
    <row r="1014" spans="2:58" ht="15" x14ac:dyDescent="0.25">
      <c r="B1014" s="932"/>
      <c r="C1014" s="932"/>
      <c r="D1014" s="932"/>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932"/>
      <c r="AF1014" s="932"/>
      <c r="AG1014" s="932"/>
      <c r="AH1014" s="932"/>
      <c r="AI1014" s="932"/>
      <c r="AJ1014" s="932"/>
      <c r="AK1014" s="932"/>
      <c r="AL1014" s="932"/>
      <c r="AM1014" s="932"/>
      <c r="AN1014" s="932"/>
      <c r="AO1014" s="932"/>
      <c r="AP1014" s="932"/>
      <c r="AQ1014" s="932"/>
      <c r="AR1014" s="932"/>
      <c r="AS1014" s="932"/>
      <c r="AT1014" s="932"/>
      <c r="AU1014" s="932"/>
      <c r="AV1014" s="932"/>
      <c r="AW1014" s="932"/>
      <c r="AX1014" s="932"/>
      <c r="AY1014" s="932"/>
      <c r="AZ1014" s="932"/>
      <c r="BA1014" s="932"/>
      <c r="BB1014" s="932"/>
      <c r="BC1014" s="932"/>
      <c r="BD1014" s="932"/>
      <c r="BE1014" s="932"/>
      <c r="BF1014" s="932"/>
    </row>
    <row r="1015" spans="2:58" ht="15" x14ac:dyDescent="0.25">
      <c r="B1015" s="932"/>
      <c r="C1015" s="932"/>
      <c r="D1015" s="932"/>
      <c r="E1015" s="932"/>
      <c r="F1015" s="932"/>
      <c r="G1015" s="932"/>
      <c r="H1015" s="932"/>
      <c r="I1015" s="932"/>
      <c r="J1015" s="932"/>
      <c r="K1015" s="932"/>
      <c r="L1015" s="932"/>
      <c r="M1015" s="932"/>
      <c r="N1015" s="932"/>
      <c r="O1015" s="932"/>
      <c r="P1015" s="932"/>
      <c r="Q1015" s="932"/>
      <c r="R1015" s="932"/>
      <c r="S1015" s="932"/>
      <c r="T1015" s="932"/>
      <c r="U1015" s="932"/>
      <c r="V1015" s="932"/>
      <c r="W1015" s="932"/>
      <c r="X1015" s="932"/>
      <c r="Y1015" s="932"/>
      <c r="Z1015" s="932"/>
      <c r="AA1015" s="932"/>
      <c r="AB1015" s="932"/>
      <c r="AC1015" s="932"/>
      <c r="AD1015" s="932"/>
      <c r="AE1015" s="932"/>
      <c r="AF1015" s="932"/>
      <c r="AG1015" s="932"/>
      <c r="AH1015" s="932"/>
      <c r="AI1015" s="932"/>
      <c r="AJ1015" s="932"/>
      <c r="AK1015" s="932"/>
      <c r="AL1015" s="932"/>
      <c r="AM1015" s="932"/>
      <c r="AN1015" s="932"/>
      <c r="AO1015" s="932"/>
      <c r="AP1015" s="932"/>
      <c r="AQ1015" s="932"/>
      <c r="AR1015" s="932"/>
      <c r="AS1015" s="932"/>
      <c r="AT1015" s="932"/>
      <c r="AU1015" s="932"/>
      <c r="AV1015" s="932"/>
      <c r="AW1015" s="932"/>
      <c r="AX1015" s="932"/>
      <c r="AY1015" s="932"/>
      <c r="AZ1015" s="932"/>
      <c r="BA1015" s="932"/>
      <c r="BB1015" s="932"/>
      <c r="BC1015" s="932"/>
      <c r="BD1015" s="932"/>
      <c r="BE1015" s="932"/>
      <c r="BF1015" s="932"/>
    </row>
    <row r="1016" spans="2:58" ht="15" x14ac:dyDescent="0.25">
      <c r="B1016" s="932"/>
      <c r="C1016" s="932"/>
      <c r="D1016" s="932"/>
      <c r="E1016" s="932"/>
      <c r="F1016" s="932"/>
      <c r="G1016" s="932"/>
      <c r="H1016" s="932"/>
      <c r="I1016" s="932"/>
      <c r="J1016" s="932"/>
      <c r="K1016" s="932"/>
      <c r="L1016" s="932"/>
      <c r="M1016" s="932"/>
      <c r="N1016" s="932"/>
      <c r="O1016" s="932"/>
      <c r="P1016" s="932"/>
      <c r="Q1016" s="932"/>
      <c r="R1016" s="932"/>
      <c r="S1016" s="932"/>
      <c r="T1016" s="932"/>
      <c r="U1016" s="932"/>
      <c r="V1016" s="932"/>
      <c r="W1016" s="932"/>
      <c r="X1016" s="932"/>
      <c r="Y1016" s="932"/>
      <c r="Z1016" s="932"/>
      <c r="AA1016" s="932"/>
      <c r="AB1016" s="932"/>
      <c r="AC1016" s="932"/>
      <c r="AD1016" s="932"/>
      <c r="AE1016" s="932"/>
      <c r="AF1016" s="932"/>
      <c r="AG1016" s="932"/>
      <c r="AH1016" s="932"/>
      <c r="AI1016" s="932"/>
      <c r="AJ1016" s="932"/>
      <c r="AK1016" s="932"/>
      <c r="AL1016" s="932"/>
      <c r="AM1016" s="932"/>
      <c r="AN1016" s="932"/>
      <c r="AO1016" s="932"/>
      <c r="AP1016" s="932"/>
      <c r="AQ1016" s="932"/>
      <c r="AR1016" s="932"/>
      <c r="AS1016" s="932"/>
      <c r="AT1016" s="932"/>
      <c r="AU1016" s="932"/>
      <c r="AV1016" s="932"/>
      <c r="AW1016" s="932"/>
      <c r="AX1016" s="932"/>
      <c r="AY1016" s="932"/>
      <c r="AZ1016" s="932"/>
      <c r="BA1016" s="932"/>
      <c r="BB1016" s="932"/>
      <c r="BC1016" s="932"/>
      <c r="BD1016" s="932"/>
      <c r="BE1016" s="932"/>
      <c r="BF1016" s="932"/>
    </row>
    <row r="1017" spans="2:58" ht="15" x14ac:dyDescent="0.25">
      <c r="B1017" s="932"/>
      <c r="C1017" s="932"/>
      <c r="D1017" s="932"/>
      <c r="E1017" s="932"/>
      <c r="F1017" s="932"/>
      <c r="G1017" s="932"/>
      <c r="H1017" s="932"/>
      <c r="I1017" s="932"/>
      <c r="J1017" s="932"/>
      <c r="K1017" s="932"/>
      <c r="L1017" s="932"/>
      <c r="M1017" s="932"/>
      <c r="N1017" s="932"/>
      <c r="O1017" s="932"/>
      <c r="P1017" s="932"/>
      <c r="Q1017" s="932"/>
      <c r="R1017" s="932"/>
      <c r="S1017" s="932"/>
      <c r="T1017" s="932"/>
      <c r="U1017" s="932"/>
      <c r="V1017" s="932"/>
      <c r="W1017" s="932"/>
      <c r="X1017" s="932"/>
      <c r="Y1017" s="932"/>
      <c r="Z1017" s="932"/>
      <c r="AA1017" s="932"/>
      <c r="AB1017" s="932"/>
      <c r="AC1017" s="932"/>
      <c r="AD1017" s="932"/>
      <c r="AE1017" s="932"/>
      <c r="AF1017" s="932"/>
      <c r="AG1017" s="932"/>
      <c r="AH1017" s="932"/>
      <c r="AI1017" s="932"/>
      <c r="AJ1017" s="932"/>
      <c r="AK1017" s="932"/>
      <c r="AL1017" s="932"/>
      <c r="AM1017" s="932"/>
      <c r="AN1017" s="932"/>
      <c r="AO1017" s="932"/>
      <c r="AP1017" s="932"/>
      <c r="AQ1017" s="932"/>
      <c r="AR1017" s="932"/>
      <c r="AS1017" s="932"/>
      <c r="AT1017" s="932"/>
      <c r="AU1017" s="932"/>
      <c r="AV1017" s="932"/>
      <c r="AW1017" s="932"/>
      <c r="AX1017" s="932"/>
      <c r="AY1017" s="932"/>
      <c r="AZ1017" s="932"/>
      <c r="BA1017" s="932"/>
      <c r="BB1017" s="932"/>
      <c r="BC1017" s="932"/>
      <c r="BD1017" s="932"/>
      <c r="BE1017" s="932"/>
      <c r="BF1017" s="932"/>
    </row>
    <row r="1018" spans="2:58" ht="15" x14ac:dyDescent="0.25">
      <c r="B1018" s="932"/>
      <c r="C1018" s="932"/>
      <c r="D1018" s="932"/>
      <c r="E1018" s="932"/>
      <c r="F1018" s="932"/>
      <c r="G1018" s="932"/>
      <c r="H1018" s="932"/>
      <c r="I1018" s="932"/>
      <c r="J1018" s="932"/>
      <c r="K1018" s="932"/>
      <c r="L1018" s="932"/>
      <c r="M1018" s="932"/>
      <c r="N1018" s="932"/>
      <c r="O1018" s="932"/>
      <c r="P1018" s="932"/>
      <c r="Q1018" s="932"/>
      <c r="R1018" s="932"/>
      <c r="S1018" s="932"/>
      <c r="T1018" s="932"/>
      <c r="U1018" s="932"/>
      <c r="V1018" s="932"/>
      <c r="W1018" s="932"/>
      <c r="X1018" s="932"/>
      <c r="Y1018" s="932"/>
      <c r="Z1018" s="932"/>
      <c r="AA1018" s="932"/>
      <c r="AB1018" s="932"/>
      <c r="AC1018" s="932"/>
      <c r="AD1018" s="932"/>
      <c r="AE1018" s="932"/>
      <c r="AF1018" s="932"/>
      <c r="AG1018" s="932"/>
      <c r="AH1018" s="932"/>
      <c r="AI1018" s="932"/>
      <c r="AJ1018" s="932"/>
      <c r="AK1018" s="932"/>
      <c r="AL1018" s="932"/>
      <c r="AM1018" s="932"/>
      <c r="AN1018" s="932"/>
      <c r="AO1018" s="932"/>
      <c r="AP1018" s="932"/>
      <c r="AQ1018" s="932"/>
      <c r="AR1018" s="932"/>
      <c r="AS1018" s="932"/>
      <c r="AT1018" s="932"/>
      <c r="AU1018" s="932"/>
      <c r="AV1018" s="932"/>
      <c r="AW1018" s="932"/>
      <c r="AX1018" s="932"/>
      <c r="AY1018" s="932"/>
      <c r="AZ1018" s="932"/>
      <c r="BA1018" s="932"/>
      <c r="BB1018" s="932"/>
      <c r="BC1018" s="932"/>
      <c r="BD1018" s="932"/>
      <c r="BE1018" s="932"/>
      <c r="BF1018" s="932"/>
    </row>
    <row r="1019" spans="2:58" ht="15" x14ac:dyDescent="0.25">
      <c r="B1019" s="932"/>
      <c r="C1019" s="932"/>
      <c r="D1019" s="932"/>
      <c r="E1019" s="932"/>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c r="AL1019" s="932"/>
      <c r="AM1019" s="932"/>
      <c r="AN1019" s="932"/>
      <c r="AO1019" s="932"/>
      <c r="AP1019" s="932"/>
      <c r="AQ1019" s="932"/>
      <c r="AR1019" s="932"/>
      <c r="AS1019" s="932"/>
      <c r="AT1019" s="932"/>
      <c r="AU1019" s="932"/>
      <c r="AV1019" s="932"/>
      <c r="AW1019" s="932"/>
      <c r="AX1019" s="932"/>
      <c r="AY1019" s="932"/>
      <c r="AZ1019" s="932"/>
      <c r="BA1019" s="932"/>
      <c r="BB1019" s="932"/>
      <c r="BC1019" s="932"/>
      <c r="BD1019" s="932"/>
      <c r="BE1019" s="932"/>
      <c r="BF1019" s="932"/>
    </row>
    <row r="1020" spans="2:58" ht="15" x14ac:dyDescent="0.25">
      <c r="B1020" s="932"/>
      <c r="C1020" s="932"/>
      <c r="D1020" s="932"/>
      <c r="E1020" s="932"/>
      <c r="F1020" s="932"/>
      <c r="G1020" s="932"/>
      <c r="H1020" s="932"/>
      <c r="I1020" s="932"/>
      <c r="J1020" s="932"/>
      <c r="K1020" s="932"/>
      <c r="L1020" s="932"/>
      <c r="M1020" s="932"/>
      <c r="N1020" s="932"/>
      <c r="O1020" s="932"/>
      <c r="P1020" s="932"/>
      <c r="Q1020" s="932"/>
      <c r="R1020" s="932"/>
      <c r="S1020" s="932"/>
      <c r="T1020" s="932"/>
      <c r="U1020" s="932"/>
      <c r="V1020" s="932"/>
      <c r="W1020" s="932"/>
      <c r="X1020" s="932"/>
      <c r="Y1020" s="932"/>
      <c r="Z1020" s="932"/>
      <c r="AA1020" s="932"/>
      <c r="AB1020" s="932"/>
      <c r="AC1020" s="932"/>
      <c r="AD1020" s="932"/>
      <c r="AE1020" s="932"/>
      <c r="AF1020" s="932"/>
      <c r="AG1020" s="932"/>
      <c r="AH1020" s="932"/>
      <c r="AI1020" s="932"/>
      <c r="AJ1020" s="932"/>
      <c r="AK1020" s="932"/>
      <c r="AL1020" s="932"/>
      <c r="AM1020" s="932"/>
      <c r="AN1020" s="932"/>
      <c r="AO1020" s="932"/>
      <c r="AP1020" s="932"/>
      <c r="AQ1020" s="932"/>
      <c r="AR1020" s="932"/>
      <c r="AS1020" s="932"/>
      <c r="AT1020" s="932"/>
      <c r="AU1020" s="932"/>
      <c r="AV1020" s="932"/>
      <c r="AW1020" s="932"/>
      <c r="AX1020" s="932"/>
      <c r="AY1020" s="932"/>
      <c r="AZ1020" s="932"/>
      <c r="BA1020" s="932"/>
      <c r="BB1020" s="932"/>
      <c r="BC1020" s="932"/>
      <c r="BD1020" s="932"/>
      <c r="BE1020" s="932"/>
      <c r="BF1020" s="932"/>
    </row>
    <row r="1021" spans="2:58" ht="15" x14ac:dyDescent="0.25">
      <c r="B1021" s="932"/>
      <c r="C1021" s="932"/>
      <c r="D1021" s="932"/>
      <c r="E1021" s="932"/>
      <c r="F1021" s="932"/>
      <c r="G1021" s="932"/>
      <c r="H1021" s="932"/>
      <c r="I1021" s="932"/>
      <c r="J1021" s="932"/>
      <c r="K1021" s="932"/>
      <c r="L1021" s="932"/>
      <c r="M1021" s="932"/>
      <c r="N1021" s="932"/>
      <c r="O1021" s="932"/>
      <c r="P1021" s="932"/>
      <c r="Q1021" s="932"/>
      <c r="R1021" s="932"/>
      <c r="S1021" s="932"/>
      <c r="T1021" s="932"/>
      <c r="U1021" s="932"/>
      <c r="V1021" s="932"/>
      <c r="W1021" s="932"/>
      <c r="X1021" s="932"/>
      <c r="Y1021" s="932"/>
      <c r="Z1021" s="932"/>
      <c r="AA1021" s="932"/>
      <c r="AB1021" s="932"/>
      <c r="AC1021" s="932"/>
      <c r="AD1021" s="932"/>
      <c r="AE1021" s="932"/>
      <c r="AF1021" s="932"/>
      <c r="AG1021" s="932"/>
      <c r="AH1021" s="932"/>
      <c r="AI1021" s="932"/>
      <c r="AJ1021" s="932"/>
      <c r="AK1021" s="932"/>
      <c r="AL1021" s="932"/>
      <c r="AM1021" s="932"/>
      <c r="AN1021" s="932"/>
      <c r="AO1021" s="932"/>
      <c r="AP1021" s="932"/>
      <c r="AQ1021" s="932"/>
      <c r="AR1021" s="932"/>
      <c r="AS1021" s="932"/>
      <c r="AT1021" s="932"/>
      <c r="AU1021" s="932"/>
      <c r="AV1021" s="932"/>
      <c r="AW1021" s="932"/>
      <c r="AX1021" s="932"/>
      <c r="AY1021" s="932"/>
      <c r="AZ1021" s="932"/>
      <c r="BA1021" s="932"/>
      <c r="BB1021" s="932"/>
      <c r="BC1021" s="932"/>
      <c r="BD1021" s="932"/>
      <c r="BE1021" s="932"/>
      <c r="BF1021" s="932"/>
    </row>
    <row r="1022" spans="2:58" ht="15" x14ac:dyDescent="0.25">
      <c r="B1022" s="932"/>
      <c r="C1022" s="932"/>
      <c r="D1022" s="932"/>
      <c r="E1022" s="932"/>
      <c r="F1022" s="932"/>
      <c r="G1022" s="932"/>
      <c r="H1022" s="932"/>
      <c r="I1022" s="932"/>
      <c r="J1022" s="932"/>
      <c r="K1022" s="932"/>
      <c r="L1022" s="932"/>
      <c r="M1022" s="932"/>
      <c r="N1022" s="932"/>
      <c r="O1022" s="932"/>
      <c r="P1022" s="932"/>
      <c r="Q1022" s="932"/>
      <c r="R1022" s="932"/>
      <c r="S1022" s="932"/>
      <c r="T1022" s="932"/>
      <c r="U1022" s="932"/>
      <c r="V1022" s="932"/>
      <c r="W1022" s="932"/>
      <c r="X1022" s="932"/>
      <c r="Y1022" s="932"/>
      <c r="Z1022" s="932"/>
      <c r="AA1022" s="932"/>
      <c r="AB1022" s="932"/>
      <c r="AC1022" s="932"/>
      <c r="AD1022" s="932"/>
      <c r="AE1022" s="932"/>
      <c r="AF1022" s="932"/>
      <c r="AG1022" s="932"/>
      <c r="AH1022" s="932"/>
      <c r="AI1022" s="932"/>
      <c r="AJ1022" s="932"/>
      <c r="AK1022" s="932"/>
      <c r="AL1022" s="932"/>
      <c r="AM1022" s="932"/>
      <c r="AN1022" s="932"/>
      <c r="AO1022" s="932"/>
      <c r="AP1022" s="932"/>
      <c r="AQ1022" s="932"/>
      <c r="AR1022" s="932"/>
      <c r="AS1022" s="932"/>
      <c r="AT1022" s="932"/>
      <c r="AU1022" s="932"/>
      <c r="AV1022" s="932"/>
      <c r="AW1022" s="932"/>
      <c r="AX1022" s="932"/>
      <c r="AY1022" s="932"/>
      <c r="AZ1022" s="932"/>
      <c r="BA1022" s="932"/>
      <c r="BB1022" s="932"/>
      <c r="BC1022" s="932"/>
      <c r="BD1022" s="932"/>
      <c r="BE1022" s="932"/>
      <c r="BF1022" s="932"/>
    </row>
    <row r="1023" spans="2:58" ht="15" x14ac:dyDescent="0.25">
      <c r="B1023" s="932"/>
      <c r="C1023" s="932"/>
      <c r="D1023" s="932"/>
      <c r="E1023" s="932"/>
      <c r="F1023" s="932"/>
      <c r="G1023" s="932"/>
      <c r="H1023" s="932"/>
      <c r="I1023" s="932"/>
      <c r="J1023" s="932"/>
      <c r="K1023" s="932"/>
      <c r="L1023" s="932"/>
      <c r="M1023" s="932"/>
      <c r="N1023" s="932"/>
      <c r="O1023" s="932"/>
      <c r="P1023" s="932"/>
      <c r="Q1023" s="932"/>
      <c r="R1023" s="932"/>
      <c r="S1023" s="932"/>
      <c r="T1023" s="932"/>
      <c r="U1023" s="932"/>
      <c r="V1023" s="932"/>
      <c r="W1023" s="932"/>
      <c r="X1023" s="932"/>
      <c r="Y1023" s="932"/>
      <c r="Z1023" s="932"/>
      <c r="AA1023" s="932"/>
      <c r="AB1023" s="932"/>
      <c r="AC1023" s="932"/>
      <c r="AD1023" s="932"/>
      <c r="AE1023" s="932"/>
      <c r="AF1023" s="932"/>
      <c r="AG1023" s="932"/>
      <c r="AH1023" s="932"/>
      <c r="AI1023" s="932"/>
      <c r="AJ1023" s="932"/>
      <c r="AK1023" s="932"/>
      <c r="AL1023" s="932"/>
      <c r="AM1023" s="932"/>
      <c r="AN1023" s="932"/>
      <c r="AO1023" s="932"/>
      <c r="AP1023" s="932"/>
      <c r="AQ1023" s="932"/>
      <c r="AR1023" s="932"/>
      <c r="AS1023" s="932"/>
      <c r="AT1023" s="932"/>
      <c r="AU1023" s="932"/>
      <c r="AV1023" s="932"/>
      <c r="AW1023" s="932"/>
      <c r="AX1023" s="932"/>
      <c r="AY1023" s="932"/>
      <c r="AZ1023" s="932"/>
      <c r="BA1023" s="932"/>
      <c r="BB1023" s="932"/>
      <c r="BC1023" s="932"/>
      <c r="BD1023" s="932"/>
      <c r="BE1023" s="932"/>
      <c r="BF1023" s="932"/>
    </row>
    <row r="1024" spans="2:58" ht="15" x14ac:dyDescent="0.25">
      <c r="B1024" s="932"/>
      <c r="C1024" s="932"/>
      <c r="D1024" s="932"/>
      <c r="E1024" s="932"/>
      <c r="F1024" s="932"/>
      <c r="G1024" s="932"/>
      <c r="H1024" s="932"/>
      <c r="I1024" s="932"/>
      <c r="J1024" s="932"/>
      <c r="K1024" s="932"/>
      <c r="L1024" s="932"/>
      <c r="M1024" s="932"/>
      <c r="N1024" s="932"/>
      <c r="O1024" s="932"/>
      <c r="P1024" s="932"/>
      <c r="Q1024" s="932"/>
      <c r="R1024" s="932"/>
      <c r="S1024" s="932"/>
      <c r="T1024" s="932"/>
      <c r="U1024" s="932"/>
      <c r="V1024" s="932"/>
      <c r="W1024" s="932"/>
      <c r="X1024" s="932"/>
      <c r="Y1024" s="932"/>
      <c r="Z1024" s="932"/>
      <c r="AA1024" s="932"/>
      <c r="AB1024" s="932"/>
      <c r="AC1024" s="932"/>
      <c r="AD1024" s="932"/>
      <c r="AE1024" s="932"/>
      <c r="AF1024" s="932"/>
      <c r="AG1024" s="932"/>
      <c r="AH1024" s="932"/>
      <c r="AI1024" s="932"/>
      <c r="AJ1024" s="932"/>
      <c r="AK1024" s="932"/>
      <c r="AL1024" s="932"/>
      <c r="AM1024" s="932"/>
      <c r="AN1024" s="932"/>
      <c r="AO1024" s="932"/>
      <c r="AP1024" s="932"/>
      <c r="AQ1024" s="932"/>
      <c r="AR1024" s="932"/>
      <c r="AS1024" s="932"/>
      <c r="AT1024" s="932"/>
      <c r="AU1024" s="932"/>
      <c r="AV1024" s="932"/>
      <c r="AW1024" s="932"/>
      <c r="AX1024" s="932"/>
      <c r="AY1024" s="932"/>
      <c r="AZ1024" s="932"/>
      <c r="BA1024" s="932"/>
      <c r="BB1024" s="932"/>
      <c r="BC1024" s="932"/>
      <c r="BD1024" s="932"/>
      <c r="BE1024" s="932"/>
      <c r="BF1024" s="932"/>
    </row>
    <row r="1025" spans="2:58" ht="15" x14ac:dyDescent="0.25">
      <c r="B1025" s="932"/>
      <c r="C1025" s="932"/>
      <c r="D1025" s="932"/>
      <c r="E1025" s="932"/>
      <c r="F1025" s="932"/>
      <c r="G1025" s="932"/>
      <c r="H1025" s="932"/>
      <c r="I1025" s="932"/>
      <c r="J1025" s="932"/>
      <c r="K1025" s="932"/>
      <c r="L1025" s="932"/>
      <c r="M1025" s="932"/>
      <c r="N1025" s="932"/>
      <c r="O1025" s="932"/>
      <c r="P1025" s="932"/>
      <c r="Q1025" s="932"/>
      <c r="R1025" s="932"/>
      <c r="S1025" s="932"/>
      <c r="T1025" s="932"/>
      <c r="U1025" s="932"/>
      <c r="V1025" s="932"/>
      <c r="W1025" s="932"/>
      <c r="X1025" s="932"/>
      <c r="Y1025" s="932"/>
      <c r="Z1025" s="932"/>
      <c r="AA1025" s="932"/>
      <c r="AB1025" s="932"/>
      <c r="AC1025" s="932"/>
      <c r="AD1025" s="932"/>
      <c r="AE1025" s="932"/>
      <c r="AF1025" s="932"/>
      <c r="AG1025" s="932"/>
      <c r="AH1025" s="932"/>
      <c r="AI1025" s="932"/>
      <c r="AJ1025" s="932"/>
      <c r="AK1025" s="932"/>
      <c r="AL1025" s="932"/>
      <c r="AM1025" s="932"/>
      <c r="AN1025" s="932"/>
      <c r="AO1025" s="932"/>
      <c r="AP1025" s="932"/>
      <c r="AQ1025" s="932"/>
      <c r="AR1025" s="932"/>
      <c r="AS1025" s="932"/>
      <c r="AT1025" s="932"/>
      <c r="AU1025" s="932"/>
      <c r="AV1025" s="932"/>
      <c r="AW1025" s="932"/>
      <c r="AX1025" s="932"/>
      <c r="AY1025" s="932"/>
      <c r="AZ1025" s="932"/>
      <c r="BA1025" s="932"/>
      <c r="BB1025" s="932"/>
      <c r="BC1025" s="932"/>
      <c r="BD1025" s="932"/>
      <c r="BE1025" s="932"/>
      <c r="BF1025" s="932"/>
    </row>
    <row r="1026" spans="2:58" ht="15" x14ac:dyDescent="0.25">
      <c r="B1026" s="932"/>
      <c r="C1026" s="932"/>
      <c r="D1026" s="932"/>
      <c r="E1026" s="932"/>
      <c r="F1026" s="932"/>
      <c r="G1026" s="932"/>
      <c r="H1026" s="932"/>
      <c r="I1026" s="932"/>
      <c r="J1026" s="932"/>
      <c r="K1026" s="932"/>
      <c r="L1026" s="932"/>
      <c r="M1026" s="932"/>
      <c r="N1026" s="932"/>
      <c r="O1026" s="932"/>
      <c r="P1026" s="932"/>
      <c r="Q1026" s="932"/>
      <c r="R1026" s="932"/>
      <c r="S1026" s="932"/>
      <c r="T1026" s="932"/>
      <c r="U1026" s="932"/>
      <c r="V1026" s="932"/>
      <c r="W1026" s="932"/>
      <c r="X1026" s="932"/>
      <c r="Y1026" s="932"/>
      <c r="Z1026" s="932"/>
      <c r="AA1026" s="932"/>
      <c r="AB1026" s="932"/>
      <c r="AC1026" s="932"/>
      <c r="AD1026" s="932"/>
      <c r="AE1026" s="932"/>
      <c r="AF1026" s="932"/>
      <c r="AG1026" s="932"/>
      <c r="AH1026" s="932"/>
      <c r="AI1026" s="932"/>
      <c r="AJ1026" s="932"/>
      <c r="AK1026" s="932"/>
      <c r="AL1026" s="932"/>
      <c r="AM1026" s="932"/>
      <c r="AN1026" s="932"/>
      <c r="AO1026" s="932"/>
      <c r="AP1026" s="932"/>
      <c r="AQ1026" s="932"/>
      <c r="AR1026" s="932"/>
      <c r="AS1026" s="932"/>
      <c r="AT1026" s="932"/>
      <c r="AU1026" s="932"/>
      <c r="AV1026" s="932"/>
      <c r="AW1026" s="932"/>
      <c r="AX1026" s="932"/>
      <c r="AY1026" s="932"/>
      <c r="AZ1026" s="932"/>
      <c r="BA1026" s="932"/>
      <c r="BB1026" s="932"/>
      <c r="BC1026" s="932"/>
      <c r="BD1026" s="932"/>
      <c r="BE1026" s="932"/>
      <c r="BF1026" s="932"/>
    </row>
    <row r="1027" spans="2:58" ht="15" x14ac:dyDescent="0.25">
      <c r="B1027" s="932"/>
      <c r="C1027" s="932"/>
      <c r="D1027" s="932"/>
      <c r="E1027" s="932"/>
      <c r="F1027" s="932"/>
      <c r="G1027" s="932"/>
      <c r="H1027" s="932"/>
      <c r="I1027" s="932"/>
      <c r="J1027" s="932"/>
      <c r="K1027" s="932"/>
      <c r="L1027" s="932"/>
      <c r="M1027" s="932"/>
      <c r="N1027" s="932"/>
      <c r="O1027" s="932"/>
      <c r="P1027" s="932"/>
      <c r="Q1027" s="932"/>
      <c r="R1027" s="932"/>
      <c r="S1027" s="932"/>
      <c r="T1027" s="932"/>
      <c r="U1027" s="932"/>
      <c r="V1027" s="932"/>
      <c r="W1027" s="932"/>
      <c r="X1027" s="932"/>
      <c r="Y1027" s="932"/>
      <c r="Z1027" s="932"/>
      <c r="AA1027" s="932"/>
      <c r="AB1027" s="932"/>
      <c r="AC1027" s="932"/>
      <c r="AD1027" s="932"/>
      <c r="AE1027" s="932"/>
      <c r="AF1027" s="932"/>
      <c r="AG1027" s="932"/>
      <c r="AH1027" s="932"/>
      <c r="AI1027" s="932"/>
      <c r="AJ1027" s="932"/>
      <c r="AK1027" s="932"/>
      <c r="AL1027" s="932"/>
      <c r="AM1027" s="932"/>
      <c r="AN1027" s="932"/>
      <c r="AO1027" s="932"/>
      <c r="AP1027" s="932"/>
      <c r="AQ1027" s="932"/>
      <c r="AR1027" s="932"/>
      <c r="AS1027" s="932"/>
      <c r="AT1027" s="932"/>
      <c r="AU1027" s="932"/>
      <c r="AV1027" s="932"/>
      <c r="AW1027" s="932"/>
      <c r="AX1027" s="932"/>
      <c r="AY1027" s="932"/>
      <c r="AZ1027" s="932"/>
      <c r="BA1027" s="932"/>
      <c r="BB1027" s="932"/>
      <c r="BC1027" s="932"/>
      <c r="BD1027" s="932"/>
      <c r="BE1027" s="932"/>
      <c r="BF1027" s="932"/>
    </row>
    <row r="1028" spans="2:58" ht="15" x14ac:dyDescent="0.25">
      <c r="B1028" s="932"/>
      <c r="C1028" s="932"/>
      <c r="D1028" s="932"/>
      <c r="E1028" s="932"/>
      <c r="F1028" s="932"/>
      <c r="G1028" s="932"/>
      <c r="H1028" s="932"/>
      <c r="I1028" s="932"/>
      <c r="J1028" s="932"/>
      <c r="K1028" s="932"/>
      <c r="L1028" s="932"/>
      <c r="M1028" s="932"/>
      <c r="N1028" s="932"/>
      <c r="O1028" s="932"/>
      <c r="P1028" s="932"/>
      <c r="Q1028" s="932"/>
      <c r="R1028" s="932"/>
      <c r="S1028" s="932"/>
      <c r="T1028" s="932"/>
      <c r="U1028" s="932"/>
      <c r="V1028" s="932"/>
      <c r="W1028" s="932"/>
      <c r="X1028" s="932"/>
      <c r="Y1028" s="932"/>
      <c r="Z1028" s="932"/>
      <c r="AA1028" s="932"/>
      <c r="AB1028" s="932"/>
      <c r="AC1028" s="932"/>
      <c r="AD1028" s="932"/>
      <c r="AE1028" s="932"/>
      <c r="AF1028" s="932"/>
      <c r="AG1028" s="932"/>
      <c r="AH1028" s="932"/>
      <c r="AI1028" s="932"/>
      <c r="AJ1028" s="932"/>
      <c r="AK1028" s="932"/>
      <c r="AL1028" s="932"/>
      <c r="AM1028" s="932"/>
      <c r="AN1028" s="932"/>
      <c r="AO1028" s="932"/>
      <c r="AP1028" s="932"/>
      <c r="AQ1028" s="932"/>
      <c r="AR1028" s="932"/>
      <c r="AS1028" s="932"/>
      <c r="AT1028" s="932"/>
      <c r="AU1028" s="932"/>
      <c r="AV1028" s="932"/>
      <c r="AW1028" s="932"/>
      <c r="AX1028" s="932"/>
      <c r="AY1028" s="932"/>
      <c r="AZ1028" s="932"/>
      <c r="BA1028" s="932"/>
      <c r="BB1028" s="932"/>
      <c r="BC1028" s="932"/>
      <c r="BD1028" s="932"/>
      <c r="BE1028" s="932"/>
      <c r="BF1028" s="932"/>
    </row>
    <row r="1029" spans="2:58" ht="15" x14ac:dyDescent="0.25">
      <c r="B1029" s="932"/>
      <c r="C1029" s="932"/>
      <c r="D1029" s="932"/>
      <c r="E1029" s="932"/>
      <c r="F1029" s="932"/>
      <c r="G1029" s="932"/>
      <c r="H1029" s="932"/>
      <c r="I1029" s="932"/>
      <c r="J1029" s="932"/>
      <c r="K1029" s="932"/>
      <c r="L1029" s="932"/>
      <c r="M1029" s="932"/>
      <c r="N1029" s="932"/>
      <c r="O1029" s="932"/>
      <c r="P1029" s="932"/>
      <c r="Q1029" s="932"/>
      <c r="R1029" s="932"/>
      <c r="S1029" s="932"/>
      <c r="T1029" s="932"/>
      <c r="U1029" s="932"/>
      <c r="V1029" s="932"/>
      <c r="W1029" s="932"/>
      <c r="X1029" s="932"/>
      <c r="Y1029" s="932"/>
      <c r="Z1029" s="932"/>
      <c r="AA1029" s="932"/>
      <c r="AB1029" s="932"/>
      <c r="AC1029" s="932"/>
      <c r="AD1029" s="932"/>
      <c r="AE1029" s="932"/>
      <c r="AF1029" s="932"/>
      <c r="AG1029" s="932"/>
      <c r="AH1029" s="932"/>
      <c r="AI1029" s="932"/>
      <c r="AJ1029" s="932"/>
      <c r="AK1029" s="932"/>
      <c r="AL1029" s="932"/>
      <c r="AM1029" s="932"/>
      <c r="AN1029" s="932"/>
      <c r="AO1029" s="932"/>
      <c r="AP1029" s="932"/>
      <c r="AQ1029" s="932"/>
      <c r="AR1029" s="932"/>
      <c r="AS1029" s="932"/>
      <c r="AT1029" s="932"/>
      <c r="AU1029" s="932"/>
      <c r="AV1029" s="932"/>
      <c r="AW1029" s="932"/>
      <c r="AX1029" s="932"/>
      <c r="AY1029" s="932"/>
      <c r="AZ1029" s="932"/>
      <c r="BA1029" s="932"/>
      <c r="BB1029" s="932"/>
      <c r="BC1029" s="932"/>
      <c r="BD1029" s="932"/>
      <c r="BE1029" s="932"/>
      <c r="BF1029" s="932"/>
    </row>
    <row r="1030" spans="2:58" ht="15" x14ac:dyDescent="0.25">
      <c r="B1030" s="932"/>
      <c r="C1030" s="932"/>
      <c r="D1030" s="932"/>
      <c r="E1030" s="932"/>
      <c r="F1030" s="932"/>
      <c r="G1030" s="932"/>
      <c r="H1030" s="932"/>
      <c r="I1030" s="932"/>
      <c r="J1030" s="932"/>
      <c r="K1030" s="932"/>
      <c r="L1030" s="932"/>
      <c r="M1030" s="932"/>
      <c r="N1030" s="932"/>
      <c r="O1030" s="932"/>
      <c r="P1030" s="932"/>
      <c r="Q1030" s="932"/>
      <c r="R1030" s="932"/>
      <c r="S1030" s="932"/>
      <c r="T1030" s="932"/>
      <c r="U1030" s="932"/>
      <c r="V1030" s="932"/>
      <c r="W1030" s="932"/>
      <c r="X1030" s="932"/>
      <c r="Y1030" s="932"/>
      <c r="Z1030" s="932"/>
      <c r="AA1030" s="932"/>
      <c r="AB1030" s="932"/>
      <c r="AC1030" s="932"/>
      <c r="AD1030" s="932"/>
      <c r="AE1030" s="932"/>
      <c r="AF1030" s="932"/>
      <c r="AG1030" s="932"/>
      <c r="AH1030" s="932"/>
      <c r="AI1030" s="932"/>
      <c r="AJ1030" s="932"/>
      <c r="AK1030" s="932"/>
      <c r="AL1030" s="932"/>
      <c r="AM1030" s="932"/>
      <c r="AN1030" s="932"/>
      <c r="AO1030" s="932"/>
      <c r="AP1030" s="932"/>
      <c r="AQ1030" s="932"/>
      <c r="AR1030" s="932"/>
      <c r="AS1030" s="932"/>
      <c r="AT1030" s="932"/>
      <c r="AU1030" s="932"/>
      <c r="AV1030" s="932"/>
      <c r="AW1030" s="932"/>
      <c r="AX1030" s="932"/>
      <c r="AY1030" s="932"/>
      <c r="AZ1030" s="932"/>
      <c r="BA1030" s="932"/>
      <c r="BB1030" s="932"/>
      <c r="BC1030" s="932"/>
      <c r="BD1030" s="932"/>
      <c r="BE1030" s="932"/>
      <c r="BF1030" s="932"/>
    </row>
    <row r="1031" spans="2:58" ht="15" x14ac:dyDescent="0.25">
      <c r="B1031" s="932"/>
      <c r="C1031" s="932"/>
      <c r="D1031" s="932"/>
      <c r="E1031" s="932"/>
      <c r="F1031" s="932"/>
      <c r="G1031" s="932"/>
      <c r="H1031" s="932"/>
      <c r="I1031" s="932"/>
      <c r="J1031" s="932"/>
      <c r="K1031" s="932"/>
      <c r="L1031" s="932"/>
      <c r="M1031" s="932"/>
      <c r="N1031" s="932"/>
      <c r="O1031" s="932"/>
      <c r="P1031" s="932"/>
      <c r="Q1031" s="932"/>
      <c r="R1031" s="932"/>
      <c r="S1031" s="932"/>
      <c r="T1031" s="932"/>
      <c r="U1031" s="932"/>
      <c r="V1031" s="932"/>
      <c r="W1031" s="932"/>
      <c r="X1031" s="932"/>
      <c r="Y1031" s="932"/>
      <c r="Z1031" s="932"/>
      <c r="AA1031" s="932"/>
      <c r="AB1031" s="932"/>
      <c r="AC1031" s="932"/>
      <c r="AD1031" s="932"/>
      <c r="AE1031" s="932"/>
      <c r="AF1031" s="932"/>
      <c r="AG1031" s="932"/>
      <c r="AH1031" s="932"/>
      <c r="AI1031" s="932"/>
      <c r="AJ1031" s="932"/>
      <c r="AK1031" s="932"/>
      <c r="AL1031" s="932"/>
      <c r="AM1031" s="932"/>
      <c r="AN1031" s="932"/>
      <c r="AO1031" s="932"/>
      <c r="AP1031" s="932"/>
      <c r="AQ1031" s="932"/>
      <c r="AR1031" s="932"/>
      <c r="AS1031" s="932"/>
      <c r="AT1031" s="932"/>
      <c r="AU1031" s="932"/>
      <c r="AV1031" s="932"/>
      <c r="AW1031" s="932"/>
      <c r="AX1031" s="932"/>
      <c r="AY1031" s="932"/>
      <c r="AZ1031" s="932"/>
      <c r="BA1031" s="932"/>
      <c r="BB1031" s="932"/>
      <c r="BC1031" s="932"/>
      <c r="BD1031" s="932"/>
      <c r="BE1031" s="932"/>
      <c r="BF1031" s="932"/>
    </row>
    <row r="1032" spans="2:58" ht="15" x14ac:dyDescent="0.25">
      <c r="B1032" s="932"/>
      <c r="C1032" s="932"/>
      <c r="D1032" s="932"/>
      <c r="E1032" s="932"/>
      <c r="F1032" s="932"/>
      <c r="G1032" s="932"/>
      <c r="H1032" s="932"/>
      <c r="I1032" s="932"/>
      <c r="J1032" s="932"/>
      <c r="K1032" s="932"/>
      <c r="L1032" s="932"/>
      <c r="M1032" s="932"/>
      <c r="N1032" s="932"/>
      <c r="O1032" s="932"/>
      <c r="P1032" s="932"/>
      <c r="Q1032" s="932"/>
      <c r="R1032" s="932"/>
      <c r="S1032" s="932"/>
      <c r="T1032" s="932"/>
      <c r="U1032" s="932"/>
      <c r="V1032" s="932"/>
      <c r="W1032" s="932"/>
      <c r="X1032" s="932"/>
      <c r="Y1032" s="932"/>
      <c r="Z1032" s="932"/>
      <c r="AA1032" s="932"/>
      <c r="AB1032" s="932"/>
      <c r="AC1032" s="932"/>
      <c r="AD1032" s="932"/>
      <c r="AE1032" s="932"/>
      <c r="AF1032" s="932"/>
      <c r="AG1032" s="932"/>
      <c r="AH1032" s="932"/>
      <c r="AI1032" s="932"/>
      <c r="AJ1032" s="932"/>
      <c r="AK1032" s="932"/>
      <c r="AL1032" s="932"/>
      <c r="AM1032" s="932"/>
      <c r="AN1032" s="932"/>
      <c r="AO1032" s="932"/>
      <c r="AP1032" s="932"/>
      <c r="AQ1032" s="932"/>
      <c r="AR1032" s="932"/>
      <c r="AS1032" s="932"/>
      <c r="AT1032" s="932"/>
      <c r="AU1032" s="932"/>
      <c r="AV1032" s="932"/>
      <c r="AW1032" s="932"/>
      <c r="AX1032" s="932"/>
      <c r="AY1032" s="932"/>
      <c r="AZ1032" s="932"/>
      <c r="BA1032" s="932"/>
      <c r="BB1032" s="932"/>
      <c r="BC1032" s="932"/>
      <c r="BD1032" s="932"/>
      <c r="BE1032" s="932"/>
      <c r="BF1032" s="932"/>
    </row>
    <row r="1033" spans="2:58" ht="15" x14ac:dyDescent="0.25">
      <c r="B1033" s="932"/>
      <c r="C1033" s="932"/>
      <c r="D1033" s="932"/>
      <c r="E1033" s="932"/>
      <c r="F1033" s="932"/>
      <c r="G1033" s="932"/>
      <c r="H1033" s="932"/>
      <c r="I1033" s="932"/>
      <c r="J1033" s="932"/>
      <c r="K1033" s="932"/>
      <c r="L1033" s="932"/>
      <c r="M1033" s="932"/>
      <c r="N1033" s="932"/>
      <c r="O1033" s="932"/>
      <c r="P1033" s="932"/>
      <c r="Q1033" s="932"/>
      <c r="R1033" s="932"/>
      <c r="S1033" s="932"/>
      <c r="T1033" s="932"/>
      <c r="U1033" s="932"/>
      <c r="V1033" s="932"/>
      <c r="W1033" s="932"/>
      <c r="X1033" s="932"/>
      <c r="Y1033" s="932"/>
      <c r="Z1033" s="932"/>
      <c r="AA1033" s="932"/>
      <c r="AB1033" s="932"/>
      <c r="AC1033" s="932"/>
      <c r="AD1033" s="932"/>
      <c r="AE1033" s="932"/>
      <c r="AF1033" s="932"/>
      <c r="AG1033" s="932"/>
      <c r="AH1033" s="932"/>
      <c r="AI1033" s="932"/>
      <c r="AJ1033" s="932"/>
      <c r="AK1033" s="932"/>
      <c r="AL1033" s="932"/>
      <c r="AM1033" s="932"/>
      <c r="AN1033" s="932"/>
      <c r="AO1033" s="932"/>
      <c r="AP1033" s="932"/>
      <c r="AQ1033" s="932"/>
      <c r="AR1033" s="932"/>
      <c r="AS1033" s="932"/>
      <c r="AT1033" s="932"/>
      <c r="AU1033" s="932"/>
      <c r="AV1033" s="932"/>
      <c r="AW1033" s="932"/>
      <c r="AX1033" s="932"/>
      <c r="AY1033" s="932"/>
      <c r="AZ1033" s="932"/>
      <c r="BA1033" s="932"/>
      <c r="BB1033" s="932"/>
      <c r="BC1033" s="932"/>
      <c r="BD1033" s="932"/>
      <c r="BE1033" s="932"/>
      <c r="BF1033" s="932"/>
    </row>
    <row r="1034" spans="2:58" ht="15" x14ac:dyDescent="0.25">
      <c r="B1034" s="932"/>
      <c r="C1034" s="932"/>
      <c r="D1034" s="932"/>
      <c r="E1034" s="932"/>
      <c r="F1034" s="932"/>
      <c r="G1034" s="932"/>
      <c r="H1034" s="932"/>
      <c r="I1034" s="932"/>
      <c r="J1034" s="932"/>
      <c r="K1034" s="932"/>
      <c r="L1034" s="932"/>
      <c r="M1034" s="932"/>
      <c r="N1034" s="932"/>
      <c r="O1034" s="932"/>
      <c r="P1034" s="932"/>
      <c r="Q1034" s="932"/>
      <c r="R1034" s="932"/>
      <c r="S1034" s="932"/>
      <c r="T1034" s="932"/>
      <c r="U1034" s="932"/>
      <c r="V1034" s="932"/>
      <c r="W1034" s="932"/>
      <c r="X1034" s="932"/>
      <c r="Y1034" s="932"/>
      <c r="Z1034" s="932"/>
      <c r="AA1034" s="932"/>
      <c r="AB1034" s="932"/>
      <c r="AC1034" s="932"/>
      <c r="AD1034" s="932"/>
      <c r="AE1034" s="932"/>
      <c r="AF1034" s="932"/>
      <c r="AG1034" s="932"/>
      <c r="AH1034" s="932"/>
      <c r="AI1034" s="932"/>
      <c r="AJ1034" s="932"/>
      <c r="AK1034" s="932"/>
      <c r="AL1034" s="932"/>
      <c r="AM1034" s="932"/>
      <c r="AN1034" s="932"/>
      <c r="AO1034" s="932"/>
      <c r="AP1034" s="932"/>
      <c r="AQ1034" s="932"/>
      <c r="AR1034" s="932"/>
      <c r="AS1034" s="932"/>
      <c r="AT1034" s="932"/>
      <c r="AU1034" s="932"/>
      <c r="AV1034" s="932"/>
      <c r="AW1034" s="932"/>
      <c r="AX1034" s="932"/>
      <c r="AY1034" s="932"/>
      <c r="AZ1034" s="932"/>
      <c r="BA1034" s="932"/>
      <c r="BB1034" s="932"/>
      <c r="BC1034" s="932"/>
      <c r="BD1034" s="932"/>
      <c r="BE1034" s="932"/>
      <c r="BF1034" s="932"/>
    </row>
    <row r="1035" spans="2:58" ht="15" x14ac:dyDescent="0.25">
      <c r="B1035" s="932"/>
      <c r="C1035" s="932"/>
      <c r="D1035" s="932"/>
      <c r="E1035" s="932"/>
      <c r="F1035" s="932"/>
      <c r="G1035" s="932"/>
      <c r="H1035" s="932"/>
      <c r="I1035" s="932"/>
      <c r="J1035" s="932"/>
      <c r="K1035" s="932"/>
      <c r="L1035" s="932"/>
      <c r="M1035" s="932"/>
      <c r="N1035" s="932"/>
      <c r="O1035" s="932"/>
      <c r="P1035" s="932"/>
      <c r="Q1035" s="932"/>
      <c r="R1035" s="932"/>
      <c r="S1035" s="932"/>
      <c r="T1035" s="932"/>
      <c r="U1035" s="932"/>
      <c r="V1035" s="932"/>
      <c r="W1035" s="932"/>
      <c r="X1035" s="932"/>
      <c r="Y1035" s="932"/>
      <c r="Z1035" s="932"/>
      <c r="AA1035" s="932"/>
      <c r="AB1035" s="932"/>
      <c r="AC1035" s="932"/>
      <c r="AD1035" s="932"/>
      <c r="AE1035" s="932"/>
      <c r="AF1035" s="932"/>
      <c r="AG1035" s="932"/>
      <c r="AH1035" s="932"/>
      <c r="AI1035" s="932"/>
      <c r="AJ1035" s="932"/>
      <c r="AK1035" s="932"/>
      <c r="AL1035" s="932"/>
      <c r="AM1035" s="932"/>
      <c r="AN1035" s="932"/>
      <c r="AO1035" s="932"/>
      <c r="AP1035" s="932"/>
      <c r="AQ1035" s="932"/>
      <c r="AR1035" s="932"/>
      <c r="AS1035" s="932"/>
      <c r="AT1035" s="932"/>
      <c r="AU1035" s="932"/>
      <c r="AV1035" s="932"/>
      <c r="AW1035" s="932"/>
      <c r="AX1035" s="932"/>
      <c r="AY1035" s="932"/>
      <c r="AZ1035" s="932"/>
      <c r="BA1035" s="932"/>
      <c r="BB1035" s="932"/>
      <c r="BC1035" s="932"/>
      <c r="BD1035" s="932"/>
      <c r="BE1035" s="932"/>
      <c r="BF1035" s="932"/>
    </row>
    <row r="1036" spans="2:58" ht="15" x14ac:dyDescent="0.25">
      <c r="B1036" s="932"/>
      <c r="C1036" s="932"/>
      <c r="D1036" s="932"/>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L1036" s="932"/>
      <c r="AM1036" s="932"/>
      <c r="AN1036" s="932"/>
      <c r="AO1036" s="932"/>
      <c r="AP1036" s="932"/>
      <c r="AQ1036" s="932"/>
      <c r="AR1036" s="932"/>
      <c r="AS1036" s="932"/>
      <c r="AT1036" s="932"/>
      <c r="AU1036" s="932"/>
      <c r="AV1036" s="932"/>
      <c r="AW1036" s="932"/>
      <c r="AX1036" s="932"/>
      <c r="AY1036" s="932"/>
      <c r="AZ1036" s="932"/>
      <c r="BA1036" s="932"/>
      <c r="BB1036" s="932"/>
      <c r="BC1036" s="932"/>
      <c r="BD1036" s="932"/>
      <c r="BE1036" s="932"/>
      <c r="BF1036" s="932"/>
    </row>
    <row r="1037" spans="2:58" ht="15" x14ac:dyDescent="0.25">
      <c r="B1037" s="932"/>
      <c r="C1037" s="932"/>
      <c r="D1037" s="932"/>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L1037" s="932"/>
      <c r="AM1037" s="932"/>
      <c r="AN1037" s="932"/>
      <c r="AO1037" s="932"/>
      <c r="AP1037" s="932"/>
      <c r="AQ1037" s="932"/>
      <c r="AR1037" s="932"/>
      <c r="AS1037" s="932"/>
      <c r="AT1037" s="932"/>
      <c r="AU1037" s="932"/>
      <c r="AV1037" s="932"/>
      <c r="AW1037" s="932"/>
      <c r="AX1037" s="932"/>
      <c r="AY1037" s="932"/>
      <c r="AZ1037" s="932"/>
      <c r="BA1037" s="932"/>
      <c r="BB1037" s="932"/>
      <c r="BC1037" s="932"/>
      <c r="BD1037" s="932"/>
      <c r="BE1037" s="932"/>
      <c r="BF1037" s="932"/>
    </row>
    <row r="1038" spans="2:58" ht="15" x14ac:dyDescent="0.25">
      <c r="B1038" s="932"/>
      <c r="C1038" s="932"/>
      <c r="D1038" s="932"/>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c r="AL1038" s="932"/>
      <c r="AM1038" s="932"/>
      <c r="AN1038" s="932"/>
      <c r="AO1038" s="932"/>
      <c r="AP1038" s="932"/>
      <c r="AQ1038" s="932"/>
      <c r="AR1038" s="932"/>
      <c r="AS1038" s="932"/>
      <c r="AT1038" s="932"/>
      <c r="AU1038" s="932"/>
      <c r="AV1038" s="932"/>
      <c r="AW1038" s="932"/>
      <c r="AX1038" s="932"/>
      <c r="AY1038" s="932"/>
      <c r="AZ1038" s="932"/>
      <c r="BA1038" s="932"/>
      <c r="BB1038" s="932"/>
      <c r="BC1038" s="932"/>
      <c r="BD1038" s="932"/>
      <c r="BE1038" s="932"/>
      <c r="BF1038" s="932"/>
    </row>
    <row r="1039" spans="2:58" ht="15" x14ac:dyDescent="0.25">
      <c r="B1039" s="932"/>
      <c r="C1039" s="932"/>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c r="AL1039" s="932"/>
      <c r="AM1039" s="932"/>
      <c r="AN1039" s="932"/>
      <c r="AO1039" s="932"/>
      <c r="AP1039" s="932"/>
      <c r="AQ1039" s="932"/>
      <c r="AR1039" s="932"/>
      <c r="AS1039" s="932"/>
      <c r="AT1039" s="932"/>
      <c r="AU1039" s="932"/>
      <c r="AV1039" s="932"/>
      <c r="AW1039" s="932"/>
      <c r="AX1039" s="932"/>
      <c r="AY1039" s="932"/>
      <c r="AZ1039" s="932"/>
      <c r="BA1039" s="932"/>
      <c r="BB1039" s="932"/>
      <c r="BC1039" s="932"/>
      <c r="BD1039" s="932"/>
      <c r="BE1039" s="932"/>
      <c r="BF1039" s="932"/>
    </row>
    <row r="1040" spans="2:58" ht="15" x14ac:dyDescent="0.25">
      <c r="B1040" s="932"/>
      <c r="C1040" s="932"/>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c r="AL1040" s="932"/>
      <c r="AM1040" s="932"/>
      <c r="AN1040" s="932"/>
      <c r="AO1040" s="932"/>
      <c r="AP1040" s="932"/>
      <c r="AQ1040" s="932"/>
      <c r="AR1040" s="932"/>
      <c r="AS1040" s="932"/>
      <c r="AT1040" s="932"/>
      <c r="AU1040" s="932"/>
      <c r="AV1040" s="932"/>
      <c r="AW1040" s="932"/>
      <c r="AX1040" s="932"/>
      <c r="AY1040" s="932"/>
      <c r="AZ1040" s="932"/>
      <c r="BA1040" s="932"/>
      <c r="BB1040" s="932"/>
      <c r="BC1040" s="932"/>
      <c r="BD1040" s="932"/>
      <c r="BE1040" s="932"/>
      <c r="BF1040" s="932"/>
    </row>
    <row r="1041" spans="2:58" ht="15" x14ac:dyDescent="0.25">
      <c r="B1041" s="932"/>
      <c r="C1041" s="932"/>
      <c r="D1041" s="932"/>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c r="AL1041" s="932"/>
      <c r="AM1041" s="932"/>
      <c r="AN1041" s="932"/>
      <c r="AO1041" s="932"/>
      <c r="AP1041" s="932"/>
      <c r="AQ1041" s="932"/>
      <c r="AR1041" s="932"/>
      <c r="AS1041" s="932"/>
      <c r="AT1041" s="932"/>
      <c r="AU1041" s="932"/>
      <c r="AV1041" s="932"/>
      <c r="AW1041" s="932"/>
      <c r="AX1041" s="932"/>
      <c r="AY1041" s="932"/>
      <c r="AZ1041" s="932"/>
      <c r="BA1041" s="932"/>
      <c r="BB1041" s="932"/>
      <c r="BC1041" s="932"/>
      <c r="BD1041" s="932"/>
      <c r="BE1041" s="932"/>
      <c r="BF1041" s="932"/>
    </row>
    <row r="1042" spans="2:58" ht="15" x14ac:dyDescent="0.25">
      <c r="B1042" s="932"/>
      <c r="C1042" s="932"/>
      <c r="D1042" s="932"/>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c r="AL1042" s="932"/>
      <c r="AM1042" s="932"/>
      <c r="AN1042" s="932"/>
      <c r="AO1042" s="932"/>
      <c r="AP1042" s="932"/>
      <c r="AQ1042" s="932"/>
      <c r="AR1042" s="932"/>
      <c r="AS1042" s="932"/>
      <c r="AT1042" s="932"/>
      <c r="AU1042" s="932"/>
      <c r="AV1042" s="932"/>
      <c r="AW1042" s="932"/>
      <c r="AX1042" s="932"/>
      <c r="AY1042" s="932"/>
      <c r="AZ1042" s="932"/>
      <c r="BA1042" s="932"/>
      <c r="BB1042" s="932"/>
      <c r="BC1042" s="932"/>
      <c r="BD1042" s="932"/>
      <c r="BE1042" s="932"/>
      <c r="BF1042" s="932"/>
    </row>
    <row r="1043" spans="2:58" ht="15" x14ac:dyDescent="0.25">
      <c r="B1043" s="932"/>
      <c r="C1043" s="932"/>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c r="AL1043" s="932"/>
      <c r="AM1043" s="932"/>
      <c r="AN1043" s="932"/>
      <c r="AO1043" s="932"/>
      <c r="AP1043" s="932"/>
      <c r="AQ1043" s="932"/>
      <c r="AR1043" s="932"/>
      <c r="AS1043" s="932"/>
      <c r="AT1043" s="932"/>
      <c r="AU1043" s="932"/>
      <c r="AV1043" s="932"/>
      <c r="AW1043" s="932"/>
      <c r="AX1043" s="932"/>
      <c r="AY1043" s="932"/>
      <c r="AZ1043" s="932"/>
      <c r="BA1043" s="932"/>
      <c r="BB1043" s="932"/>
      <c r="BC1043" s="932"/>
      <c r="BD1043" s="932"/>
      <c r="BE1043" s="932"/>
      <c r="BF1043" s="932"/>
    </row>
    <row r="1044" spans="2:58" ht="15" x14ac:dyDescent="0.25">
      <c r="B1044" s="932"/>
      <c r="C1044" s="932"/>
      <c r="D1044" s="932"/>
      <c r="E1044" s="932"/>
      <c r="F1044" s="932"/>
      <c r="G1044" s="932"/>
      <c r="H1044" s="932"/>
      <c r="I1044" s="932"/>
      <c r="J1044" s="932"/>
      <c r="K1044" s="932"/>
      <c r="L1044" s="932"/>
      <c r="M1044" s="932"/>
      <c r="N1044" s="932"/>
      <c r="O1044" s="932"/>
      <c r="P1044" s="932"/>
      <c r="Q1044" s="932"/>
      <c r="R1044" s="932"/>
      <c r="S1044" s="932"/>
      <c r="T1044" s="932"/>
      <c r="U1044" s="932"/>
      <c r="V1044" s="932"/>
      <c r="W1044" s="932"/>
      <c r="X1044" s="932"/>
      <c r="Y1044" s="932"/>
      <c r="Z1044" s="932"/>
      <c r="AA1044" s="932"/>
      <c r="AB1044" s="932"/>
      <c r="AC1044" s="932"/>
      <c r="AD1044" s="932"/>
      <c r="AE1044" s="932"/>
      <c r="AF1044" s="932"/>
      <c r="AG1044" s="932"/>
      <c r="AH1044" s="932"/>
      <c r="AI1044" s="932"/>
      <c r="AJ1044" s="932"/>
      <c r="AK1044" s="932"/>
      <c r="AL1044" s="932"/>
      <c r="AM1044" s="932"/>
      <c r="AN1044" s="932"/>
      <c r="AO1044" s="932"/>
      <c r="AP1044" s="932"/>
      <c r="AQ1044" s="932"/>
      <c r="AR1044" s="932"/>
      <c r="AS1044" s="932"/>
      <c r="AT1044" s="932"/>
      <c r="AU1044" s="932"/>
      <c r="AV1044" s="932"/>
      <c r="AW1044" s="932"/>
      <c r="AX1044" s="932"/>
      <c r="AY1044" s="932"/>
      <c r="AZ1044" s="932"/>
      <c r="BA1044" s="932"/>
      <c r="BB1044" s="932"/>
      <c r="BC1044" s="932"/>
      <c r="BD1044" s="932"/>
      <c r="BE1044" s="932"/>
      <c r="BF1044" s="932"/>
    </row>
    <row r="1045" spans="2:58" ht="15" x14ac:dyDescent="0.25">
      <c r="B1045" s="932"/>
      <c r="C1045" s="932"/>
      <c r="D1045" s="932"/>
      <c r="E1045" s="932"/>
      <c r="F1045" s="932"/>
      <c r="G1045" s="932"/>
      <c r="H1045" s="932"/>
      <c r="I1045" s="932"/>
      <c r="J1045" s="932"/>
      <c r="K1045" s="932"/>
      <c r="L1045" s="932"/>
      <c r="M1045" s="932"/>
      <c r="N1045" s="932"/>
      <c r="O1045" s="932"/>
      <c r="P1045" s="932"/>
      <c r="Q1045" s="932"/>
      <c r="R1045" s="932"/>
      <c r="S1045" s="932"/>
      <c r="T1045" s="932"/>
      <c r="U1045" s="932"/>
      <c r="V1045" s="932"/>
      <c r="W1045" s="932"/>
      <c r="X1045" s="932"/>
      <c r="Y1045" s="932"/>
      <c r="Z1045" s="932"/>
      <c r="AA1045" s="932"/>
      <c r="AB1045" s="932"/>
      <c r="AC1045" s="932"/>
      <c r="AD1045" s="932"/>
      <c r="AE1045" s="932"/>
      <c r="AF1045" s="932"/>
      <c r="AG1045" s="932"/>
      <c r="AH1045" s="932"/>
      <c r="AI1045" s="932"/>
      <c r="AJ1045" s="932"/>
      <c r="AK1045" s="932"/>
      <c r="AL1045" s="932"/>
      <c r="AM1045" s="932"/>
      <c r="AN1045" s="932"/>
      <c r="AO1045" s="932"/>
      <c r="AP1045" s="932"/>
      <c r="AQ1045" s="932"/>
      <c r="AR1045" s="932"/>
      <c r="AS1045" s="932"/>
      <c r="AT1045" s="932"/>
      <c r="AU1045" s="932"/>
      <c r="AV1045" s="932"/>
      <c r="AW1045" s="932"/>
      <c r="AX1045" s="932"/>
      <c r="AY1045" s="932"/>
      <c r="AZ1045" s="932"/>
      <c r="BA1045" s="932"/>
      <c r="BB1045" s="932"/>
      <c r="BC1045" s="932"/>
      <c r="BD1045" s="932"/>
      <c r="BE1045" s="932"/>
      <c r="BF1045" s="932"/>
    </row>
    <row r="1046" spans="2:58" ht="15" x14ac:dyDescent="0.25">
      <c r="B1046" s="932"/>
      <c r="C1046" s="932"/>
      <c r="D1046" s="932"/>
      <c r="E1046" s="932"/>
      <c r="F1046" s="932"/>
      <c r="G1046" s="932"/>
      <c r="H1046" s="932"/>
      <c r="I1046" s="932"/>
      <c r="J1046" s="932"/>
      <c r="K1046" s="932"/>
      <c r="L1046" s="932"/>
      <c r="M1046" s="932"/>
      <c r="N1046" s="932"/>
      <c r="O1046" s="932"/>
      <c r="P1046" s="932"/>
      <c r="Q1046" s="932"/>
      <c r="R1046" s="932"/>
      <c r="S1046" s="932"/>
      <c r="T1046" s="932"/>
      <c r="U1046" s="932"/>
      <c r="V1046" s="932"/>
      <c r="W1046" s="932"/>
      <c r="X1046" s="932"/>
      <c r="Y1046" s="932"/>
      <c r="Z1046" s="932"/>
      <c r="AA1046" s="932"/>
      <c r="AB1046" s="932"/>
      <c r="AC1046" s="932"/>
      <c r="AD1046" s="932"/>
      <c r="AE1046" s="932"/>
      <c r="AF1046" s="932"/>
      <c r="AG1046" s="932"/>
      <c r="AH1046" s="932"/>
      <c r="AI1046" s="932"/>
      <c r="AJ1046" s="932"/>
      <c r="AK1046" s="932"/>
      <c r="AL1046" s="932"/>
      <c r="AM1046" s="932"/>
      <c r="AN1046" s="932"/>
      <c r="AO1046" s="932"/>
      <c r="AP1046" s="932"/>
      <c r="AQ1046" s="932"/>
      <c r="AR1046" s="932"/>
      <c r="AS1046" s="932"/>
      <c r="AT1046" s="932"/>
      <c r="AU1046" s="932"/>
      <c r="AV1046" s="932"/>
      <c r="AW1046" s="932"/>
      <c r="AX1046" s="932"/>
      <c r="AY1046" s="932"/>
      <c r="AZ1046" s="932"/>
      <c r="BA1046" s="932"/>
      <c r="BB1046" s="932"/>
      <c r="BC1046" s="932"/>
      <c r="BD1046" s="932"/>
      <c r="BE1046" s="932"/>
      <c r="BF1046" s="932"/>
    </row>
    <row r="1047" spans="2:58" ht="15" x14ac:dyDescent="0.25">
      <c r="B1047" s="932"/>
      <c r="C1047" s="932"/>
      <c r="D1047" s="932"/>
      <c r="E1047" s="932"/>
      <c r="F1047" s="932"/>
      <c r="G1047" s="932"/>
      <c r="H1047" s="932"/>
      <c r="I1047" s="932"/>
      <c r="J1047" s="932"/>
      <c r="K1047" s="932"/>
      <c r="L1047" s="932"/>
      <c r="M1047" s="932"/>
      <c r="N1047" s="932"/>
      <c r="O1047" s="932"/>
      <c r="P1047" s="932"/>
      <c r="Q1047" s="932"/>
      <c r="R1047" s="932"/>
      <c r="S1047" s="932"/>
      <c r="T1047" s="932"/>
      <c r="U1047" s="932"/>
      <c r="V1047" s="932"/>
      <c r="W1047" s="932"/>
      <c r="X1047" s="932"/>
      <c r="Y1047" s="932"/>
      <c r="Z1047" s="932"/>
      <c r="AA1047" s="932"/>
      <c r="AB1047" s="932"/>
      <c r="AC1047" s="932"/>
      <c r="AD1047" s="932"/>
      <c r="AE1047" s="932"/>
      <c r="AF1047" s="932"/>
      <c r="AG1047" s="932"/>
      <c r="AH1047" s="932"/>
      <c r="AI1047" s="932"/>
      <c r="AJ1047" s="932"/>
      <c r="AK1047" s="932"/>
      <c r="AL1047" s="932"/>
      <c r="AM1047" s="932"/>
      <c r="AN1047" s="932"/>
      <c r="AO1047" s="932"/>
      <c r="AP1047" s="932"/>
      <c r="AQ1047" s="932"/>
      <c r="AR1047" s="932"/>
      <c r="AS1047" s="932"/>
      <c r="AT1047" s="932"/>
      <c r="AU1047" s="932"/>
      <c r="AV1047" s="932"/>
      <c r="AW1047" s="932"/>
      <c r="AX1047" s="932"/>
      <c r="AY1047" s="932"/>
      <c r="AZ1047" s="932"/>
      <c r="BA1047" s="932"/>
      <c r="BB1047" s="932"/>
      <c r="BC1047" s="932"/>
      <c r="BD1047" s="932"/>
      <c r="BE1047" s="932"/>
      <c r="BF1047" s="932"/>
    </row>
    <row r="1048" spans="2:58" ht="15" x14ac:dyDescent="0.25">
      <c r="B1048" s="932"/>
      <c r="C1048" s="932"/>
      <c r="D1048" s="932"/>
      <c r="E1048" s="932"/>
      <c r="F1048" s="932"/>
      <c r="G1048" s="932"/>
      <c r="H1048" s="932"/>
      <c r="I1048" s="932"/>
      <c r="J1048" s="932"/>
      <c r="K1048" s="932"/>
      <c r="L1048" s="932"/>
      <c r="M1048" s="932"/>
      <c r="N1048" s="932"/>
      <c r="O1048" s="932"/>
      <c r="P1048" s="932"/>
      <c r="Q1048" s="932"/>
      <c r="R1048" s="932"/>
      <c r="S1048" s="932"/>
      <c r="T1048" s="932"/>
      <c r="U1048" s="932"/>
      <c r="V1048" s="932"/>
      <c r="W1048" s="932"/>
      <c r="X1048" s="932"/>
      <c r="Y1048" s="932"/>
      <c r="Z1048" s="932"/>
      <c r="AA1048" s="932"/>
      <c r="AB1048" s="932"/>
      <c r="AC1048" s="932"/>
      <c r="AD1048" s="932"/>
      <c r="AE1048" s="932"/>
      <c r="AF1048" s="932"/>
      <c r="AG1048" s="932"/>
      <c r="AH1048" s="932"/>
      <c r="AI1048" s="932"/>
      <c r="AJ1048" s="932"/>
      <c r="AK1048" s="932"/>
      <c r="AL1048" s="932"/>
      <c r="AM1048" s="932"/>
      <c r="AN1048" s="932"/>
      <c r="AO1048" s="932"/>
      <c r="AP1048" s="932"/>
      <c r="AQ1048" s="932"/>
      <c r="AR1048" s="932"/>
      <c r="AS1048" s="932"/>
      <c r="AT1048" s="932"/>
      <c r="AU1048" s="932"/>
      <c r="AV1048" s="932"/>
      <c r="AW1048" s="932"/>
      <c r="AX1048" s="932"/>
      <c r="AY1048" s="932"/>
      <c r="AZ1048" s="932"/>
      <c r="BA1048" s="932"/>
      <c r="BB1048" s="932"/>
      <c r="BC1048" s="932"/>
      <c r="BD1048" s="932"/>
      <c r="BE1048" s="932"/>
      <c r="BF1048" s="932"/>
    </row>
    <row r="1049" spans="2:58" ht="15" x14ac:dyDescent="0.25">
      <c r="B1049" s="932"/>
      <c r="C1049" s="932"/>
      <c r="D1049" s="932"/>
      <c r="E1049" s="932"/>
      <c r="F1049" s="932"/>
      <c r="G1049" s="932"/>
      <c r="H1049" s="932"/>
      <c r="I1049" s="932"/>
      <c r="J1049" s="932"/>
      <c r="K1049" s="932"/>
      <c r="L1049" s="932"/>
      <c r="M1049" s="932"/>
      <c r="N1049" s="932"/>
      <c r="O1049" s="932"/>
      <c r="P1049" s="932"/>
      <c r="Q1049" s="932"/>
      <c r="R1049" s="932"/>
      <c r="S1049" s="932"/>
      <c r="T1049" s="932"/>
      <c r="U1049" s="932"/>
      <c r="V1049" s="932"/>
      <c r="W1049" s="932"/>
      <c r="X1049" s="932"/>
      <c r="Y1049" s="932"/>
      <c r="Z1049" s="932"/>
      <c r="AA1049" s="932"/>
      <c r="AB1049" s="932"/>
      <c r="AC1049" s="932"/>
      <c r="AD1049" s="932"/>
      <c r="AE1049" s="932"/>
      <c r="AF1049" s="932"/>
      <c r="AG1049" s="932"/>
      <c r="AH1049" s="932"/>
      <c r="AI1049" s="932"/>
      <c r="AJ1049" s="932"/>
      <c r="AK1049" s="932"/>
      <c r="AL1049" s="932"/>
      <c r="AM1049" s="932"/>
      <c r="AN1049" s="932"/>
      <c r="AO1049" s="932"/>
      <c r="AP1049" s="932"/>
      <c r="AQ1049" s="932"/>
      <c r="AR1049" s="932"/>
      <c r="AS1049" s="932"/>
      <c r="AT1049" s="932"/>
      <c r="AU1049" s="932"/>
      <c r="AV1049" s="932"/>
      <c r="AW1049" s="932"/>
      <c r="AX1049" s="932"/>
      <c r="AY1049" s="932"/>
      <c r="AZ1049" s="932"/>
      <c r="BA1049" s="932"/>
      <c r="BB1049" s="932"/>
      <c r="BC1049" s="932"/>
      <c r="BD1049" s="932"/>
      <c r="BE1049" s="932"/>
      <c r="BF1049" s="932"/>
    </row>
    <row r="1050" spans="2:58" ht="15" x14ac:dyDescent="0.25">
      <c r="B1050" s="932"/>
      <c r="C1050" s="932"/>
      <c r="D1050" s="932"/>
      <c r="E1050" s="932"/>
      <c r="F1050" s="932"/>
      <c r="G1050" s="932"/>
      <c r="H1050" s="932"/>
      <c r="I1050" s="932"/>
      <c r="J1050" s="932"/>
      <c r="K1050" s="932"/>
      <c r="L1050" s="932"/>
      <c r="M1050" s="932"/>
      <c r="N1050" s="932"/>
      <c r="O1050" s="932"/>
      <c r="P1050" s="932"/>
      <c r="Q1050" s="932"/>
      <c r="R1050" s="932"/>
      <c r="S1050" s="932"/>
      <c r="T1050" s="932"/>
      <c r="U1050" s="932"/>
      <c r="V1050" s="932"/>
      <c r="W1050" s="932"/>
      <c r="X1050" s="932"/>
      <c r="Y1050" s="932"/>
      <c r="Z1050" s="932"/>
      <c r="AA1050" s="932"/>
      <c r="AB1050" s="932"/>
      <c r="AC1050" s="932"/>
      <c r="AD1050" s="932"/>
      <c r="AE1050" s="932"/>
      <c r="AF1050" s="932"/>
      <c r="AG1050" s="932"/>
      <c r="AH1050" s="932"/>
      <c r="AI1050" s="932"/>
      <c r="AJ1050" s="932"/>
      <c r="AK1050" s="932"/>
      <c r="AL1050" s="932"/>
      <c r="AM1050" s="932"/>
      <c r="AN1050" s="932"/>
      <c r="AO1050" s="932"/>
      <c r="AP1050" s="932"/>
      <c r="AQ1050" s="932"/>
      <c r="AR1050" s="932"/>
      <c r="AS1050" s="932"/>
      <c r="AT1050" s="932"/>
      <c r="AU1050" s="932"/>
      <c r="AV1050" s="932"/>
      <c r="AW1050" s="932"/>
      <c r="AX1050" s="932"/>
      <c r="AY1050" s="932"/>
      <c r="AZ1050" s="932"/>
      <c r="BA1050" s="932"/>
      <c r="BB1050" s="932"/>
      <c r="BC1050" s="932"/>
      <c r="BD1050" s="932"/>
      <c r="BE1050" s="932"/>
      <c r="BF1050" s="932"/>
    </row>
    <row r="1051" spans="2:58" ht="15" x14ac:dyDescent="0.25">
      <c r="B1051" s="932"/>
      <c r="C1051" s="932"/>
      <c r="D1051" s="932"/>
      <c r="E1051" s="932"/>
      <c r="F1051" s="932"/>
      <c r="G1051" s="932"/>
      <c r="H1051" s="932"/>
      <c r="I1051" s="932"/>
      <c r="J1051" s="932"/>
      <c r="K1051" s="932"/>
      <c r="L1051" s="932"/>
      <c r="M1051" s="932"/>
      <c r="N1051" s="932"/>
      <c r="O1051" s="932"/>
      <c r="P1051" s="932"/>
      <c r="Q1051" s="932"/>
      <c r="R1051" s="932"/>
      <c r="S1051" s="932"/>
      <c r="T1051" s="932"/>
      <c r="U1051" s="932"/>
      <c r="V1051" s="932"/>
      <c r="W1051" s="932"/>
      <c r="X1051" s="932"/>
      <c r="Y1051" s="932"/>
      <c r="Z1051" s="932"/>
      <c r="AA1051" s="932"/>
      <c r="AB1051" s="932"/>
      <c r="AC1051" s="932"/>
      <c r="AD1051" s="932"/>
      <c r="AE1051" s="932"/>
      <c r="AF1051" s="932"/>
      <c r="AG1051" s="932"/>
      <c r="AH1051" s="932"/>
      <c r="AI1051" s="932"/>
      <c r="AJ1051" s="932"/>
      <c r="AK1051" s="932"/>
      <c r="AL1051" s="932"/>
      <c r="AM1051" s="932"/>
      <c r="AN1051" s="932"/>
      <c r="AO1051" s="932"/>
      <c r="AP1051" s="932"/>
      <c r="AQ1051" s="932"/>
      <c r="AR1051" s="932"/>
      <c r="AS1051" s="932"/>
      <c r="AT1051" s="932"/>
      <c r="AU1051" s="932"/>
      <c r="AV1051" s="932"/>
      <c r="AW1051" s="932"/>
      <c r="AX1051" s="932"/>
      <c r="AY1051" s="932"/>
      <c r="AZ1051" s="932"/>
      <c r="BA1051" s="932"/>
      <c r="BB1051" s="932"/>
      <c r="BC1051" s="932"/>
      <c r="BD1051" s="932"/>
      <c r="BE1051" s="932"/>
      <c r="BF1051" s="932"/>
    </row>
    <row r="1052" spans="2:58" ht="15" x14ac:dyDescent="0.25">
      <c r="B1052" s="932"/>
      <c r="C1052" s="932"/>
      <c r="D1052" s="932"/>
      <c r="E1052" s="932"/>
      <c r="F1052" s="932"/>
      <c r="G1052" s="932"/>
      <c r="H1052" s="932"/>
      <c r="I1052" s="932"/>
      <c r="J1052" s="932"/>
      <c r="K1052" s="932"/>
      <c r="L1052" s="932"/>
      <c r="M1052" s="932"/>
      <c r="N1052" s="932"/>
      <c r="O1052" s="932"/>
      <c r="P1052" s="932"/>
      <c r="Q1052" s="932"/>
      <c r="R1052" s="932"/>
      <c r="S1052" s="932"/>
      <c r="T1052" s="932"/>
      <c r="U1052" s="932"/>
      <c r="V1052" s="932"/>
      <c r="W1052" s="932"/>
      <c r="X1052" s="932"/>
      <c r="Y1052" s="932"/>
      <c r="Z1052" s="932"/>
      <c r="AA1052" s="932"/>
      <c r="AB1052" s="932"/>
      <c r="AC1052" s="932"/>
      <c r="AD1052" s="932"/>
      <c r="AE1052" s="932"/>
      <c r="AF1052" s="932"/>
      <c r="AG1052" s="932"/>
      <c r="AH1052" s="932"/>
      <c r="AI1052" s="932"/>
      <c r="AJ1052" s="932"/>
      <c r="AK1052" s="932"/>
      <c r="AL1052" s="932"/>
      <c r="AM1052" s="932"/>
      <c r="AN1052" s="932"/>
      <c r="AO1052" s="932"/>
      <c r="AP1052" s="932"/>
      <c r="AQ1052" s="932"/>
      <c r="AR1052" s="932"/>
      <c r="AS1052" s="932"/>
      <c r="AT1052" s="932"/>
      <c r="AU1052" s="932"/>
      <c r="AV1052" s="932"/>
      <c r="AW1052" s="932"/>
      <c r="AX1052" s="932"/>
      <c r="AY1052" s="932"/>
      <c r="AZ1052" s="932"/>
      <c r="BA1052" s="932"/>
      <c r="BB1052" s="932"/>
      <c r="BC1052" s="932"/>
      <c r="BD1052" s="932"/>
      <c r="BE1052" s="932"/>
      <c r="BF1052" s="932"/>
    </row>
    <row r="1053" spans="2:58" ht="15" x14ac:dyDescent="0.25">
      <c r="B1053" s="932"/>
      <c r="C1053" s="932"/>
      <c r="D1053" s="932"/>
      <c r="E1053" s="932"/>
      <c r="F1053" s="932"/>
      <c r="G1053" s="932"/>
      <c r="H1053" s="932"/>
      <c r="I1053" s="932"/>
      <c r="J1053" s="932"/>
      <c r="K1053" s="932"/>
      <c r="L1053" s="932"/>
      <c r="M1053" s="932"/>
      <c r="N1053" s="932"/>
      <c r="O1053" s="932"/>
      <c r="P1053" s="932"/>
      <c r="Q1053" s="932"/>
      <c r="R1053" s="932"/>
      <c r="S1053" s="932"/>
      <c r="T1053" s="932"/>
      <c r="U1053" s="932"/>
      <c r="V1053" s="932"/>
      <c r="W1053" s="932"/>
      <c r="X1053" s="932"/>
      <c r="Y1053" s="932"/>
      <c r="Z1053" s="932"/>
      <c r="AA1053" s="932"/>
      <c r="AB1053" s="932"/>
      <c r="AC1053" s="932"/>
      <c r="AD1053" s="932"/>
      <c r="AE1053" s="932"/>
      <c r="AF1053" s="932"/>
      <c r="AG1053" s="932"/>
      <c r="AH1053" s="932"/>
      <c r="AI1053" s="932"/>
      <c r="AJ1053" s="932"/>
      <c r="AK1053" s="932"/>
      <c r="AL1053" s="932"/>
      <c r="AM1053" s="932"/>
      <c r="AN1053" s="932"/>
      <c r="AO1053" s="932"/>
      <c r="AP1053" s="932"/>
      <c r="AQ1053" s="932"/>
      <c r="AR1053" s="932"/>
      <c r="AS1053" s="932"/>
      <c r="AT1053" s="932"/>
      <c r="AU1053" s="932"/>
      <c r="AV1053" s="932"/>
      <c r="AW1053" s="932"/>
      <c r="AX1053" s="932"/>
      <c r="AY1053" s="932"/>
      <c r="AZ1053" s="932"/>
      <c r="BA1053" s="932"/>
      <c r="BB1053" s="932"/>
      <c r="BC1053" s="932"/>
      <c r="BD1053" s="932"/>
      <c r="BE1053" s="932"/>
      <c r="BF1053" s="932"/>
    </row>
    <row r="1054" spans="2:58" ht="15" x14ac:dyDescent="0.25">
      <c r="B1054" s="932"/>
      <c r="C1054" s="932"/>
      <c r="D1054" s="932"/>
      <c r="E1054" s="932"/>
      <c r="F1054" s="932"/>
      <c r="G1054" s="932"/>
      <c r="H1054" s="932"/>
      <c r="I1054" s="932"/>
      <c r="J1054" s="932"/>
      <c r="K1054" s="932"/>
      <c r="L1054" s="932"/>
      <c r="M1054" s="932"/>
      <c r="N1054" s="932"/>
      <c r="O1054" s="932"/>
      <c r="P1054" s="932"/>
      <c r="Q1054" s="932"/>
      <c r="R1054" s="932"/>
      <c r="S1054" s="932"/>
      <c r="T1054" s="932"/>
      <c r="U1054" s="932"/>
      <c r="V1054" s="932"/>
      <c r="W1054" s="932"/>
      <c r="X1054" s="932"/>
      <c r="Y1054" s="932"/>
      <c r="Z1054" s="932"/>
      <c r="AA1054" s="932"/>
      <c r="AB1054" s="932"/>
      <c r="AC1054" s="932"/>
      <c r="AD1054" s="932"/>
      <c r="AE1054" s="932"/>
      <c r="AF1054" s="932"/>
      <c r="AG1054" s="932"/>
      <c r="AH1054" s="932"/>
      <c r="AI1054" s="932"/>
      <c r="AJ1054" s="932"/>
      <c r="AK1054" s="932"/>
      <c r="AL1054" s="932"/>
      <c r="AM1054" s="932"/>
      <c r="AN1054" s="932"/>
      <c r="AO1054" s="932"/>
      <c r="AP1054" s="932"/>
      <c r="AQ1054" s="932"/>
      <c r="AR1054" s="932"/>
      <c r="AS1054" s="932"/>
      <c r="AT1054" s="932"/>
      <c r="AU1054" s="932"/>
      <c r="AV1054" s="932"/>
      <c r="AW1054" s="932"/>
      <c r="AX1054" s="932"/>
      <c r="AY1054" s="932"/>
      <c r="AZ1054" s="932"/>
      <c r="BA1054" s="932"/>
      <c r="BB1054" s="932"/>
      <c r="BC1054" s="932"/>
      <c r="BD1054" s="932"/>
      <c r="BE1054" s="932"/>
      <c r="BF1054" s="932"/>
    </row>
    <row r="1055" spans="2:58" ht="15" x14ac:dyDescent="0.25">
      <c r="B1055" s="932"/>
      <c r="C1055" s="932"/>
      <c r="D1055" s="932"/>
      <c r="E1055" s="932"/>
      <c r="F1055" s="932"/>
      <c r="G1055" s="932"/>
      <c r="H1055" s="932"/>
      <c r="I1055" s="932"/>
      <c r="J1055" s="932"/>
      <c r="K1055" s="932"/>
      <c r="L1055" s="932"/>
      <c r="M1055" s="932"/>
      <c r="N1055" s="932"/>
      <c r="O1055" s="932"/>
      <c r="P1055" s="932"/>
      <c r="Q1055" s="932"/>
      <c r="R1055" s="932"/>
      <c r="S1055" s="932"/>
      <c r="T1055" s="932"/>
      <c r="U1055" s="932"/>
      <c r="V1055" s="932"/>
      <c r="W1055" s="932"/>
      <c r="X1055" s="932"/>
      <c r="Y1055" s="932"/>
      <c r="Z1055" s="932"/>
      <c r="AA1055" s="932"/>
      <c r="AB1055" s="932"/>
      <c r="AC1055" s="932"/>
      <c r="AD1055" s="932"/>
      <c r="AE1055" s="932"/>
      <c r="AF1055" s="932"/>
      <c r="AG1055" s="932"/>
      <c r="AH1055" s="932"/>
      <c r="AI1055" s="932"/>
      <c r="AJ1055" s="932"/>
      <c r="AK1055" s="932"/>
      <c r="AL1055" s="932"/>
      <c r="AM1055" s="932"/>
      <c r="AN1055" s="932"/>
      <c r="AO1055" s="932"/>
      <c r="AP1055" s="932"/>
      <c r="AQ1055" s="932"/>
      <c r="AR1055" s="932"/>
      <c r="AS1055" s="932"/>
      <c r="AT1055" s="932"/>
      <c r="AU1055" s="932"/>
      <c r="AV1055" s="932"/>
      <c r="AW1055" s="932"/>
      <c r="AX1055" s="932"/>
      <c r="AY1055" s="932"/>
      <c r="AZ1055" s="932"/>
      <c r="BA1055" s="932"/>
      <c r="BB1055" s="932"/>
      <c r="BC1055" s="932"/>
      <c r="BD1055" s="932"/>
      <c r="BE1055" s="932"/>
      <c r="BF1055" s="932"/>
    </row>
    <row r="1056" spans="2:58" ht="15" x14ac:dyDescent="0.25">
      <c r="B1056" s="932"/>
      <c r="C1056" s="932"/>
      <c r="D1056" s="932"/>
      <c r="E1056" s="932"/>
      <c r="F1056" s="932"/>
      <c r="G1056" s="932"/>
      <c r="H1056" s="932"/>
      <c r="I1056" s="932"/>
      <c r="J1056" s="932"/>
      <c r="K1056" s="932"/>
      <c r="L1056" s="932"/>
      <c r="M1056" s="932"/>
      <c r="N1056" s="932"/>
      <c r="O1056" s="932"/>
      <c r="P1056" s="932"/>
      <c r="Q1056" s="932"/>
      <c r="R1056" s="932"/>
      <c r="S1056" s="932"/>
      <c r="T1056" s="932"/>
      <c r="U1056" s="932"/>
      <c r="V1056" s="932"/>
      <c r="W1056" s="932"/>
      <c r="X1056" s="932"/>
      <c r="Y1056" s="932"/>
      <c r="Z1056" s="932"/>
      <c r="AA1056" s="932"/>
      <c r="AB1056" s="932"/>
      <c r="AC1056" s="932"/>
      <c r="AD1056" s="932"/>
      <c r="AE1056" s="932"/>
      <c r="AF1056" s="932"/>
      <c r="AG1056" s="932"/>
      <c r="AH1056" s="932"/>
      <c r="AI1056" s="932"/>
      <c r="AJ1056" s="932"/>
      <c r="AK1056" s="932"/>
      <c r="AL1056" s="932"/>
      <c r="AM1056" s="932"/>
      <c r="AN1056" s="932"/>
      <c r="AO1056" s="932"/>
      <c r="AP1056" s="932"/>
      <c r="AQ1056" s="932"/>
      <c r="AR1056" s="932"/>
      <c r="AS1056" s="932"/>
      <c r="AT1056" s="932"/>
      <c r="AU1056" s="932"/>
      <c r="AV1056" s="932"/>
      <c r="AW1056" s="932"/>
      <c r="AX1056" s="932"/>
      <c r="AY1056" s="932"/>
      <c r="AZ1056" s="932"/>
      <c r="BA1056" s="932"/>
      <c r="BB1056" s="932"/>
      <c r="BC1056" s="932"/>
      <c r="BD1056" s="932"/>
      <c r="BE1056" s="932"/>
      <c r="BF1056" s="932"/>
    </row>
    <row r="1057" spans="2:58" ht="15" x14ac:dyDescent="0.25">
      <c r="B1057" s="932"/>
      <c r="C1057" s="932"/>
      <c r="D1057" s="932"/>
      <c r="E1057" s="932"/>
      <c r="F1057" s="932"/>
      <c r="G1057" s="932"/>
      <c r="H1057" s="932"/>
      <c r="I1057" s="932"/>
      <c r="J1057" s="932"/>
      <c r="K1057" s="932"/>
      <c r="L1057" s="932"/>
      <c r="M1057" s="932"/>
      <c r="N1057" s="932"/>
      <c r="O1057" s="932"/>
      <c r="P1057" s="932"/>
      <c r="Q1057" s="932"/>
      <c r="R1057" s="932"/>
      <c r="S1057" s="932"/>
      <c r="T1057" s="932"/>
      <c r="U1057" s="932"/>
      <c r="V1057" s="932"/>
      <c r="W1057" s="932"/>
      <c r="X1057" s="932"/>
      <c r="Y1057" s="932"/>
      <c r="Z1057" s="932"/>
      <c r="AA1057" s="932"/>
      <c r="AB1057" s="932"/>
      <c r="AC1057" s="932"/>
      <c r="AD1057" s="932"/>
      <c r="AE1057" s="932"/>
      <c r="AF1057" s="932"/>
      <c r="AG1057" s="932"/>
      <c r="AH1057" s="932"/>
      <c r="AI1057" s="932"/>
      <c r="AJ1057" s="932"/>
      <c r="AK1057" s="932"/>
      <c r="AL1057" s="932"/>
      <c r="AM1057" s="932"/>
      <c r="AN1057" s="932"/>
      <c r="AO1057" s="932"/>
      <c r="AP1057" s="932"/>
      <c r="AQ1057" s="932"/>
      <c r="AR1057" s="932"/>
      <c r="AS1057" s="932"/>
      <c r="AT1057" s="932"/>
      <c r="AU1057" s="932"/>
      <c r="AV1057" s="932"/>
      <c r="AW1057" s="932"/>
      <c r="AX1057" s="932"/>
      <c r="AY1057" s="932"/>
      <c r="AZ1057" s="932"/>
      <c r="BA1057" s="932"/>
      <c r="BB1057" s="932"/>
      <c r="BC1057" s="932"/>
      <c r="BD1057" s="932"/>
      <c r="BE1057" s="932"/>
      <c r="BF1057" s="932"/>
    </row>
    <row r="1058" spans="2:58" ht="15" x14ac:dyDescent="0.25">
      <c r="B1058" s="932"/>
      <c r="C1058" s="932"/>
      <c r="D1058" s="932"/>
      <c r="E1058" s="932"/>
      <c r="F1058" s="932"/>
      <c r="G1058" s="932"/>
      <c r="H1058" s="932"/>
      <c r="I1058" s="932"/>
      <c r="J1058" s="932"/>
      <c r="K1058" s="932"/>
      <c r="L1058" s="932"/>
      <c r="M1058" s="932"/>
      <c r="N1058" s="932"/>
      <c r="O1058" s="932"/>
      <c r="P1058" s="932"/>
      <c r="Q1058" s="932"/>
      <c r="R1058" s="932"/>
      <c r="S1058" s="932"/>
      <c r="T1058" s="932"/>
      <c r="U1058" s="932"/>
      <c r="V1058" s="932"/>
      <c r="W1058" s="932"/>
      <c r="X1058" s="932"/>
      <c r="Y1058" s="932"/>
      <c r="Z1058" s="932"/>
      <c r="AA1058" s="932"/>
      <c r="AB1058" s="932"/>
      <c r="AC1058" s="932"/>
      <c r="AD1058" s="932"/>
      <c r="AE1058" s="932"/>
      <c r="AF1058" s="932"/>
      <c r="AG1058" s="932"/>
      <c r="AH1058" s="932"/>
      <c r="AI1058" s="932"/>
      <c r="AJ1058" s="932"/>
      <c r="AK1058" s="932"/>
      <c r="AL1058" s="932"/>
      <c r="AM1058" s="932"/>
      <c r="AN1058" s="932"/>
      <c r="AO1058" s="932"/>
      <c r="AP1058" s="932"/>
      <c r="AQ1058" s="932"/>
      <c r="AR1058" s="932"/>
      <c r="AS1058" s="932"/>
      <c r="AT1058" s="932"/>
      <c r="AU1058" s="932"/>
      <c r="AV1058" s="932"/>
      <c r="AW1058" s="932"/>
      <c r="AX1058" s="932"/>
      <c r="AY1058" s="932"/>
      <c r="AZ1058" s="932"/>
      <c r="BA1058" s="932"/>
      <c r="BB1058" s="932"/>
      <c r="BC1058" s="932"/>
      <c r="BD1058" s="932"/>
      <c r="BE1058" s="932"/>
      <c r="BF1058" s="932"/>
    </row>
    <row r="1059" spans="2:58" ht="15" x14ac:dyDescent="0.25">
      <c r="B1059" s="932"/>
      <c r="C1059" s="932"/>
      <c r="D1059" s="932"/>
      <c r="E1059" s="932"/>
      <c r="F1059" s="932"/>
      <c r="G1059" s="932"/>
      <c r="H1059" s="932"/>
      <c r="I1059" s="932"/>
      <c r="J1059" s="932"/>
      <c r="K1059" s="932"/>
      <c r="L1059" s="932"/>
      <c r="M1059" s="932"/>
      <c r="N1059" s="932"/>
      <c r="O1059" s="932"/>
      <c r="P1059" s="932"/>
      <c r="Q1059" s="932"/>
      <c r="R1059" s="932"/>
      <c r="S1059" s="932"/>
      <c r="T1059" s="932"/>
      <c r="U1059" s="932"/>
      <c r="V1059" s="932"/>
      <c r="W1059" s="932"/>
      <c r="X1059" s="932"/>
      <c r="Y1059" s="932"/>
      <c r="Z1059" s="932"/>
      <c r="AA1059" s="932"/>
      <c r="AB1059" s="932"/>
      <c r="AC1059" s="932"/>
      <c r="AD1059" s="932"/>
      <c r="AE1059" s="932"/>
      <c r="AF1059" s="932"/>
      <c r="AG1059" s="932"/>
      <c r="AH1059" s="932"/>
      <c r="AI1059" s="932"/>
      <c r="AJ1059" s="932"/>
      <c r="AK1059" s="932"/>
      <c r="AL1059" s="932"/>
      <c r="AM1059" s="932"/>
      <c r="AN1059" s="932"/>
      <c r="AO1059" s="932"/>
      <c r="AP1059" s="932"/>
      <c r="AQ1059" s="932"/>
      <c r="AR1059" s="932"/>
      <c r="AS1059" s="932"/>
      <c r="AT1059" s="932"/>
      <c r="AU1059" s="932"/>
      <c r="AV1059" s="932"/>
      <c r="AW1059" s="932"/>
      <c r="AX1059" s="932"/>
      <c r="AY1059" s="932"/>
      <c r="AZ1059" s="932"/>
      <c r="BA1059" s="932"/>
      <c r="BB1059" s="932"/>
      <c r="BC1059" s="932"/>
      <c r="BD1059" s="932"/>
      <c r="BE1059" s="932"/>
      <c r="BF1059" s="932"/>
    </row>
    <row r="1060" spans="2:58" ht="15" x14ac:dyDescent="0.25">
      <c r="B1060" s="932"/>
      <c r="C1060" s="932"/>
      <c r="D1060" s="932"/>
      <c r="E1060" s="932"/>
      <c r="F1060" s="932"/>
      <c r="G1060" s="932"/>
      <c r="H1060" s="932"/>
      <c r="I1060" s="932"/>
      <c r="J1060" s="932"/>
      <c r="K1060" s="932"/>
      <c r="L1060" s="932"/>
      <c r="M1060" s="932"/>
      <c r="N1060" s="932"/>
      <c r="O1060" s="932"/>
      <c r="P1060" s="932"/>
      <c r="Q1060" s="932"/>
      <c r="R1060" s="932"/>
      <c r="S1060" s="932"/>
      <c r="T1060" s="932"/>
      <c r="U1060" s="932"/>
      <c r="V1060" s="932"/>
      <c r="W1060" s="932"/>
      <c r="X1060" s="932"/>
      <c r="Y1060" s="932"/>
      <c r="Z1060" s="932"/>
      <c r="AA1060" s="932"/>
      <c r="AB1060" s="932"/>
      <c r="AC1060" s="932"/>
      <c r="AD1060" s="932"/>
      <c r="AE1060" s="932"/>
      <c r="AF1060" s="932"/>
      <c r="AG1060" s="932"/>
      <c r="AH1060" s="932"/>
      <c r="AI1060" s="932"/>
      <c r="AJ1060" s="932"/>
      <c r="AK1060" s="932"/>
      <c r="AL1060" s="932"/>
      <c r="AM1060" s="932"/>
      <c r="AN1060" s="932"/>
      <c r="AO1060" s="932"/>
      <c r="AP1060" s="932"/>
      <c r="AQ1060" s="932"/>
      <c r="AR1060" s="932"/>
      <c r="AS1060" s="932"/>
      <c r="AT1060" s="932"/>
      <c r="AU1060" s="932"/>
      <c r="AV1060" s="932"/>
      <c r="AW1060" s="932"/>
      <c r="AX1060" s="932"/>
      <c r="AY1060" s="932"/>
      <c r="AZ1060" s="932"/>
      <c r="BA1060" s="932"/>
      <c r="BB1060" s="932"/>
      <c r="BC1060" s="932"/>
      <c r="BD1060" s="932"/>
      <c r="BE1060" s="932"/>
      <c r="BF1060" s="932"/>
    </row>
    <row r="1061" spans="2:58" ht="15" x14ac:dyDescent="0.25">
      <c r="B1061" s="932"/>
      <c r="C1061" s="932"/>
      <c r="D1061" s="932"/>
      <c r="E1061" s="932"/>
      <c r="F1061" s="932"/>
      <c r="G1061" s="932"/>
      <c r="H1061" s="932"/>
      <c r="I1061" s="932"/>
      <c r="J1061" s="932"/>
      <c r="K1061" s="932"/>
      <c r="L1061" s="932"/>
      <c r="M1061" s="932"/>
      <c r="N1061" s="932"/>
      <c r="O1061" s="932"/>
      <c r="P1061" s="932"/>
      <c r="Q1061" s="932"/>
      <c r="R1061" s="932"/>
      <c r="S1061" s="932"/>
      <c r="T1061" s="932"/>
      <c r="U1061" s="932"/>
      <c r="V1061" s="932"/>
      <c r="W1061" s="932"/>
      <c r="X1061" s="932"/>
      <c r="Y1061" s="932"/>
      <c r="Z1061" s="932"/>
      <c r="AA1061" s="932"/>
      <c r="AB1061" s="932"/>
      <c r="AC1061" s="932"/>
      <c r="AD1061" s="932"/>
      <c r="AE1061" s="932"/>
      <c r="AF1061" s="932"/>
      <c r="AG1061" s="932"/>
      <c r="AH1061" s="932"/>
      <c r="AI1061" s="932"/>
      <c r="AJ1061" s="932"/>
      <c r="AK1061" s="932"/>
      <c r="AL1061" s="932"/>
      <c r="AM1061" s="932"/>
      <c r="AN1061" s="932"/>
      <c r="AO1061" s="932"/>
      <c r="AP1061" s="932"/>
      <c r="AQ1061" s="932"/>
      <c r="AR1061" s="932"/>
      <c r="AS1061" s="932"/>
      <c r="AT1061" s="932"/>
      <c r="AU1061" s="932"/>
      <c r="AV1061" s="932"/>
      <c r="AW1061" s="932"/>
      <c r="AX1061" s="932"/>
      <c r="AY1061" s="932"/>
      <c r="AZ1061" s="932"/>
      <c r="BA1061" s="932"/>
      <c r="BB1061" s="932"/>
      <c r="BC1061" s="932"/>
      <c r="BD1061" s="932"/>
      <c r="BE1061" s="932"/>
      <c r="BF1061" s="932"/>
    </row>
    <row r="1062" spans="2:58" ht="15" x14ac:dyDescent="0.25">
      <c r="B1062" s="932"/>
      <c r="C1062" s="932"/>
      <c r="D1062" s="932"/>
      <c r="E1062" s="932"/>
      <c r="F1062" s="932"/>
      <c r="G1062" s="932"/>
      <c r="H1062" s="932"/>
      <c r="I1062" s="932"/>
      <c r="J1062" s="932"/>
      <c r="K1062" s="932"/>
      <c r="L1062" s="932"/>
      <c r="M1062" s="932"/>
      <c r="N1062" s="932"/>
      <c r="O1062" s="932"/>
      <c r="P1062" s="932"/>
      <c r="Q1062" s="932"/>
      <c r="R1062" s="932"/>
      <c r="S1062" s="932"/>
      <c r="T1062" s="932"/>
      <c r="U1062" s="932"/>
      <c r="V1062" s="932"/>
      <c r="W1062" s="932"/>
      <c r="X1062" s="932"/>
      <c r="Y1062" s="932"/>
      <c r="Z1062" s="932"/>
      <c r="AA1062" s="932"/>
      <c r="AB1062" s="932"/>
      <c r="AC1062" s="932"/>
      <c r="AD1062" s="932"/>
      <c r="AE1062" s="932"/>
      <c r="AF1062" s="932"/>
      <c r="AG1062" s="932"/>
      <c r="AH1062" s="932"/>
      <c r="AI1062" s="932"/>
      <c r="AJ1062" s="932"/>
      <c r="AK1062" s="932"/>
      <c r="AL1062" s="932"/>
      <c r="AM1062" s="932"/>
      <c r="AN1062" s="932"/>
      <c r="AO1062" s="932"/>
      <c r="AP1062" s="932"/>
      <c r="AQ1062" s="932"/>
      <c r="AR1062" s="932"/>
      <c r="AS1062" s="932"/>
      <c r="AT1062" s="932"/>
      <c r="AU1062" s="932"/>
      <c r="AV1062" s="932"/>
      <c r="AW1062" s="932"/>
      <c r="AX1062" s="932"/>
      <c r="AY1062" s="932"/>
      <c r="AZ1062" s="932"/>
      <c r="BA1062" s="932"/>
      <c r="BB1062" s="932"/>
      <c r="BC1062" s="932"/>
      <c r="BD1062" s="932"/>
      <c r="BE1062" s="932"/>
      <c r="BF1062" s="932"/>
    </row>
    <row r="1063" spans="2:58" ht="15" x14ac:dyDescent="0.25">
      <c r="B1063" s="932"/>
      <c r="C1063" s="932"/>
      <c r="D1063" s="932"/>
      <c r="E1063" s="932"/>
      <c r="F1063" s="932"/>
      <c r="G1063" s="932"/>
      <c r="H1063" s="932"/>
      <c r="I1063" s="932"/>
      <c r="J1063" s="932"/>
      <c r="K1063" s="932"/>
      <c r="L1063" s="932"/>
      <c r="M1063" s="932"/>
      <c r="N1063" s="932"/>
      <c r="O1063" s="932"/>
      <c r="P1063" s="932"/>
      <c r="Q1063" s="932"/>
      <c r="R1063" s="932"/>
      <c r="S1063" s="932"/>
      <c r="T1063" s="932"/>
      <c r="U1063" s="932"/>
      <c r="V1063" s="932"/>
      <c r="W1063" s="932"/>
      <c r="X1063" s="932"/>
      <c r="Y1063" s="932"/>
      <c r="Z1063" s="932"/>
      <c r="AA1063" s="932"/>
      <c r="AB1063" s="932"/>
      <c r="AC1063" s="932"/>
      <c r="AD1063" s="932"/>
      <c r="AE1063" s="932"/>
      <c r="AF1063" s="932"/>
      <c r="AG1063" s="932"/>
      <c r="AH1063" s="932"/>
      <c r="AI1063" s="932"/>
      <c r="AJ1063" s="932"/>
      <c r="AK1063" s="932"/>
      <c r="AL1063" s="932"/>
      <c r="AM1063" s="932"/>
      <c r="AN1063" s="932"/>
      <c r="AO1063" s="932"/>
      <c r="AP1063" s="932"/>
      <c r="AQ1063" s="932"/>
      <c r="AR1063" s="932"/>
      <c r="AS1063" s="932"/>
      <c r="AT1063" s="932"/>
      <c r="AU1063" s="932"/>
      <c r="AV1063" s="932"/>
      <c r="AW1063" s="932"/>
      <c r="AX1063" s="932"/>
      <c r="AY1063" s="932"/>
      <c r="AZ1063" s="932"/>
      <c r="BA1063" s="932"/>
      <c r="BB1063" s="932"/>
      <c r="BC1063" s="932"/>
      <c r="BD1063" s="932"/>
      <c r="BE1063" s="932"/>
      <c r="BF1063" s="932"/>
    </row>
    <row r="1064" spans="2:58" ht="15" x14ac:dyDescent="0.25">
      <c r="B1064" s="932"/>
      <c r="C1064" s="932"/>
      <c r="D1064" s="932"/>
      <c r="E1064" s="932"/>
      <c r="F1064" s="932"/>
      <c r="G1064" s="932"/>
      <c r="H1064" s="932"/>
      <c r="I1064" s="932"/>
      <c r="J1064" s="932"/>
      <c r="K1064" s="932"/>
      <c r="L1064" s="932"/>
      <c r="M1064" s="932"/>
      <c r="N1064" s="932"/>
      <c r="O1064" s="932"/>
      <c r="P1064" s="932"/>
      <c r="Q1064" s="932"/>
      <c r="R1064" s="932"/>
      <c r="S1064" s="932"/>
      <c r="T1064" s="932"/>
      <c r="U1064" s="932"/>
      <c r="V1064" s="932"/>
      <c r="W1064" s="932"/>
      <c r="X1064" s="932"/>
      <c r="Y1064" s="932"/>
      <c r="Z1064" s="932"/>
      <c r="AA1064" s="932"/>
      <c r="AB1064" s="932"/>
      <c r="AC1064" s="932"/>
      <c r="AD1064" s="932"/>
      <c r="AE1064" s="932"/>
      <c r="AF1064" s="932"/>
      <c r="AG1064" s="932"/>
      <c r="AH1064" s="932"/>
      <c r="AI1064" s="932"/>
      <c r="AJ1064" s="932"/>
      <c r="AK1064" s="932"/>
      <c r="AL1064" s="932"/>
      <c r="AM1064" s="932"/>
      <c r="AN1064" s="932"/>
      <c r="AO1064" s="932"/>
      <c r="AP1064" s="932"/>
      <c r="AQ1064" s="932"/>
      <c r="AR1064" s="932"/>
      <c r="AS1064" s="932"/>
      <c r="AT1064" s="932"/>
      <c r="AU1064" s="932"/>
      <c r="AV1064" s="932"/>
      <c r="AW1064" s="932"/>
      <c r="AX1064" s="932"/>
      <c r="AY1064" s="932"/>
      <c r="AZ1064" s="932"/>
      <c r="BA1064" s="932"/>
      <c r="BB1064" s="932"/>
      <c r="BC1064" s="932"/>
      <c r="BD1064" s="932"/>
      <c r="BE1064" s="932"/>
      <c r="BF1064" s="932"/>
    </row>
    <row r="1065" spans="2:58" ht="15" x14ac:dyDescent="0.25">
      <c r="B1065" s="932"/>
      <c r="C1065" s="932"/>
      <c r="D1065" s="932"/>
      <c r="E1065" s="932"/>
      <c r="F1065" s="932"/>
      <c r="G1065" s="932"/>
      <c r="H1065" s="932"/>
      <c r="I1065" s="932"/>
      <c r="J1065" s="932"/>
      <c r="K1065" s="932"/>
      <c r="L1065" s="932"/>
      <c r="M1065" s="932"/>
      <c r="N1065" s="932"/>
      <c r="O1065" s="932"/>
      <c r="P1065" s="932"/>
      <c r="Q1065" s="932"/>
      <c r="R1065" s="932"/>
      <c r="S1065" s="932"/>
      <c r="T1065" s="932"/>
      <c r="U1065" s="932"/>
      <c r="V1065" s="932"/>
      <c r="W1065" s="932"/>
      <c r="X1065" s="932"/>
      <c r="Y1065" s="932"/>
      <c r="Z1065" s="932"/>
      <c r="AA1065" s="932"/>
      <c r="AB1065" s="932"/>
      <c r="AC1065" s="932"/>
      <c r="AD1065" s="932"/>
      <c r="AE1065" s="932"/>
      <c r="AF1065" s="932"/>
      <c r="AG1065" s="932"/>
      <c r="AH1065" s="932"/>
      <c r="AI1065" s="932"/>
      <c r="AJ1065" s="932"/>
      <c r="AK1065" s="932"/>
      <c r="AL1065" s="932"/>
      <c r="AM1065" s="932"/>
      <c r="AN1065" s="932"/>
      <c r="AO1065" s="932"/>
      <c r="AP1065" s="932"/>
      <c r="AQ1065" s="932"/>
      <c r="AR1065" s="932"/>
      <c r="AS1065" s="932"/>
      <c r="AT1065" s="932"/>
      <c r="AU1065" s="932"/>
      <c r="AV1065" s="932"/>
      <c r="AW1065" s="932"/>
      <c r="AX1065" s="932"/>
      <c r="AY1065" s="932"/>
      <c r="AZ1065" s="932"/>
      <c r="BA1065" s="932"/>
      <c r="BB1065" s="932"/>
      <c r="BC1065" s="932"/>
      <c r="BD1065" s="932"/>
      <c r="BE1065" s="932"/>
      <c r="BF1065" s="932"/>
    </row>
    <row r="1066" spans="2:58" ht="15" x14ac:dyDescent="0.25">
      <c r="B1066" s="932"/>
      <c r="C1066" s="932"/>
      <c r="D1066" s="932"/>
      <c r="E1066" s="932"/>
      <c r="F1066" s="932"/>
      <c r="G1066" s="932"/>
      <c r="H1066" s="932"/>
      <c r="I1066" s="932"/>
      <c r="J1066" s="932"/>
      <c r="K1066" s="932"/>
      <c r="L1066" s="932"/>
      <c r="M1066" s="932"/>
      <c r="N1066" s="932"/>
      <c r="O1066" s="932"/>
      <c r="P1066" s="932"/>
      <c r="Q1066" s="932"/>
      <c r="R1066" s="932"/>
      <c r="S1066" s="932"/>
      <c r="T1066" s="932"/>
      <c r="U1066" s="932"/>
      <c r="V1066" s="932"/>
      <c r="W1066" s="932"/>
      <c r="X1066" s="932"/>
      <c r="Y1066" s="932"/>
      <c r="Z1066" s="932"/>
      <c r="AA1066" s="932"/>
      <c r="AB1066" s="932"/>
      <c r="AC1066" s="932"/>
      <c r="AD1066" s="932"/>
      <c r="AE1066" s="932"/>
      <c r="AF1066" s="932"/>
      <c r="AG1066" s="932"/>
      <c r="AH1066" s="932"/>
      <c r="AI1066" s="932"/>
      <c r="AJ1066" s="932"/>
      <c r="AK1066" s="932"/>
      <c r="AL1066" s="932"/>
      <c r="AM1066" s="932"/>
      <c r="AN1066" s="932"/>
      <c r="AO1066" s="932"/>
      <c r="AP1066" s="932"/>
      <c r="AQ1066" s="932"/>
      <c r="AR1066" s="932"/>
      <c r="AS1066" s="932"/>
      <c r="AT1066" s="932"/>
      <c r="AU1066" s="932"/>
      <c r="AV1066" s="932"/>
      <c r="AW1066" s="932"/>
      <c r="AX1066" s="932"/>
      <c r="AY1066" s="932"/>
      <c r="AZ1066" s="932"/>
      <c r="BA1066" s="932"/>
      <c r="BB1066" s="932"/>
      <c r="BC1066" s="932"/>
      <c r="BD1066" s="932"/>
      <c r="BE1066" s="932"/>
      <c r="BF1066" s="932"/>
    </row>
    <row r="1067" spans="2:58" ht="15" x14ac:dyDescent="0.25">
      <c r="B1067" s="932"/>
      <c r="C1067" s="932"/>
      <c r="D1067" s="932"/>
      <c r="E1067" s="932"/>
      <c r="F1067" s="932"/>
      <c r="G1067" s="932"/>
      <c r="H1067" s="932"/>
      <c r="I1067" s="932"/>
      <c r="J1067" s="932"/>
      <c r="K1067" s="932"/>
      <c r="L1067" s="932"/>
      <c r="M1067" s="932"/>
      <c r="N1067" s="932"/>
      <c r="O1067" s="932"/>
      <c r="P1067" s="932"/>
      <c r="Q1067" s="932"/>
      <c r="R1067" s="932"/>
      <c r="S1067" s="932"/>
      <c r="T1067" s="932"/>
      <c r="U1067" s="932"/>
      <c r="V1067" s="932"/>
      <c r="W1067" s="932"/>
      <c r="X1067" s="932"/>
      <c r="Y1067" s="932"/>
      <c r="Z1067" s="932"/>
      <c r="AA1067" s="932"/>
      <c r="AB1067" s="932"/>
      <c r="AC1067" s="932"/>
      <c r="AD1067" s="932"/>
      <c r="AE1067" s="932"/>
      <c r="AF1067" s="932"/>
      <c r="AG1067" s="932"/>
      <c r="AH1067" s="932"/>
      <c r="AI1067" s="932"/>
      <c r="AJ1067" s="932"/>
      <c r="AK1067" s="932"/>
      <c r="AL1067" s="932"/>
      <c r="AM1067" s="932"/>
      <c r="AN1067" s="932"/>
      <c r="AO1067" s="932"/>
      <c r="AP1067" s="932"/>
      <c r="AQ1067" s="932"/>
      <c r="AR1067" s="932"/>
      <c r="AS1067" s="932"/>
      <c r="AT1067" s="932"/>
      <c r="AU1067" s="932"/>
      <c r="AV1067" s="932"/>
      <c r="AW1067" s="932"/>
      <c r="AX1067" s="932"/>
      <c r="AY1067" s="932"/>
      <c r="AZ1067" s="932"/>
      <c r="BA1067" s="932"/>
      <c r="BB1067" s="932"/>
      <c r="BC1067" s="932"/>
      <c r="BD1067" s="932"/>
      <c r="BE1067" s="932"/>
      <c r="BF1067" s="932"/>
    </row>
    <row r="1068" spans="2:58" ht="15" x14ac:dyDescent="0.25">
      <c r="B1068" s="932"/>
      <c r="C1068" s="932"/>
      <c r="D1068" s="932"/>
      <c r="E1068" s="932"/>
      <c r="F1068" s="932"/>
      <c r="G1068" s="932"/>
      <c r="H1068" s="932"/>
      <c r="I1068" s="932"/>
      <c r="J1068" s="932"/>
      <c r="K1068" s="932"/>
      <c r="L1068" s="932"/>
      <c r="M1068" s="932"/>
      <c r="N1068" s="932"/>
      <c r="O1068" s="932"/>
      <c r="P1068" s="932"/>
      <c r="Q1068" s="932"/>
      <c r="R1068" s="932"/>
      <c r="S1068" s="932"/>
      <c r="T1068" s="932"/>
      <c r="U1068" s="932"/>
      <c r="V1068" s="932"/>
      <c r="W1068" s="932"/>
      <c r="X1068" s="932"/>
      <c r="Y1068" s="932"/>
      <c r="Z1068" s="932"/>
      <c r="AA1068" s="932"/>
      <c r="AB1068" s="932"/>
      <c r="AC1068" s="932"/>
      <c r="AD1068" s="932"/>
      <c r="AE1068" s="932"/>
      <c r="AF1068" s="932"/>
      <c r="AG1068" s="932"/>
      <c r="AH1068" s="932"/>
      <c r="AI1068" s="932"/>
      <c r="AJ1068" s="932"/>
      <c r="AK1068" s="932"/>
      <c r="AL1068" s="932"/>
      <c r="AM1068" s="932"/>
      <c r="AN1068" s="932"/>
      <c r="AO1068" s="932"/>
      <c r="AP1068" s="932"/>
      <c r="AQ1068" s="932"/>
      <c r="AR1068" s="932"/>
      <c r="AS1068" s="932"/>
      <c r="AT1068" s="932"/>
      <c r="AU1068" s="932"/>
      <c r="AV1068" s="932"/>
      <c r="AW1068" s="932"/>
      <c r="AX1068" s="932"/>
      <c r="AY1068" s="932"/>
      <c r="AZ1068" s="932"/>
      <c r="BA1068" s="932"/>
      <c r="BB1068" s="932"/>
      <c r="BC1068" s="932"/>
      <c r="BD1068" s="932"/>
      <c r="BE1068" s="932"/>
      <c r="BF1068" s="932"/>
    </row>
    <row r="1069" spans="2:58" ht="15" x14ac:dyDescent="0.25">
      <c r="B1069" s="932"/>
      <c r="C1069" s="932"/>
      <c r="D1069" s="932"/>
      <c r="E1069" s="932"/>
      <c r="F1069" s="932"/>
      <c r="G1069" s="932"/>
      <c r="H1069" s="932"/>
      <c r="I1069" s="932"/>
      <c r="J1069" s="932"/>
      <c r="K1069" s="932"/>
      <c r="L1069" s="932"/>
      <c r="M1069" s="932"/>
      <c r="N1069" s="932"/>
      <c r="O1069" s="932"/>
      <c r="P1069" s="932"/>
      <c r="Q1069" s="932"/>
      <c r="R1069" s="932"/>
      <c r="S1069" s="932"/>
      <c r="T1069" s="932"/>
      <c r="U1069" s="932"/>
      <c r="V1069" s="932"/>
      <c r="W1069" s="932"/>
      <c r="X1069" s="932"/>
      <c r="Y1069" s="932"/>
      <c r="Z1069" s="932"/>
      <c r="AA1069" s="932"/>
      <c r="AB1069" s="932"/>
      <c r="AC1069" s="932"/>
      <c r="AD1069" s="932"/>
      <c r="AE1069" s="932"/>
      <c r="AF1069" s="932"/>
      <c r="AG1069" s="932"/>
      <c r="AH1069" s="932"/>
      <c r="AI1069" s="932"/>
      <c r="AJ1069" s="932"/>
      <c r="AK1069" s="932"/>
      <c r="AL1069" s="932"/>
      <c r="AM1069" s="932"/>
      <c r="AN1069" s="932"/>
      <c r="AO1069" s="932"/>
      <c r="AP1069" s="932"/>
      <c r="AQ1069" s="932"/>
      <c r="AR1069" s="932"/>
      <c r="AS1069" s="932"/>
      <c r="AT1069" s="932"/>
      <c r="AU1069" s="932"/>
      <c r="AV1069" s="932"/>
      <c r="AW1069" s="932"/>
      <c r="AX1069" s="932"/>
      <c r="AY1069" s="932"/>
      <c r="AZ1069" s="932"/>
      <c r="BA1069" s="932"/>
      <c r="BB1069" s="932"/>
      <c r="BC1069" s="932"/>
      <c r="BD1069" s="932"/>
      <c r="BE1069" s="932"/>
      <c r="BF1069" s="932"/>
    </row>
    <row r="1070" spans="2:58" ht="15" x14ac:dyDescent="0.25">
      <c r="B1070" s="932"/>
      <c r="C1070" s="932"/>
      <c r="D1070" s="932"/>
      <c r="E1070" s="932"/>
      <c r="F1070" s="932"/>
      <c r="G1070" s="932"/>
      <c r="H1070" s="932"/>
      <c r="I1070" s="932"/>
      <c r="J1070" s="932"/>
      <c r="K1070" s="932"/>
      <c r="L1070" s="932"/>
      <c r="M1070" s="932"/>
      <c r="N1070" s="932"/>
      <c r="O1070" s="932"/>
      <c r="P1070" s="932"/>
      <c r="Q1070" s="932"/>
      <c r="R1070" s="932"/>
      <c r="S1070" s="932"/>
      <c r="T1070" s="932"/>
      <c r="U1070" s="932"/>
      <c r="V1070" s="932"/>
      <c r="W1070" s="932"/>
      <c r="X1070" s="932"/>
      <c r="Y1070" s="932"/>
      <c r="Z1070" s="932"/>
      <c r="AA1070" s="932"/>
      <c r="AB1070" s="932"/>
      <c r="AC1070" s="932"/>
      <c r="AD1070" s="932"/>
      <c r="AE1070" s="932"/>
      <c r="AF1070" s="932"/>
      <c r="AG1070" s="932"/>
      <c r="AH1070" s="932"/>
      <c r="AI1070" s="932"/>
      <c r="AJ1070" s="932"/>
      <c r="AK1070" s="932"/>
      <c r="AL1070" s="932"/>
      <c r="AM1070" s="932"/>
      <c r="AN1070" s="932"/>
      <c r="AO1070" s="932"/>
      <c r="AP1070" s="932"/>
      <c r="AQ1070" s="932"/>
      <c r="AR1070" s="932"/>
      <c r="AS1070" s="932"/>
      <c r="AT1070" s="932"/>
      <c r="AU1070" s="932"/>
      <c r="AV1070" s="932"/>
      <c r="AW1070" s="932"/>
      <c r="AX1070" s="932"/>
      <c r="AY1070" s="932"/>
      <c r="AZ1070" s="932"/>
      <c r="BA1070" s="932"/>
      <c r="BB1070" s="932"/>
      <c r="BC1070" s="932"/>
      <c r="BD1070" s="932"/>
      <c r="BE1070" s="932"/>
      <c r="BF1070" s="932"/>
    </row>
    <row r="1071" spans="2:58" ht="15" x14ac:dyDescent="0.25">
      <c r="B1071" s="932"/>
      <c r="C1071" s="932"/>
      <c r="D1071" s="932"/>
      <c r="E1071" s="932"/>
      <c r="F1071" s="932"/>
      <c r="G1071" s="932"/>
      <c r="H1071" s="932"/>
      <c r="I1071" s="932"/>
      <c r="J1071" s="932"/>
      <c r="K1071" s="932"/>
      <c r="L1071" s="932"/>
      <c r="M1071" s="932"/>
      <c r="N1071" s="932"/>
      <c r="O1071" s="932"/>
      <c r="P1071" s="932"/>
      <c r="Q1071" s="932"/>
      <c r="R1071" s="932"/>
      <c r="S1071" s="932"/>
      <c r="T1071" s="932"/>
      <c r="U1071" s="932"/>
      <c r="V1071" s="932"/>
      <c r="W1071" s="932"/>
      <c r="X1071" s="932"/>
      <c r="Y1071" s="932"/>
      <c r="Z1071" s="932"/>
      <c r="AA1071" s="932"/>
      <c r="AB1071" s="932"/>
      <c r="AC1071" s="932"/>
      <c r="AD1071" s="932"/>
      <c r="AE1071" s="932"/>
      <c r="AF1071" s="932"/>
      <c r="AG1071" s="932"/>
      <c r="AH1071" s="932"/>
      <c r="AI1071" s="932"/>
      <c r="AJ1071" s="932"/>
      <c r="AK1071" s="932"/>
      <c r="AL1071" s="932"/>
      <c r="AM1071" s="932"/>
      <c r="AN1071" s="932"/>
      <c r="AO1071" s="932"/>
      <c r="AP1071" s="932"/>
      <c r="AQ1071" s="932"/>
      <c r="AR1071" s="932"/>
      <c r="AS1071" s="932"/>
      <c r="AT1071" s="932"/>
      <c r="AU1071" s="932"/>
      <c r="AV1071" s="932"/>
      <c r="AW1071" s="932"/>
      <c r="AX1071" s="932"/>
      <c r="AY1071" s="932"/>
      <c r="AZ1071" s="932"/>
      <c r="BA1071" s="932"/>
      <c r="BB1071" s="932"/>
      <c r="BC1071" s="932"/>
      <c r="BD1071" s="932"/>
      <c r="BE1071" s="932"/>
      <c r="BF1071" s="932"/>
    </row>
    <row r="1072" spans="2:58" ht="15" x14ac:dyDescent="0.25">
      <c r="B1072" s="932"/>
      <c r="C1072" s="932"/>
      <c r="D1072" s="932"/>
      <c r="E1072" s="932"/>
      <c r="F1072" s="932"/>
      <c r="G1072" s="932"/>
      <c r="H1072" s="932"/>
      <c r="I1072" s="932"/>
      <c r="J1072" s="932"/>
      <c r="K1072" s="932"/>
      <c r="L1072" s="932"/>
      <c r="M1072" s="932"/>
      <c r="N1072" s="932"/>
      <c r="O1072" s="932"/>
      <c r="P1072" s="932"/>
      <c r="Q1072" s="932"/>
      <c r="R1072" s="932"/>
      <c r="S1072" s="932"/>
      <c r="T1072" s="932"/>
      <c r="U1072" s="932"/>
      <c r="V1072" s="932"/>
      <c r="W1072" s="932"/>
      <c r="X1072" s="932"/>
      <c r="Y1072" s="932"/>
      <c r="Z1072" s="932"/>
      <c r="AA1072" s="932"/>
      <c r="AB1072" s="932"/>
      <c r="AC1072" s="932"/>
      <c r="AD1072" s="932"/>
      <c r="AE1072" s="932"/>
      <c r="AF1072" s="932"/>
      <c r="AG1072" s="932"/>
      <c r="AH1072" s="932"/>
      <c r="AI1072" s="932"/>
      <c r="AJ1072" s="932"/>
      <c r="AK1072" s="932"/>
      <c r="AL1072" s="932"/>
      <c r="AM1072" s="932"/>
      <c r="AN1072" s="932"/>
      <c r="AO1072" s="932"/>
      <c r="AP1072" s="932"/>
      <c r="AQ1072" s="932"/>
      <c r="AR1072" s="932"/>
      <c r="AS1072" s="932"/>
      <c r="AT1072" s="932"/>
      <c r="AU1072" s="932"/>
      <c r="AV1072" s="932"/>
      <c r="AW1072" s="932"/>
      <c r="AX1072" s="932"/>
      <c r="AY1072" s="932"/>
      <c r="AZ1072" s="932"/>
      <c r="BA1072" s="932"/>
      <c r="BB1072" s="932"/>
      <c r="BC1072" s="932"/>
      <c r="BD1072" s="932"/>
      <c r="BE1072" s="932"/>
      <c r="BF1072" s="932"/>
    </row>
    <row r="1073" spans="2:58" ht="15" x14ac:dyDescent="0.25">
      <c r="B1073" s="932"/>
      <c r="C1073" s="932"/>
      <c r="D1073" s="932"/>
      <c r="E1073" s="932"/>
      <c r="F1073" s="932"/>
      <c r="G1073" s="932"/>
      <c r="H1073" s="932"/>
      <c r="I1073" s="932"/>
      <c r="J1073" s="932"/>
      <c r="K1073" s="932"/>
      <c r="L1073" s="932"/>
      <c r="M1073" s="932"/>
      <c r="N1073" s="932"/>
      <c r="O1073" s="932"/>
      <c r="P1073" s="932"/>
      <c r="Q1073" s="932"/>
      <c r="R1073" s="932"/>
      <c r="S1073" s="932"/>
      <c r="T1073" s="932"/>
      <c r="U1073" s="932"/>
      <c r="V1073" s="932"/>
      <c r="W1073" s="932"/>
      <c r="X1073" s="932"/>
      <c r="Y1073" s="932"/>
      <c r="Z1073" s="932"/>
      <c r="AA1073" s="932"/>
      <c r="AB1073" s="932"/>
      <c r="AC1073" s="932"/>
      <c r="AD1073" s="932"/>
      <c r="AE1073" s="932"/>
      <c r="AF1073" s="932"/>
      <c r="AG1073" s="932"/>
      <c r="AH1073" s="932"/>
      <c r="AI1073" s="932"/>
      <c r="AJ1073" s="932"/>
      <c r="AK1073" s="932"/>
      <c r="AL1073" s="932"/>
      <c r="AM1073" s="932"/>
      <c r="AN1073" s="932"/>
      <c r="AO1073" s="932"/>
      <c r="AP1073" s="932"/>
      <c r="AQ1073" s="932"/>
      <c r="AR1073" s="932"/>
      <c r="AS1073" s="932"/>
      <c r="AT1073" s="932"/>
      <c r="AU1073" s="932"/>
      <c r="AV1073" s="932"/>
      <c r="AW1073" s="932"/>
      <c r="AX1073" s="932"/>
      <c r="AY1073" s="932"/>
      <c r="AZ1073" s="932"/>
      <c r="BA1073" s="932"/>
      <c r="BB1073" s="932"/>
      <c r="BC1073" s="932"/>
      <c r="BD1073" s="932"/>
      <c r="BE1073" s="932"/>
      <c r="BF1073" s="932"/>
    </row>
    <row r="1074" spans="2:58" ht="15" x14ac:dyDescent="0.25">
      <c r="B1074" s="932"/>
      <c r="C1074" s="932"/>
      <c r="D1074" s="932"/>
      <c r="E1074" s="932"/>
      <c r="F1074" s="932"/>
      <c r="G1074" s="932"/>
      <c r="H1074" s="932"/>
      <c r="I1074" s="932"/>
      <c r="J1074" s="932"/>
      <c r="K1074" s="932"/>
      <c r="L1074" s="932"/>
      <c r="M1074" s="932"/>
      <c r="N1074" s="932"/>
      <c r="O1074" s="932"/>
      <c r="P1074" s="932"/>
      <c r="Q1074" s="932"/>
      <c r="R1074" s="932"/>
      <c r="S1074" s="932"/>
      <c r="T1074" s="932"/>
      <c r="U1074" s="932"/>
      <c r="V1074" s="932"/>
      <c r="W1074" s="932"/>
      <c r="X1074" s="932"/>
      <c r="Y1074" s="932"/>
      <c r="Z1074" s="932"/>
      <c r="AA1074" s="932"/>
      <c r="AB1074" s="932"/>
      <c r="AC1074" s="932"/>
      <c r="AD1074" s="932"/>
      <c r="AE1074" s="932"/>
      <c r="AF1074" s="932"/>
      <c r="AG1074" s="932"/>
      <c r="AH1074" s="932"/>
      <c r="AI1074" s="932"/>
      <c r="AJ1074" s="932"/>
      <c r="AK1074" s="932"/>
      <c r="AL1074" s="932"/>
      <c r="AM1074" s="932"/>
      <c r="AN1074" s="932"/>
      <c r="AO1074" s="932"/>
      <c r="AP1074" s="932"/>
      <c r="AQ1074" s="932"/>
      <c r="AR1074" s="932"/>
      <c r="AS1074" s="932"/>
      <c r="AT1074" s="932"/>
      <c r="AU1074" s="932"/>
      <c r="AV1074" s="932"/>
      <c r="AW1074" s="932"/>
      <c r="AX1074" s="932"/>
      <c r="AY1074" s="932"/>
      <c r="AZ1074" s="932"/>
      <c r="BA1074" s="932"/>
      <c r="BB1074" s="932"/>
      <c r="BC1074" s="932"/>
      <c r="BD1074" s="932"/>
      <c r="BE1074" s="932"/>
      <c r="BF1074" s="932"/>
    </row>
    <row r="1075" spans="2:58" ht="15" x14ac:dyDescent="0.25">
      <c r="B1075" s="932"/>
      <c r="C1075" s="932"/>
      <c r="D1075" s="932"/>
      <c r="E1075" s="932"/>
      <c r="F1075" s="932"/>
      <c r="G1075" s="932"/>
      <c r="H1075" s="932"/>
      <c r="I1075" s="932"/>
      <c r="J1075" s="932"/>
      <c r="K1075" s="932"/>
      <c r="L1075" s="932"/>
      <c r="M1075" s="932"/>
      <c r="N1075" s="932"/>
      <c r="O1075" s="932"/>
      <c r="P1075" s="932"/>
      <c r="Q1075" s="932"/>
      <c r="R1075" s="932"/>
      <c r="S1075" s="932"/>
      <c r="T1075" s="932"/>
      <c r="U1075" s="932"/>
      <c r="V1075" s="932"/>
      <c r="W1075" s="932"/>
      <c r="X1075" s="932"/>
      <c r="Y1075" s="932"/>
      <c r="Z1075" s="932"/>
      <c r="AA1075" s="932"/>
      <c r="AB1075" s="932"/>
      <c r="AC1075" s="932"/>
      <c r="AD1075" s="932"/>
      <c r="AE1075" s="932"/>
      <c r="AF1075" s="932"/>
      <c r="AG1075" s="932"/>
      <c r="AH1075" s="932"/>
      <c r="AI1075" s="932"/>
      <c r="AJ1075" s="932"/>
      <c r="AK1075" s="932"/>
      <c r="AL1075" s="932"/>
      <c r="AM1075" s="932"/>
      <c r="AN1075" s="932"/>
      <c r="AO1075" s="932"/>
      <c r="AP1075" s="932"/>
      <c r="AQ1075" s="932"/>
      <c r="AR1075" s="932"/>
      <c r="AS1075" s="932"/>
      <c r="AT1075" s="932"/>
      <c r="AU1075" s="932"/>
      <c r="AV1075" s="932"/>
      <c r="AW1075" s="932"/>
      <c r="AX1075" s="932"/>
      <c r="AY1075" s="932"/>
      <c r="AZ1075" s="932"/>
      <c r="BA1075" s="932"/>
      <c r="BB1075" s="932"/>
      <c r="BC1075" s="932"/>
      <c r="BD1075" s="932"/>
      <c r="BE1075" s="932"/>
      <c r="BF1075" s="932"/>
    </row>
    <row r="1076" spans="2:58" ht="15" x14ac:dyDescent="0.25">
      <c r="B1076" s="932"/>
      <c r="C1076" s="932"/>
      <c r="D1076" s="932"/>
      <c r="E1076" s="932"/>
      <c r="F1076" s="932"/>
      <c r="G1076" s="932"/>
      <c r="H1076" s="932"/>
      <c r="I1076" s="932"/>
      <c r="J1076" s="932"/>
      <c r="K1076" s="932"/>
      <c r="L1076" s="932"/>
      <c r="M1076" s="932"/>
      <c r="N1076" s="932"/>
      <c r="O1076" s="932"/>
      <c r="P1076" s="932"/>
      <c r="Q1076" s="932"/>
      <c r="R1076" s="932"/>
      <c r="S1076" s="932"/>
      <c r="T1076" s="932"/>
      <c r="U1076" s="932"/>
      <c r="V1076" s="932"/>
      <c r="W1076" s="932"/>
      <c r="X1076" s="932"/>
      <c r="Y1076" s="932"/>
      <c r="Z1076" s="932"/>
      <c r="AA1076" s="932"/>
      <c r="AB1076" s="932"/>
      <c r="AC1076" s="932"/>
      <c r="AD1076" s="932"/>
      <c r="AE1076" s="932"/>
      <c r="AF1076" s="932"/>
      <c r="AG1076" s="932"/>
      <c r="AH1076" s="932"/>
      <c r="AI1076" s="932"/>
      <c r="AJ1076" s="932"/>
      <c r="AK1076" s="932"/>
      <c r="AL1076" s="932"/>
      <c r="AM1076" s="932"/>
      <c r="AN1076" s="932"/>
      <c r="AO1076" s="932"/>
      <c r="AP1076" s="932"/>
      <c r="AQ1076" s="932"/>
      <c r="AR1076" s="932"/>
      <c r="AS1076" s="932"/>
      <c r="AT1076" s="932"/>
      <c r="AU1076" s="932"/>
      <c r="AV1076" s="932"/>
      <c r="AW1076" s="932"/>
      <c r="AX1076" s="932"/>
      <c r="AY1076" s="932"/>
      <c r="AZ1076" s="932"/>
      <c r="BA1076" s="932"/>
      <c r="BB1076" s="932"/>
      <c r="BC1076" s="932"/>
      <c r="BD1076" s="932"/>
      <c r="BE1076" s="932"/>
      <c r="BF1076" s="932"/>
    </row>
    <row r="1077" spans="2:58" ht="15" x14ac:dyDescent="0.25">
      <c r="B1077" s="932"/>
      <c r="C1077" s="932"/>
      <c r="D1077" s="932"/>
      <c r="E1077" s="932"/>
      <c r="F1077" s="932"/>
      <c r="G1077" s="932"/>
      <c r="H1077" s="932"/>
      <c r="I1077" s="932"/>
      <c r="J1077" s="932"/>
      <c r="K1077" s="932"/>
      <c r="L1077" s="932"/>
      <c r="M1077" s="932"/>
      <c r="N1077" s="932"/>
      <c r="O1077" s="932"/>
      <c r="P1077" s="932"/>
      <c r="Q1077" s="932"/>
      <c r="R1077" s="932"/>
      <c r="S1077" s="932"/>
      <c r="T1077" s="932"/>
      <c r="U1077" s="932"/>
      <c r="V1077" s="932"/>
      <c r="W1077" s="932"/>
      <c r="X1077" s="932"/>
      <c r="Y1077" s="932"/>
      <c r="Z1077" s="932"/>
      <c r="AA1077" s="932"/>
      <c r="AB1077" s="932"/>
      <c r="AC1077" s="932"/>
      <c r="AD1077" s="932"/>
      <c r="AE1077" s="932"/>
      <c r="AF1077" s="932"/>
      <c r="AG1077" s="932"/>
      <c r="AH1077" s="932"/>
      <c r="AI1077" s="932"/>
      <c r="AJ1077" s="932"/>
      <c r="AK1077" s="932"/>
      <c r="AL1077" s="932"/>
      <c r="AM1077" s="932"/>
      <c r="AN1077" s="932"/>
      <c r="AO1077" s="932"/>
      <c r="AP1077" s="932"/>
      <c r="AQ1077" s="932"/>
      <c r="AR1077" s="932"/>
      <c r="AS1077" s="932"/>
      <c r="AT1077" s="932"/>
      <c r="AU1077" s="932"/>
      <c r="AV1077" s="932"/>
      <c r="AW1077" s="932"/>
      <c r="AX1077" s="932"/>
      <c r="AY1077" s="932"/>
      <c r="AZ1077" s="932"/>
      <c r="BA1077" s="932"/>
      <c r="BB1077" s="932"/>
      <c r="BC1077" s="932"/>
      <c r="BD1077" s="932"/>
      <c r="BE1077" s="932"/>
      <c r="BF1077" s="932"/>
    </row>
    <row r="1078" spans="2:58" ht="15" x14ac:dyDescent="0.25">
      <c r="B1078" s="932"/>
      <c r="C1078" s="932"/>
      <c r="D1078" s="932"/>
      <c r="E1078" s="932"/>
      <c r="F1078" s="932"/>
      <c r="G1078" s="932"/>
      <c r="H1078" s="932"/>
      <c r="I1078" s="932"/>
      <c r="J1078" s="932"/>
      <c r="K1078" s="932"/>
      <c r="L1078" s="932"/>
      <c r="M1078" s="932"/>
      <c r="N1078" s="932"/>
      <c r="O1078" s="932"/>
      <c r="P1078" s="932"/>
      <c r="Q1078" s="932"/>
      <c r="R1078" s="932"/>
      <c r="S1078" s="932"/>
      <c r="T1078" s="932"/>
      <c r="U1078" s="932"/>
      <c r="V1078" s="932"/>
      <c r="W1078" s="932"/>
      <c r="X1078" s="932"/>
      <c r="Y1078" s="932"/>
      <c r="Z1078" s="932"/>
      <c r="AA1078" s="932"/>
      <c r="AB1078" s="932"/>
      <c r="AC1078" s="932"/>
      <c r="AD1078" s="932"/>
      <c r="AE1078" s="932"/>
      <c r="AF1078" s="932"/>
      <c r="AG1078" s="932"/>
      <c r="AH1078" s="932"/>
      <c r="AI1078" s="932"/>
      <c r="AJ1078" s="932"/>
      <c r="AK1078" s="932"/>
      <c r="AL1078" s="932"/>
      <c r="AM1078" s="932"/>
      <c r="AN1078" s="932"/>
      <c r="AO1078" s="932"/>
      <c r="AP1078" s="932"/>
      <c r="AQ1078" s="932"/>
      <c r="AR1078" s="932"/>
      <c r="AS1078" s="932"/>
      <c r="AT1078" s="932"/>
      <c r="AU1078" s="932"/>
      <c r="AV1078" s="932"/>
      <c r="AW1078" s="932"/>
      <c r="AX1078" s="932"/>
      <c r="AY1078" s="932"/>
      <c r="AZ1078" s="932"/>
      <c r="BA1078" s="932"/>
      <c r="BB1078" s="932"/>
      <c r="BC1078" s="932"/>
      <c r="BD1078" s="932"/>
      <c r="BE1078" s="932"/>
      <c r="BF1078" s="932"/>
    </row>
    <row r="1079" spans="2:58" ht="15" x14ac:dyDescent="0.25">
      <c r="B1079" s="932"/>
      <c r="C1079" s="932"/>
      <c r="D1079" s="932"/>
      <c r="E1079" s="932"/>
      <c r="F1079" s="932"/>
      <c r="G1079" s="932"/>
      <c r="H1079" s="932"/>
      <c r="I1079" s="932"/>
      <c r="J1079" s="932"/>
      <c r="K1079" s="932"/>
      <c r="L1079" s="932"/>
      <c r="M1079" s="932"/>
      <c r="N1079" s="932"/>
      <c r="O1079" s="932"/>
      <c r="P1079" s="932"/>
      <c r="Q1079" s="932"/>
      <c r="R1079" s="932"/>
      <c r="S1079" s="932"/>
      <c r="T1079" s="932"/>
      <c r="U1079" s="932"/>
      <c r="V1079" s="932"/>
      <c r="W1079" s="932"/>
      <c r="X1079" s="932"/>
      <c r="Y1079" s="932"/>
      <c r="Z1079" s="932"/>
      <c r="AA1079" s="932"/>
      <c r="AB1079" s="932"/>
      <c r="AC1079" s="932"/>
      <c r="AD1079" s="932"/>
      <c r="AE1079" s="932"/>
      <c r="AF1079" s="932"/>
      <c r="AG1079" s="932"/>
      <c r="AH1079" s="932"/>
      <c r="AI1079" s="932"/>
      <c r="AJ1079" s="932"/>
      <c r="AK1079" s="932"/>
      <c r="AL1079" s="932"/>
      <c r="AM1079" s="932"/>
      <c r="AN1079" s="932"/>
      <c r="AO1079" s="932"/>
      <c r="AP1079" s="932"/>
      <c r="AQ1079" s="932"/>
      <c r="AR1079" s="932"/>
      <c r="AS1079" s="932"/>
      <c r="AT1079" s="932"/>
      <c r="AU1079" s="932"/>
      <c r="AV1079" s="932"/>
      <c r="AW1079" s="932"/>
      <c r="AX1079" s="932"/>
      <c r="AY1079" s="932"/>
      <c r="AZ1079" s="932"/>
      <c r="BA1079" s="932"/>
      <c r="BB1079" s="932"/>
      <c r="BC1079" s="932"/>
      <c r="BD1079" s="932"/>
      <c r="BE1079" s="932"/>
      <c r="BF1079" s="932"/>
    </row>
    <row r="1080" spans="2:58" ht="15" x14ac:dyDescent="0.25">
      <c r="B1080" s="932"/>
      <c r="C1080" s="932"/>
      <c r="D1080" s="932"/>
      <c r="E1080" s="932"/>
      <c r="F1080" s="932"/>
      <c r="G1080" s="932"/>
      <c r="H1080" s="932"/>
      <c r="I1080" s="932"/>
      <c r="J1080" s="932"/>
      <c r="K1080" s="932"/>
      <c r="L1080" s="932"/>
      <c r="M1080" s="932"/>
      <c r="N1080" s="932"/>
      <c r="O1080" s="932"/>
      <c r="P1080" s="932"/>
      <c r="Q1080" s="932"/>
      <c r="R1080" s="932"/>
      <c r="S1080" s="932"/>
      <c r="T1080" s="932"/>
      <c r="U1080" s="932"/>
      <c r="V1080" s="932"/>
      <c r="W1080" s="932"/>
      <c r="X1080" s="932"/>
      <c r="Y1080" s="932"/>
      <c r="Z1080" s="932"/>
      <c r="AA1080" s="932"/>
      <c r="AB1080" s="932"/>
      <c r="AC1080" s="932"/>
      <c r="AD1080" s="932"/>
      <c r="AE1080" s="932"/>
      <c r="AF1080" s="932"/>
      <c r="AG1080" s="932"/>
      <c r="AH1080" s="932"/>
      <c r="AI1080" s="932"/>
      <c r="AJ1080" s="932"/>
      <c r="AK1080" s="932"/>
      <c r="AL1080" s="932"/>
      <c r="AM1080" s="932"/>
      <c r="AN1080" s="932"/>
      <c r="AO1080" s="932"/>
      <c r="AP1080" s="932"/>
      <c r="AQ1080" s="932"/>
      <c r="AR1080" s="932"/>
      <c r="AS1080" s="932"/>
      <c r="AT1080" s="932"/>
      <c r="AU1080" s="932"/>
      <c r="AV1080" s="932"/>
      <c r="AW1080" s="932"/>
      <c r="AX1080" s="932"/>
      <c r="AY1080" s="932"/>
      <c r="AZ1080" s="932"/>
      <c r="BA1080" s="932"/>
      <c r="BB1080" s="932"/>
      <c r="BC1080" s="932"/>
      <c r="BD1080" s="932"/>
      <c r="BE1080" s="932"/>
      <c r="BF1080" s="932"/>
    </row>
    <row r="1081" spans="2:58" ht="15" x14ac:dyDescent="0.25">
      <c r="B1081" s="932"/>
      <c r="C1081" s="932"/>
      <c r="D1081" s="932"/>
      <c r="E1081" s="932"/>
      <c r="F1081" s="932"/>
      <c r="G1081" s="932"/>
      <c r="H1081" s="932"/>
      <c r="I1081" s="932"/>
      <c r="J1081" s="932"/>
      <c r="K1081" s="932"/>
      <c r="L1081" s="932"/>
      <c r="M1081" s="932"/>
      <c r="N1081" s="932"/>
      <c r="O1081" s="932"/>
      <c r="P1081" s="932"/>
      <c r="Q1081" s="932"/>
      <c r="R1081" s="932"/>
      <c r="S1081" s="932"/>
      <c r="T1081" s="932"/>
      <c r="U1081" s="932"/>
      <c r="V1081" s="932"/>
      <c r="W1081" s="932"/>
      <c r="X1081" s="932"/>
      <c r="Y1081" s="932"/>
      <c r="Z1081" s="932"/>
      <c r="AA1081" s="932"/>
      <c r="AB1081" s="932"/>
      <c r="AC1081" s="932"/>
      <c r="AD1081" s="932"/>
      <c r="AE1081" s="932"/>
      <c r="AF1081" s="932"/>
      <c r="AG1081" s="932"/>
      <c r="AH1081" s="932"/>
      <c r="AI1081" s="932"/>
      <c r="AJ1081" s="932"/>
      <c r="AK1081" s="932"/>
      <c r="AL1081" s="932"/>
      <c r="AM1081" s="932"/>
      <c r="AN1081" s="932"/>
      <c r="AO1081" s="932"/>
      <c r="AP1081" s="932"/>
      <c r="AQ1081" s="932"/>
      <c r="AR1081" s="932"/>
      <c r="AS1081" s="932"/>
      <c r="AT1081" s="932"/>
      <c r="AU1081" s="932"/>
      <c r="AV1081" s="932"/>
      <c r="AW1081" s="932"/>
      <c r="AX1081" s="932"/>
      <c r="AY1081" s="932"/>
      <c r="AZ1081" s="932"/>
      <c r="BA1081" s="932"/>
      <c r="BB1081" s="932"/>
      <c r="BC1081" s="932"/>
      <c r="BD1081" s="932"/>
      <c r="BE1081" s="932"/>
      <c r="BF1081" s="932"/>
    </row>
    <row r="1082" spans="2:58" ht="15" x14ac:dyDescent="0.25">
      <c r="B1082" s="932"/>
      <c r="C1082" s="932"/>
      <c r="D1082" s="932"/>
      <c r="E1082" s="932"/>
      <c r="F1082" s="932"/>
      <c r="G1082" s="932"/>
      <c r="H1082" s="932"/>
      <c r="I1082" s="932"/>
      <c r="J1082" s="932"/>
      <c r="K1082" s="932"/>
      <c r="L1082" s="932"/>
      <c r="M1082" s="932"/>
      <c r="N1082" s="932"/>
      <c r="O1082" s="932"/>
      <c r="P1082" s="932"/>
      <c r="Q1082" s="932"/>
      <c r="R1082" s="932"/>
      <c r="S1082" s="932"/>
      <c r="T1082" s="932"/>
      <c r="U1082" s="932"/>
      <c r="V1082" s="932"/>
      <c r="W1082" s="932"/>
      <c r="X1082" s="932"/>
      <c r="Y1082" s="932"/>
      <c r="Z1082" s="932"/>
      <c r="AA1082" s="932"/>
      <c r="AB1082" s="932"/>
      <c r="AC1082" s="932"/>
      <c r="AD1082" s="932"/>
      <c r="AE1082" s="932"/>
      <c r="AF1082" s="932"/>
      <c r="AG1082" s="932"/>
      <c r="AH1082" s="932"/>
      <c r="AI1082" s="932"/>
      <c r="AJ1082" s="932"/>
      <c r="AK1082" s="932"/>
      <c r="AL1082" s="932"/>
      <c r="AM1082" s="932"/>
      <c r="AN1082" s="932"/>
      <c r="AO1082" s="932"/>
      <c r="AP1082" s="932"/>
      <c r="AQ1082" s="932"/>
      <c r="AR1082" s="932"/>
      <c r="AS1082" s="932"/>
      <c r="AT1082" s="932"/>
      <c r="AU1082" s="932"/>
      <c r="AV1082" s="932"/>
      <c r="AW1082" s="932"/>
      <c r="AX1082" s="932"/>
      <c r="AY1082" s="932"/>
      <c r="AZ1082" s="932"/>
      <c r="BA1082" s="932"/>
      <c r="BB1082" s="932"/>
      <c r="BC1082" s="932"/>
      <c r="BD1082" s="932"/>
      <c r="BE1082" s="932"/>
      <c r="BF1082" s="932"/>
    </row>
    <row r="1083" spans="2:58" ht="15" x14ac:dyDescent="0.25">
      <c r="B1083" s="932"/>
      <c r="C1083" s="932"/>
      <c r="D1083" s="932"/>
      <c r="E1083" s="932"/>
      <c r="F1083" s="932"/>
      <c r="G1083" s="932"/>
      <c r="H1083" s="932"/>
      <c r="I1083" s="932"/>
      <c r="J1083" s="932"/>
      <c r="K1083" s="932"/>
      <c r="L1083" s="932"/>
      <c r="M1083" s="932"/>
      <c r="N1083" s="932"/>
      <c r="O1083" s="932"/>
      <c r="P1083" s="932"/>
      <c r="Q1083" s="932"/>
      <c r="R1083" s="932"/>
      <c r="S1083" s="932"/>
      <c r="T1083" s="932"/>
      <c r="U1083" s="932"/>
      <c r="V1083" s="932"/>
      <c r="W1083" s="932"/>
      <c r="X1083" s="932"/>
      <c r="Y1083" s="932"/>
      <c r="Z1083" s="932"/>
      <c r="AA1083" s="932"/>
      <c r="AB1083" s="932"/>
      <c r="AC1083" s="932"/>
      <c r="AD1083" s="932"/>
      <c r="AE1083" s="932"/>
      <c r="AF1083" s="932"/>
      <c r="AG1083" s="932"/>
      <c r="AH1083" s="932"/>
      <c r="AI1083" s="932"/>
      <c r="AJ1083" s="932"/>
      <c r="AK1083" s="932"/>
      <c r="AL1083" s="932"/>
      <c r="AM1083" s="932"/>
      <c r="AN1083" s="932"/>
      <c r="AO1083" s="932"/>
      <c r="AP1083" s="932"/>
      <c r="AQ1083" s="932"/>
      <c r="AR1083" s="932"/>
      <c r="AS1083" s="932"/>
      <c r="AT1083" s="932"/>
      <c r="AU1083" s="932"/>
      <c r="AV1083" s="932"/>
      <c r="AW1083" s="932"/>
      <c r="AX1083" s="932"/>
      <c r="AY1083" s="932"/>
      <c r="AZ1083" s="932"/>
      <c r="BA1083" s="932"/>
      <c r="BB1083" s="932"/>
      <c r="BC1083" s="932"/>
      <c r="BD1083" s="932"/>
      <c r="BE1083" s="932"/>
      <c r="BF1083" s="932"/>
    </row>
    <row r="1084" spans="2:58" ht="15" x14ac:dyDescent="0.25">
      <c r="B1084" s="932"/>
      <c r="C1084" s="932"/>
      <c r="D1084" s="932"/>
      <c r="E1084" s="932"/>
      <c r="F1084" s="932"/>
      <c r="G1084" s="932"/>
      <c r="H1084" s="932"/>
      <c r="I1084" s="932"/>
      <c r="J1084" s="932"/>
      <c r="K1084" s="932"/>
      <c r="L1084" s="932"/>
      <c r="M1084" s="932"/>
      <c r="N1084" s="932"/>
      <c r="O1084" s="932"/>
      <c r="P1084" s="932"/>
      <c r="Q1084" s="932"/>
      <c r="R1084" s="932"/>
      <c r="S1084" s="932"/>
      <c r="T1084" s="932"/>
      <c r="U1084" s="932"/>
      <c r="V1084" s="932"/>
      <c r="W1084" s="932"/>
      <c r="X1084" s="932"/>
      <c r="Y1084" s="932"/>
      <c r="Z1084" s="932"/>
      <c r="AA1084" s="932"/>
      <c r="AB1084" s="932"/>
      <c r="AC1084" s="932"/>
      <c r="AD1084" s="932"/>
      <c r="AE1084" s="932"/>
      <c r="AF1084" s="932"/>
      <c r="AG1084" s="932"/>
      <c r="AH1084" s="932"/>
      <c r="AI1084" s="932"/>
      <c r="AJ1084" s="932"/>
      <c r="AK1084" s="932"/>
      <c r="AL1084" s="932"/>
      <c r="AM1084" s="932"/>
      <c r="AN1084" s="932"/>
      <c r="AO1084" s="932"/>
      <c r="AP1084" s="932"/>
      <c r="AQ1084" s="932"/>
      <c r="AR1084" s="932"/>
      <c r="AS1084" s="932"/>
      <c r="AT1084" s="932"/>
      <c r="AU1084" s="932"/>
      <c r="AV1084" s="932"/>
      <c r="AW1084" s="932"/>
      <c r="AX1084" s="932"/>
      <c r="AY1084" s="932"/>
      <c r="AZ1084" s="932"/>
      <c r="BA1084" s="932"/>
      <c r="BB1084" s="932"/>
      <c r="BC1084" s="932"/>
      <c r="BD1084" s="932"/>
      <c r="BE1084" s="932"/>
      <c r="BF1084" s="932"/>
    </row>
    <row r="1085" spans="2:58" ht="15" x14ac:dyDescent="0.25">
      <c r="B1085" s="932"/>
      <c r="C1085" s="932"/>
      <c r="D1085" s="932"/>
      <c r="E1085" s="932"/>
      <c r="F1085" s="932"/>
      <c r="G1085" s="932"/>
      <c r="H1085" s="932"/>
      <c r="I1085" s="932"/>
      <c r="J1085" s="932"/>
      <c r="K1085" s="932"/>
      <c r="L1085" s="932"/>
      <c r="M1085" s="932"/>
      <c r="N1085" s="932"/>
      <c r="O1085" s="932"/>
      <c r="P1085" s="932"/>
      <c r="Q1085" s="932"/>
      <c r="R1085" s="932"/>
      <c r="S1085" s="932"/>
      <c r="T1085" s="932"/>
      <c r="U1085" s="932"/>
      <c r="V1085" s="932"/>
      <c r="W1085" s="932"/>
      <c r="X1085" s="932"/>
      <c r="Y1085" s="932"/>
      <c r="Z1085" s="932"/>
      <c r="AA1085" s="932"/>
      <c r="AB1085" s="932"/>
      <c r="AC1085" s="932"/>
      <c r="AD1085" s="932"/>
      <c r="AE1085" s="932"/>
      <c r="AF1085" s="932"/>
      <c r="AG1085" s="932"/>
      <c r="AH1085" s="932"/>
      <c r="AI1085" s="932"/>
      <c r="AJ1085" s="932"/>
      <c r="AK1085" s="932"/>
      <c r="AL1085" s="932"/>
      <c r="AM1085" s="932"/>
      <c r="AN1085" s="932"/>
      <c r="AO1085" s="932"/>
      <c r="AP1085" s="932"/>
      <c r="AQ1085" s="932"/>
      <c r="AR1085" s="932"/>
      <c r="AS1085" s="932"/>
      <c r="AT1085" s="932"/>
      <c r="AU1085" s="932"/>
      <c r="AV1085" s="932"/>
      <c r="AW1085" s="932"/>
      <c r="AX1085" s="932"/>
      <c r="AY1085" s="932"/>
      <c r="AZ1085" s="932"/>
      <c r="BA1085" s="932"/>
      <c r="BB1085" s="932"/>
      <c r="BC1085" s="932"/>
      <c r="BD1085" s="932"/>
      <c r="BE1085" s="932"/>
      <c r="BF1085" s="932"/>
    </row>
    <row r="1086" spans="2:58" ht="15" x14ac:dyDescent="0.25">
      <c r="B1086" s="932"/>
      <c r="C1086" s="932"/>
      <c r="D1086" s="932"/>
      <c r="E1086" s="932"/>
      <c r="F1086" s="932"/>
      <c r="G1086" s="932"/>
      <c r="H1086" s="932"/>
      <c r="I1086" s="932"/>
      <c r="J1086" s="932"/>
      <c r="K1086" s="932"/>
      <c r="L1086" s="932"/>
      <c r="M1086" s="932"/>
      <c r="N1086" s="932"/>
      <c r="O1086" s="932"/>
      <c r="P1086" s="932"/>
      <c r="Q1086" s="932"/>
      <c r="R1086" s="932"/>
      <c r="S1086" s="932"/>
      <c r="T1086" s="932"/>
      <c r="U1086" s="932"/>
      <c r="V1086" s="932"/>
      <c r="W1086" s="932"/>
      <c r="X1086" s="932"/>
      <c r="Y1086" s="932"/>
      <c r="Z1086" s="932"/>
      <c r="AA1086" s="932"/>
      <c r="AB1086" s="932"/>
      <c r="AC1086" s="932"/>
      <c r="AD1086" s="932"/>
      <c r="AE1086" s="932"/>
      <c r="AF1086" s="932"/>
      <c r="AG1086" s="932"/>
      <c r="AH1086" s="932"/>
      <c r="AI1086" s="932"/>
      <c r="AJ1086" s="932"/>
      <c r="AK1086" s="932"/>
      <c r="AL1086" s="932"/>
      <c r="AM1086" s="932"/>
      <c r="AN1086" s="932"/>
      <c r="AO1086" s="932"/>
      <c r="AP1086" s="932"/>
      <c r="AQ1086" s="932"/>
      <c r="AR1086" s="932"/>
      <c r="AS1086" s="932"/>
      <c r="AT1086" s="932"/>
      <c r="AU1086" s="932"/>
      <c r="AV1086" s="932"/>
      <c r="AW1086" s="932"/>
      <c r="AX1086" s="932"/>
      <c r="AY1086" s="932"/>
      <c r="AZ1086" s="932"/>
      <c r="BA1086" s="932"/>
      <c r="BB1086" s="932"/>
      <c r="BC1086" s="932"/>
      <c r="BD1086" s="932"/>
      <c r="BE1086" s="932"/>
      <c r="BF1086" s="932"/>
    </row>
    <row r="1087" spans="2:58" ht="15" x14ac:dyDescent="0.25">
      <c r="B1087" s="932"/>
      <c r="C1087" s="932"/>
      <c r="D1087" s="932"/>
      <c r="E1087" s="932"/>
      <c r="F1087" s="932"/>
      <c r="G1087" s="932"/>
      <c r="H1087" s="932"/>
      <c r="I1087" s="932"/>
      <c r="J1087" s="932"/>
      <c r="K1087" s="932"/>
      <c r="L1087" s="932"/>
      <c r="M1087" s="932"/>
      <c r="N1087" s="932"/>
      <c r="O1087" s="932"/>
      <c r="P1087" s="932"/>
      <c r="Q1087" s="932"/>
      <c r="R1087" s="932"/>
      <c r="S1087" s="932"/>
      <c r="T1087" s="932"/>
      <c r="U1087" s="932"/>
      <c r="V1087" s="932"/>
      <c r="W1087" s="932"/>
      <c r="X1087" s="932"/>
      <c r="Y1087" s="932"/>
      <c r="Z1087" s="932"/>
      <c r="AA1087" s="932"/>
      <c r="AB1087" s="932"/>
      <c r="AC1087" s="932"/>
      <c r="AD1087" s="932"/>
      <c r="AE1087" s="932"/>
      <c r="AF1087" s="932"/>
      <c r="AG1087" s="932"/>
      <c r="AH1087" s="932"/>
      <c r="AI1087" s="932"/>
      <c r="AJ1087" s="932"/>
      <c r="AK1087" s="932"/>
      <c r="AL1087" s="932"/>
      <c r="AM1087" s="932"/>
      <c r="AN1087" s="932"/>
      <c r="AO1087" s="932"/>
      <c r="AP1087" s="932"/>
      <c r="AQ1087" s="932"/>
      <c r="AR1087" s="932"/>
      <c r="AS1087" s="932"/>
      <c r="AT1087" s="932"/>
      <c r="AU1087" s="932"/>
      <c r="AV1087" s="932"/>
      <c r="AW1087" s="932"/>
      <c r="AX1087" s="932"/>
      <c r="AY1087" s="932"/>
      <c r="AZ1087" s="932"/>
      <c r="BA1087" s="932"/>
      <c r="BB1087" s="932"/>
      <c r="BC1087" s="932"/>
      <c r="BD1087" s="932"/>
      <c r="BE1087" s="932"/>
      <c r="BF1087" s="932"/>
    </row>
    <row r="1088" spans="2:58" ht="15" x14ac:dyDescent="0.25">
      <c r="B1088" s="932"/>
      <c r="C1088" s="932"/>
      <c r="D1088" s="932"/>
      <c r="E1088" s="932"/>
      <c r="F1088" s="932"/>
      <c r="G1088" s="932"/>
      <c r="H1088" s="932"/>
      <c r="I1088" s="932"/>
      <c r="J1088" s="932"/>
      <c r="K1088" s="932"/>
      <c r="L1088" s="932"/>
      <c r="M1088" s="932"/>
      <c r="N1088" s="932"/>
      <c r="O1088" s="932"/>
      <c r="P1088" s="932"/>
      <c r="Q1088" s="932"/>
      <c r="R1088" s="932"/>
      <c r="S1088" s="932"/>
      <c r="T1088" s="932"/>
      <c r="U1088" s="932"/>
      <c r="V1088" s="932"/>
      <c r="W1088" s="932"/>
      <c r="X1088" s="932"/>
      <c r="Y1088" s="932"/>
      <c r="Z1088" s="932"/>
      <c r="AA1088" s="932"/>
      <c r="AB1088" s="932"/>
      <c r="AC1088" s="932"/>
      <c r="AD1088" s="932"/>
      <c r="AE1088" s="932"/>
      <c r="AF1088" s="932"/>
      <c r="AG1088" s="932"/>
      <c r="AH1088" s="932"/>
      <c r="AI1088" s="932"/>
      <c r="AJ1088" s="932"/>
      <c r="AK1088" s="932"/>
      <c r="AL1088" s="932"/>
      <c r="AM1088" s="932"/>
      <c r="AN1088" s="932"/>
      <c r="AO1088" s="932"/>
      <c r="AP1088" s="932"/>
      <c r="AQ1088" s="932"/>
      <c r="AR1088" s="932"/>
      <c r="AS1088" s="932"/>
      <c r="AT1088" s="932"/>
      <c r="AU1088" s="932"/>
      <c r="AV1088" s="932"/>
      <c r="AW1088" s="932"/>
      <c r="AX1088" s="932"/>
      <c r="AY1088" s="932"/>
      <c r="AZ1088" s="932"/>
      <c r="BA1088" s="932"/>
      <c r="BB1088" s="932"/>
      <c r="BC1088" s="932"/>
      <c r="BD1088" s="932"/>
      <c r="BE1088" s="932"/>
      <c r="BF1088" s="932"/>
    </row>
    <row r="1089" spans="2:58" ht="15" x14ac:dyDescent="0.25">
      <c r="B1089" s="932"/>
      <c r="C1089" s="932"/>
      <c r="D1089" s="932"/>
      <c r="E1089" s="932"/>
      <c r="F1089" s="932"/>
      <c r="G1089" s="932"/>
      <c r="H1089" s="932"/>
      <c r="I1089" s="932"/>
      <c r="J1089" s="932"/>
      <c r="K1089" s="932"/>
      <c r="L1089" s="932"/>
      <c r="M1089" s="932"/>
      <c r="N1089" s="932"/>
      <c r="O1089" s="932"/>
      <c r="P1089" s="932"/>
      <c r="Q1089" s="932"/>
      <c r="R1089" s="932"/>
      <c r="S1089" s="932"/>
      <c r="T1089" s="932"/>
      <c r="U1089" s="932"/>
      <c r="V1089" s="932"/>
      <c r="W1089" s="932"/>
      <c r="X1089" s="932"/>
      <c r="Y1089" s="932"/>
      <c r="Z1089" s="932"/>
      <c r="AA1089" s="932"/>
      <c r="AB1089" s="932"/>
      <c r="AC1089" s="932"/>
      <c r="AD1089" s="932"/>
      <c r="AE1089" s="932"/>
      <c r="AF1089" s="932"/>
      <c r="AG1089" s="932"/>
      <c r="AH1089" s="932"/>
      <c r="AI1089" s="932"/>
      <c r="AJ1089" s="932"/>
      <c r="AK1089" s="932"/>
      <c r="AL1089" s="932"/>
      <c r="AM1089" s="932"/>
      <c r="AN1089" s="932"/>
      <c r="AO1089" s="932"/>
      <c r="AP1089" s="932"/>
      <c r="AQ1089" s="932"/>
      <c r="AR1089" s="932"/>
      <c r="AS1089" s="932"/>
      <c r="AT1089" s="932"/>
      <c r="AU1089" s="932"/>
      <c r="AV1089" s="932"/>
      <c r="AW1089" s="932"/>
      <c r="AX1089" s="932"/>
      <c r="AY1089" s="932"/>
      <c r="AZ1089" s="932"/>
      <c r="BA1089" s="932"/>
      <c r="BB1089" s="932"/>
      <c r="BC1089" s="932"/>
      <c r="BD1089" s="932"/>
      <c r="BE1089" s="932"/>
      <c r="BF1089" s="932"/>
    </row>
    <row r="1090" spans="2:58" ht="15" x14ac:dyDescent="0.25">
      <c r="B1090" s="932"/>
      <c r="C1090" s="932"/>
      <c r="D1090" s="932"/>
      <c r="E1090" s="932"/>
      <c r="F1090" s="932"/>
      <c r="G1090" s="932"/>
      <c r="H1090" s="932"/>
      <c r="I1090" s="932"/>
      <c r="J1090" s="932"/>
      <c r="K1090" s="932"/>
      <c r="L1090" s="932"/>
      <c r="M1090" s="932"/>
      <c r="N1090" s="932"/>
      <c r="O1090" s="932"/>
      <c r="P1090" s="932"/>
      <c r="Q1090" s="932"/>
      <c r="R1090" s="932"/>
      <c r="S1090" s="932"/>
      <c r="T1090" s="932"/>
      <c r="U1090" s="932"/>
      <c r="V1090" s="932"/>
      <c r="W1090" s="932"/>
      <c r="X1090" s="932"/>
      <c r="Y1090" s="932"/>
      <c r="Z1090" s="932"/>
      <c r="AA1090" s="932"/>
      <c r="AB1090" s="932"/>
      <c r="AC1090" s="932"/>
      <c r="AD1090" s="932"/>
      <c r="AE1090" s="932"/>
      <c r="AF1090" s="932"/>
      <c r="AG1090" s="932"/>
      <c r="AH1090" s="932"/>
      <c r="AI1090" s="932"/>
      <c r="AJ1090" s="932"/>
      <c r="AK1090" s="932"/>
      <c r="AL1090" s="932"/>
      <c r="AM1090" s="932"/>
      <c r="AN1090" s="932"/>
      <c r="AO1090" s="932"/>
      <c r="AP1090" s="932"/>
      <c r="AQ1090" s="932"/>
      <c r="AR1090" s="932"/>
      <c r="AS1090" s="932"/>
      <c r="AT1090" s="932"/>
      <c r="AU1090" s="932"/>
      <c r="AV1090" s="932"/>
      <c r="AW1090" s="932"/>
      <c r="AX1090" s="932"/>
      <c r="AY1090" s="932"/>
      <c r="AZ1090" s="932"/>
      <c r="BA1090" s="932"/>
      <c r="BB1090" s="932"/>
      <c r="BC1090" s="932"/>
      <c r="BD1090" s="932"/>
      <c r="BE1090" s="932"/>
      <c r="BF1090" s="932"/>
    </row>
    <row r="1091" spans="2:58" ht="15" x14ac:dyDescent="0.25">
      <c r="B1091" s="932"/>
      <c r="C1091" s="932"/>
      <c r="D1091" s="932"/>
      <c r="E1091" s="932"/>
      <c r="F1091" s="932"/>
      <c r="G1091" s="932"/>
      <c r="H1091" s="932"/>
      <c r="I1091" s="932"/>
      <c r="J1091" s="932"/>
      <c r="K1091" s="932"/>
      <c r="L1091" s="932"/>
      <c r="M1091" s="932"/>
      <c r="N1091" s="932"/>
      <c r="O1091" s="932"/>
      <c r="P1091" s="932"/>
      <c r="Q1091" s="932"/>
      <c r="R1091" s="932"/>
      <c r="S1091" s="932"/>
      <c r="T1091" s="932"/>
      <c r="U1091" s="932"/>
      <c r="V1091" s="932"/>
      <c r="W1091" s="932"/>
      <c r="X1091" s="932"/>
      <c r="Y1091" s="932"/>
      <c r="Z1091" s="932"/>
      <c r="AA1091" s="932"/>
      <c r="AB1091" s="932"/>
      <c r="AC1091" s="932"/>
      <c r="AD1091" s="932"/>
      <c r="AE1091" s="932"/>
      <c r="AF1091" s="932"/>
      <c r="AG1091" s="932"/>
      <c r="AH1091" s="932"/>
      <c r="AI1091" s="932"/>
      <c r="AJ1091" s="932"/>
      <c r="AK1091" s="932"/>
      <c r="AL1091" s="932"/>
      <c r="AM1091" s="932"/>
      <c r="AN1091" s="932"/>
      <c r="AO1091" s="932"/>
      <c r="AP1091" s="932"/>
      <c r="AQ1091" s="932"/>
      <c r="AR1091" s="932"/>
      <c r="AS1091" s="932"/>
      <c r="AT1091" s="932"/>
      <c r="AU1091" s="932"/>
      <c r="AV1091" s="932"/>
      <c r="AW1091" s="932"/>
      <c r="AX1091" s="932"/>
      <c r="AY1091" s="932"/>
      <c r="AZ1091" s="932"/>
      <c r="BA1091" s="932"/>
      <c r="BB1091" s="932"/>
      <c r="BC1091" s="932"/>
      <c r="BD1091" s="932"/>
      <c r="BE1091" s="932"/>
      <c r="BF1091" s="932"/>
    </row>
    <row r="1092" spans="2:58" ht="15" x14ac:dyDescent="0.25">
      <c r="B1092" s="932"/>
      <c r="C1092" s="932"/>
      <c r="D1092" s="932"/>
      <c r="E1092" s="932"/>
      <c r="F1092" s="932"/>
      <c r="G1092" s="932"/>
      <c r="H1092" s="932"/>
      <c r="I1092" s="932"/>
      <c r="J1092" s="932"/>
      <c r="K1092" s="932"/>
      <c r="L1092" s="932"/>
      <c r="M1092" s="932"/>
      <c r="N1092" s="932"/>
      <c r="O1092" s="932"/>
      <c r="P1092" s="932"/>
      <c r="Q1092" s="932"/>
      <c r="R1092" s="932"/>
      <c r="S1092" s="932"/>
      <c r="T1092" s="932"/>
      <c r="U1092" s="932"/>
      <c r="V1092" s="932"/>
      <c r="W1092" s="932"/>
      <c r="X1092" s="932"/>
      <c r="Y1092" s="932"/>
      <c r="Z1092" s="932"/>
      <c r="AA1092" s="932"/>
      <c r="AB1092" s="932"/>
      <c r="AC1092" s="932"/>
      <c r="AD1092" s="932"/>
      <c r="AE1092" s="932"/>
      <c r="AF1092" s="932"/>
      <c r="AG1092" s="932"/>
      <c r="AH1092" s="932"/>
      <c r="AI1092" s="932"/>
      <c r="AJ1092" s="932"/>
      <c r="AK1092" s="932"/>
      <c r="AL1092" s="932"/>
      <c r="AM1092" s="932"/>
      <c r="AN1092" s="932"/>
      <c r="AO1092" s="932"/>
      <c r="AP1092" s="932"/>
      <c r="AQ1092" s="932"/>
      <c r="AR1092" s="932"/>
      <c r="AS1092" s="932"/>
      <c r="AT1092" s="932"/>
      <c r="AU1092" s="932"/>
      <c r="AV1092" s="932"/>
      <c r="AW1092" s="932"/>
      <c r="AX1092" s="932"/>
      <c r="AY1092" s="932"/>
      <c r="AZ1092" s="932"/>
      <c r="BA1092" s="932"/>
      <c r="BB1092" s="932"/>
      <c r="BC1092" s="932"/>
      <c r="BD1092" s="932"/>
      <c r="BE1092" s="932"/>
      <c r="BF1092" s="932"/>
    </row>
    <row r="1093" spans="2:58" ht="15" x14ac:dyDescent="0.25">
      <c r="B1093" s="932"/>
      <c r="C1093" s="932"/>
      <c r="D1093" s="932"/>
      <c r="E1093" s="932"/>
      <c r="F1093" s="932"/>
      <c r="G1093" s="932"/>
      <c r="H1093" s="932"/>
      <c r="I1093" s="932"/>
      <c r="J1093" s="932"/>
      <c r="K1093" s="932"/>
      <c r="L1093" s="932"/>
      <c r="M1093" s="932"/>
      <c r="N1093" s="932"/>
      <c r="O1093" s="932"/>
      <c r="P1093" s="932"/>
      <c r="Q1093" s="932"/>
      <c r="R1093" s="932"/>
      <c r="S1093" s="932"/>
      <c r="T1093" s="932"/>
      <c r="U1093" s="932"/>
      <c r="V1093" s="932"/>
      <c r="W1093" s="932"/>
      <c r="X1093" s="932"/>
      <c r="Y1093" s="932"/>
      <c r="Z1093" s="932"/>
      <c r="AA1093" s="932"/>
      <c r="AB1093" s="932"/>
      <c r="AC1093" s="932"/>
      <c r="AD1093" s="932"/>
      <c r="AE1093" s="932"/>
      <c r="AF1093" s="932"/>
      <c r="AG1093" s="932"/>
      <c r="AH1093" s="932"/>
      <c r="AI1093" s="932"/>
      <c r="AJ1093" s="932"/>
      <c r="AK1093" s="932"/>
      <c r="AL1093" s="932"/>
      <c r="AM1093" s="932"/>
      <c r="AN1093" s="932"/>
      <c r="AO1093" s="932"/>
      <c r="AP1093" s="932"/>
      <c r="AQ1093" s="932"/>
      <c r="AR1093" s="932"/>
      <c r="AS1093" s="932"/>
      <c r="AT1093" s="932"/>
      <c r="AU1093" s="932"/>
      <c r="AV1093" s="932"/>
      <c r="AW1093" s="932"/>
      <c r="AX1093" s="932"/>
      <c r="AY1093" s="932"/>
      <c r="AZ1093" s="932"/>
      <c r="BA1093" s="932"/>
      <c r="BB1093" s="932"/>
      <c r="BC1093" s="932"/>
      <c r="BD1093" s="932"/>
      <c r="BE1093" s="932"/>
      <c r="BF1093" s="932"/>
    </row>
    <row r="1094" spans="2:58" ht="15" x14ac:dyDescent="0.25">
      <c r="B1094" s="932"/>
      <c r="C1094" s="932"/>
      <c r="D1094" s="932"/>
      <c r="E1094" s="932"/>
      <c r="F1094" s="932"/>
      <c r="G1094" s="932"/>
      <c r="H1094" s="932"/>
      <c r="I1094" s="932"/>
      <c r="J1094" s="932"/>
      <c r="K1094" s="932"/>
      <c r="L1094" s="932"/>
      <c r="M1094" s="932"/>
      <c r="N1094" s="932"/>
      <c r="O1094" s="932"/>
      <c r="P1094" s="932"/>
      <c r="Q1094" s="932"/>
      <c r="R1094" s="932"/>
      <c r="S1094" s="932"/>
      <c r="T1094" s="932"/>
      <c r="U1094" s="932"/>
      <c r="V1094" s="932"/>
      <c r="W1094" s="932"/>
      <c r="X1094" s="932"/>
      <c r="Y1094" s="932"/>
      <c r="Z1094" s="932"/>
      <c r="AA1094" s="932"/>
      <c r="AB1094" s="932"/>
      <c r="AC1094" s="932"/>
      <c r="AD1094" s="932"/>
      <c r="AE1094" s="932"/>
      <c r="AF1094" s="932"/>
      <c r="AG1094" s="932"/>
      <c r="AH1094" s="932"/>
      <c r="AI1094" s="932"/>
      <c r="AJ1094" s="932"/>
      <c r="AK1094" s="932"/>
      <c r="AL1094" s="932"/>
      <c r="AM1094" s="932"/>
      <c r="AN1094" s="932"/>
      <c r="AO1094" s="932"/>
      <c r="AP1094" s="932"/>
      <c r="AQ1094" s="932"/>
      <c r="AR1094" s="932"/>
      <c r="AS1094" s="932"/>
      <c r="AT1094" s="932"/>
      <c r="AU1094" s="932"/>
      <c r="AV1094" s="932"/>
      <c r="AW1094" s="932"/>
      <c r="AX1094" s="932"/>
      <c r="AY1094" s="932"/>
      <c r="AZ1094" s="932"/>
      <c r="BA1094" s="932"/>
      <c r="BB1094" s="932"/>
      <c r="BC1094" s="932"/>
      <c r="BD1094" s="932"/>
      <c r="BE1094" s="932"/>
      <c r="BF1094" s="932"/>
    </row>
    <row r="1095" spans="2:58" ht="15" x14ac:dyDescent="0.25">
      <c r="B1095" s="932"/>
      <c r="C1095" s="932"/>
      <c r="D1095" s="932"/>
      <c r="E1095" s="932"/>
      <c r="F1095" s="932"/>
      <c r="G1095" s="932"/>
      <c r="H1095" s="932"/>
      <c r="I1095" s="932"/>
      <c r="J1095" s="932"/>
      <c r="K1095" s="932"/>
      <c r="L1095" s="932"/>
      <c r="M1095" s="932"/>
      <c r="N1095" s="932"/>
      <c r="O1095" s="932"/>
      <c r="P1095" s="932"/>
      <c r="Q1095" s="932"/>
      <c r="R1095" s="932"/>
      <c r="S1095" s="932"/>
      <c r="T1095" s="932"/>
      <c r="U1095" s="932"/>
      <c r="V1095" s="932"/>
      <c r="W1095" s="932"/>
      <c r="X1095" s="932"/>
      <c r="Y1095" s="932"/>
      <c r="Z1095" s="932"/>
      <c r="AA1095" s="932"/>
      <c r="AB1095" s="932"/>
      <c r="AC1095" s="932"/>
      <c r="AD1095" s="932"/>
      <c r="AE1095" s="932"/>
      <c r="AF1095" s="932"/>
      <c r="AG1095" s="932"/>
      <c r="AH1095" s="932"/>
      <c r="AI1095" s="932"/>
      <c r="AJ1095" s="932"/>
      <c r="AK1095" s="932"/>
      <c r="AL1095" s="932"/>
      <c r="AM1095" s="932"/>
      <c r="AN1095" s="932"/>
      <c r="AO1095" s="932"/>
      <c r="AP1095" s="932"/>
      <c r="AQ1095" s="932"/>
      <c r="AR1095" s="932"/>
      <c r="AS1095" s="932"/>
      <c r="AT1095" s="932"/>
      <c r="AU1095" s="932"/>
      <c r="AV1095" s="932"/>
      <c r="AW1095" s="932"/>
      <c r="AX1095" s="932"/>
      <c r="AY1095" s="932"/>
      <c r="AZ1095" s="932"/>
      <c r="BA1095" s="932"/>
      <c r="BB1095" s="932"/>
      <c r="BC1095" s="932"/>
      <c r="BD1095" s="932"/>
      <c r="BE1095" s="932"/>
      <c r="BF1095" s="932"/>
    </row>
    <row r="1096" spans="2:58" ht="15" x14ac:dyDescent="0.25">
      <c r="B1096" s="932"/>
      <c r="C1096" s="932"/>
      <c r="D1096" s="932"/>
      <c r="E1096" s="932"/>
      <c r="F1096" s="932"/>
      <c r="G1096" s="932"/>
      <c r="H1096" s="932"/>
      <c r="I1096" s="932"/>
      <c r="J1096" s="932"/>
      <c r="K1096" s="932"/>
      <c r="L1096" s="932"/>
      <c r="M1096" s="932"/>
      <c r="N1096" s="932"/>
      <c r="O1096" s="932"/>
      <c r="P1096" s="932"/>
      <c r="Q1096" s="932"/>
      <c r="R1096" s="932"/>
      <c r="S1096" s="932"/>
      <c r="T1096" s="932"/>
      <c r="U1096" s="932"/>
      <c r="V1096" s="932"/>
      <c r="W1096" s="932"/>
      <c r="X1096" s="932"/>
      <c r="Y1096" s="932"/>
      <c r="Z1096" s="932"/>
      <c r="AA1096" s="932"/>
      <c r="AB1096" s="932"/>
      <c r="AC1096" s="932"/>
      <c r="AD1096" s="932"/>
      <c r="AE1096" s="932"/>
      <c r="AF1096" s="932"/>
      <c r="AG1096" s="932"/>
      <c r="AH1096" s="932"/>
      <c r="AI1096" s="932"/>
      <c r="AJ1096" s="932"/>
      <c r="AK1096" s="932"/>
      <c r="AL1096" s="932"/>
      <c r="AM1096" s="932"/>
      <c r="AN1096" s="932"/>
      <c r="AO1096" s="932"/>
      <c r="AP1096" s="932"/>
      <c r="AQ1096" s="932"/>
      <c r="AR1096" s="932"/>
      <c r="AS1096" s="932"/>
      <c r="AT1096" s="932"/>
      <c r="AU1096" s="932"/>
      <c r="AV1096" s="932"/>
      <c r="AW1096" s="932"/>
      <c r="AX1096" s="932"/>
      <c r="AY1096" s="932"/>
      <c r="AZ1096" s="932"/>
      <c r="BA1096" s="932"/>
      <c r="BB1096" s="932"/>
      <c r="BC1096" s="932"/>
      <c r="BD1096" s="932"/>
      <c r="BE1096" s="932"/>
      <c r="BF1096" s="932"/>
    </row>
    <row r="1097" spans="2:58" ht="15" x14ac:dyDescent="0.25">
      <c r="B1097" s="932"/>
      <c r="C1097" s="932"/>
      <c r="D1097" s="932"/>
      <c r="E1097" s="932"/>
      <c r="F1097" s="932"/>
      <c r="G1097" s="932"/>
      <c r="H1097" s="932"/>
      <c r="I1097" s="932"/>
      <c r="J1097" s="932"/>
      <c r="K1097" s="932"/>
      <c r="L1097" s="932"/>
      <c r="M1097" s="932"/>
      <c r="N1097" s="932"/>
      <c r="O1097" s="932"/>
      <c r="P1097" s="932"/>
      <c r="Q1097" s="932"/>
      <c r="R1097" s="932"/>
      <c r="S1097" s="932"/>
      <c r="T1097" s="932"/>
      <c r="U1097" s="932"/>
      <c r="V1097" s="932"/>
      <c r="W1097" s="932"/>
      <c r="X1097" s="932"/>
      <c r="Y1097" s="932"/>
      <c r="Z1097" s="932"/>
      <c r="AA1097" s="932"/>
      <c r="AB1097" s="932"/>
      <c r="AC1097" s="932"/>
      <c r="AD1097" s="932"/>
      <c r="AE1097" s="932"/>
      <c r="AF1097" s="932"/>
      <c r="AG1097" s="932"/>
      <c r="AH1097" s="932"/>
      <c r="AI1097" s="932"/>
      <c r="AJ1097" s="932"/>
      <c r="AK1097" s="932"/>
      <c r="AL1097" s="932"/>
      <c r="AM1097" s="932"/>
      <c r="AN1097" s="932"/>
      <c r="AO1097" s="932"/>
      <c r="AP1097" s="932"/>
      <c r="AQ1097" s="932"/>
      <c r="AR1097" s="932"/>
      <c r="AS1097" s="932"/>
      <c r="AT1097" s="932"/>
      <c r="AU1097" s="932"/>
      <c r="AV1097" s="932"/>
      <c r="AW1097" s="932"/>
      <c r="AX1097" s="932"/>
      <c r="AY1097" s="932"/>
      <c r="AZ1097" s="932"/>
      <c r="BA1097" s="932"/>
      <c r="BB1097" s="932"/>
      <c r="BC1097" s="932"/>
      <c r="BD1097" s="932"/>
      <c r="BE1097" s="932"/>
      <c r="BF1097" s="932"/>
    </row>
    <row r="1098" spans="2:58" ht="15" x14ac:dyDescent="0.25">
      <c r="B1098" s="932"/>
      <c r="C1098" s="932"/>
      <c r="D1098" s="932"/>
      <c r="E1098" s="932"/>
      <c r="F1098" s="932"/>
      <c r="G1098" s="932"/>
      <c r="H1098" s="932"/>
      <c r="I1098" s="932"/>
      <c r="J1098" s="932"/>
      <c r="K1098" s="932"/>
      <c r="L1098" s="932"/>
      <c r="M1098" s="932"/>
      <c r="N1098" s="932"/>
      <c r="O1098" s="932"/>
      <c r="P1098" s="932"/>
      <c r="Q1098" s="932"/>
      <c r="R1098" s="932"/>
      <c r="S1098" s="932"/>
      <c r="T1098" s="932"/>
      <c r="U1098" s="932"/>
      <c r="V1098" s="932"/>
      <c r="W1098" s="932"/>
      <c r="X1098" s="932"/>
      <c r="Y1098" s="932"/>
      <c r="Z1098" s="932"/>
      <c r="AA1098" s="932"/>
      <c r="AB1098" s="932"/>
      <c r="AC1098" s="932"/>
      <c r="AD1098" s="932"/>
      <c r="AE1098" s="932"/>
      <c r="AF1098" s="932"/>
      <c r="AG1098" s="932"/>
      <c r="AH1098" s="932"/>
      <c r="AI1098" s="932"/>
      <c r="AJ1098" s="932"/>
      <c r="AK1098" s="932"/>
      <c r="AL1098" s="932"/>
      <c r="AM1098" s="932"/>
      <c r="AN1098" s="932"/>
      <c r="AO1098" s="932"/>
      <c r="AP1098" s="932"/>
      <c r="AQ1098" s="932"/>
      <c r="AR1098" s="932"/>
      <c r="AS1098" s="932"/>
      <c r="AT1098" s="932"/>
      <c r="AU1098" s="932"/>
      <c r="AV1098" s="932"/>
      <c r="AW1098" s="932"/>
      <c r="AX1098" s="932"/>
      <c r="AY1098" s="932"/>
      <c r="AZ1098" s="932"/>
      <c r="BA1098" s="932"/>
      <c r="BB1098" s="932"/>
      <c r="BC1098" s="932"/>
      <c r="BD1098" s="932"/>
      <c r="BE1098" s="932"/>
      <c r="BF1098" s="932"/>
    </row>
    <row r="1099" spans="2:58" ht="15" x14ac:dyDescent="0.25">
      <c r="B1099" s="932"/>
      <c r="C1099" s="932"/>
      <c r="D1099" s="932"/>
      <c r="E1099" s="932"/>
      <c r="F1099" s="932"/>
      <c r="G1099" s="932"/>
      <c r="H1099" s="932"/>
      <c r="I1099" s="932"/>
      <c r="J1099" s="932"/>
      <c r="K1099" s="932"/>
      <c r="L1099" s="932"/>
      <c r="M1099" s="932"/>
      <c r="N1099" s="932"/>
      <c r="O1099" s="932"/>
      <c r="P1099" s="932"/>
      <c r="Q1099" s="932"/>
      <c r="R1099" s="932"/>
      <c r="S1099" s="932"/>
      <c r="T1099" s="932"/>
      <c r="U1099" s="932"/>
      <c r="V1099" s="932"/>
      <c r="W1099" s="932"/>
      <c r="X1099" s="932"/>
      <c r="Y1099" s="932"/>
      <c r="Z1099" s="932"/>
      <c r="AA1099" s="932"/>
      <c r="AB1099" s="932"/>
      <c r="AC1099" s="932"/>
      <c r="AD1099" s="932"/>
      <c r="AE1099" s="932"/>
      <c r="AF1099" s="932"/>
      <c r="AG1099" s="932"/>
      <c r="AH1099" s="932"/>
      <c r="AI1099" s="932"/>
      <c r="AJ1099" s="932"/>
      <c r="AK1099" s="932"/>
      <c r="AL1099" s="932"/>
      <c r="AM1099" s="932"/>
      <c r="AN1099" s="932"/>
      <c r="AO1099" s="932"/>
      <c r="AP1099" s="932"/>
      <c r="AQ1099" s="932"/>
      <c r="AR1099" s="932"/>
      <c r="AS1099" s="932"/>
      <c r="AT1099" s="932"/>
      <c r="AU1099" s="932"/>
      <c r="AV1099" s="932"/>
      <c r="AW1099" s="932"/>
      <c r="AX1099" s="932"/>
      <c r="AY1099" s="932"/>
      <c r="AZ1099" s="932"/>
      <c r="BA1099" s="932"/>
      <c r="BB1099" s="932"/>
      <c r="BC1099" s="932"/>
      <c r="BD1099" s="932"/>
      <c r="BE1099" s="932"/>
      <c r="BF1099" s="932"/>
    </row>
    <row r="1100" spans="2:58" ht="15" x14ac:dyDescent="0.25">
      <c r="B1100" s="932"/>
      <c r="C1100" s="932"/>
      <c r="D1100" s="932"/>
      <c r="E1100" s="932"/>
      <c r="F1100" s="932"/>
      <c r="G1100" s="932"/>
      <c r="H1100" s="932"/>
      <c r="I1100" s="932"/>
      <c r="J1100" s="932"/>
      <c r="K1100" s="932"/>
      <c r="L1100" s="932"/>
      <c r="M1100" s="932"/>
      <c r="N1100" s="932"/>
      <c r="O1100" s="932"/>
      <c r="P1100" s="932"/>
      <c r="Q1100" s="932"/>
      <c r="R1100" s="932"/>
      <c r="S1100" s="932"/>
      <c r="T1100" s="932"/>
      <c r="U1100" s="932"/>
      <c r="V1100" s="932"/>
      <c r="W1100" s="932"/>
      <c r="X1100" s="932"/>
      <c r="Y1100" s="932"/>
      <c r="Z1100" s="932"/>
      <c r="AA1100" s="932"/>
      <c r="AB1100" s="932"/>
      <c r="AC1100" s="932"/>
      <c r="AD1100" s="932"/>
      <c r="AE1100" s="932"/>
      <c r="AF1100" s="932"/>
      <c r="AG1100" s="932"/>
      <c r="AH1100" s="932"/>
      <c r="AI1100" s="932"/>
      <c r="AJ1100" s="932"/>
      <c r="AK1100" s="932"/>
      <c r="AL1100" s="932"/>
      <c r="AM1100" s="932"/>
      <c r="AN1100" s="932"/>
      <c r="AO1100" s="932"/>
      <c r="AP1100" s="932"/>
      <c r="AQ1100" s="932"/>
      <c r="AR1100" s="932"/>
      <c r="AS1100" s="932"/>
      <c r="AT1100" s="932"/>
      <c r="AU1100" s="932"/>
      <c r="AV1100" s="932"/>
      <c r="AW1100" s="932"/>
      <c r="AX1100" s="932"/>
      <c r="AY1100" s="932"/>
      <c r="AZ1100" s="932"/>
      <c r="BA1100" s="932"/>
      <c r="BB1100" s="932"/>
      <c r="BC1100" s="932"/>
      <c r="BD1100" s="932"/>
      <c r="BE1100" s="932"/>
      <c r="BF1100" s="932"/>
    </row>
    <row r="1101" spans="2:58" ht="15" x14ac:dyDescent="0.25">
      <c r="B1101" s="932"/>
      <c r="C1101" s="932"/>
      <c r="D1101" s="932"/>
      <c r="E1101" s="932"/>
      <c r="F1101" s="932"/>
      <c r="G1101" s="932"/>
      <c r="H1101" s="932"/>
      <c r="I1101" s="932"/>
      <c r="J1101" s="932"/>
      <c r="K1101" s="932"/>
      <c r="L1101" s="932"/>
      <c r="M1101" s="932"/>
      <c r="N1101" s="932"/>
      <c r="O1101" s="932"/>
      <c r="P1101" s="932"/>
      <c r="Q1101" s="932"/>
      <c r="R1101" s="932"/>
      <c r="S1101" s="932"/>
      <c r="T1101" s="932"/>
      <c r="U1101" s="932"/>
      <c r="V1101" s="932"/>
      <c r="W1101" s="932"/>
      <c r="X1101" s="932"/>
      <c r="Y1101" s="932"/>
      <c r="Z1101" s="932"/>
      <c r="AA1101" s="932"/>
      <c r="AB1101" s="932"/>
      <c r="AC1101" s="932"/>
      <c r="AD1101" s="932"/>
      <c r="AE1101" s="932"/>
      <c r="AF1101" s="932"/>
      <c r="AG1101" s="932"/>
      <c r="AH1101" s="932"/>
      <c r="AI1101" s="932"/>
      <c r="AJ1101" s="932"/>
      <c r="AK1101" s="932"/>
      <c r="AL1101" s="932"/>
      <c r="AM1101" s="932"/>
      <c r="AN1101" s="932"/>
      <c r="AO1101" s="932"/>
      <c r="AP1101" s="932"/>
      <c r="AQ1101" s="932"/>
      <c r="AR1101" s="932"/>
      <c r="AS1101" s="932"/>
      <c r="AT1101" s="932"/>
      <c r="AU1101" s="932"/>
      <c r="AV1101" s="932"/>
      <c r="AW1101" s="932"/>
      <c r="AX1101" s="932"/>
      <c r="AY1101" s="932"/>
      <c r="AZ1101" s="932"/>
      <c r="BA1101" s="932"/>
      <c r="BB1101" s="932"/>
      <c r="BC1101" s="932"/>
      <c r="BD1101" s="932"/>
      <c r="BE1101" s="932"/>
      <c r="BF1101" s="932"/>
    </row>
    <row r="1102" spans="2:58" ht="15" x14ac:dyDescent="0.25">
      <c r="B1102" s="932"/>
      <c r="C1102" s="932"/>
      <c r="D1102" s="932"/>
      <c r="E1102" s="932"/>
      <c r="F1102" s="932"/>
      <c r="G1102" s="932"/>
      <c r="H1102" s="932"/>
      <c r="I1102" s="932"/>
      <c r="J1102" s="932"/>
      <c r="K1102" s="932"/>
      <c r="L1102" s="932"/>
      <c r="M1102" s="932"/>
      <c r="N1102" s="932"/>
      <c r="O1102" s="932"/>
      <c r="P1102" s="932"/>
      <c r="Q1102" s="932"/>
      <c r="R1102" s="932"/>
      <c r="S1102" s="932"/>
      <c r="T1102" s="932"/>
      <c r="U1102" s="932"/>
      <c r="V1102" s="932"/>
      <c r="W1102" s="932"/>
      <c r="X1102" s="932"/>
      <c r="Y1102" s="932"/>
      <c r="Z1102" s="932"/>
      <c r="AA1102" s="932"/>
      <c r="AB1102" s="932"/>
      <c r="AC1102" s="932"/>
      <c r="AD1102" s="932"/>
      <c r="AE1102" s="932"/>
      <c r="AF1102" s="932"/>
      <c r="AG1102" s="932"/>
      <c r="AH1102" s="932"/>
      <c r="AI1102" s="932"/>
      <c r="AJ1102" s="932"/>
      <c r="AK1102" s="932"/>
      <c r="AL1102" s="932"/>
      <c r="AM1102" s="932"/>
      <c r="AN1102" s="932"/>
      <c r="AO1102" s="932"/>
      <c r="AP1102" s="932"/>
      <c r="AQ1102" s="932"/>
      <c r="AR1102" s="932"/>
      <c r="AS1102" s="932"/>
      <c r="AT1102" s="932"/>
      <c r="AU1102" s="932"/>
      <c r="AV1102" s="932"/>
      <c r="AW1102" s="932"/>
      <c r="AX1102" s="932"/>
      <c r="AY1102" s="932"/>
      <c r="AZ1102" s="932"/>
      <c r="BA1102" s="932"/>
      <c r="BB1102" s="932"/>
      <c r="BC1102" s="932"/>
      <c r="BD1102" s="932"/>
      <c r="BE1102" s="932"/>
      <c r="BF1102" s="932"/>
    </row>
    <row r="1103" spans="2:58" ht="15" x14ac:dyDescent="0.25">
      <c r="B1103" s="932"/>
      <c r="C1103" s="932"/>
      <c r="D1103" s="932"/>
      <c r="E1103" s="932"/>
      <c r="F1103" s="932"/>
      <c r="G1103" s="932"/>
      <c r="H1103" s="932"/>
      <c r="I1103" s="932"/>
      <c r="J1103" s="932"/>
      <c r="K1103" s="932"/>
      <c r="L1103" s="932"/>
      <c r="M1103" s="932"/>
      <c r="N1103" s="932"/>
      <c r="O1103" s="932"/>
      <c r="P1103" s="932"/>
      <c r="Q1103" s="932"/>
      <c r="R1103" s="932"/>
      <c r="S1103" s="932"/>
      <c r="T1103" s="932"/>
      <c r="U1103" s="932"/>
      <c r="V1103" s="932"/>
      <c r="W1103" s="932"/>
      <c r="X1103" s="932"/>
      <c r="Y1103" s="932"/>
      <c r="Z1103" s="932"/>
      <c r="AA1103" s="932"/>
      <c r="AB1103" s="932"/>
      <c r="AC1103" s="932"/>
      <c r="AD1103" s="932"/>
      <c r="AE1103" s="932"/>
      <c r="AF1103" s="932"/>
      <c r="AG1103" s="932"/>
      <c r="AH1103" s="932"/>
      <c r="AI1103" s="932"/>
      <c r="AJ1103" s="932"/>
      <c r="AK1103" s="932"/>
      <c r="AL1103" s="932"/>
      <c r="AM1103" s="932"/>
      <c r="AN1103" s="932"/>
      <c r="AO1103" s="932"/>
      <c r="AP1103" s="932"/>
      <c r="AQ1103" s="932"/>
      <c r="AR1103" s="932"/>
      <c r="AS1103" s="932"/>
      <c r="AT1103" s="932"/>
      <c r="AU1103" s="932"/>
      <c r="AV1103" s="932"/>
      <c r="AW1103" s="932"/>
      <c r="AX1103" s="932"/>
      <c r="AY1103" s="932"/>
      <c r="AZ1103" s="932"/>
      <c r="BA1103" s="932"/>
      <c r="BB1103" s="932"/>
      <c r="BC1103" s="932"/>
      <c r="BD1103" s="932"/>
      <c r="BE1103" s="932"/>
      <c r="BF1103" s="932"/>
    </row>
    <row r="1104" spans="2:58" ht="15" x14ac:dyDescent="0.25">
      <c r="B1104" s="932"/>
      <c r="C1104" s="932"/>
      <c r="D1104" s="932"/>
      <c r="E1104" s="932"/>
      <c r="F1104" s="932"/>
      <c r="G1104" s="932"/>
      <c r="H1104" s="932"/>
      <c r="I1104" s="932"/>
      <c r="J1104" s="932"/>
      <c r="K1104" s="932"/>
      <c r="L1104" s="932"/>
      <c r="M1104" s="932"/>
      <c r="N1104" s="932"/>
      <c r="O1104" s="932"/>
      <c r="P1104" s="932"/>
      <c r="Q1104" s="932"/>
      <c r="R1104" s="932"/>
      <c r="S1104" s="932"/>
      <c r="T1104" s="932"/>
      <c r="U1104" s="932"/>
      <c r="V1104" s="932"/>
      <c r="W1104" s="932"/>
      <c r="X1104" s="932"/>
      <c r="Y1104" s="932"/>
      <c r="Z1104" s="932"/>
      <c r="AA1104" s="932"/>
      <c r="AB1104" s="932"/>
      <c r="AC1104" s="932"/>
      <c r="AD1104" s="932"/>
      <c r="AE1104" s="932"/>
      <c r="AF1104" s="932"/>
      <c r="AG1104" s="932"/>
      <c r="AH1104" s="932"/>
      <c r="AI1104" s="932"/>
      <c r="AJ1104" s="932"/>
      <c r="AK1104" s="932"/>
      <c r="AL1104" s="932"/>
      <c r="AM1104" s="932"/>
      <c r="AN1104" s="932"/>
      <c r="AO1104" s="932"/>
      <c r="AP1104" s="932"/>
      <c r="AQ1104" s="932"/>
      <c r="AR1104" s="932"/>
      <c r="AS1104" s="932"/>
      <c r="AT1104" s="932"/>
      <c r="AU1104" s="932"/>
      <c r="AV1104" s="932"/>
      <c r="AW1104" s="932"/>
      <c r="AX1104" s="932"/>
      <c r="AY1104" s="932"/>
      <c r="AZ1104" s="932"/>
      <c r="BA1104" s="932"/>
      <c r="BB1104" s="932"/>
      <c r="BC1104" s="932"/>
      <c r="BD1104" s="932"/>
      <c r="BE1104" s="932"/>
      <c r="BF1104" s="932"/>
    </row>
    <row r="1105" spans="2:58" ht="15" x14ac:dyDescent="0.25">
      <c r="B1105" s="932"/>
      <c r="C1105" s="932"/>
      <c r="D1105" s="932"/>
      <c r="E1105" s="932"/>
      <c r="F1105" s="932"/>
      <c r="G1105" s="932"/>
      <c r="H1105" s="932"/>
      <c r="I1105" s="932"/>
      <c r="J1105" s="932"/>
      <c r="K1105" s="932"/>
      <c r="L1105" s="932"/>
      <c r="M1105" s="932"/>
      <c r="N1105" s="932"/>
      <c r="O1105" s="932"/>
      <c r="P1105" s="932"/>
      <c r="Q1105" s="932"/>
      <c r="R1105" s="932"/>
      <c r="S1105" s="932"/>
      <c r="T1105" s="932"/>
      <c r="U1105" s="932"/>
      <c r="V1105" s="932"/>
      <c r="W1105" s="932"/>
      <c r="X1105" s="932"/>
      <c r="Y1105" s="932"/>
      <c r="Z1105" s="932"/>
      <c r="AA1105" s="932"/>
      <c r="AB1105" s="932"/>
      <c r="AC1105" s="932"/>
      <c r="AD1105" s="932"/>
      <c r="AE1105" s="932"/>
      <c r="AF1105" s="932"/>
      <c r="AG1105" s="932"/>
      <c r="AH1105" s="932"/>
      <c r="AI1105" s="932"/>
      <c r="AJ1105" s="932"/>
      <c r="AK1105" s="932"/>
      <c r="AL1105" s="932"/>
      <c r="AM1105" s="932"/>
      <c r="AN1105" s="932"/>
      <c r="AO1105" s="932"/>
      <c r="AP1105" s="932"/>
      <c r="AQ1105" s="932"/>
      <c r="AR1105" s="932"/>
      <c r="AS1105" s="932"/>
      <c r="AT1105" s="932"/>
      <c r="AU1105" s="932"/>
      <c r="AV1105" s="932"/>
      <c r="AW1105" s="932"/>
      <c r="AX1105" s="932"/>
      <c r="AY1105" s="932"/>
      <c r="AZ1105" s="932"/>
      <c r="BA1105" s="932"/>
      <c r="BB1105" s="932"/>
      <c r="BC1105" s="932"/>
      <c r="BD1105" s="932"/>
      <c r="BE1105" s="932"/>
      <c r="BF1105" s="932"/>
    </row>
    <row r="1106" spans="2:58" ht="15" x14ac:dyDescent="0.25">
      <c r="B1106" s="932"/>
      <c r="C1106" s="932"/>
      <c r="D1106" s="932"/>
      <c r="E1106" s="932"/>
      <c r="F1106" s="932"/>
      <c r="G1106" s="932"/>
      <c r="H1106" s="932"/>
      <c r="I1106" s="932"/>
      <c r="J1106" s="932"/>
      <c r="K1106" s="932"/>
      <c r="L1106" s="932"/>
      <c r="M1106" s="932"/>
      <c r="N1106" s="932"/>
      <c r="O1106" s="932"/>
      <c r="P1106" s="932"/>
      <c r="Q1106" s="932"/>
      <c r="R1106" s="932"/>
      <c r="S1106" s="932"/>
      <c r="T1106" s="932"/>
      <c r="U1106" s="932"/>
      <c r="V1106" s="932"/>
      <c r="W1106" s="932"/>
      <c r="X1106" s="932"/>
      <c r="Y1106" s="932"/>
      <c r="Z1106" s="932"/>
      <c r="AA1106" s="932"/>
      <c r="AB1106" s="932"/>
      <c r="AC1106" s="932"/>
      <c r="AD1106" s="932"/>
      <c r="AE1106" s="932"/>
      <c r="AF1106" s="932"/>
      <c r="AG1106" s="932"/>
      <c r="AH1106" s="932"/>
      <c r="AI1106" s="932"/>
      <c r="AJ1106" s="932"/>
      <c r="AK1106" s="932"/>
      <c r="AL1106" s="932"/>
      <c r="AM1106" s="932"/>
      <c r="AN1106" s="932"/>
      <c r="AO1106" s="932"/>
      <c r="AP1106" s="932"/>
      <c r="AQ1106" s="932"/>
      <c r="AR1106" s="932"/>
      <c r="AS1106" s="932"/>
      <c r="AT1106" s="932"/>
      <c r="AU1106" s="932"/>
      <c r="AV1106" s="932"/>
      <c r="AW1106" s="932"/>
      <c r="AX1106" s="932"/>
      <c r="AY1106" s="932"/>
      <c r="AZ1106" s="932"/>
      <c r="BA1106" s="932"/>
      <c r="BB1106" s="932"/>
      <c r="BC1106" s="932"/>
      <c r="BD1106" s="932"/>
      <c r="BE1106" s="932"/>
      <c r="BF1106" s="932"/>
    </row>
    <row r="1107" spans="2:58" ht="15" x14ac:dyDescent="0.25">
      <c r="B1107" s="932"/>
      <c r="C1107" s="932"/>
      <c r="D1107" s="932"/>
      <c r="E1107" s="932"/>
      <c r="F1107" s="932"/>
      <c r="G1107" s="932"/>
      <c r="H1107" s="932"/>
      <c r="I1107" s="932"/>
      <c r="J1107" s="932"/>
      <c r="K1107" s="932"/>
      <c r="L1107" s="932"/>
      <c r="M1107" s="932"/>
      <c r="N1107" s="932"/>
      <c r="O1107" s="932"/>
      <c r="P1107" s="932"/>
      <c r="Q1107" s="932"/>
      <c r="R1107" s="932"/>
      <c r="S1107" s="932"/>
      <c r="T1107" s="932"/>
      <c r="U1107" s="932"/>
      <c r="V1107" s="932"/>
      <c r="W1107" s="932"/>
      <c r="X1107" s="932"/>
      <c r="Y1107" s="932"/>
      <c r="Z1107" s="932"/>
      <c r="AA1107" s="932"/>
      <c r="AB1107" s="932"/>
      <c r="AC1107" s="932"/>
      <c r="AD1107" s="932"/>
      <c r="AE1107" s="932"/>
      <c r="AF1107" s="932"/>
      <c r="AG1107" s="932"/>
      <c r="AH1107" s="932"/>
      <c r="AI1107" s="932"/>
      <c r="AJ1107" s="932"/>
      <c r="AK1107" s="932"/>
      <c r="AL1107" s="932"/>
      <c r="AM1107" s="932"/>
      <c r="AN1107" s="932"/>
      <c r="AO1107" s="932"/>
      <c r="AP1107" s="932"/>
      <c r="AQ1107" s="932"/>
      <c r="AR1107" s="932"/>
      <c r="AS1107" s="932"/>
      <c r="AT1107" s="932"/>
      <c r="AU1107" s="932"/>
      <c r="AV1107" s="932"/>
      <c r="AW1107" s="932"/>
      <c r="AX1107" s="932"/>
      <c r="AY1107" s="932"/>
      <c r="AZ1107" s="932"/>
      <c r="BA1107" s="932"/>
      <c r="BB1107" s="932"/>
      <c r="BC1107" s="932"/>
      <c r="BD1107" s="932"/>
      <c r="BE1107" s="932"/>
      <c r="BF1107" s="932"/>
    </row>
    <row r="1108" spans="2:58" ht="15" x14ac:dyDescent="0.25">
      <c r="B1108" s="932"/>
      <c r="C1108" s="932"/>
      <c r="D1108" s="932"/>
      <c r="E1108" s="932"/>
      <c r="F1108" s="932"/>
      <c r="G1108" s="932"/>
      <c r="H1108" s="932"/>
      <c r="I1108" s="932"/>
      <c r="J1108" s="932"/>
      <c r="K1108" s="932"/>
      <c r="L1108" s="932"/>
      <c r="M1108" s="932"/>
      <c r="N1108" s="932"/>
      <c r="O1108" s="932"/>
      <c r="P1108" s="932"/>
      <c r="Q1108" s="932"/>
      <c r="R1108" s="932"/>
      <c r="S1108" s="932"/>
      <c r="T1108" s="932"/>
      <c r="U1108" s="932"/>
      <c r="V1108" s="932"/>
      <c r="W1108" s="932"/>
      <c r="X1108" s="932"/>
      <c r="Y1108" s="932"/>
      <c r="Z1108" s="932"/>
      <c r="AA1108" s="932"/>
      <c r="AB1108" s="932"/>
      <c r="AC1108" s="932"/>
      <c r="AD1108" s="932"/>
      <c r="AE1108" s="932"/>
      <c r="AF1108" s="932"/>
      <c r="AG1108" s="932"/>
      <c r="AH1108" s="932"/>
      <c r="AI1108" s="932"/>
      <c r="AJ1108" s="932"/>
      <c r="AK1108" s="932"/>
      <c r="AL1108" s="932"/>
      <c r="AM1108" s="932"/>
      <c r="AN1108" s="932"/>
      <c r="AO1108" s="932"/>
      <c r="AP1108" s="932"/>
      <c r="AQ1108" s="932"/>
      <c r="AR1108" s="932"/>
      <c r="AS1108" s="932"/>
      <c r="AT1108" s="932"/>
      <c r="AU1108" s="932"/>
      <c r="AV1108" s="932"/>
      <c r="AW1108" s="932"/>
      <c r="AX1108" s="932"/>
      <c r="AY1108" s="932"/>
      <c r="AZ1108" s="932"/>
      <c r="BA1108" s="932"/>
      <c r="BB1108" s="932"/>
      <c r="BC1108" s="932"/>
      <c r="BD1108" s="932"/>
      <c r="BE1108" s="932"/>
      <c r="BF1108" s="932"/>
    </row>
    <row r="1109" spans="2:58" ht="15" x14ac:dyDescent="0.25">
      <c r="B1109" s="932"/>
      <c r="C1109" s="932"/>
      <c r="D1109" s="932"/>
      <c r="E1109" s="932"/>
      <c r="F1109" s="932"/>
      <c r="G1109" s="932"/>
      <c r="H1109" s="932"/>
      <c r="I1109" s="932"/>
      <c r="J1109" s="932"/>
      <c r="K1109" s="932"/>
      <c r="L1109" s="932"/>
      <c r="M1109" s="932"/>
      <c r="N1109" s="932"/>
      <c r="O1109" s="932"/>
      <c r="P1109" s="932"/>
      <c r="Q1109" s="932"/>
      <c r="R1109" s="932"/>
      <c r="S1109" s="932"/>
      <c r="T1109" s="932"/>
      <c r="U1109" s="932"/>
      <c r="V1109" s="932"/>
      <c r="W1109" s="932"/>
      <c r="X1109" s="932"/>
      <c r="Y1109" s="932"/>
      <c r="Z1109" s="932"/>
      <c r="AA1109" s="932"/>
      <c r="AB1109" s="932"/>
      <c r="AC1109" s="932"/>
      <c r="AD1109" s="932"/>
      <c r="AE1109" s="932"/>
      <c r="AF1109" s="932"/>
      <c r="AG1109" s="932"/>
      <c r="AH1109" s="932"/>
      <c r="AI1109" s="932"/>
      <c r="AJ1109" s="932"/>
      <c r="AK1109" s="932"/>
      <c r="AL1109" s="932"/>
      <c r="AM1109" s="932"/>
      <c r="AN1109" s="932"/>
      <c r="AO1109" s="932"/>
      <c r="AP1109" s="932"/>
      <c r="AQ1109" s="932"/>
      <c r="AR1109" s="932"/>
      <c r="AS1109" s="932"/>
      <c r="AT1109" s="932"/>
      <c r="AU1109" s="932"/>
      <c r="AV1109" s="932"/>
      <c r="AW1109" s="932"/>
      <c r="AX1109" s="932"/>
      <c r="AY1109" s="932"/>
      <c r="AZ1109" s="932"/>
      <c r="BA1109" s="932"/>
      <c r="BB1109" s="932"/>
      <c r="BC1109" s="932"/>
      <c r="BD1109" s="932"/>
      <c r="BE1109" s="932"/>
      <c r="BF1109" s="932"/>
    </row>
    <row r="1110" spans="2:58" ht="15" x14ac:dyDescent="0.25">
      <c r="B1110" s="932"/>
      <c r="C1110" s="932"/>
      <c r="D1110" s="932"/>
      <c r="E1110" s="932"/>
      <c r="F1110" s="932"/>
      <c r="G1110" s="932"/>
      <c r="H1110" s="932"/>
      <c r="I1110" s="932"/>
      <c r="J1110" s="932"/>
      <c r="K1110" s="932"/>
      <c r="L1110" s="932"/>
      <c r="M1110" s="932"/>
      <c r="N1110" s="932"/>
      <c r="O1110" s="932"/>
      <c r="P1110" s="932"/>
      <c r="Q1110" s="932"/>
      <c r="R1110" s="932"/>
      <c r="S1110" s="932"/>
      <c r="T1110" s="932"/>
      <c r="U1110" s="932"/>
      <c r="V1110" s="932"/>
      <c r="W1110" s="932"/>
      <c r="X1110" s="932"/>
      <c r="Y1110" s="932"/>
      <c r="Z1110" s="932"/>
      <c r="AA1110" s="932"/>
      <c r="AB1110" s="932"/>
      <c r="AC1110" s="932"/>
      <c r="AD1110" s="932"/>
      <c r="AE1110" s="932"/>
      <c r="AF1110" s="932"/>
      <c r="AG1110" s="932"/>
      <c r="AH1110" s="932"/>
      <c r="AI1110" s="932"/>
      <c r="AJ1110" s="932"/>
      <c r="AK1110" s="932"/>
      <c r="AL1110" s="932"/>
      <c r="AM1110" s="932"/>
      <c r="AN1110" s="932"/>
      <c r="AO1110" s="932"/>
      <c r="AP1110" s="932"/>
      <c r="AQ1110" s="932"/>
      <c r="AR1110" s="932"/>
      <c r="AS1110" s="932"/>
      <c r="AT1110" s="932"/>
      <c r="AU1110" s="932"/>
      <c r="AV1110" s="932"/>
      <c r="AW1110" s="932"/>
      <c r="AX1110" s="932"/>
      <c r="AY1110" s="932"/>
      <c r="AZ1110" s="932"/>
      <c r="BA1110" s="932"/>
      <c r="BB1110" s="932"/>
      <c r="BC1110" s="932"/>
      <c r="BD1110" s="932"/>
      <c r="BE1110" s="932"/>
      <c r="BF1110" s="932"/>
    </row>
    <row r="1111" spans="2:58" ht="15" x14ac:dyDescent="0.25">
      <c r="B1111" s="932"/>
      <c r="C1111" s="932"/>
      <c r="D1111" s="932"/>
      <c r="E1111" s="932"/>
      <c r="F1111" s="932"/>
      <c r="G1111" s="932"/>
      <c r="H1111" s="932"/>
      <c r="I1111" s="932"/>
      <c r="J1111" s="932"/>
      <c r="K1111" s="932"/>
      <c r="L1111" s="932"/>
      <c r="M1111" s="932"/>
      <c r="N1111" s="932"/>
      <c r="O1111" s="932"/>
      <c r="P1111" s="932"/>
      <c r="Q1111" s="932"/>
      <c r="R1111" s="932"/>
      <c r="S1111" s="932"/>
      <c r="T1111" s="932"/>
      <c r="U1111" s="932"/>
      <c r="V1111" s="932"/>
      <c r="W1111" s="932"/>
      <c r="X1111" s="932"/>
      <c r="Y1111" s="932"/>
      <c r="Z1111" s="932"/>
      <c r="AA1111" s="932"/>
      <c r="AB1111" s="932"/>
      <c r="AC1111" s="932"/>
      <c r="AD1111" s="932"/>
      <c r="AE1111" s="932"/>
      <c r="AF1111" s="932"/>
      <c r="AG1111" s="932"/>
      <c r="AH1111" s="932"/>
      <c r="AI1111" s="932"/>
      <c r="AJ1111" s="932"/>
      <c r="AK1111" s="932"/>
      <c r="AL1111" s="932"/>
      <c r="AM1111" s="932"/>
      <c r="AN1111" s="932"/>
      <c r="AO1111" s="932"/>
      <c r="AP1111" s="932"/>
      <c r="AQ1111" s="932"/>
      <c r="AR1111" s="932"/>
      <c r="AS1111" s="932"/>
      <c r="AT1111" s="932"/>
      <c r="AU1111" s="932"/>
      <c r="AV1111" s="932"/>
      <c r="AW1111" s="932"/>
      <c r="AX1111" s="932"/>
      <c r="AY1111" s="932"/>
      <c r="AZ1111" s="932"/>
      <c r="BA1111" s="932"/>
      <c r="BB1111" s="932"/>
      <c r="BC1111" s="932"/>
      <c r="BD1111" s="932"/>
      <c r="BE1111" s="932"/>
      <c r="BF1111" s="932"/>
    </row>
    <row r="1112" spans="2:58" ht="15" x14ac:dyDescent="0.25">
      <c r="B1112" s="932"/>
      <c r="C1112" s="932"/>
      <c r="D1112" s="932"/>
      <c r="E1112" s="932"/>
      <c r="F1112" s="932"/>
      <c r="G1112" s="932"/>
      <c r="H1112" s="932"/>
      <c r="I1112" s="932"/>
      <c r="J1112" s="932"/>
      <c r="K1112" s="932"/>
      <c r="L1112" s="932"/>
      <c r="M1112" s="932"/>
      <c r="N1112" s="932"/>
      <c r="O1112" s="932"/>
      <c r="P1112" s="932"/>
      <c r="Q1112" s="932"/>
      <c r="R1112" s="932"/>
      <c r="S1112" s="932"/>
      <c r="T1112" s="932"/>
      <c r="U1112" s="932"/>
      <c r="V1112" s="932"/>
      <c r="W1112" s="932"/>
      <c r="X1112" s="932"/>
      <c r="Y1112" s="932"/>
      <c r="Z1112" s="932"/>
      <c r="AA1112" s="932"/>
      <c r="AB1112" s="932"/>
      <c r="AC1112" s="932"/>
      <c r="AD1112" s="932"/>
      <c r="AE1112" s="932"/>
      <c r="AF1112" s="932"/>
      <c r="AG1112" s="932"/>
      <c r="AH1112" s="932"/>
      <c r="AI1112" s="932"/>
      <c r="AJ1112" s="932"/>
      <c r="AK1112" s="932"/>
      <c r="AL1112" s="932"/>
      <c r="AM1112" s="932"/>
      <c r="AN1112" s="932"/>
      <c r="AO1112" s="932"/>
      <c r="AP1112" s="932"/>
      <c r="AQ1112" s="932"/>
      <c r="AR1112" s="932"/>
      <c r="AS1112" s="932"/>
      <c r="AT1112" s="932"/>
      <c r="AU1112" s="932"/>
      <c r="AV1112" s="932"/>
      <c r="AW1112" s="932"/>
      <c r="AX1112" s="932"/>
      <c r="AY1112" s="932"/>
      <c r="AZ1112" s="932"/>
      <c r="BA1112" s="932"/>
      <c r="BB1112" s="932"/>
      <c r="BC1112" s="932"/>
      <c r="BD1112" s="932"/>
      <c r="BE1112" s="932"/>
      <c r="BF1112" s="932"/>
    </row>
    <row r="1113" spans="2:58" ht="15" x14ac:dyDescent="0.25">
      <c r="B1113" s="932"/>
      <c r="C1113" s="932"/>
      <c r="D1113" s="932"/>
      <c r="E1113" s="932"/>
      <c r="F1113" s="932"/>
      <c r="G1113" s="932"/>
      <c r="H1113" s="932"/>
      <c r="I1113" s="932"/>
      <c r="J1113" s="932"/>
      <c r="K1113" s="932"/>
      <c r="L1113" s="932"/>
      <c r="M1113" s="932"/>
      <c r="N1113" s="932"/>
      <c r="O1113" s="932"/>
      <c r="P1113" s="932"/>
      <c r="Q1113" s="932"/>
      <c r="R1113" s="932"/>
      <c r="S1113" s="932"/>
      <c r="T1113" s="932"/>
      <c r="U1113" s="932"/>
      <c r="V1113" s="932"/>
      <c r="W1113" s="932"/>
      <c r="X1113" s="932"/>
      <c r="Y1113" s="932"/>
      <c r="Z1113" s="932"/>
      <c r="AA1113" s="932"/>
      <c r="AB1113" s="932"/>
      <c r="AC1113" s="932"/>
      <c r="AD1113" s="932"/>
      <c r="AE1113" s="932"/>
      <c r="AF1113" s="932"/>
      <c r="AG1113" s="932"/>
      <c r="AH1113" s="932"/>
      <c r="AI1113" s="932"/>
      <c r="AJ1113" s="932"/>
      <c r="AK1113" s="932"/>
      <c r="AL1113" s="932"/>
      <c r="AM1113" s="932"/>
      <c r="AN1113" s="932"/>
      <c r="AO1113" s="932"/>
      <c r="AP1113" s="932"/>
      <c r="AQ1113" s="932"/>
      <c r="AR1113" s="932"/>
      <c r="AS1113" s="932"/>
      <c r="AT1113" s="932"/>
      <c r="AU1113" s="932"/>
      <c r="AV1113" s="932"/>
      <c r="AW1113" s="932"/>
      <c r="AX1113" s="932"/>
      <c r="AY1113" s="932"/>
      <c r="AZ1113" s="932"/>
      <c r="BA1113" s="932"/>
      <c r="BB1113" s="932"/>
      <c r="BC1113" s="932"/>
      <c r="BD1113" s="932"/>
      <c r="BE1113" s="932"/>
      <c r="BF1113" s="932"/>
    </row>
    <row r="1114" spans="2:58" ht="15" x14ac:dyDescent="0.25">
      <c r="B1114" s="932"/>
      <c r="C1114" s="932"/>
      <c r="D1114" s="932"/>
      <c r="E1114" s="932"/>
      <c r="F1114" s="932"/>
      <c r="G1114" s="932"/>
      <c r="H1114" s="932"/>
      <c r="I1114" s="932"/>
      <c r="J1114" s="932"/>
      <c r="K1114" s="932"/>
      <c r="L1114" s="932"/>
      <c r="M1114" s="932"/>
      <c r="N1114" s="932"/>
      <c r="O1114" s="932"/>
      <c r="P1114" s="932"/>
      <c r="Q1114" s="932"/>
      <c r="R1114" s="932"/>
      <c r="S1114" s="932"/>
      <c r="T1114" s="932"/>
      <c r="U1114" s="932"/>
      <c r="V1114" s="932"/>
      <c r="W1114" s="932"/>
      <c r="X1114" s="932"/>
      <c r="Y1114" s="932"/>
      <c r="Z1114" s="932"/>
      <c r="AA1114" s="932"/>
      <c r="AB1114" s="932"/>
      <c r="AC1114" s="932"/>
      <c r="AD1114" s="932"/>
      <c r="AE1114" s="932"/>
      <c r="AF1114" s="932"/>
      <c r="AG1114" s="932"/>
      <c r="AH1114" s="932"/>
      <c r="AI1114" s="932"/>
      <c r="AJ1114" s="932"/>
      <c r="AK1114" s="932"/>
      <c r="AL1114" s="932"/>
      <c r="AM1114" s="932"/>
      <c r="AN1114" s="932"/>
      <c r="AO1114" s="932"/>
      <c r="AP1114" s="932"/>
      <c r="AQ1114" s="932"/>
      <c r="AR1114" s="932"/>
      <c r="AS1114" s="932"/>
      <c r="AT1114" s="932"/>
      <c r="AU1114" s="932"/>
      <c r="AV1114" s="932"/>
      <c r="AW1114" s="932"/>
      <c r="AX1114" s="932"/>
      <c r="AY1114" s="932"/>
      <c r="AZ1114" s="932"/>
      <c r="BA1114" s="932"/>
      <c r="BB1114" s="932"/>
      <c r="BC1114" s="932"/>
      <c r="BD1114" s="932"/>
      <c r="BE1114" s="932"/>
      <c r="BF1114" s="932"/>
    </row>
    <row r="1115" spans="2:58" ht="15" x14ac:dyDescent="0.25">
      <c r="B1115" s="932"/>
      <c r="C1115" s="932"/>
      <c r="D1115" s="932"/>
      <c r="E1115" s="932"/>
      <c r="F1115" s="932"/>
      <c r="G1115" s="932"/>
      <c r="H1115" s="932"/>
      <c r="I1115" s="932"/>
      <c r="J1115" s="932"/>
      <c r="K1115" s="932"/>
      <c r="L1115" s="932"/>
      <c r="M1115" s="932"/>
      <c r="N1115" s="932"/>
      <c r="O1115" s="932"/>
      <c r="P1115" s="932"/>
      <c r="Q1115" s="932"/>
      <c r="R1115" s="932"/>
      <c r="S1115" s="932"/>
      <c r="T1115" s="932"/>
      <c r="U1115" s="932"/>
      <c r="V1115" s="932"/>
      <c r="W1115" s="932"/>
      <c r="X1115" s="932"/>
      <c r="Y1115" s="932"/>
      <c r="Z1115" s="932"/>
      <c r="AA1115" s="932"/>
      <c r="AB1115" s="932"/>
      <c r="AC1115" s="932"/>
      <c r="AD1115" s="932"/>
      <c r="AE1115" s="932"/>
      <c r="AF1115" s="932"/>
      <c r="AG1115" s="932"/>
      <c r="AH1115" s="932"/>
      <c r="AI1115" s="932"/>
      <c r="AJ1115" s="932"/>
      <c r="AK1115" s="932"/>
      <c r="AL1115" s="932"/>
      <c r="AM1115" s="932"/>
      <c r="AN1115" s="932"/>
      <c r="AO1115" s="932"/>
      <c r="AP1115" s="932"/>
      <c r="AQ1115" s="932"/>
      <c r="AR1115" s="932"/>
      <c r="AS1115" s="932"/>
      <c r="AT1115" s="932"/>
      <c r="AU1115" s="932"/>
      <c r="AV1115" s="932"/>
      <c r="AW1115" s="932"/>
      <c r="AX1115" s="932"/>
      <c r="AY1115" s="932"/>
      <c r="AZ1115" s="932"/>
      <c r="BA1115" s="932"/>
      <c r="BB1115" s="932"/>
      <c r="BC1115" s="932"/>
      <c r="BD1115" s="932"/>
      <c r="BE1115" s="932"/>
      <c r="BF1115" s="932"/>
    </row>
    <row r="1116" spans="2:58" ht="15" x14ac:dyDescent="0.25">
      <c r="B1116" s="932"/>
      <c r="C1116" s="932"/>
      <c r="D1116" s="932"/>
      <c r="E1116" s="932"/>
      <c r="F1116" s="932"/>
      <c r="G1116" s="932"/>
      <c r="H1116" s="932"/>
      <c r="I1116" s="932"/>
      <c r="J1116" s="932"/>
      <c r="K1116" s="932"/>
      <c r="L1116" s="932"/>
      <c r="M1116" s="932"/>
      <c r="N1116" s="932"/>
      <c r="O1116" s="932"/>
      <c r="P1116" s="932"/>
      <c r="Q1116" s="932"/>
      <c r="R1116" s="932"/>
      <c r="S1116" s="932"/>
      <c r="T1116" s="932"/>
      <c r="U1116" s="932"/>
      <c r="V1116" s="932"/>
      <c r="W1116" s="932"/>
      <c r="X1116" s="932"/>
      <c r="Y1116" s="932"/>
      <c r="Z1116" s="932"/>
      <c r="AA1116" s="932"/>
      <c r="AB1116" s="932"/>
      <c r="AC1116" s="932"/>
      <c r="AD1116" s="932"/>
      <c r="AE1116" s="932"/>
      <c r="AF1116" s="932"/>
      <c r="AG1116" s="932"/>
      <c r="AH1116" s="932"/>
      <c r="AI1116" s="932"/>
      <c r="AJ1116" s="932"/>
      <c r="AK1116" s="932"/>
      <c r="AL1116" s="932"/>
      <c r="AM1116" s="932"/>
      <c r="AN1116" s="932"/>
      <c r="AO1116" s="932"/>
      <c r="AP1116" s="932"/>
      <c r="AQ1116" s="932"/>
      <c r="AR1116" s="932"/>
      <c r="AS1116" s="932"/>
      <c r="AT1116" s="932"/>
      <c r="AU1116" s="932"/>
      <c r="AV1116" s="932"/>
      <c r="AW1116" s="932"/>
      <c r="AX1116" s="932"/>
      <c r="AY1116" s="932"/>
      <c r="AZ1116" s="932"/>
      <c r="BA1116" s="932"/>
      <c r="BB1116" s="932"/>
      <c r="BC1116" s="932"/>
      <c r="BD1116" s="932"/>
      <c r="BE1116" s="932"/>
      <c r="BF1116" s="932"/>
    </row>
    <row r="1117" spans="2:58" ht="15" x14ac:dyDescent="0.25">
      <c r="B1117" s="932"/>
      <c r="C1117" s="932"/>
      <c r="D1117" s="932"/>
      <c r="E1117" s="932"/>
      <c r="F1117" s="932"/>
      <c r="G1117" s="932"/>
      <c r="H1117" s="932"/>
      <c r="I1117" s="932"/>
      <c r="J1117" s="932"/>
      <c r="K1117" s="932"/>
      <c r="L1117" s="932"/>
      <c r="M1117" s="932"/>
      <c r="N1117" s="932"/>
      <c r="O1117" s="932"/>
      <c r="P1117" s="932"/>
      <c r="Q1117" s="932"/>
      <c r="R1117" s="932"/>
      <c r="S1117" s="932"/>
      <c r="T1117" s="932"/>
      <c r="U1117" s="932"/>
      <c r="V1117" s="932"/>
      <c r="W1117" s="932"/>
      <c r="X1117" s="932"/>
      <c r="Y1117" s="932"/>
      <c r="Z1117" s="932"/>
      <c r="AA1117" s="932"/>
      <c r="AB1117" s="932"/>
      <c r="AC1117" s="932"/>
      <c r="AD1117" s="932"/>
      <c r="AE1117" s="932"/>
      <c r="AF1117" s="932"/>
      <c r="AG1117" s="932"/>
      <c r="AH1117" s="932"/>
      <c r="AI1117" s="932"/>
      <c r="AJ1117" s="932"/>
      <c r="AK1117" s="932"/>
      <c r="AL1117" s="932"/>
      <c r="AM1117" s="932"/>
      <c r="AN1117" s="932"/>
      <c r="AO1117" s="932"/>
      <c r="AP1117" s="932"/>
      <c r="AQ1117" s="932"/>
      <c r="AR1117" s="932"/>
      <c r="AS1117" s="932"/>
      <c r="AT1117" s="932"/>
      <c r="AU1117" s="932"/>
      <c r="AV1117" s="932"/>
      <c r="AW1117" s="932"/>
      <c r="AX1117" s="932"/>
      <c r="AY1117" s="932"/>
      <c r="AZ1117" s="932"/>
      <c r="BA1117" s="932"/>
      <c r="BB1117" s="932"/>
      <c r="BC1117" s="932"/>
      <c r="BD1117" s="932"/>
      <c r="BE1117" s="932"/>
      <c r="BF1117" s="932"/>
    </row>
    <row r="1118" spans="2:58" ht="15" x14ac:dyDescent="0.25">
      <c r="B1118" s="932"/>
      <c r="C1118" s="932"/>
      <c r="D1118" s="932"/>
      <c r="E1118" s="932"/>
      <c r="F1118" s="932"/>
      <c r="G1118" s="932"/>
      <c r="H1118" s="932"/>
      <c r="I1118" s="932"/>
      <c r="J1118" s="932"/>
      <c r="K1118" s="932"/>
      <c r="L1118" s="932"/>
      <c r="M1118" s="932"/>
      <c r="N1118" s="932"/>
      <c r="O1118" s="932"/>
      <c r="P1118" s="932"/>
      <c r="Q1118" s="932"/>
      <c r="R1118" s="932"/>
      <c r="S1118" s="932"/>
      <c r="T1118" s="932"/>
      <c r="U1118" s="932"/>
      <c r="V1118" s="932"/>
      <c r="W1118" s="932"/>
      <c r="X1118" s="932"/>
      <c r="Y1118" s="932"/>
      <c r="Z1118" s="932"/>
      <c r="AA1118" s="932"/>
      <c r="AB1118" s="932"/>
      <c r="AC1118" s="932"/>
      <c r="AD1118" s="932"/>
      <c r="AE1118" s="932"/>
      <c r="AF1118" s="932"/>
      <c r="AG1118" s="932"/>
      <c r="AH1118" s="932"/>
      <c r="AI1118" s="932"/>
      <c r="AJ1118" s="932"/>
      <c r="AK1118" s="932"/>
      <c r="AL1118" s="932"/>
      <c r="AM1118" s="932"/>
      <c r="AN1118" s="932"/>
      <c r="AO1118" s="932"/>
      <c r="AP1118" s="932"/>
      <c r="AQ1118" s="932"/>
      <c r="AR1118" s="932"/>
      <c r="AS1118" s="932"/>
      <c r="AT1118" s="932"/>
      <c r="AU1118" s="932"/>
      <c r="AV1118" s="932"/>
      <c r="AW1118" s="932"/>
      <c r="AX1118" s="932"/>
      <c r="AY1118" s="932"/>
      <c r="AZ1118" s="932"/>
      <c r="BA1118" s="932"/>
      <c r="BB1118" s="932"/>
      <c r="BC1118" s="932"/>
      <c r="BD1118" s="932"/>
      <c r="BE1118" s="932"/>
      <c r="BF1118" s="932"/>
    </row>
    <row r="1119" spans="2:58" ht="15" x14ac:dyDescent="0.25">
      <c r="B1119" s="932"/>
      <c r="C1119" s="932"/>
      <c r="D1119" s="932"/>
      <c r="E1119" s="932"/>
      <c r="F1119" s="932"/>
      <c r="G1119" s="932"/>
      <c r="H1119" s="932"/>
      <c r="I1119" s="932"/>
      <c r="J1119" s="932"/>
      <c r="K1119" s="932"/>
      <c r="L1119" s="932"/>
      <c r="M1119" s="932"/>
      <c r="N1119" s="932"/>
      <c r="O1119" s="932"/>
      <c r="P1119" s="932"/>
      <c r="Q1119" s="932"/>
      <c r="R1119" s="932"/>
      <c r="S1119" s="932"/>
      <c r="T1119" s="932"/>
      <c r="U1119" s="932"/>
      <c r="V1119" s="932"/>
      <c r="W1119" s="932"/>
      <c r="X1119" s="932"/>
      <c r="Y1119" s="932"/>
      <c r="Z1119" s="932"/>
      <c r="AA1119" s="932"/>
      <c r="AB1119" s="932"/>
      <c r="AC1119" s="932"/>
      <c r="AD1119" s="932"/>
      <c r="AE1119" s="932"/>
      <c r="AF1119" s="932"/>
      <c r="AG1119" s="932"/>
      <c r="AH1119" s="932"/>
      <c r="AI1119" s="932"/>
      <c r="AJ1119" s="932"/>
      <c r="AK1119" s="932"/>
      <c r="AL1119" s="932"/>
      <c r="AM1119" s="932"/>
      <c r="AN1119" s="932"/>
      <c r="AO1119" s="932"/>
      <c r="AP1119" s="932"/>
      <c r="AQ1119" s="932"/>
      <c r="AR1119" s="932"/>
      <c r="AS1119" s="932"/>
      <c r="AT1119" s="932"/>
      <c r="AU1119" s="932"/>
      <c r="AV1119" s="932"/>
      <c r="AW1119" s="932"/>
      <c r="AX1119" s="932"/>
      <c r="AY1119" s="932"/>
      <c r="AZ1119" s="932"/>
      <c r="BA1119" s="932"/>
      <c r="BB1119" s="932"/>
      <c r="BC1119" s="932"/>
      <c r="BD1119" s="932"/>
      <c r="BE1119" s="932"/>
      <c r="BF1119" s="932"/>
    </row>
    <row r="1120" spans="2:58" ht="15" x14ac:dyDescent="0.25">
      <c r="B1120" s="932"/>
      <c r="C1120" s="932"/>
      <c r="D1120" s="932"/>
      <c r="E1120" s="932"/>
      <c r="F1120" s="932"/>
      <c r="G1120" s="932"/>
      <c r="H1120" s="932"/>
      <c r="I1120" s="932"/>
      <c r="J1120" s="932"/>
      <c r="K1120" s="932"/>
      <c r="L1120" s="932"/>
      <c r="M1120" s="932"/>
      <c r="N1120" s="932"/>
      <c r="O1120" s="932"/>
      <c r="P1120" s="932"/>
      <c r="Q1120" s="932"/>
      <c r="R1120" s="932"/>
      <c r="S1120" s="932"/>
      <c r="T1120" s="932"/>
      <c r="U1120" s="932"/>
      <c r="V1120" s="932"/>
      <c r="W1120" s="932"/>
      <c r="X1120" s="932"/>
      <c r="Y1120" s="932"/>
      <c r="Z1120" s="932"/>
      <c r="AA1120" s="932"/>
      <c r="AB1120" s="932"/>
      <c r="AC1120" s="932"/>
      <c r="AD1120" s="932"/>
      <c r="AE1120" s="932"/>
      <c r="AF1120" s="932"/>
      <c r="AG1120" s="932"/>
      <c r="AH1120" s="932"/>
      <c r="AI1120" s="932"/>
      <c r="AJ1120" s="932"/>
      <c r="AK1120" s="932"/>
      <c r="AL1120" s="932"/>
      <c r="AM1120" s="932"/>
      <c r="AN1120" s="932"/>
      <c r="AO1120" s="932"/>
      <c r="AP1120" s="932"/>
      <c r="AQ1120" s="932"/>
      <c r="AR1120" s="932"/>
      <c r="AS1120" s="932"/>
      <c r="AT1120" s="932"/>
      <c r="AU1120" s="932"/>
      <c r="AV1120" s="932"/>
      <c r="AW1120" s="932"/>
      <c r="AX1120" s="932"/>
      <c r="AY1120" s="932"/>
      <c r="AZ1120" s="932"/>
      <c r="BA1120" s="932"/>
      <c r="BB1120" s="932"/>
      <c r="BC1120" s="932"/>
      <c r="BD1120" s="932"/>
      <c r="BE1120" s="932"/>
      <c r="BF1120" s="932"/>
    </row>
    <row r="1121" spans="2:58" ht="15" x14ac:dyDescent="0.25">
      <c r="B1121" s="932"/>
      <c r="C1121" s="932"/>
      <c r="D1121" s="932"/>
      <c r="E1121" s="932"/>
      <c r="F1121" s="932"/>
      <c r="G1121" s="932"/>
      <c r="H1121" s="932"/>
      <c r="I1121" s="932"/>
      <c r="J1121" s="932"/>
      <c r="K1121" s="932"/>
      <c r="L1121" s="932"/>
      <c r="M1121" s="932"/>
      <c r="N1121" s="932"/>
      <c r="O1121" s="932"/>
      <c r="P1121" s="932"/>
      <c r="Q1121" s="932"/>
      <c r="R1121" s="932"/>
      <c r="S1121" s="932"/>
      <c r="T1121" s="932"/>
      <c r="U1121" s="932"/>
      <c r="V1121" s="932"/>
      <c r="W1121" s="932"/>
      <c r="X1121" s="932"/>
      <c r="Y1121" s="932"/>
      <c r="Z1121" s="932"/>
      <c r="AA1121" s="932"/>
      <c r="AB1121" s="932"/>
      <c r="AC1121" s="932"/>
      <c r="AD1121" s="932"/>
      <c r="AE1121" s="932"/>
      <c r="AF1121" s="932"/>
      <c r="AG1121" s="932"/>
      <c r="AH1121" s="932"/>
      <c r="AI1121" s="932"/>
      <c r="AJ1121" s="932"/>
      <c r="AK1121" s="932"/>
      <c r="AL1121" s="932"/>
      <c r="AM1121" s="932"/>
      <c r="AN1121" s="932"/>
      <c r="AO1121" s="932"/>
      <c r="AP1121" s="932"/>
      <c r="AQ1121" s="932"/>
      <c r="AR1121" s="932"/>
      <c r="AS1121" s="932"/>
      <c r="AT1121" s="932"/>
      <c r="AU1121" s="932"/>
      <c r="AV1121" s="932"/>
      <c r="AW1121" s="932"/>
      <c r="AX1121" s="932"/>
      <c r="AY1121" s="932"/>
      <c r="AZ1121" s="932"/>
      <c r="BA1121" s="932"/>
      <c r="BB1121" s="932"/>
      <c r="BC1121" s="932"/>
      <c r="BD1121" s="932"/>
      <c r="BE1121" s="932"/>
      <c r="BF1121" s="932"/>
    </row>
    <row r="1122" spans="2:58" ht="15" x14ac:dyDescent="0.25">
      <c r="B1122" s="932"/>
      <c r="C1122" s="932"/>
      <c r="D1122" s="932"/>
      <c r="E1122" s="932"/>
      <c r="F1122" s="932"/>
      <c r="G1122" s="932"/>
      <c r="H1122" s="932"/>
      <c r="I1122" s="932"/>
      <c r="J1122" s="932"/>
      <c r="K1122" s="932"/>
      <c r="L1122" s="932"/>
      <c r="M1122" s="932"/>
      <c r="N1122" s="932"/>
      <c r="O1122" s="932"/>
      <c r="P1122" s="932"/>
      <c r="Q1122" s="932"/>
      <c r="R1122" s="932"/>
      <c r="S1122" s="932"/>
      <c r="T1122" s="932"/>
      <c r="U1122" s="932"/>
      <c r="V1122" s="932"/>
      <c r="W1122" s="932"/>
      <c r="X1122" s="932"/>
      <c r="Y1122" s="932"/>
      <c r="Z1122" s="932"/>
      <c r="AA1122" s="932"/>
      <c r="AB1122" s="932"/>
      <c r="AC1122" s="932"/>
      <c r="AD1122" s="932"/>
      <c r="AE1122" s="932"/>
      <c r="AF1122" s="932"/>
      <c r="AG1122" s="932"/>
      <c r="AH1122" s="932"/>
      <c r="AI1122" s="932"/>
      <c r="AJ1122" s="932"/>
      <c r="AK1122" s="932"/>
      <c r="AL1122" s="932"/>
      <c r="AM1122" s="932"/>
      <c r="AN1122" s="932"/>
      <c r="AO1122" s="932"/>
      <c r="AP1122" s="932"/>
      <c r="AQ1122" s="932"/>
      <c r="AR1122" s="932"/>
      <c r="AS1122" s="932"/>
      <c r="AT1122" s="932"/>
      <c r="AU1122" s="932"/>
      <c r="AV1122" s="932"/>
      <c r="AW1122" s="932"/>
      <c r="AX1122" s="932"/>
      <c r="AY1122" s="932"/>
      <c r="AZ1122" s="932"/>
      <c r="BA1122" s="932"/>
      <c r="BB1122" s="932"/>
      <c r="BC1122" s="932"/>
      <c r="BD1122" s="932"/>
      <c r="BE1122" s="932"/>
      <c r="BF1122" s="932"/>
    </row>
    <row r="1123" spans="2:58" ht="15" x14ac:dyDescent="0.25">
      <c r="B1123" s="932"/>
      <c r="C1123" s="932"/>
      <c r="D1123" s="932"/>
      <c r="E1123" s="932"/>
      <c r="F1123" s="932"/>
      <c r="G1123" s="932"/>
      <c r="H1123" s="932"/>
      <c r="I1123" s="932"/>
      <c r="J1123" s="932"/>
      <c r="K1123" s="932"/>
      <c r="L1123" s="932"/>
      <c r="M1123" s="932"/>
      <c r="N1123" s="932"/>
      <c r="O1123" s="932"/>
      <c r="P1123" s="932"/>
      <c r="Q1123" s="932"/>
      <c r="R1123" s="932"/>
      <c r="S1123" s="932"/>
      <c r="T1123" s="932"/>
      <c r="U1123" s="932"/>
      <c r="V1123" s="932"/>
      <c r="W1123" s="932"/>
      <c r="X1123" s="932"/>
      <c r="Y1123" s="932"/>
      <c r="Z1123" s="932"/>
      <c r="AA1123" s="932"/>
      <c r="AB1123" s="932"/>
      <c r="AC1123" s="932"/>
      <c r="AD1123" s="932"/>
      <c r="AE1123" s="932"/>
      <c r="AF1123" s="932"/>
      <c r="AG1123" s="932"/>
      <c r="AH1123" s="932"/>
      <c r="AI1123" s="932"/>
      <c r="AJ1123" s="932"/>
      <c r="AK1123" s="932"/>
      <c r="AL1123" s="932"/>
      <c r="AM1123" s="932"/>
      <c r="AN1123" s="932"/>
      <c r="AO1123" s="932"/>
      <c r="AP1123" s="932"/>
      <c r="AQ1123" s="932"/>
      <c r="AR1123" s="932"/>
      <c r="AS1123" s="932"/>
      <c r="AT1123" s="932"/>
      <c r="AU1123" s="932"/>
      <c r="AV1123" s="932"/>
      <c r="AW1123" s="932"/>
      <c r="AX1123" s="932"/>
      <c r="AY1123" s="932"/>
      <c r="AZ1123" s="932"/>
      <c r="BA1123" s="932"/>
      <c r="BB1123" s="932"/>
      <c r="BC1123" s="932"/>
      <c r="BD1123" s="932"/>
      <c r="BE1123" s="932"/>
      <c r="BF1123" s="932"/>
    </row>
    <row r="1124" spans="2:58" ht="15" x14ac:dyDescent="0.25">
      <c r="B1124" s="932"/>
      <c r="C1124" s="932"/>
      <c r="D1124" s="932"/>
      <c r="E1124" s="932"/>
      <c r="F1124" s="932"/>
      <c r="G1124" s="932"/>
      <c r="H1124" s="932"/>
      <c r="I1124" s="932"/>
      <c r="J1124" s="932"/>
      <c r="K1124" s="932"/>
      <c r="L1124" s="932"/>
      <c r="M1124" s="932"/>
      <c r="N1124" s="932"/>
      <c r="O1124" s="932"/>
      <c r="P1124" s="932"/>
      <c r="Q1124" s="932"/>
      <c r="R1124" s="932"/>
      <c r="S1124" s="932"/>
      <c r="T1124" s="932"/>
      <c r="U1124" s="932"/>
      <c r="V1124" s="932"/>
      <c r="W1124" s="932"/>
      <c r="X1124" s="932"/>
      <c r="Y1124" s="932"/>
      <c r="Z1124" s="932"/>
      <c r="AA1124" s="932"/>
      <c r="AB1124" s="932"/>
      <c r="AC1124" s="932"/>
      <c r="AD1124" s="932"/>
      <c r="AE1124" s="932"/>
      <c r="AF1124" s="932"/>
      <c r="AG1124" s="932"/>
      <c r="AH1124" s="932"/>
      <c r="AI1124" s="932"/>
      <c r="AJ1124" s="932"/>
      <c r="AK1124" s="932"/>
      <c r="AL1124" s="932"/>
      <c r="AM1124" s="932"/>
      <c r="AN1124" s="932"/>
      <c r="AO1124" s="932"/>
      <c r="AP1124" s="932"/>
      <c r="AQ1124" s="932"/>
      <c r="AR1124" s="932"/>
      <c r="AS1124" s="932"/>
      <c r="AT1124" s="932"/>
      <c r="AU1124" s="932"/>
      <c r="AV1124" s="932"/>
      <c r="AW1124" s="932"/>
      <c r="AX1124" s="932"/>
      <c r="AY1124" s="932"/>
      <c r="AZ1124" s="932"/>
      <c r="BA1124" s="932"/>
      <c r="BB1124" s="932"/>
      <c r="BC1124" s="932"/>
      <c r="BD1124" s="932"/>
      <c r="BE1124" s="932"/>
      <c r="BF1124" s="932"/>
    </row>
    <row r="1125" spans="2:58" ht="15" x14ac:dyDescent="0.25">
      <c r="B1125" s="932"/>
      <c r="C1125" s="932"/>
      <c r="D1125" s="932"/>
      <c r="E1125" s="932"/>
      <c r="F1125" s="932"/>
      <c r="G1125" s="932"/>
      <c r="H1125" s="932"/>
      <c r="I1125" s="932"/>
      <c r="J1125" s="932"/>
      <c r="K1125" s="932"/>
      <c r="L1125" s="932"/>
      <c r="M1125" s="932"/>
      <c r="N1125" s="932"/>
      <c r="O1125" s="932"/>
      <c r="P1125" s="932"/>
      <c r="Q1125" s="932"/>
      <c r="R1125" s="932"/>
      <c r="S1125" s="932"/>
      <c r="T1125" s="932"/>
      <c r="U1125" s="932"/>
      <c r="V1125" s="932"/>
      <c r="W1125" s="932"/>
      <c r="X1125" s="932"/>
      <c r="Y1125" s="932"/>
      <c r="Z1125" s="932"/>
      <c r="AA1125" s="932"/>
      <c r="AB1125" s="932"/>
      <c r="AC1125" s="932"/>
      <c r="AD1125" s="932"/>
      <c r="AE1125" s="932"/>
      <c r="AF1125" s="932"/>
      <c r="AG1125" s="932"/>
      <c r="AH1125" s="932"/>
      <c r="AI1125" s="932"/>
      <c r="AJ1125" s="932"/>
      <c r="AK1125" s="932"/>
      <c r="AL1125" s="932"/>
      <c r="AM1125" s="932"/>
      <c r="AN1125" s="932"/>
      <c r="AO1125" s="932"/>
      <c r="AP1125" s="932"/>
      <c r="AQ1125" s="932"/>
      <c r="AR1125" s="932"/>
      <c r="AS1125" s="932"/>
      <c r="AT1125" s="932"/>
      <c r="AU1125" s="932"/>
      <c r="AV1125" s="932"/>
      <c r="AW1125" s="932"/>
      <c r="AX1125" s="932"/>
      <c r="AY1125" s="932"/>
      <c r="AZ1125" s="932"/>
      <c r="BA1125" s="932"/>
      <c r="BB1125" s="932"/>
      <c r="BC1125" s="932"/>
      <c r="BD1125" s="932"/>
      <c r="BE1125" s="932"/>
      <c r="BF1125" s="932"/>
    </row>
    <row r="1126" spans="2:58" ht="15" x14ac:dyDescent="0.25">
      <c r="B1126" s="932"/>
      <c r="C1126" s="932"/>
      <c r="D1126" s="932"/>
      <c r="E1126" s="932"/>
      <c r="F1126" s="932"/>
      <c r="G1126" s="932"/>
      <c r="H1126" s="932"/>
      <c r="I1126" s="932"/>
      <c r="J1126" s="932"/>
      <c r="K1126" s="932"/>
      <c r="L1126" s="932"/>
      <c r="M1126" s="932"/>
      <c r="N1126" s="932"/>
      <c r="O1126" s="932"/>
      <c r="P1126" s="932"/>
      <c r="Q1126" s="932"/>
      <c r="R1126" s="932"/>
      <c r="S1126" s="932"/>
      <c r="T1126" s="932"/>
      <c r="U1126" s="932"/>
      <c r="V1126" s="932"/>
      <c r="W1126" s="932"/>
      <c r="X1126" s="932"/>
      <c r="Y1126" s="932"/>
      <c r="Z1126" s="932"/>
      <c r="AA1126" s="932"/>
      <c r="AB1126" s="932"/>
      <c r="AC1126" s="932"/>
      <c r="AD1126" s="932"/>
      <c r="AE1126" s="932"/>
      <c r="AF1126" s="932"/>
      <c r="AG1126" s="932"/>
      <c r="AH1126" s="932"/>
      <c r="AI1126" s="932"/>
      <c r="AJ1126" s="932"/>
      <c r="AK1126" s="932"/>
      <c r="AL1126" s="932"/>
      <c r="AM1126" s="932"/>
      <c r="AN1126" s="932"/>
      <c r="AO1126" s="932"/>
      <c r="AP1126" s="932"/>
      <c r="AQ1126" s="932"/>
      <c r="AR1126" s="932"/>
      <c r="AS1126" s="932"/>
      <c r="AT1126" s="932"/>
      <c r="AU1126" s="932"/>
      <c r="AV1126" s="932"/>
      <c r="AW1126" s="932"/>
      <c r="AX1126" s="932"/>
      <c r="AY1126" s="932"/>
      <c r="AZ1126" s="932"/>
      <c r="BA1126" s="932"/>
      <c r="BB1126" s="932"/>
      <c r="BC1126" s="932"/>
      <c r="BD1126" s="932"/>
      <c r="BE1126" s="932"/>
      <c r="BF1126" s="932"/>
    </row>
    <row r="1127" spans="2:58" ht="15" x14ac:dyDescent="0.25">
      <c r="B1127" s="932"/>
      <c r="C1127" s="932"/>
      <c r="D1127" s="932"/>
      <c r="E1127" s="932"/>
      <c r="F1127" s="932"/>
      <c r="G1127" s="932"/>
      <c r="H1127" s="932"/>
      <c r="I1127" s="932"/>
      <c r="J1127" s="932"/>
      <c r="K1127" s="932"/>
      <c r="L1127" s="932"/>
      <c r="M1127" s="932"/>
      <c r="N1127" s="932"/>
      <c r="O1127" s="932"/>
      <c r="P1127" s="932"/>
      <c r="Q1127" s="932"/>
      <c r="R1127" s="932"/>
      <c r="S1127" s="932"/>
      <c r="T1127" s="932"/>
      <c r="U1127" s="932"/>
      <c r="V1127" s="932"/>
      <c r="W1127" s="932"/>
      <c r="X1127" s="932"/>
      <c r="Y1127" s="932"/>
      <c r="Z1127" s="932"/>
      <c r="AA1127" s="932"/>
      <c r="AB1127" s="932"/>
      <c r="AC1127" s="932"/>
      <c r="AD1127" s="932"/>
      <c r="AE1127" s="932"/>
      <c r="AF1127" s="932"/>
      <c r="AG1127" s="932"/>
      <c r="AH1127" s="932"/>
      <c r="AI1127" s="932"/>
      <c r="AJ1127" s="932"/>
      <c r="AK1127" s="932"/>
      <c r="AL1127" s="932"/>
      <c r="AM1127" s="932"/>
      <c r="AN1127" s="932"/>
      <c r="AO1127" s="932"/>
      <c r="AP1127" s="932"/>
      <c r="AQ1127" s="932"/>
      <c r="AR1127" s="932"/>
      <c r="AS1127" s="932"/>
      <c r="AT1127" s="932"/>
      <c r="AU1127" s="932"/>
      <c r="AV1127" s="932"/>
      <c r="AW1127" s="932"/>
      <c r="AX1127" s="932"/>
      <c r="AY1127" s="932"/>
      <c r="AZ1127" s="932"/>
      <c r="BA1127" s="932"/>
      <c r="BB1127" s="932"/>
      <c r="BC1127" s="932"/>
      <c r="BD1127" s="932"/>
      <c r="BE1127" s="932"/>
      <c r="BF1127" s="932"/>
    </row>
    <row r="1128" spans="2:58" ht="15" x14ac:dyDescent="0.25">
      <c r="B1128" s="932"/>
      <c r="C1128" s="932"/>
      <c r="D1128" s="932"/>
      <c r="E1128" s="932"/>
      <c r="F1128" s="932"/>
      <c r="G1128" s="932"/>
      <c r="H1128" s="932"/>
      <c r="I1128" s="932"/>
      <c r="J1128" s="932"/>
      <c r="K1128" s="932"/>
      <c r="L1128" s="932"/>
      <c r="M1128" s="932"/>
      <c r="N1128" s="932"/>
      <c r="O1128" s="932"/>
      <c r="P1128" s="932"/>
      <c r="Q1128" s="932"/>
      <c r="R1128" s="932"/>
      <c r="S1128" s="932"/>
      <c r="T1128" s="932"/>
      <c r="U1128" s="932"/>
      <c r="V1128" s="932"/>
      <c r="W1128" s="932"/>
      <c r="X1128" s="932"/>
      <c r="Y1128" s="932"/>
      <c r="Z1128" s="932"/>
      <c r="AA1128" s="932"/>
      <c r="AB1128" s="932"/>
      <c r="AC1128" s="932"/>
      <c r="AD1128" s="932"/>
      <c r="AE1128" s="932"/>
      <c r="AF1128" s="932"/>
      <c r="AG1128" s="932"/>
      <c r="AH1128" s="932"/>
      <c r="AI1128" s="932"/>
      <c r="AJ1128" s="932"/>
      <c r="AK1128" s="932"/>
      <c r="AL1128" s="932"/>
      <c r="AM1128" s="932"/>
      <c r="AN1128" s="932"/>
      <c r="AO1128" s="932"/>
      <c r="AP1128" s="932"/>
      <c r="AQ1128" s="932"/>
      <c r="AR1128" s="932"/>
      <c r="AS1128" s="932"/>
      <c r="AT1128" s="932"/>
      <c r="AU1128" s="932"/>
      <c r="AV1128" s="932"/>
      <c r="AW1128" s="932"/>
      <c r="AX1128" s="932"/>
      <c r="AY1128" s="932"/>
      <c r="AZ1128" s="932"/>
      <c r="BA1128" s="932"/>
      <c r="BB1128" s="932"/>
      <c r="BC1128" s="932"/>
      <c r="BD1128" s="932"/>
      <c r="BE1128" s="932"/>
      <c r="BF1128" s="932"/>
    </row>
    <row r="1129" spans="2:58" ht="15" x14ac:dyDescent="0.25">
      <c r="B1129" s="932"/>
      <c r="C1129" s="932"/>
      <c r="D1129" s="932"/>
      <c r="E1129" s="932"/>
      <c r="F1129" s="932"/>
      <c r="G1129" s="932"/>
      <c r="H1129" s="932"/>
      <c r="I1129" s="932"/>
      <c r="J1129" s="932"/>
      <c r="K1129" s="932"/>
      <c r="L1129" s="932"/>
      <c r="M1129" s="932"/>
      <c r="N1129" s="932"/>
      <c r="O1129" s="932"/>
      <c r="P1129" s="932"/>
      <c r="Q1129" s="932"/>
      <c r="R1129" s="932"/>
      <c r="S1129" s="932"/>
      <c r="T1129" s="932"/>
      <c r="U1129" s="932"/>
      <c r="V1129" s="932"/>
      <c r="W1129" s="932"/>
      <c r="X1129" s="932"/>
      <c r="Y1129" s="932"/>
      <c r="Z1129" s="932"/>
      <c r="AA1129" s="932"/>
      <c r="AB1129" s="932"/>
      <c r="AC1129" s="932"/>
      <c r="AD1129" s="932"/>
      <c r="AE1129" s="932"/>
      <c r="AF1129" s="932"/>
      <c r="AG1129" s="932"/>
      <c r="AH1129" s="932"/>
      <c r="AI1129" s="932"/>
      <c r="AJ1129" s="932"/>
      <c r="AK1129" s="932"/>
      <c r="AL1129" s="932"/>
      <c r="AM1129" s="932"/>
      <c r="AN1129" s="932"/>
      <c r="AO1129" s="932"/>
      <c r="AP1129" s="932"/>
      <c r="AQ1129" s="932"/>
      <c r="AR1129" s="932"/>
      <c r="AS1129" s="932"/>
      <c r="AT1129" s="932"/>
      <c r="AU1129" s="932"/>
      <c r="AV1129" s="932"/>
      <c r="AW1129" s="932"/>
      <c r="AX1129" s="932"/>
      <c r="AY1129" s="932"/>
      <c r="AZ1129" s="932"/>
      <c r="BA1129" s="932"/>
      <c r="BB1129" s="932"/>
      <c r="BC1129" s="932"/>
      <c r="BD1129" s="932"/>
      <c r="BE1129" s="932"/>
      <c r="BF1129" s="932"/>
    </row>
    <row r="1130" spans="2:58" ht="15" x14ac:dyDescent="0.25">
      <c r="B1130" s="932"/>
      <c r="C1130" s="932"/>
      <c r="D1130" s="932"/>
      <c r="E1130" s="932"/>
      <c r="F1130" s="932"/>
      <c r="G1130" s="932"/>
      <c r="H1130" s="932"/>
      <c r="I1130" s="932"/>
      <c r="J1130" s="932"/>
      <c r="K1130" s="932"/>
      <c r="L1130" s="932"/>
      <c r="M1130" s="932"/>
      <c r="N1130" s="932"/>
      <c r="O1130" s="932"/>
      <c r="P1130" s="932"/>
      <c r="Q1130" s="932"/>
      <c r="R1130" s="932"/>
      <c r="S1130" s="932"/>
      <c r="T1130" s="932"/>
      <c r="U1130" s="932"/>
      <c r="V1130" s="932"/>
      <c r="W1130" s="932"/>
      <c r="X1130" s="932"/>
      <c r="Y1130" s="932"/>
      <c r="Z1130" s="932"/>
      <c r="AA1130" s="932"/>
      <c r="AB1130" s="932"/>
      <c r="AC1130" s="932"/>
      <c r="AD1130" s="932"/>
      <c r="AE1130" s="932"/>
      <c r="AF1130" s="932"/>
      <c r="AG1130" s="932"/>
      <c r="AH1130" s="932"/>
      <c r="AI1130" s="932"/>
      <c r="AJ1130" s="932"/>
      <c r="AK1130" s="932"/>
      <c r="AL1130" s="932"/>
      <c r="AM1130" s="932"/>
      <c r="AN1130" s="932"/>
      <c r="AO1130" s="932"/>
      <c r="AP1130" s="932"/>
      <c r="AQ1130" s="932"/>
      <c r="AR1130" s="932"/>
      <c r="AS1130" s="932"/>
      <c r="AT1130" s="932"/>
      <c r="AU1130" s="932"/>
      <c r="AV1130" s="932"/>
      <c r="AW1130" s="932"/>
      <c r="AX1130" s="932"/>
      <c r="AY1130" s="932"/>
      <c r="AZ1130" s="932"/>
      <c r="BA1130" s="932"/>
      <c r="BB1130" s="932"/>
      <c r="BC1130" s="932"/>
      <c r="BD1130" s="932"/>
      <c r="BE1130" s="932"/>
      <c r="BF1130" s="932"/>
    </row>
    <row r="1131" spans="2:58" ht="15" x14ac:dyDescent="0.25">
      <c r="B1131" s="932"/>
      <c r="C1131" s="932"/>
      <c r="D1131" s="932"/>
      <c r="E1131" s="932"/>
      <c r="F1131" s="932"/>
      <c r="G1131" s="932"/>
      <c r="H1131" s="932"/>
      <c r="I1131" s="932"/>
      <c r="J1131" s="932"/>
      <c r="K1131" s="932"/>
      <c r="L1131" s="932"/>
      <c r="M1131" s="932"/>
      <c r="N1131" s="932"/>
      <c r="O1131" s="932"/>
      <c r="P1131" s="932"/>
      <c r="Q1131" s="932"/>
      <c r="R1131" s="932"/>
      <c r="S1131" s="932"/>
      <c r="T1131" s="932"/>
      <c r="U1131" s="932"/>
      <c r="V1131" s="932"/>
      <c r="W1131" s="932"/>
      <c r="X1131" s="932"/>
      <c r="Y1131" s="932"/>
      <c r="Z1131" s="932"/>
      <c r="AA1131" s="932"/>
      <c r="AB1131" s="932"/>
      <c r="AC1131" s="932"/>
      <c r="AD1131" s="932"/>
      <c r="AE1131" s="932"/>
      <c r="AF1131" s="932"/>
      <c r="AG1131" s="932"/>
      <c r="AH1131" s="932"/>
      <c r="AI1131" s="932"/>
      <c r="AJ1131" s="932"/>
      <c r="AK1131" s="932"/>
      <c r="AL1131" s="932"/>
      <c r="AM1131" s="932"/>
      <c r="AN1131" s="932"/>
      <c r="AO1131" s="932"/>
      <c r="AP1131" s="932"/>
      <c r="AQ1131" s="932"/>
      <c r="AR1131" s="932"/>
      <c r="AS1131" s="932"/>
      <c r="AT1131" s="932"/>
      <c r="AU1131" s="932"/>
      <c r="AV1131" s="932"/>
      <c r="AW1131" s="932"/>
      <c r="AX1131" s="932"/>
      <c r="AY1131" s="932"/>
      <c r="AZ1131" s="932"/>
      <c r="BA1131" s="932"/>
      <c r="BB1131" s="932"/>
      <c r="BC1131" s="932"/>
      <c r="BD1131" s="932"/>
      <c r="BE1131" s="932"/>
      <c r="BF1131" s="932"/>
    </row>
    <row r="1132" spans="2:58" ht="15" x14ac:dyDescent="0.25">
      <c r="B1132" s="932"/>
      <c r="C1132" s="932"/>
      <c r="D1132" s="932"/>
      <c r="E1132" s="932"/>
      <c r="F1132" s="932"/>
      <c r="G1132" s="932"/>
      <c r="H1132" s="932"/>
      <c r="I1132" s="932"/>
      <c r="J1132" s="932"/>
      <c r="K1132" s="932"/>
      <c r="L1132" s="932"/>
      <c r="M1132" s="932"/>
      <c r="N1132" s="932"/>
      <c r="O1132" s="932"/>
      <c r="P1132" s="932"/>
      <c r="Q1132" s="932"/>
      <c r="R1132" s="932"/>
      <c r="S1132" s="932"/>
      <c r="T1132" s="932"/>
      <c r="U1132" s="932"/>
      <c r="V1132" s="932"/>
      <c r="W1132" s="932"/>
      <c r="X1132" s="932"/>
      <c r="Y1132" s="932"/>
      <c r="Z1132" s="932"/>
      <c r="AA1132" s="932"/>
      <c r="AB1132" s="932"/>
      <c r="AC1132" s="932"/>
      <c r="AD1132" s="932"/>
      <c r="AE1132" s="932"/>
      <c r="AF1132" s="932"/>
      <c r="AG1132" s="932"/>
      <c r="AH1132" s="932"/>
      <c r="AI1132" s="932"/>
      <c r="AJ1132" s="932"/>
      <c r="AK1132" s="932"/>
      <c r="AL1132" s="932"/>
      <c r="AM1132" s="932"/>
      <c r="AN1132" s="932"/>
      <c r="AO1132" s="932"/>
      <c r="AP1132" s="932"/>
      <c r="AQ1132" s="932"/>
      <c r="AR1132" s="932"/>
      <c r="AS1132" s="932"/>
      <c r="AT1132" s="932"/>
      <c r="AU1132" s="932"/>
      <c r="AV1132" s="932"/>
      <c r="AW1132" s="932"/>
      <c r="AX1132" s="932"/>
      <c r="AY1132" s="932"/>
      <c r="AZ1132" s="932"/>
      <c r="BA1132" s="932"/>
      <c r="BB1132" s="932"/>
      <c r="BC1132" s="932"/>
      <c r="BD1132" s="932"/>
      <c r="BE1132" s="932"/>
      <c r="BF1132" s="932"/>
    </row>
    <row r="1133" spans="2:58" ht="15" x14ac:dyDescent="0.25">
      <c r="B1133" s="932"/>
      <c r="C1133" s="932"/>
      <c r="D1133" s="932"/>
      <c r="E1133" s="932"/>
      <c r="F1133" s="932"/>
      <c r="G1133" s="932"/>
      <c r="H1133" s="932"/>
      <c r="I1133" s="932"/>
      <c r="J1133" s="932"/>
      <c r="K1133" s="932"/>
      <c r="L1133" s="932"/>
      <c r="M1133" s="932"/>
      <c r="N1133" s="932"/>
      <c r="O1133" s="932"/>
      <c r="P1133" s="932"/>
      <c r="Q1133" s="932"/>
      <c r="R1133" s="932"/>
      <c r="S1133" s="932"/>
      <c r="T1133" s="932"/>
      <c r="U1133" s="932"/>
      <c r="V1133" s="932"/>
      <c r="W1133" s="932"/>
      <c r="X1133" s="932"/>
      <c r="Y1133" s="932"/>
      <c r="Z1133" s="932"/>
      <c r="AA1133" s="932"/>
      <c r="AB1133" s="932"/>
      <c r="AC1133" s="932"/>
      <c r="AD1133" s="932"/>
      <c r="AE1133" s="932"/>
      <c r="AF1133" s="932"/>
      <c r="AG1133" s="932"/>
      <c r="AH1133" s="932"/>
      <c r="AI1133" s="932"/>
      <c r="AJ1133" s="932"/>
      <c r="AK1133" s="932"/>
      <c r="AL1133" s="932"/>
      <c r="AM1133" s="932"/>
      <c r="AN1133" s="932"/>
      <c r="AO1133" s="932"/>
      <c r="AP1133" s="932"/>
      <c r="AQ1133" s="932"/>
      <c r="AR1133" s="932"/>
      <c r="AS1133" s="932"/>
      <c r="AT1133" s="932"/>
      <c r="AU1133" s="932"/>
      <c r="AV1133" s="932"/>
      <c r="AW1133" s="932"/>
      <c r="AX1133" s="932"/>
      <c r="AY1133" s="932"/>
      <c r="AZ1133" s="932"/>
      <c r="BA1133" s="932"/>
      <c r="BB1133" s="932"/>
      <c r="BC1133" s="932"/>
      <c r="BD1133" s="932"/>
      <c r="BE1133" s="932"/>
      <c r="BF1133" s="932"/>
    </row>
    <row r="1134" spans="2:58" ht="15" x14ac:dyDescent="0.25">
      <c r="B1134" s="932"/>
      <c r="C1134" s="932"/>
      <c r="D1134" s="932"/>
      <c r="E1134" s="932"/>
      <c r="F1134" s="932"/>
      <c r="G1134" s="932"/>
      <c r="H1134" s="932"/>
      <c r="I1134" s="932"/>
      <c r="J1134" s="932"/>
      <c r="K1134" s="932"/>
      <c r="L1134" s="932"/>
      <c r="M1134" s="932"/>
      <c r="N1134" s="932"/>
      <c r="O1134" s="932"/>
      <c r="P1134" s="932"/>
      <c r="Q1134" s="932"/>
      <c r="R1134" s="932"/>
      <c r="S1134" s="932"/>
      <c r="T1134" s="932"/>
      <c r="U1134" s="932"/>
      <c r="V1134" s="932"/>
      <c r="W1134" s="932"/>
      <c r="X1134" s="932"/>
      <c r="Y1134" s="932"/>
      <c r="Z1134" s="932"/>
      <c r="AA1134" s="932"/>
      <c r="AB1134" s="932"/>
      <c r="AC1134" s="932"/>
      <c r="AD1134" s="932"/>
      <c r="AE1134" s="932"/>
      <c r="AF1134" s="932"/>
      <c r="AG1134" s="932"/>
      <c r="AH1134" s="932"/>
      <c r="AI1134" s="932"/>
      <c r="AJ1134" s="932"/>
      <c r="AK1134" s="932"/>
      <c r="AL1134" s="932"/>
      <c r="AM1134" s="932"/>
      <c r="AN1134" s="932"/>
      <c r="AO1134" s="932"/>
      <c r="AP1134" s="932"/>
      <c r="AQ1134" s="932"/>
      <c r="AR1134" s="932"/>
      <c r="AS1134" s="932"/>
      <c r="AT1134" s="932"/>
      <c r="AU1134" s="932"/>
      <c r="AV1134" s="932"/>
      <c r="AW1134" s="932"/>
      <c r="AX1134" s="932"/>
      <c r="AY1134" s="932"/>
      <c r="AZ1134" s="932"/>
      <c r="BA1134" s="932"/>
      <c r="BB1134" s="932"/>
      <c r="BC1134" s="932"/>
      <c r="BD1134" s="932"/>
      <c r="BE1134" s="932"/>
      <c r="BF1134" s="932"/>
    </row>
    <row r="1135" spans="2:58" ht="15" x14ac:dyDescent="0.25">
      <c r="B1135" s="932"/>
      <c r="C1135" s="932"/>
      <c r="D1135" s="932"/>
      <c r="E1135" s="932"/>
      <c r="F1135" s="932"/>
      <c r="G1135" s="932"/>
      <c r="H1135" s="932"/>
      <c r="I1135" s="932"/>
      <c r="J1135" s="932"/>
      <c r="K1135" s="932"/>
      <c r="L1135" s="932"/>
      <c r="M1135" s="932"/>
      <c r="N1135" s="932"/>
      <c r="O1135" s="932"/>
      <c r="P1135" s="932"/>
      <c r="Q1135" s="932"/>
      <c r="R1135" s="932"/>
      <c r="S1135" s="932"/>
      <c r="T1135" s="932"/>
      <c r="U1135" s="932"/>
      <c r="V1135" s="932"/>
      <c r="W1135" s="932"/>
      <c r="X1135" s="932"/>
      <c r="Y1135" s="932"/>
      <c r="Z1135" s="932"/>
      <c r="AA1135" s="932"/>
      <c r="AB1135" s="932"/>
      <c r="AC1135" s="932"/>
      <c r="AD1135" s="932"/>
      <c r="AE1135" s="932"/>
      <c r="AF1135" s="932"/>
      <c r="AG1135" s="932"/>
      <c r="AH1135" s="932"/>
      <c r="AI1135" s="932"/>
      <c r="AJ1135" s="932"/>
      <c r="AK1135" s="932"/>
      <c r="AL1135" s="932"/>
      <c r="AM1135" s="932"/>
      <c r="AN1135" s="932"/>
      <c r="AO1135" s="932"/>
      <c r="AP1135" s="932"/>
      <c r="AQ1135" s="932"/>
      <c r="AR1135" s="932"/>
      <c r="AS1135" s="932"/>
      <c r="AT1135" s="932"/>
      <c r="AU1135" s="932"/>
      <c r="AV1135" s="932"/>
      <c r="AW1135" s="932"/>
      <c r="AX1135" s="932"/>
      <c r="AY1135" s="932"/>
      <c r="AZ1135" s="932"/>
      <c r="BA1135" s="932"/>
      <c r="BB1135" s="932"/>
      <c r="BC1135" s="932"/>
      <c r="BD1135" s="932"/>
      <c r="BE1135" s="932"/>
      <c r="BF1135" s="932"/>
    </row>
    <row r="1136" spans="2:58" ht="15" x14ac:dyDescent="0.25">
      <c r="B1136" s="932"/>
      <c r="C1136" s="932"/>
      <c r="D1136" s="932"/>
      <c r="E1136" s="932"/>
      <c r="F1136" s="932"/>
      <c r="G1136" s="932"/>
      <c r="H1136" s="932"/>
      <c r="I1136" s="932"/>
      <c r="J1136" s="932"/>
      <c r="K1136" s="932"/>
      <c r="L1136" s="932"/>
      <c r="M1136" s="932"/>
      <c r="N1136" s="932"/>
      <c r="O1136" s="932"/>
      <c r="P1136" s="932"/>
      <c r="Q1136" s="932"/>
      <c r="R1136" s="932"/>
      <c r="S1136" s="932"/>
      <c r="T1136" s="932"/>
      <c r="U1136" s="932"/>
      <c r="V1136" s="932"/>
      <c r="W1136" s="932"/>
      <c r="X1136" s="932"/>
      <c r="Y1136" s="932"/>
      <c r="Z1136" s="932"/>
      <c r="AA1136" s="932"/>
      <c r="AB1136" s="932"/>
      <c r="AC1136" s="932"/>
      <c r="AD1136" s="932"/>
      <c r="AE1136" s="932"/>
      <c r="AF1136" s="932"/>
      <c r="AG1136" s="932"/>
      <c r="AH1136" s="932"/>
      <c r="AI1136" s="932"/>
      <c r="AJ1136" s="932"/>
      <c r="AK1136" s="932"/>
      <c r="AL1136" s="932"/>
      <c r="AM1136" s="932"/>
      <c r="AN1136" s="932"/>
      <c r="AO1136" s="932"/>
      <c r="AP1136" s="932"/>
      <c r="AQ1136" s="932"/>
      <c r="AR1136" s="932"/>
      <c r="AS1136" s="932"/>
      <c r="AT1136" s="932"/>
      <c r="AU1136" s="932"/>
      <c r="AV1136" s="932"/>
      <c r="AW1136" s="932"/>
      <c r="AX1136" s="932"/>
      <c r="AY1136" s="932"/>
      <c r="AZ1136" s="932"/>
      <c r="BA1136" s="932"/>
      <c r="BB1136" s="932"/>
      <c r="BC1136" s="932"/>
      <c r="BD1136" s="932"/>
      <c r="BE1136" s="932"/>
      <c r="BF1136" s="932"/>
    </row>
    <row r="1137" spans="2:58" ht="15" x14ac:dyDescent="0.25">
      <c r="B1137" s="932"/>
      <c r="C1137" s="932"/>
      <c r="D1137" s="932"/>
      <c r="E1137" s="932"/>
      <c r="F1137" s="932"/>
      <c r="G1137" s="932"/>
      <c r="H1137" s="932"/>
      <c r="I1137" s="932"/>
      <c r="J1137" s="932"/>
      <c r="K1137" s="932"/>
      <c r="L1137" s="932"/>
      <c r="M1137" s="932"/>
      <c r="N1137" s="932"/>
      <c r="O1137" s="932"/>
      <c r="P1137" s="932"/>
      <c r="Q1137" s="932"/>
      <c r="R1137" s="932"/>
      <c r="S1137" s="932"/>
      <c r="T1137" s="932"/>
      <c r="U1137" s="932"/>
      <c r="V1137" s="932"/>
      <c r="W1137" s="932"/>
      <c r="X1137" s="932"/>
      <c r="Y1137" s="932"/>
      <c r="Z1137" s="932"/>
      <c r="AA1137" s="932"/>
      <c r="AB1137" s="932"/>
      <c r="AC1137" s="932"/>
      <c r="AD1137" s="932"/>
      <c r="AE1137" s="932"/>
      <c r="AF1137" s="932"/>
      <c r="AG1137" s="932"/>
      <c r="AH1137" s="932"/>
      <c r="AI1137" s="932"/>
      <c r="AJ1137" s="932"/>
      <c r="AK1137" s="932"/>
      <c r="AL1137" s="932"/>
      <c r="AM1137" s="932"/>
      <c r="AN1137" s="932"/>
      <c r="AO1137" s="932"/>
      <c r="AP1137" s="932"/>
      <c r="AQ1137" s="932"/>
      <c r="AR1137" s="932"/>
      <c r="AS1137" s="932"/>
      <c r="AT1137" s="932"/>
      <c r="AU1137" s="932"/>
      <c r="AV1137" s="932"/>
      <c r="AW1137" s="932"/>
      <c r="AX1137" s="932"/>
      <c r="AY1137" s="932"/>
      <c r="AZ1137" s="932"/>
      <c r="BA1137" s="932"/>
      <c r="BB1137" s="932"/>
      <c r="BC1137" s="932"/>
      <c r="BD1137" s="932"/>
      <c r="BE1137" s="932"/>
      <c r="BF1137" s="932"/>
    </row>
    <row r="1138" spans="2:58" ht="15" x14ac:dyDescent="0.25">
      <c r="B1138" s="932"/>
      <c r="C1138" s="932"/>
      <c r="D1138" s="932"/>
      <c r="E1138" s="932"/>
      <c r="F1138" s="932"/>
      <c r="G1138" s="932"/>
      <c r="H1138" s="932"/>
      <c r="I1138" s="932"/>
      <c r="J1138" s="932"/>
      <c r="K1138" s="932"/>
      <c r="L1138" s="932"/>
      <c r="M1138" s="932"/>
      <c r="N1138" s="932"/>
      <c r="O1138" s="932"/>
      <c r="P1138" s="932"/>
      <c r="Q1138" s="932"/>
      <c r="R1138" s="932"/>
      <c r="S1138" s="932"/>
      <c r="T1138" s="932"/>
      <c r="U1138" s="932"/>
      <c r="V1138" s="932"/>
      <c r="W1138" s="932"/>
      <c r="X1138" s="932"/>
      <c r="Y1138" s="932"/>
      <c r="Z1138" s="932"/>
      <c r="AA1138" s="932"/>
      <c r="AB1138" s="932"/>
      <c r="AC1138" s="932"/>
      <c r="AD1138" s="932"/>
      <c r="AE1138" s="932"/>
      <c r="AF1138" s="932"/>
      <c r="AG1138" s="932"/>
      <c r="AH1138" s="932"/>
      <c r="AI1138" s="932"/>
      <c r="AJ1138" s="932"/>
      <c r="AK1138" s="932"/>
      <c r="AL1138" s="932"/>
      <c r="AM1138" s="932"/>
      <c r="AN1138" s="932"/>
      <c r="AO1138" s="932"/>
      <c r="AP1138" s="932"/>
      <c r="AQ1138" s="932"/>
      <c r="AR1138" s="932"/>
      <c r="AS1138" s="932"/>
      <c r="AT1138" s="932"/>
      <c r="AU1138" s="932"/>
      <c r="AV1138" s="932"/>
      <c r="AW1138" s="932"/>
      <c r="AX1138" s="932"/>
      <c r="AY1138" s="932"/>
      <c r="AZ1138" s="932"/>
      <c r="BA1138" s="932"/>
      <c r="BB1138" s="932"/>
      <c r="BC1138" s="932"/>
      <c r="BD1138" s="932"/>
      <c r="BE1138" s="932"/>
      <c r="BF1138" s="932"/>
    </row>
    <row r="1139" spans="2:58" ht="15" x14ac:dyDescent="0.25">
      <c r="B1139" s="932"/>
      <c r="C1139" s="932"/>
      <c r="D1139" s="932"/>
      <c r="E1139" s="932"/>
      <c r="F1139" s="932"/>
      <c r="G1139" s="932"/>
      <c r="H1139" s="932"/>
      <c r="I1139" s="932"/>
      <c r="J1139" s="932"/>
      <c r="K1139" s="932"/>
      <c r="L1139" s="932"/>
      <c r="M1139" s="932"/>
      <c r="N1139" s="932"/>
      <c r="O1139" s="932"/>
      <c r="P1139" s="932"/>
      <c r="Q1139" s="932"/>
      <c r="R1139" s="932"/>
      <c r="S1139" s="932"/>
      <c r="T1139" s="932"/>
      <c r="U1139" s="932"/>
      <c r="V1139" s="932"/>
      <c r="W1139" s="932"/>
      <c r="X1139" s="932"/>
      <c r="Y1139" s="932"/>
      <c r="Z1139" s="932"/>
      <c r="AA1139" s="932"/>
      <c r="AB1139" s="932"/>
      <c r="AC1139" s="932"/>
      <c r="AD1139" s="932"/>
      <c r="AE1139" s="932"/>
      <c r="AF1139" s="932"/>
      <c r="AG1139" s="932"/>
      <c r="AH1139" s="932"/>
      <c r="AI1139" s="932"/>
      <c r="AJ1139" s="932"/>
      <c r="AK1139" s="932"/>
      <c r="AL1139" s="932"/>
      <c r="AM1139" s="932"/>
      <c r="AN1139" s="932"/>
      <c r="AO1139" s="932"/>
      <c r="AP1139" s="932"/>
      <c r="AQ1139" s="932"/>
      <c r="AR1139" s="932"/>
      <c r="AS1139" s="932"/>
      <c r="AT1139" s="932"/>
      <c r="AU1139" s="932"/>
      <c r="AV1139" s="932"/>
      <c r="AW1139" s="932"/>
      <c r="AX1139" s="932"/>
      <c r="AY1139" s="932"/>
      <c r="AZ1139" s="932"/>
      <c r="BA1139" s="932"/>
      <c r="BB1139" s="932"/>
      <c r="BC1139" s="932"/>
      <c r="BD1139" s="932"/>
      <c r="BE1139" s="932"/>
      <c r="BF1139" s="932"/>
    </row>
    <row r="1140" spans="2:58" ht="15" x14ac:dyDescent="0.25">
      <c r="B1140" s="932"/>
      <c r="C1140" s="932"/>
      <c r="D1140" s="932"/>
      <c r="E1140" s="932"/>
      <c r="F1140" s="932"/>
      <c r="G1140" s="932"/>
      <c r="H1140" s="932"/>
      <c r="I1140" s="932"/>
      <c r="J1140" s="932"/>
      <c r="K1140" s="932"/>
      <c r="L1140" s="932"/>
      <c r="M1140" s="932"/>
      <c r="N1140" s="932"/>
      <c r="O1140" s="932"/>
      <c r="P1140" s="932"/>
      <c r="Q1140" s="932"/>
      <c r="R1140" s="932"/>
      <c r="S1140" s="932"/>
      <c r="T1140" s="932"/>
      <c r="U1140" s="932"/>
      <c r="V1140" s="932"/>
      <c r="W1140" s="932"/>
      <c r="X1140" s="932"/>
      <c r="Y1140" s="932"/>
      <c r="Z1140" s="932"/>
      <c r="AA1140" s="932"/>
      <c r="AB1140" s="932"/>
      <c r="AC1140" s="932"/>
      <c r="AD1140" s="932"/>
      <c r="AE1140" s="932"/>
      <c r="AF1140" s="932"/>
      <c r="AG1140" s="932"/>
      <c r="AH1140" s="932"/>
      <c r="AI1140" s="932"/>
      <c r="AJ1140" s="932"/>
      <c r="AK1140" s="932"/>
      <c r="AL1140" s="932"/>
      <c r="AM1140" s="932"/>
      <c r="AN1140" s="932"/>
      <c r="AO1140" s="932"/>
      <c r="AP1140" s="932"/>
      <c r="AQ1140" s="932"/>
      <c r="AR1140" s="932"/>
      <c r="AS1140" s="932"/>
      <c r="AT1140" s="932"/>
      <c r="AU1140" s="932"/>
      <c r="AV1140" s="932"/>
      <c r="AW1140" s="932"/>
      <c r="AX1140" s="932"/>
      <c r="AY1140" s="932"/>
      <c r="AZ1140" s="932"/>
      <c r="BA1140" s="932"/>
      <c r="BB1140" s="932"/>
      <c r="BC1140" s="932"/>
      <c r="BD1140" s="932"/>
      <c r="BE1140" s="932"/>
      <c r="BF1140" s="932"/>
    </row>
    <row r="1141" spans="2:58" ht="15" x14ac:dyDescent="0.25">
      <c r="B1141" s="932"/>
      <c r="C1141" s="932"/>
      <c r="D1141" s="932"/>
      <c r="E1141" s="932"/>
      <c r="F1141" s="932"/>
      <c r="G1141" s="932"/>
      <c r="H1141" s="932"/>
      <c r="I1141" s="932"/>
      <c r="J1141" s="932"/>
      <c r="K1141" s="932"/>
      <c r="L1141" s="932"/>
      <c r="M1141" s="932"/>
      <c r="N1141" s="932"/>
      <c r="O1141" s="932"/>
      <c r="P1141" s="932"/>
      <c r="Q1141" s="932"/>
      <c r="R1141" s="932"/>
      <c r="S1141" s="932"/>
      <c r="T1141" s="932"/>
      <c r="U1141" s="932"/>
      <c r="V1141" s="932"/>
      <c r="W1141" s="932"/>
      <c r="X1141" s="932"/>
      <c r="Y1141" s="932"/>
      <c r="Z1141" s="932"/>
      <c r="AA1141" s="932"/>
      <c r="AB1141" s="932"/>
      <c r="AC1141" s="932"/>
      <c r="AD1141" s="932"/>
      <c r="AE1141" s="932"/>
      <c r="AF1141" s="932"/>
      <c r="AG1141" s="932"/>
      <c r="AH1141" s="932"/>
      <c r="AI1141" s="932"/>
      <c r="AJ1141" s="932"/>
      <c r="AK1141" s="932"/>
      <c r="AL1141" s="932"/>
      <c r="AM1141" s="932"/>
      <c r="AN1141" s="932"/>
      <c r="AO1141" s="932"/>
      <c r="AP1141" s="932"/>
      <c r="AQ1141" s="932"/>
      <c r="AR1141" s="932"/>
      <c r="AS1141" s="932"/>
      <c r="AT1141" s="932"/>
      <c r="AU1141" s="932"/>
      <c r="AV1141" s="932"/>
      <c r="AW1141" s="932"/>
      <c r="AX1141" s="932"/>
      <c r="AY1141" s="932"/>
      <c r="AZ1141" s="932"/>
      <c r="BA1141" s="932"/>
      <c r="BB1141" s="932"/>
      <c r="BC1141" s="932"/>
      <c r="BD1141" s="932"/>
      <c r="BE1141" s="932"/>
      <c r="BF1141" s="932"/>
    </row>
    <row r="1142" spans="2:58" ht="15" x14ac:dyDescent="0.25">
      <c r="B1142" s="932"/>
      <c r="C1142" s="932"/>
      <c r="D1142" s="932"/>
      <c r="E1142" s="932"/>
      <c r="F1142" s="932"/>
      <c r="G1142" s="932"/>
      <c r="H1142" s="932"/>
      <c r="I1142" s="932"/>
      <c r="J1142" s="932"/>
      <c r="K1142" s="932"/>
      <c r="L1142" s="932"/>
      <c r="M1142" s="932"/>
      <c r="N1142" s="932"/>
      <c r="O1142" s="932"/>
      <c r="P1142" s="932"/>
      <c r="Q1142" s="932"/>
      <c r="R1142" s="932"/>
      <c r="S1142" s="932"/>
      <c r="T1142" s="932"/>
      <c r="U1142" s="932"/>
      <c r="V1142" s="932"/>
      <c r="W1142" s="932"/>
      <c r="X1142" s="932"/>
      <c r="Y1142" s="932"/>
      <c r="Z1142" s="932"/>
      <c r="AA1142" s="932"/>
      <c r="AB1142" s="932"/>
      <c r="AC1142" s="932"/>
      <c r="AD1142" s="932"/>
      <c r="AE1142" s="932"/>
      <c r="AF1142" s="932"/>
      <c r="AG1142" s="932"/>
      <c r="AH1142" s="932"/>
      <c r="AI1142" s="932"/>
      <c r="AJ1142" s="932"/>
      <c r="AK1142" s="932"/>
      <c r="AL1142" s="932"/>
      <c r="AM1142" s="932"/>
      <c r="AN1142" s="932"/>
      <c r="AO1142" s="932"/>
      <c r="AP1142" s="932"/>
      <c r="AQ1142" s="932"/>
      <c r="AR1142" s="932"/>
      <c r="AS1142" s="932"/>
      <c r="AT1142" s="932"/>
      <c r="AU1142" s="932"/>
      <c r="AV1142" s="932"/>
      <c r="AW1142" s="932"/>
      <c r="AX1142" s="932"/>
      <c r="AY1142" s="932"/>
      <c r="AZ1142" s="932"/>
      <c r="BA1142" s="932"/>
      <c r="BB1142" s="932"/>
      <c r="BC1142" s="932"/>
      <c r="BD1142" s="932"/>
      <c r="BE1142" s="932"/>
      <c r="BF1142" s="932"/>
    </row>
    <row r="1143" spans="2:58" ht="15" x14ac:dyDescent="0.25">
      <c r="B1143" s="932"/>
      <c r="C1143" s="932"/>
      <c r="D1143" s="932"/>
      <c r="E1143" s="932"/>
      <c r="F1143" s="932"/>
      <c r="G1143" s="932"/>
      <c r="H1143" s="932"/>
      <c r="I1143" s="932"/>
      <c r="J1143" s="932"/>
      <c r="K1143" s="932"/>
      <c r="L1143" s="932"/>
      <c r="M1143" s="932"/>
      <c r="N1143" s="932"/>
      <c r="O1143" s="932"/>
      <c r="P1143" s="932"/>
      <c r="Q1143" s="932"/>
      <c r="R1143" s="932"/>
      <c r="S1143" s="932"/>
      <c r="T1143" s="932"/>
      <c r="U1143" s="932"/>
      <c r="V1143" s="932"/>
      <c r="W1143" s="932"/>
      <c r="X1143" s="932"/>
      <c r="Y1143" s="932"/>
      <c r="Z1143" s="932"/>
      <c r="AA1143" s="932"/>
      <c r="AB1143" s="932"/>
      <c r="AC1143" s="932"/>
      <c r="AD1143" s="932"/>
      <c r="AE1143" s="932"/>
      <c r="AF1143" s="932"/>
      <c r="AG1143" s="932"/>
      <c r="AH1143" s="932"/>
      <c r="AI1143" s="932"/>
      <c r="AJ1143" s="932"/>
      <c r="AK1143" s="932"/>
      <c r="AL1143" s="932"/>
      <c r="AM1143" s="932"/>
      <c r="AN1143" s="932"/>
      <c r="AO1143" s="932"/>
      <c r="AP1143" s="932"/>
      <c r="AQ1143" s="932"/>
      <c r="AR1143" s="932"/>
      <c r="AS1143" s="932"/>
      <c r="AT1143" s="932"/>
      <c r="AU1143" s="932"/>
      <c r="AV1143" s="932"/>
      <c r="AW1143" s="932"/>
      <c r="AX1143" s="932"/>
      <c r="AY1143" s="932"/>
      <c r="AZ1143" s="932"/>
      <c r="BA1143" s="932"/>
      <c r="BB1143" s="932"/>
      <c r="BC1143" s="932"/>
      <c r="BD1143" s="932"/>
      <c r="BE1143" s="932"/>
      <c r="BF1143" s="932"/>
    </row>
    <row r="1144" spans="2:58" ht="15" x14ac:dyDescent="0.25">
      <c r="B1144" s="932"/>
      <c r="C1144" s="932"/>
      <c r="D1144" s="932"/>
      <c r="E1144" s="932"/>
      <c r="F1144" s="932"/>
      <c r="G1144" s="932"/>
      <c r="H1144" s="932"/>
      <c r="I1144" s="932"/>
      <c r="J1144" s="932"/>
      <c r="K1144" s="932"/>
      <c r="L1144" s="932"/>
      <c r="M1144" s="932"/>
      <c r="N1144" s="932"/>
      <c r="O1144" s="932"/>
      <c r="P1144" s="932"/>
      <c r="Q1144" s="932"/>
      <c r="R1144" s="932"/>
      <c r="S1144" s="932"/>
      <c r="T1144" s="932"/>
      <c r="U1144" s="932"/>
      <c r="V1144" s="932"/>
      <c r="W1144" s="932"/>
      <c r="X1144" s="932"/>
      <c r="Y1144" s="932"/>
      <c r="Z1144" s="932"/>
      <c r="AA1144" s="932"/>
      <c r="AB1144" s="932"/>
      <c r="AC1144" s="932"/>
      <c r="AD1144" s="932"/>
      <c r="AE1144" s="932"/>
      <c r="AF1144" s="932"/>
      <c r="AG1144" s="932"/>
      <c r="AH1144" s="932"/>
      <c r="AI1144" s="932"/>
      <c r="AJ1144" s="932"/>
      <c r="AK1144" s="932"/>
      <c r="AL1144" s="932"/>
      <c r="AM1144" s="932"/>
      <c r="AN1144" s="932"/>
      <c r="AO1144" s="932"/>
      <c r="AP1144" s="932"/>
      <c r="AQ1144" s="932"/>
      <c r="AR1144" s="932"/>
      <c r="AS1144" s="932"/>
      <c r="AT1144" s="932"/>
      <c r="AU1144" s="932"/>
      <c r="AV1144" s="932"/>
      <c r="AW1144" s="932"/>
      <c r="AX1144" s="932"/>
      <c r="AY1144" s="932"/>
      <c r="AZ1144" s="932"/>
      <c r="BA1144" s="932"/>
      <c r="BB1144" s="932"/>
      <c r="BC1144" s="932"/>
      <c r="BD1144" s="932"/>
      <c r="BE1144" s="932"/>
      <c r="BF1144" s="932"/>
    </row>
    <row r="1145" spans="2:58" ht="15" x14ac:dyDescent="0.25">
      <c r="B1145" s="932"/>
      <c r="C1145" s="932"/>
      <c r="D1145" s="932"/>
      <c r="E1145" s="932"/>
      <c r="F1145" s="932"/>
      <c r="G1145" s="932"/>
      <c r="H1145" s="932"/>
      <c r="I1145" s="932"/>
      <c r="J1145" s="932"/>
      <c r="K1145" s="932"/>
      <c r="L1145" s="932"/>
      <c r="M1145" s="932"/>
      <c r="N1145" s="932"/>
      <c r="O1145" s="932"/>
      <c r="P1145" s="932"/>
      <c r="Q1145" s="932"/>
      <c r="R1145" s="932"/>
      <c r="S1145" s="932"/>
      <c r="T1145" s="932"/>
      <c r="U1145" s="932"/>
      <c r="V1145" s="932"/>
      <c r="W1145" s="932"/>
      <c r="X1145" s="932"/>
      <c r="Y1145" s="932"/>
      <c r="Z1145" s="932"/>
      <c r="AA1145" s="932"/>
      <c r="AB1145" s="932"/>
      <c r="AC1145" s="932"/>
      <c r="AD1145" s="932"/>
      <c r="AE1145" s="932"/>
      <c r="AF1145" s="932"/>
      <c r="AG1145" s="932"/>
      <c r="AH1145" s="932"/>
      <c r="AI1145" s="932"/>
      <c r="AJ1145" s="932"/>
      <c r="AK1145" s="932"/>
      <c r="AL1145" s="932"/>
      <c r="AM1145" s="932"/>
      <c r="AN1145" s="932"/>
      <c r="AO1145" s="932"/>
      <c r="AP1145" s="932"/>
      <c r="AQ1145" s="932"/>
      <c r="AR1145" s="932"/>
      <c r="AS1145" s="932"/>
      <c r="AT1145" s="932"/>
      <c r="AU1145" s="932"/>
      <c r="AV1145" s="932"/>
      <c r="AW1145" s="932"/>
      <c r="AX1145" s="932"/>
      <c r="AY1145" s="932"/>
      <c r="AZ1145" s="932"/>
      <c r="BA1145" s="932"/>
      <c r="BB1145" s="932"/>
      <c r="BC1145" s="932"/>
      <c r="BD1145" s="932"/>
      <c r="BE1145" s="932"/>
      <c r="BF1145" s="932"/>
    </row>
    <row r="1146" spans="2:58" ht="15" x14ac:dyDescent="0.25">
      <c r="B1146" s="932"/>
      <c r="C1146" s="932"/>
      <c r="D1146" s="932"/>
      <c r="E1146" s="932"/>
      <c r="F1146" s="932"/>
      <c r="G1146" s="932"/>
      <c r="H1146" s="932"/>
      <c r="I1146" s="932"/>
      <c r="J1146" s="932"/>
      <c r="K1146" s="932"/>
      <c r="L1146" s="932"/>
      <c r="M1146" s="932"/>
      <c r="N1146" s="932"/>
      <c r="O1146" s="932"/>
      <c r="P1146" s="932"/>
      <c r="Q1146" s="932"/>
      <c r="R1146" s="932"/>
      <c r="S1146" s="932"/>
      <c r="T1146" s="932"/>
      <c r="U1146" s="932"/>
      <c r="V1146" s="932"/>
      <c r="W1146" s="932"/>
      <c r="X1146" s="932"/>
      <c r="Y1146" s="932"/>
      <c r="Z1146" s="932"/>
      <c r="AA1146" s="932"/>
      <c r="AB1146" s="932"/>
      <c r="AC1146" s="932"/>
      <c r="AD1146" s="932"/>
      <c r="AE1146" s="932"/>
      <c r="AF1146" s="932"/>
      <c r="AG1146" s="932"/>
      <c r="AH1146" s="932"/>
      <c r="AI1146" s="932"/>
      <c r="AJ1146" s="932"/>
      <c r="AK1146" s="932"/>
      <c r="AL1146" s="932"/>
      <c r="AM1146" s="932"/>
      <c r="AN1146" s="932"/>
      <c r="AO1146" s="932"/>
      <c r="AP1146" s="932"/>
      <c r="AQ1146" s="932"/>
      <c r="AR1146" s="932"/>
      <c r="AS1146" s="932"/>
      <c r="AT1146" s="932"/>
      <c r="AU1146" s="932"/>
      <c r="AV1146" s="932"/>
      <c r="AW1146" s="932"/>
      <c r="AX1146" s="932"/>
      <c r="AY1146" s="932"/>
      <c r="AZ1146" s="932"/>
      <c r="BA1146" s="932"/>
      <c r="BB1146" s="932"/>
      <c r="BC1146" s="932"/>
      <c r="BD1146" s="932"/>
      <c r="BE1146" s="932"/>
      <c r="BF1146" s="932"/>
    </row>
    <row r="1147" spans="2:58" ht="15" x14ac:dyDescent="0.25">
      <c r="B1147" s="932"/>
      <c r="C1147" s="932"/>
      <c r="D1147" s="932"/>
      <c r="E1147" s="932"/>
      <c r="F1147" s="932"/>
      <c r="G1147" s="932"/>
      <c r="H1147" s="932"/>
      <c r="I1147" s="932"/>
      <c r="J1147" s="932"/>
      <c r="K1147" s="932"/>
      <c r="L1147" s="932"/>
      <c r="M1147" s="932"/>
      <c r="N1147" s="932"/>
      <c r="O1147" s="932"/>
      <c r="P1147" s="932"/>
      <c r="Q1147" s="932"/>
      <c r="R1147" s="932"/>
      <c r="S1147" s="932"/>
      <c r="T1147" s="932"/>
      <c r="U1147" s="932"/>
      <c r="V1147" s="932"/>
      <c r="W1147" s="932"/>
      <c r="X1147" s="932"/>
      <c r="Y1147" s="932"/>
      <c r="Z1147" s="932"/>
      <c r="AA1147" s="932"/>
      <c r="AB1147" s="932"/>
      <c r="AC1147" s="932"/>
      <c r="AD1147" s="932"/>
      <c r="AE1147" s="932"/>
      <c r="AF1147" s="932"/>
      <c r="AG1147" s="932"/>
      <c r="AH1147" s="932"/>
      <c r="AI1147" s="932"/>
      <c r="AJ1147" s="932"/>
      <c r="AK1147" s="932"/>
      <c r="AL1147" s="932"/>
      <c r="AM1147" s="932"/>
      <c r="AN1147" s="932"/>
      <c r="AO1147" s="932"/>
      <c r="AP1147" s="932"/>
      <c r="AQ1147" s="932"/>
      <c r="AR1147" s="932"/>
      <c r="AS1147" s="932"/>
      <c r="AT1147" s="932"/>
      <c r="AU1147" s="932"/>
      <c r="AV1147" s="932"/>
      <c r="AW1147" s="932"/>
      <c r="AX1147" s="932"/>
      <c r="AY1147" s="932"/>
      <c r="AZ1147" s="932"/>
      <c r="BA1147" s="932"/>
      <c r="BB1147" s="932"/>
      <c r="BC1147" s="932"/>
      <c r="BD1147" s="932"/>
      <c r="BE1147" s="932"/>
      <c r="BF1147" s="932"/>
    </row>
    <row r="1148" spans="2:58" ht="15" x14ac:dyDescent="0.25">
      <c r="B1148" s="932"/>
      <c r="C1148" s="932"/>
      <c r="D1148" s="932"/>
      <c r="E1148" s="932"/>
      <c r="F1148" s="932"/>
      <c r="G1148" s="932"/>
      <c r="H1148" s="932"/>
      <c r="I1148" s="932"/>
      <c r="J1148" s="932"/>
      <c r="K1148" s="932"/>
      <c r="L1148" s="932"/>
      <c r="M1148" s="932"/>
      <c r="N1148" s="932"/>
      <c r="O1148" s="932"/>
      <c r="P1148" s="932"/>
      <c r="Q1148" s="932"/>
      <c r="R1148" s="932"/>
      <c r="S1148" s="932"/>
      <c r="T1148" s="932"/>
      <c r="U1148" s="932"/>
      <c r="V1148" s="932"/>
      <c r="W1148" s="932"/>
      <c r="X1148" s="932"/>
      <c r="Y1148" s="932"/>
      <c r="Z1148" s="932"/>
      <c r="AA1148" s="932"/>
      <c r="AB1148" s="932"/>
      <c r="AC1148" s="932"/>
      <c r="AD1148" s="932"/>
      <c r="AE1148" s="932"/>
      <c r="AF1148" s="932"/>
      <c r="AG1148" s="932"/>
      <c r="AH1148" s="932"/>
      <c r="AI1148" s="932"/>
      <c r="AJ1148" s="932"/>
      <c r="AK1148" s="932"/>
      <c r="AL1148" s="932"/>
      <c r="AM1148" s="932"/>
      <c r="AN1148" s="932"/>
      <c r="AO1148" s="932"/>
      <c r="AP1148" s="932"/>
      <c r="AQ1148" s="932"/>
      <c r="AR1148" s="932"/>
      <c r="AS1148" s="932"/>
      <c r="AT1148" s="932"/>
      <c r="AU1148" s="932"/>
      <c r="AV1148" s="932"/>
      <c r="AW1148" s="932"/>
      <c r="AX1148" s="932"/>
      <c r="AY1148" s="932"/>
      <c r="AZ1148" s="932"/>
      <c r="BA1148" s="932"/>
      <c r="BB1148" s="932"/>
      <c r="BC1148" s="932"/>
      <c r="BD1148" s="932"/>
      <c r="BE1148" s="932"/>
      <c r="BF1148" s="932"/>
    </row>
    <row r="1149" spans="2:58" ht="15" x14ac:dyDescent="0.25">
      <c r="B1149" s="932"/>
      <c r="C1149" s="932"/>
      <c r="D1149" s="932"/>
      <c r="E1149" s="932"/>
      <c r="F1149" s="932"/>
      <c r="G1149" s="932"/>
      <c r="H1149" s="932"/>
      <c r="I1149" s="932"/>
      <c r="J1149" s="932"/>
      <c r="K1149" s="932"/>
      <c r="L1149" s="932"/>
      <c r="M1149" s="932"/>
      <c r="N1149" s="932"/>
      <c r="O1149" s="932"/>
      <c r="P1149" s="932"/>
      <c r="Q1149" s="932"/>
      <c r="R1149" s="932"/>
      <c r="S1149" s="932"/>
      <c r="T1149" s="932"/>
      <c r="U1149" s="932"/>
      <c r="V1149" s="932"/>
      <c r="W1149" s="932"/>
      <c r="X1149" s="932"/>
      <c r="Y1149" s="932"/>
      <c r="Z1149" s="932"/>
      <c r="AA1149" s="932"/>
      <c r="AB1149" s="932"/>
      <c r="AC1149" s="932"/>
      <c r="AD1149" s="932"/>
      <c r="AE1149" s="932"/>
      <c r="AF1149" s="932"/>
      <c r="AG1149" s="932"/>
      <c r="AH1149" s="932"/>
      <c r="AI1149" s="932"/>
      <c r="AJ1149" s="932"/>
      <c r="AK1149" s="932"/>
      <c r="AL1149" s="932"/>
      <c r="AM1149" s="932"/>
      <c r="AN1149" s="932"/>
      <c r="AO1149" s="932"/>
      <c r="AP1149" s="932"/>
      <c r="AQ1149" s="932"/>
      <c r="AR1149" s="932"/>
      <c r="AS1149" s="932"/>
      <c r="AT1149" s="932"/>
      <c r="AU1149" s="932"/>
      <c r="AV1149" s="932"/>
      <c r="AW1149" s="932"/>
      <c r="AX1149" s="932"/>
      <c r="AY1149" s="932"/>
      <c r="AZ1149" s="932"/>
      <c r="BA1149" s="932"/>
      <c r="BB1149" s="932"/>
      <c r="BC1149" s="932"/>
      <c r="BD1149" s="932"/>
      <c r="BE1149" s="932"/>
      <c r="BF1149" s="932"/>
    </row>
    <row r="1150" spans="2:58" ht="15" x14ac:dyDescent="0.25">
      <c r="B1150" s="932"/>
      <c r="C1150" s="932"/>
      <c r="D1150" s="932"/>
      <c r="E1150" s="932"/>
      <c r="F1150" s="932"/>
      <c r="G1150" s="932"/>
      <c r="H1150" s="932"/>
      <c r="I1150" s="932"/>
      <c r="J1150" s="932"/>
      <c r="K1150" s="932"/>
      <c r="L1150" s="932"/>
      <c r="M1150" s="932"/>
      <c r="N1150" s="932"/>
      <c r="O1150" s="932"/>
      <c r="P1150" s="932"/>
      <c r="Q1150" s="932"/>
      <c r="R1150" s="932"/>
      <c r="S1150" s="932"/>
      <c r="T1150" s="932"/>
      <c r="U1150" s="932"/>
      <c r="V1150" s="932"/>
      <c r="W1150" s="932"/>
      <c r="X1150" s="932"/>
      <c r="Y1150" s="932"/>
      <c r="Z1150" s="932"/>
      <c r="AA1150" s="932"/>
      <c r="AB1150" s="932"/>
      <c r="AC1150" s="932"/>
      <c r="AD1150" s="932"/>
      <c r="AE1150" s="932"/>
      <c r="AF1150" s="932"/>
      <c r="AG1150" s="932"/>
      <c r="AH1150" s="932"/>
      <c r="AI1150" s="932"/>
      <c r="AJ1150" s="932"/>
      <c r="AK1150" s="932"/>
      <c r="AL1150" s="932"/>
      <c r="AM1150" s="932"/>
      <c r="AN1150" s="932"/>
      <c r="AO1150" s="932"/>
      <c r="AP1150" s="932"/>
      <c r="AQ1150" s="932"/>
      <c r="AR1150" s="932"/>
      <c r="AS1150" s="932"/>
      <c r="AT1150" s="932"/>
      <c r="AU1150" s="932"/>
      <c r="AV1150" s="932"/>
      <c r="AW1150" s="932"/>
      <c r="AX1150" s="932"/>
      <c r="AY1150" s="932"/>
      <c r="AZ1150" s="932"/>
      <c r="BA1150" s="932"/>
      <c r="BB1150" s="932"/>
      <c r="BC1150" s="932"/>
      <c r="BD1150" s="932"/>
      <c r="BE1150" s="932"/>
      <c r="BF1150" s="932"/>
    </row>
    <row r="1151" spans="2:58" ht="15" x14ac:dyDescent="0.25">
      <c r="B1151" s="932"/>
      <c r="C1151" s="932"/>
      <c r="D1151" s="932"/>
      <c r="E1151" s="932"/>
      <c r="F1151" s="932"/>
      <c r="G1151" s="932"/>
      <c r="H1151" s="932"/>
      <c r="I1151" s="932"/>
      <c r="J1151" s="932"/>
      <c r="K1151" s="932"/>
      <c r="L1151" s="932"/>
      <c r="M1151" s="932"/>
      <c r="N1151" s="932"/>
      <c r="O1151" s="932"/>
      <c r="P1151" s="932"/>
      <c r="Q1151" s="932"/>
      <c r="R1151" s="932"/>
      <c r="S1151" s="932"/>
      <c r="T1151" s="932"/>
      <c r="U1151" s="932"/>
      <c r="V1151" s="932"/>
      <c r="W1151" s="932"/>
      <c r="X1151" s="932"/>
      <c r="Y1151" s="932"/>
      <c r="Z1151" s="932"/>
      <c r="AA1151" s="932"/>
      <c r="AB1151" s="932"/>
      <c r="AC1151" s="932"/>
      <c r="AD1151" s="932"/>
      <c r="AE1151" s="932"/>
      <c r="AF1151" s="932"/>
      <c r="AG1151" s="932"/>
      <c r="AH1151" s="932"/>
      <c r="AI1151" s="932"/>
      <c r="AJ1151" s="932"/>
      <c r="AK1151" s="932"/>
      <c r="AL1151" s="932"/>
      <c r="AM1151" s="932"/>
      <c r="AN1151" s="932"/>
      <c r="AO1151" s="932"/>
      <c r="AP1151" s="932"/>
      <c r="AQ1151" s="932"/>
      <c r="AR1151" s="932"/>
      <c r="AS1151" s="932"/>
      <c r="AT1151" s="932"/>
      <c r="AU1151" s="932"/>
      <c r="AV1151" s="932"/>
      <c r="AW1151" s="932"/>
      <c r="AX1151" s="932"/>
      <c r="AY1151" s="932"/>
      <c r="AZ1151" s="932"/>
      <c r="BA1151" s="932"/>
      <c r="BB1151" s="932"/>
      <c r="BC1151" s="932"/>
      <c r="BD1151" s="932"/>
      <c r="BE1151" s="932"/>
      <c r="BF1151" s="932"/>
    </row>
    <row r="1152" spans="2:58" ht="15" x14ac:dyDescent="0.25">
      <c r="B1152" s="932"/>
      <c r="C1152" s="932"/>
      <c r="D1152" s="932"/>
      <c r="E1152" s="932"/>
      <c r="F1152" s="932"/>
      <c r="G1152" s="932"/>
      <c r="H1152" s="932"/>
      <c r="I1152" s="932"/>
      <c r="J1152" s="932"/>
      <c r="K1152" s="932"/>
      <c r="L1152" s="932"/>
      <c r="M1152" s="932"/>
      <c r="N1152" s="932"/>
      <c r="O1152" s="932"/>
      <c r="P1152" s="932"/>
      <c r="Q1152" s="932"/>
      <c r="R1152" s="932"/>
      <c r="S1152" s="932"/>
      <c r="T1152" s="932"/>
      <c r="U1152" s="932"/>
      <c r="V1152" s="932"/>
      <c r="W1152" s="932"/>
      <c r="X1152" s="932"/>
      <c r="Y1152" s="932"/>
      <c r="Z1152" s="932"/>
      <c r="AA1152" s="932"/>
      <c r="AB1152" s="932"/>
      <c r="AC1152" s="932"/>
      <c r="AD1152" s="932"/>
      <c r="AE1152" s="932"/>
      <c r="AF1152" s="932"/>
      <c r="AG1152" s="932"/>
      <c r="AH1152" s="932"/>
      <c r="AI1152" s="932"/>
      <c r="AJ1152" s="932"/>
      <c r="AK1152" s="932"/>
      <c r="AL1152" s="932"/>
      <c r="AM1152" s="932"/>
      <c r="AN1152" s="932"/>
      <c r="AO1152" s="932"/>
      <c r="AP1152" s="932"/>
      <c r="AQ1152" s="932"/>
      <c r="AR1152" s="932"/>
      <c r="AS1152" s="932"/>
      <c r="AT1152" s="932"/>
      <c r="AU1152" s="932"/>
      <c r="AV1152" s="932"/>
      <c r="AW1152" s="932"/>
      <c r="AX1152" s="932"/>
      <c r="AY1152" s="932"/>
      <c r="AZ1152" s="932"/>
      <c r="BA1152" s="932"/>
      <c r="BB1152" s="932"/>
      <c r="BC1152" s="932"/>
      <c r="BD1152" s="932"/>
      <c r="BE1152" s="932"/>
      <c r="BF1152" s="932"/>
    </row>
    <row r="1153" spans="2:58" ht="15" x14ac:dyDescent="0.25">
      <c r="B1153" s="932"/>
      <c r="C1153" s="932"/>
      <c r="D1153" s="932"/>
      <c r="E1153" s="932"/>
      <c r="F1153" s="932"/>
      <c r="G1153" s="932"/>
      <c r="H1153" s="932"/>
      <c r="I1153" s="932"/>
      <c r="J1153" s="932"/>
      <c r="K1153" s="932"/>
      <c r="L1153" s="932"/>
      <c r="M1153" s="932"/>
      <c r="N1153" s="932"/>
      <c r="O1153" s="932"/>
      <c r="P1153" s="932"/>
      <c r="Q1153" s="932"/>
      <c r="R1153" s="932"/>
      <c r="S1153" s="932"/>
      <c r="T1153" s="932"/>
      <c r="U1153" s="932"/>
      <c r="V1153" s="932"/>
      <c r="W1153" s="932"/>
      <c r="X1153" s="932"/>
      <c r="Y1153" s="932"/>
      <c r="Z1153" s="932"/>
      <c r="AA1153" s="932"/>
      <c r="AB1153" s="932"/>
      <c r="AC1153" s="932"/>
      <c r="AD1153" s="932"/>
      <c r="AE1153" s="932"/>
      <c r="AF1153" s="932"/>
      <c r="AG1153" s="932"/>
      <c r="AH1153" s="932"/>
      <c r="AI1153" s="932"/>
      <c r="AJ1153" s="932"/>
      <c r="AK1153" s="932"/>
      <c r="AL1153" s="932"/>
      <c r="AM1153" s="932"/>
      <c r="AN1153" s="932"/>
      <c r="AO1153" s="932"/>
      <c r="AP1153" s="932"/>
      <c r="AQ1153" s="932"/>
      <c r="AR1153" s="932"/>
      <c r="AS1153" s="932"/>
      <c r="AT1153" s="932"/>
      <c r="AU1153" s="932"/>
      <c r="AV1153" s="932"/>
      <c r="AW1153" s="932"/>
      <c r="AX1153" s="932"/>
      <c r="AY1153" s="932"/>
      <c r="AZ1153" s="932"/>
      <c r="BA1153" s="932"/>
      <c r="BB1153" s="932"/>
      <c r="BC1153" s="932"/>
      <c r="BD1153" s="932"/>
      <c r="BE1153" s="932"/>
      <c r="BF1153" s="932"/>
    </row>
    <row r="1154" spans="2:58" ht="15" x14ac:dyDescent="0.25">
      <c r="B1154" s="932"/>
      <c r="C1154" s="932"/>
      <c r="D1154" s="932"/>
      <c r="E1154" s="932"/>
      <c r="F1154" s="932"/>
      <c r="G1154" s="932"/>
      <c r="H1154" s="932"/>
      <c r="I1154" s="932"/>
      <c r="J1154" s="932"/>
      <c r="K1154" s="932"/>
      <c r="L1154" s="932"/>
      <c r="M1154" s="932"/>
      <c r="N1154" s="932"/>
      <c r="O1154" s="932"/>
      <c r="P1154" s="932"/>
      <c r="Q1154" s="932"/>
      <c r="R1154" s="932"/>
      <c r="S1154" s="932"/>
      <c r="T1154" s="932"/>
      <c r="U1154" s="932"/>
      <c r="V1154" s="932"/>
      <c r="W1154" s="932"/>
      <c r="X1154" s="932"/>
      <c r="Y1154" s="932"/>
      <c r="Z1154" s="932"/>
      <c r="AA1154" s="932"/>
      <c r="AB1154" s="932"/>
      <c r="AC1154" s="932"/>
      <c r="AD1154" s="932"/>
      <c r="AE1154" s="932"/>
      <c r="AF1154" s="932"/>
      <c r="AG1154" s="932"/>
      <c r="AH1154" s="932"/>
      <c r="AI1154" s="932"/>
      <c r="AJ1154" s="932"/>
      <c r="AK1154" s="932"/>
      <c r="AL1154" s="932"/>
      <c r="AM1154" s="932"/>
      <c r="AN1154" s="932"/>
      <c r="AO1154" s="932"/>
      <c r="AP1154" s="932"/>
      <c r="AQ1154" s="932"/>
      <c r="AR1154" s="932"/>
      <c r="AS1154" s="932"/>
      <c r="AT1154" s="932"/>
      <c r="AU1154" s="932"/>
      <c r="AV1154" s="932"/>
      <c r="AW1154" s="932"/>
      <c r="AX1154" s="932"/>
      <c r="AY1154" s="932"/>
      <c r="AZ1154" s="932"/>
      <c r="BA1154" s="932"/>
      <c r="BB1154" s="932"/>
      <c r="BC1154" s="932"/>
      <c r="BD1154" s="932"/>
      <c r="BE1154" s="932"/>
      <c r="BF1154" s="932"/>
    </row>
    <row r="1155" spans="2:58" ht="15" x14ac:dyDescent="0.25">
      <c r="B1155" s="932"/>
      <c r="C1155" s="932"/>
      <c r="D1155" s="932"/>
      <c r="E1155" s="932"/>
      <c r="F1155" s="932"/>
      <c r="G1155" s="932"/>
      <c r="H1155" s="932"/>
      <c r="I1155" s="932"/>
      <c r="J1155" s="932"/>
      <c r="K1155" s="932"/>
      <c r="L1155" s="932"/>
      <c r="M1155" s="932"/>
      <c r="N1155" s="932"/>
      <c r="O1155" s="932"/>
      <c r="P1155" s="932"/>
      <c r="Q1155" s="932"/>
      <c r="R1155" s="932"/>
      <c r="S1155" s="932"/>
      <c r="T1155" s="932"/>
      <c r="U1155" s="932"/>
      <c r="V1155" s="932"/>
      <c r="W1155" s="932"/>
      <c r="X1155" s="932"/>
      <c r="Y1155" s="932"/>
      <c r="Z1155" s="932"/>
      <c r="AA1155" s="932"/>
      <c r="AB1155" s="932"/>
      <c r="AC1155" s="932"/>
      <c r="AD1155" s="932"/>
      <c r="AE1155" s="932"/>
      <c r="AF1155" s="932"/>
      <c r="AG1155" s="932"/>
      <c r="AH1155" s="932"/>
      <c r="AI1155" s="932"/>
      <c r="AJ1155" s="932"/>
      <c r="AK1155" s="932"/>
      <c r="AL1155" s="932"/>
      <c r="AM1155" s="932"/>
      <c r="AN1155" s="932"/>
      <c r="AO1155" s="932"/>
      <c r="AP1155" s="932"/>
      <c r="AQ1155" s="932"/>
      <c r="AR1155" s="932"/>
      <c r="AS1155" s="932"/>
      <c r="AT1155" s="932"/>
      <c r="AU1155" s="932"/>
      <c r="AV1155" s="932"/>
      <c r="AW1155" s="932"/>
      <c r="AX1155" s="932"/>
      <c r="AY1155" s="932"/>
      <c r="AZ1155" s="932"/>
      <c r="BA1155" s="932"/>
      <c r="BB1155" s="932"/>
      <c r="BC1155" s="932"/>
      <c r="BD1155" s="932"/>
      <c r="BE1155" s="932"/>
      <c r="BF1155" s="932"/>
    </row>
    <row r="1156" spans="2:58" ht="15" x14ac:dyDescent="0.25">
      <c r="B1156" s="932"/>
      <c r="C1156" s="932"/>
      <c r="D1156" s="932"/>
      <c r="E1156" s="932"/>
      <c r="F1156" s="932"/>
      <c r="G1156" s="932"/>
      <c r="H1156" s="932"/>
      <c r="I1156" s="932"/>
      <c r="J1156" s="932"/>
      <c r="K1156" s="932"/>
      <c r="L1156" s="932"/>
      <c r="M1156" s="932"/>
      <c r="N1156" s="932"/>
      <c r="O1156" s="932"/>
      <c r="P1156" s="932"/>
      <c r="Q1156" s="932"/>
      <c r="R1156" s="932"/>
      <c r="S1156" s="932"/>
      <c r="T1156" s="932"/>
      <c r="U1156" s="932"/>
      <c r="V1156" s="932"/>
      <c r="W1156" s="932"/>
      <c r="X1156" s="932"/>
      <c r="Y1156" s="932"/>
      <c r="Z1156" s="932"/>
      <c r="AA1156" s="932"/>
      <c r="AB1156" s="932"/>
      <c r="AC1156" s="932"/>
      <c r="AD1156" s="932"/>
      <c r="AE1156" s="932"/>
      <c r="AF1156" s="932"/>
      <c r="AG1156" s="932"/>
      <c r="AH1156" s="932"/>
      <c r="AI1156" s="932"/>
      <c r="AJ1156" s="932"/>
      <c r="AK1156" s="932"/>
      <c r="AL1156" s="932"/>
      <c r="AM1156" s="932"/>
      <c r="AN1156" s="932"/>
      <c r="AO1156" s="932"/>
      <c r="AP1156" s="932"/>
      <c r="AQ1156" s="932"/>
      <c r="AR1156" s="932"/>
      <c r="AS1156" s="932"/>
      <c r="AT1156" s="932"/>
      <c r="AU1156" s="932"/>
      <c r="AV1156" s="932"/>
      <c r="AW1156" s="932"/>
      <c r="AX1156" s="932"/>
      <c r="AY1156" s="932"/>
      <c r="AZ1156" s="932"/>
      <c r="BA1156" s="932"/>
      <c r="BB1156" s="932"/>
      <c r="BC1156" s="932"/>
      <c r="BD1156" s="932"/>
      <c r="BE1156" s="932"/>
      <c r="BF1156" s="932"/>
    </row>
    <row r="1157" spans="2:58" ht="15" x14ac:dyDescent="0.25">
      <c r="B1157" s="932"/>
      <c r="C1157" s="932"/>
      <c r="D1157" s="932"/>
      <c r="E1157" s="932"/>
      <c r="F1157" s="932"/>
      <c r="G1157" s="932"/>
      <c r="H1157" s="932"/>
      <c r="I1157" s="932"/>
      <c r="J1157" s="932"/>
      <c r="K1157" s="932"/>
      <c r="L1157" s="932"/>
      <c r="M1157" s="932"/>
      <c r="N1157" s="932"/>
      <c r="O1157" s="932"/>
      <c r="P1157" s="932"/>
      <c r="Q1157" s="932"/>
      <c r="R1157" s="932"/>
      <c r="S1157" s="932"/>
      <c r="T1157" s="932"/>
      <c r="U1157" s="932"/>
      <c r="V1157" s="932"/>
      <c r="W1157" s="932"/>
      <c r="X1157" s="932"/>
      <c r="Y1157" s="932"/>
      <c r="Z1157" s="932"/>
      <c r="AA1157" s="932"/>
      <c r="AB1157" s="932"/>
      <c r="AC1157" s="932"/>
      <c r="AD1157" s="932"/>
      <c r="AE1157" s="932"/>
      <c r="AF1157" s="932"/>
      <c r="AG1157" s="932"/>
      <c r="AH1157" s="932"/>
      <c r="AI1157" s="932"/>
      <c r="AJ1157" s="932"/>
      <c r="AK1157" s="932"/>
      <c r="AL1157" s="932"/>
      <c r="AM1157" s="932"/>
      <c r="AN1157" s="932"/>
      <c r="AO1157" s="932"/>
      <c r="AP1157" s="932"/>
      <c r="AQ1157" s="932"/>
      <c r="AR1157" s="932"/>
      <c r="AS1157" s="932"/>
      <c r="AT1157" s="932"/>
      <c r="AU1157" s="932"/>
      <c r="AV1157" s="932"/>
      <c r="AW1157" s="932"/>
      <c r="AX1157" s="932"/>
      <c r="AY1157" s="932"/>
      <c r="AZ1157" s="932"/>
      <c r="BA1157" s="932"/>
      <c r="BB1157" s="932"/>
      <c r="BC1157" s="932"/>
      <c r="BD1157" s="932"/>
      <c r="BE1157" s="932"/>
      <c r="BF1157" s="932"/>
    </row>
    <row r="1158" spans="2:58" ht="15" x14ac:dyDescent="0.25">
      <c r="B1158" s="932"/>
      <c r="C1158" s="932"/>
      <c r="D1158" s="932"/>
      <c r="E1158" s="932"/>
      <c r="F1158" s="932"/>
      <c r="G1158" s="932"/>
      <c r="H1158" s="932"/>
      <c r="I1158" s="932"/>
      <c r="J1158" s="932"/>
      <c r="K1158" s="932"/>
      <c r="L1158" s="932"/>
      <c r="M1158" s="932"/>
      <c r="N1158" s="932"/>
      <c r="O1158" s="932"/>
      <c r="P1158" s="932"/>
      <c r="Q1158" s="932"/>
      <c r="R1158" s="932"/>
      <c r="S1158" s="932"/>
      <c r="T1158" s="932"/>
      <c r="U1158" s="932"/>
      <c r="V1158" s="932"/>
      <c r="W1158" s="932"/>
      <c r="X1158" s="932"/>
      <c r="Y1158" s="932"/>
      <c r="Z1158" s="932"/>
      <c r="AA1158" s="932"/>
      <c r="AB1158" s="932"/>
      <c r="AC1158" s="932"/>
      <c r="AD1158" s="932"/>
      <c r="AE1158" s="932"/>
      <c r="AF1158" s="932"/>
      <c r="AG1158" s="932"/>
      <c r="AH1158" s="932"/>
      <c r="AI1158" s="932"/>
      <c r="AJ1158" s="932"/>
      <c r="AK1158" s="932"/>
      <c r="AL1158" s="932"/>
      <c r="AM1158" s="932"/>
      <c r="AN1158" s="932"/>
      <c r="AO1158" s="932"/>
      <c r="AP1158" s="932"/>
      <c r="AQ1158" s="932"/>
      <c r="AR1158" s="932"/>
      <c r="AS1158" s="932"/>
      <c r="AT1158" s="932"/>
      <c r="AU1158" s="932"/>
      <c r="AV1158" s="932"/>
      <c r="AW1158" s="932"/>
      <c r="AX1158" s="932"/>
      <c r="AY1158" s="932"/>
      <c r="AZ1158" s="932"/>
      <c r="BA1158" s="932"/>
      <c r="BB1158" s="932"/>
      <c r="BC1158" s="932"/>
      <c r="BD1158" s="932"/>
      <c r="BE1158" s="932"/>
      <c r="BF1158" s="932"/>
    </row>
    <row r="1159" spans="2:58" ht="15" x14ac:dyDescent="0.25">
      <c r="B1159" s="932"/>
      <c r="C1159" s="932"/>
      <c r="D1159" s="932"/>
      <c r="E1159" s="932"/>
      <c r="F1159" s="932"/>
      <c r="G1159" s="932"/>
      <c r="H1159" s="932"/>
      <c r="I1159" s="932"/>
      <c r="J1159" s="932"/>
      <c r="K1159" s="932"/>
      <c r="L1159" s="932"/>
      <c r="M1159" s="932"/>
      <c r="N1159" s="932"/>
      <c r="O1159" s="932"/>
      <c r="P1159" s="932"/>
      <c r="Q1159" s="932"/>
      <c r="R1159" s="932"/>
      <c r="S1159" s="932"/>
      <c r="T1159" s="932"/>
      <c r="U1159" s="932"/>
      <c r="V1159" s="932"/>
      <c r="W1159" s="932"/>
      <c r="X1159" s="932"/>
      <c r="Y1159" s="932"/>
      <c r="Z1159" s="932"/>
      <c r="AA1159" s="932"/>
      <c r="AB1159" s="932"/>
      <c r="AC1159" s="932"/>
      <c r="AD1159" s="932"/>
      <c r="AE1159" s="932"/>
      <c r="AF1159" s="932"/>
      <c r="AG1159" s="932"/>
      <c r="AH1159" s="932"/>
      <c r="AI1159" s="932"/>
      <c r="AJ1159" s="932"/>
      <c r="AK1159" s="932"/>
      <c r="AL1159" s="932"/>
      <c r="AM1159" s="932"/>
      <c r="AN1159" s="932"/>
      <c r="AO1159" s="932"/>
      <c r="AP1159" s="932"/>
      <c r="AQ1159" s="932"/>
      <c r="AR1159" s="932"/>
      <c r="AS1159" s="932"/>
      <c r="AT1159" s="932"/>
      <c r="AU1159" s="932"/>
      <c r="AV1159" s="932"/>
      <c r="AW1159" s="932"/>
      <c r="AX1159" s="932"/>
      <c r="AY1159" s="932"/>
      <c r="AZ1159" s="932"/>
      <c r="BA1159" s="932"/>
      <c r="BB1159" s="932"/>
      <c r="BC1159" s="932"/>
      <c r="BD1159" s="932"/>
      <c r="BE1159" s="932"/>
      <c r="BF1159" s="932"/>
    </row>
    <row r="1160" spans="2:58" ht="15" x14ac:dyDescent="0.25">
      <c r="B1160" s="932"/>
      <c r="C1160" s="932"/>
      <c r="D1160" s="932"/>
      <c r="E1160" s="932"/>
      <c r="F1160" s="932"/>
      <c r="G1160" s="932"/>
      <c r="H1160" s="932"/>
      <c r="I1160" s="932"/>
      <c r="J1160" s="932"/>
      <c r="K1160" s="932"/>
      <c r="L1160" s="932"/>
      <c r="M1160" s="932"/>
      <c r="N1160" s="932"/>
      <c r="O1160" s="932"/>
      <c r="P1160" s="932"/>
      <c r="Q1160" s="932"/>
      <c r="R1160" s="932"/>
      <c r="S1160" s="932"/>
      <c r="T1160" s="932"/>
      <c r="U1160" s="932"/>
      <c r="V1160" s="932"/>
      <c r="W1160" s="932"/>
      <c r="X1160" s="932"/>
      <c r="Y1160" s="932"/>
      <c r="Z1160" s="932"/>
      <c r="AA1160" s="932"/>
      <c r="AB1160" s="932"/>
      <c r="AC1160" s="932"/>
      <c r="AD1160" s="932"/>
      <c r="AE1160" s="932"/>
      <c r="AF1160" s="932"/>
      <c r="AG1160" s="932"/>
      <c r="AH1160" s="932"/>
      <c r="AI1160" s="932"/>
      <c r="AJ1160" s="932"/>
      <c r="AK1160" s="932"/>
      <c r="AL1160" s="932"/>
      <c r="AM1160" s="932"/>
      <c r="AN1160" s="932"/>
      <c r="AO1160" s="932"/>
      <c r="AP1160" s="932"/>
      <c r="AQ1160" s="932"/>
      <c r="AR1160" s="932"/>
      <c r="AS1160" s="932"/>
      <c r="AT1160" s="932"/>
      <c r="AU1160" s="932"/>
      <c r="AV1160" s="932"/>
      <c r="AW1160" s="932"/>
      <c r="AX1160" s="932"/>
      <c r="AY1160" s="932"/>
      <c r="AZ1160" s="932"/>
      <c r="BA1160" s="932"/>
      <c r="BB1160" s="932"/>
      <c r="BC1160" s="932"/>
      <c r="BD1160" s="932"/>
      <c r="BE1160" s="932"/>
      <c r="BF1160" s="932"/>
    </row>
    <row r="1161" spans="2:58" ht="15" x14ac:dyDescent="0.25">
      <c r="B1161" s="932"/>
      <c r="C1161" s="932"/>
      <c r="D1161" s="932"/>
      <c r="E1161" s="932"/>
      <c r="F1161" s="932"/>
      <c r="G1161" s="932"/>
      <c r="H1161" s="932"/>
      <c r="I1161" s="932"/>
      <c r="J1161" s="932"/>
      <c r="K1161" s="932"/>
      <c r="L1161" s="932"/>
      <c r="M1161" s="932"/>
      <c r="N1161" s="932"/>
      <c r="O1161" s="932"/>
      <c r="P1161" s="932"/>
      <c r="Q1161" s="932"/>
      <c r="R1161" s="932"/>
      <c r="S1161" s="932"/>
      <c r="T1161" s="932"/>
      <c r="U1161" s="932"/>
      <c r="V1161" s="932"/>
      <c r="W1161" s="932"/>
      <c r="X1161" s="932"/>
      <c r="Y1161" s="932"/>
      <c r="Z1161" s="932"/>
      <c r="AA1161" s="932"/>
      <c r="AB1161" s="932"/>
      <c r="AC1161" s="932"/>
      <c r="AD1161" s="932"/>
      <c r="AE1161" s="932"/>
      <c r="AF1161" s="932"/>
      <c r="AG1161" s="932"/>
      <c r="AH1161" s="932"/>
      <c r="AI1161" s="932"/>
      <c r="AJ1161" s="932"/>
      <c r="AK1161" s="932"/>
      <c r="AL1161" s="932"/>
      <c r="AM1161" s="932"/>
      <c r="AN1161" s="932"/>
      <c r="AO1161" s="932"/>
      <c r="AP1161" s="932"/>
      <c r="AQ1161" s="932"/>
      <c r="AR1161" s="932"/>
      <c r="AS1161" s="932"/>
      <c r="AT1161" s="932"/>
      <c r="AU1161" s="932"/>
      <c r="AV1161" s="932"/>
      <c r="AW1161" s="932"/>
      <c r="AX1161" s="932"/>
      <c r="AY1161" s="932"/>
      <c r="AZ1161" s="932"/>
      <c r="BA1161" s="932"/>
      <c r="BB1161" s="932"/>
      <c r="BC1161" s="932"/>
      <c r="BD1161" s="932"/>
      <c r="BE1161" s="932"/>
      <c r="BF1161" s="932"/>
    </row>
    <row r="1162" spans="2:58" ht="15" x14ac:dyDescent="0.25">
      <c r="B1162" s="932"/>
      <c r="C1162" s="932"/>
      <c r="D1162" s="932"/>
      <c r="E1162" s="932"/>
      <c r="F1162" s="932"/>
      <c r="G1162" s="932"/>
      <c r="H1162" s="932"/>
      <c r="I1162" s="932"/>
      <c r="J1162" s="932"/>
      <c r="K1162" s="932"/>
      <c r="L1162" s="932"/>
      <c r="M1162" s="932"/>
      <c r="N1162" s="932"/>
      <c r="O1162" s="932"/>
      <c r="P1162" s="932"/>
      <c r="Q1162" s="932"/>
      <c r="R1162" s="932"/>
      <c r="S1162" s="932"/>
      <c r="T1162" s="932"/>
      <c r="U1162" s="932"/>
      <c r="V1162" s="932"/>
      <c r="W1162" s="932"/>
      <c r="X1162" s="932"/>
      <c r="Y1162" s="932"/>
      <c r="Z1162" s="932"/>
      <c r="AA1162" s="932"/>
      <c r="AB1162" s="932"/>
      <c r="AC1162" s="932"/>
      <c r="AD1162" s="932"/>
      <c r="AE1162" s="932"/>
      <c r="AF1162" s="932"/>
      <c r="AG1162" s="932"/>
      <c r="AH1162" s="932"/>
      <c r="AI1162" s="932"/>
      <c r="AJ1162" s="932"/>
      <c r="AK1162" s="932"/>
      <c r="AL1162" s="932"/>
      <c r="AM1162" s="932"/>
      <c r="AN1162" s="932"/>
      <c r="AO1162" s="932"/>
      <c r="AP1162" s="932"/>
      <c r="AQ1162" s="932"/>
      <c r="AR1162" s="932"/>
      <c r="AS1162" s="932"/>
      <c r="AT1162" s="932"/>
      <c r="AU1162" s="932"/>
      <c r="AV1162" s="932"/>
      <c r="AW1162" s="932"/>
      <c r="AX1162" s="932"/>
      <c r="AY1162" s="932"/>
      <c r="AZ1162" s="932"/>
      <c r="BA1162" s="932"/>
      <c r="BB1162" s="932"/>
      <c r="BC1162" s="932"/>
      <c r="BD1162" s="932"/>
      <c r="BE1162" s="932"/>
      <c r="BF1162" s="932"/>
    </row>
    <row r="1163" spans="2:58" ht="15" x14ac:dyDescent="0.25">
      <c r="B1163" s="932"/>
      <c r="C1163" s="932"/>
      <c r="D1163" s="932"/>
      <c r="E1163" s="932"/>
      <c r="F1163" s="932"/>
      <c r="G1163" s="932"/>
      <c r="H1163" s="932"/>
      <c r="I1163" s="932"/>
      <c r="J1163" s="932"/>
      <c r="K1163" s="932"/>
      <c r="L1163" s="932"/>
      <c r="M1163" s="932"/>
      <c r="N1163" s="932"/>
      <c r="O1163" s="932"/>
      <c r="P1163" s="932"/>
      <c r="Q1163" s="932"/>
      <c r="R1163" s="932"/>
      <c r="S1163" s="932"/>
      <c r="T1163" s="932"/>
      <c r="U1163" s="932"/>
      <c r="V1163" s="932"/>
      <c r="W1163" s="932"/>
      <c r="X1163" s="932"/>
      <c r="Y1163" s="932"/>
      <c r="Z1163" s="932"/>
      <c r="AA1163" s="932"/>
      <c r="AB1163" s="932"/>
      <c r="AC1163" s="932"/>
      <c r="AD1163" s="932"/>
      <c r="AE1163" s="932"/>
      <c r="AF1163" s="932"/>
      <c r="AG1163" s="932"/>
      <c r="AH1163" s="932"/>
      <c r="AI1163" s="932"/>
      <c r="AJ1163" s="932"/>
      <c r="AK1163" s="932"/>
      <c r="AL1163" s="932"/>
      <c r="AM1163" s="932"/>
      <c r="AN1163" s="932"/>
      <c r="AO1163" s="932"/>
      <c r="AP1163" s="932"/>
      <c r="AQ1163" s="932"/>
      <c r="AR1163" s="932"/>
      <c r="AS1163" s="932"/>
      <c r="AT1163" s="932"/>
      <c r="AU1163" s="932"/>
      <c r="AV1163" s="932"/>
      <c r="AW1163" s="932"/>
      <c r="AX1163" s="932"/>
      <c r="AY1163" s="932"/>
      <c r="AZ1163" s="932"/>
      <c r="BA1163" s="932"/>
      <c r="BB1163" s="932"/>
      <c r="BC1163" s="932"/>
      <c r="BD1163" s="932"/>
      <c r="BE1163" s="932"/>
      <c r="BF1163" s="932"/>
    </row>
    <row r="1164" spans="2:58" ht="15" x14ac:dyDescent="0.25">
      <c r="B1164" s="932"/>
      <c r="C1164" s="932"/>
      <c r="D1164" s="932"/>
      <c r="E1164" s="932"/>
      <c r="F1164" s="932"/>
      <c r="G1164" s="932"/>
      <c r="H1164" s="932"/>
      <c r="I1164" s="932"/>
      <c r="J1164" s="932"/>
      <c r="K1164" s="932"/>
      <c r="L1164" s="932"/>
      <c r="M1164" s="932"/>
      <c r="N1164" s="932"/>
      <c r="O1164" s="932"/>
      <c r="P1164" s="932"/>
      <c r="Q1164" s="932"/>
      <c r="R1164" s="932"/>
      <c r="S1164" s="932"/>
      <c r="T1164" s="932"/>
      <c r="U1164" s="932"/>
      <c r="V1164" s="932"/>
      <c r="W1164" s="932"/>
      <c r="X1164" s="932"/>
      <c r="Y1164" s="932"/>
      <c r="Z1164" s="932"/>
      <c r="AA1164" s="932"/>
      <c r="AB1164" s="932"/>
      <c r="AC1164" s="932"/>
      <c r="AD1164" s="932"/>
      <c r="AE1164" s="932"/>
      <c r="AF1164" s="932"/>
      <c r="AG1164" s="932"/>
      <c r="AH1164" s="932"/>
      <c r="AI1164" s="932"/>
      <c r="AJ1164" s="932"/>
      <c r="AK1164" s="932"/>
      <c r="AL1164" s="932"/>
      <c r="AM1164" s="932"/>
      <c r="AN1164" s="932"/>
      <c r="AO1164" s="932"/>
      <c r="AP1164" s="932"/>
      <c r="AQ1164" s="932"/>
      <c r="AR1164" s="932"/>
      <c r="AS1164" s="932"/>
      <c r="AT1164" s="932"/>
      <c r="AU1164" s="932"/>
      <c r="AV1164" s="932"/>
      <c r="AW1164" s="932"/>
      <c r="AX1164" s="932"/>
      <c r="AY1164" s="932"/>
      <c r="AZ1164" s="932"/>
      <c r="BA1164" s="932"/>
      <c r="BB1164" s="932"/>
      <c r="BC1164" s="932"/>
      <c r="BD1164" s="932"/>
      <c r="BE1164" s="932"/>
      <c r="BF1164" s="932"/>
    </row>
    <row r="1165" spans="2:58" ht="15" x14ac:dyDescent="0.25">
      <c r="B1165" s="932"/>
      <c r="C1165" s="932"/>
      <c r="D1165" s="932"/>
      <c r="E1165" s="932"/>
      <c r="F1165" s="932"/>
      <c r="G1165" s="932"/>
      <c r="H1165" s="932"/>
      <c r="I1165" s="932"/>
      <c r="J1165" s="932"/>
      <c r="K1165" s="932"/>
      <c r="L1165" s="932"/>
      <c r="M1165" s="932"/>
      <c r="N1165" s="932"/>
      <c r="O1165" s="932"/>
      <c r="P1165" s="932"/>
      <c r="Q1165" s="932"/>
      <c r="R1165" s="932"/>
      <c r="S1165" s="932"/>
      <c r="T1165" s="932"/>
      <c r="U1165" s="932"/>
      <c r="V1165" s="932"/>
      <c r="W1165" s="932"/>
      <c r="X1165" s="932"/>
      <c r="Y1165" s="932"/>
      <c r="Z1165" s="932"/>
      <c r="AA1165" s="932"/>
      <c r="AB1165" s="932"/>
      <c r="AC1165" s="932"/>
      <c r="AD1165" s="932"/>
      <c r="AE1165" s="932"/>
      <c r="AF1165" s="932"/>
      <c r="AG1165" s="932"/>
      <c r="AH1165" s="932"/>
      <c r="AI1165" s="932"/>
      <c r="AJ1165" s="932"/>
      <c r="AK1165" s="932"/>
      <c r="AL1165" s="932"/>
      <c r="AM1165" s="932"/>
      <c r="AN1165" s="932"/>
      <c r="AO1165" s="932"/>
      <c r="AP1165" s="932"/>
      <c r="AQ1165" s="932"/>
      <c r="AR1165" s="932"/>
      <c r="AS1165" s="932"/>
      <c r="AT1165" s="932"/>
      <c r="AU1165" s="932"/>
      <c r="AV1165" s="932"/>
      <c r="AW1165" s="932"/>
      <c r="AX1165" s="932"/>
      <c r="AY1165" s="932"/>
      <c r="AZ1165" s="932"/>
      <c r="BA1165" s="932"/>
      <c r="BB1165" s="932"/>
      <c r="BC1165" s="932"/>
      <c r="BD1165" s="932"/>
      <c r="BE1165" s="932"/>
      <c r="BF1165" s="932"/>
    </row>
    <row r="1166" spans="2:58" ht="15" x14ac:dyDescent="0.25">
      <c r="B1166" s="932"/>
      <c r="C1166" s="932"/>
      <c r="D1166" s="932"/>
      <c r="E1166" s="932"/>
      <c r="F1166" s="932"/>
      <c r="G1166" s="932"/>
      <c r="H1166" s="932"/>
      <c r="I1166" s="932"/>
      <c r="J1166" s="932"/>
      <c r="K1166" s="932"/>
      <c r="L1166" s="932"/>
      <c r="M1166" s="932"/>
      <c r="N1166" s="932"/>
      <c r="O1166" s="932"/>
      <c r="P1166" s="932"/>
      <c r="Q1166" s="932"/>
      <c r="R1166" s="932"/>
      <c r="S1166" s="932"/>
      <c r="T1166" s="932"/>
      <c r="U1166" s="932"/>
      <c r="V1166" s="932"/>
      <c r="W1166" s="932"/>
      <c r="X1166" s="932"/>
      <c r="Y1166" s="932"/>
      <c r="Z1166" s="932"/>
      <c r="AA1166" s="932"/>
      <c r="AB1166" s="932"/>
      <c r="AC1166" s="932"/>
      <c r="AD1166" s="932"/>
      <c r="AE1166" s="932"/>
      <c r="AF1166" s="932"/>
      <c r="AG1166" s="932"/>
      <c r="AH1166" s="932"/>
      <c r="AI1166" s="932"/>
      <c r="AJ1166" s="932"/>
      <c r="AK1166" s="932"/>
      <c r="AL1166" s="932"/>
      <c r="AM1166" s="932"/>
      <c r="AN1166" s="932"/>
      <c r="AO1166" s="932"/>
      <c r="AP1166" s="932"/>
      <c r="AQ1166" s="932"/>
      <c r="AR1166" s="932"/>
      <c r="AS1166" s="932"/>
      <c r="AT1166" s="932"/>
      <c r="AU1166" s="932"/>
      <c r="AV1166" s="932"/>
      <c r="AW1166" s="932"/>
      <c r="AX1166" s="932"/>
      <c r="AY1166" s="932"/>
      <c r="AZ1166" s="932"/>
      <c r="BA1166" s="932"/>
      <c r="BB1166" s="932"/>
      <c r="BC1166" s="932"/>
      <c r="BD1166" s="932"/>
      <c r="BE1166" s="932"/>
      <c r="BF1166" s="932"/>
    </row>
    <row r="1167" spans="2:58" ht="15" x14ac:dyDescent="0.25">
      <c r="B1167" s="932"/>
      <c r="C1167" s="932"/>
      <c r="D1167" s="932"/>
      <c r="E1167" s="932"/>
      <c r="F1167" s="932"/>
      <c r="G1167" s="932"/>
      <c r="H1167" s="932"/>
      <c r="I1167" s="932"/>
      <c r="J1167" s="932"/>
      <c r="K1167" s="932"/>
      <c r="L1167" s="932"/>
      <c r="M1167" s="932"/>
      <c r="N1167" s="932"/>
      <c r="O1167" s="932"/>
      <c r="P1167" s="932"/>
      <c r="Q1167" s="932"/>
      <c r="R1167" s="932"/>
      <c r="S1167" s="932"/>
      <c r="T1167" s="932"/>
      <c r="U1167" s="932"/>
      <c r="V1167" s="932"/>
      <c r="W1167" s="932"/>
      <c r="X1167" s="932"/>
      <c r="Y1167" s="932"/>
      <c r="Z1167" s="932"/>
      <c r="AA1167" s="932"/>
      <c r="AB1167" s="932"/>
      <c r="AC1167" s="932"/>
      <c r="AD1167" s="932"/>
      <c r="AE1167" s="932"/>
      <c r="AF1167" s="932"/>
      <c r="AG1167" s="932"/>
      <c r="AH1167" s="932"/>
      <c r="AI1167" s="932"/>
      <c r="AJ1167" s="932"/>
      <c r="AK1167" s="932"/>
      <c r="AL1167" s="932"/>
      <c r="AM1167" s="932"/>
      <c r="AN1167" s="932"/>
      <c r="AO1167" s="932"/>
      <c r="AP1167" s="932"/>
      <c r="AQ1167" s="932"/>
      <c r="AR1167" s="932"/>
      <c r="AS1167" s="932"/>
      <c r="AT1167" s="932"/>
      <c r="AU1167" s="932"/>
      <c r="AV1167" s="932"/>
      <c r="AW1167" s="932"/>
      <c r="AX1167" s="932"/>
      <c r="AY1167" s="932"/>
      <c r="AZ1167" s="932"/>
      <c r="BA1167" s="932"/>
      <c r="BB1167" s="932"/>
      <c r="BC1167" s="932"/>
      <c r="BD1167" s="932"/>
      <c r="BE1167" s="932"/>
      <c r="BF1167" s="932"/>
    </row>
    <row r="1168" spans="2:58" ht="15" x14ac:dyDescent="0.25">
      <c r="B1168" s="932"/>
      <c r="C1168" s="932"/>
      <c r="D1168" s="932"/>
      <c r="E1168" s="932"/>
      <c r="F1168" s="932"/>
      <c r="G1168" s="932"/>
      <c r="H1168" s="932"/>
      <c r="I1168" s="932"/>
      <c r="J1168" s="932"/>
      <c r="K1168" s="932"/>
      <c r="L1168" s="932"/>
      <c r="M1168" s="932"/>
      <c r="N1168" s="932"/>
      <c r="O1168" s="932"/>
      <c r="P1168" s="932"/>
      <c r="Q1168" s="932"/>
      <c r="R1168" s="932"/>
      <c r="S1168" s="932"/>
      <c r="T1168" s="932"/>
      <c r="U1168" s="932"/>
      <c r="V1168" s="932"/>
      <c r="W1168" s="932"/>
      <c r="X1168" s="932"/>
      <c r="Y1168" s="932"/>
      <c r="Z1168" s="932"/>
      <c r="AA1168" s="932"/>
      <c r="AB1168" s="932"/>
      <c r="AC1168" s="932"/>
      <c r="AD1168" s="932"/>
      <c r="AE1168" s="932"/>
      <c r="AF1168" s="932"/>
      <c r="AG1168" s="932"/>
      <c r="AH1168" s="932"/>
      <c r="AI1168" s="932"/>
      <c r="AJ1168" s="932"/>
      <c r="AK1168" s="932"/>
      <c r="AL1168" s="932"/>
      <c r="AM1168" s="932"/>
      <c r="AN1168" s="932"/>
      <c r="AO1168" s="932"/>
      <c r="AP1168" s="932"/>
      <c r="AQ1168" s="932"/>
      <c r="AR1168" s="932"/>
      <c r="AS1168" s="932"/>
      <c r="AT1168" s="932"/>
      <c r="AU1168" s="932"/>
      <c r="AV1168" s="932"/>
      <c r="AW1168" s="932"/>
      <c r="AX1168" s="932"/>
      <c r="AY1168" s="932"/>
      <c r="AZ1168" s="932"/>
      <c r="BA1168" s="932"/>
      <c r="BB1168" s="932"/>
      <c r="BC1168" s="932"/>
      <c r="BD1168" s="932"/>
      <c r="BE1168" s="932"/>
      <c r="BF1168" s="932"/>
    </row>
    <row r="1169" spans="2:58" ht="15" x14ac:dyDescent="0.25">
      <c r="B1169" s="932"/>
      <c r="C1169" s="932"/>
      <c r="D1169" s="932"/>
      <c r="E1169" s="932"/>
      <c r="F1169" s="932"/>
      <c r="G1169" s="932"/>
      <c r="H1169" s="932"/>
      <c r="I1169" s="932"/>
      <c r="J1169" s="932"/>
      <c r="K1169" s="932"/>
      <c r="L1169" s="932"/>
      <c r="M1169" s="932"/>
      <c r="N1169" s="932"/>
      <c r="O1169" s="932"/>
      <c r="P1169" s="932"/>
      <c r="Q1169" s="932"/>
      <c r="R1169" s="932"/>
      <c r="S1169" s="932"/>
      <c r="T1169" s="932"/>
      <c r="U1169" s="932"/>
      <c r="V1169" s="932"/>
      <c r="W1169" s="932"/>
      <c r="X1169" s="932"/>
      <c r="Y1169" s="932"/>
      <c r="Z1169" s="932"/>
      <c r="AA1169" s="932"/>
      <c r="AB1169" s="932"/>
      <c r="AC1169" s="932"/>
      <c r="AD1169" s="932"/>
      <c r="AE1169" s="932"/>
      <c r="AF1169" s="932"/>
      <c r="AG1169" s="932"/>
      <c r="AH1169" s="932"/>
      <c r="AI1169" s="932"/>
      <c r="AJ1169" s="932"/>
      <c r="AK1169" s="932"/>
      <c r="AL1169" s="932"/>
      <c r="AM1169" s="932"/>
      <c r="AN1169" s="932"/>
      <c r="AO1169" s="932"/>
      <c r="AP1169" s="932"/>
      <c r="AQ1169" s="932"/>
      <c r="AR1169" s="932"/>
      <c r="AS1169" s="932"/>
      <c r="AT1169" s="932"/>
      <c r="AU1169" s="932"/>
      <c r="AV1169" s="932"/>
      <c r="AW1169" s="932"/>
      <c r="AX1169" s="932"/>
      <c r="AY1169" s="932"/>
      <c r="AZ1169" s="932"/>
      <c r="BA1169" s="932"/>
      <c r="BB1169" s="932"/>
      <c r="BC1169" s="932"/>
      <c r="BD1169" s="932"/>
      <c r="BE1169" s="932"/>
      <c r="BF1169" s="932"/>
    </row>
    <row r="1170" spans="2:58" ht="15" x14ac:dyDescent="0.25">
      <c r="B1170" s="932"/>
      <c r="C1170" s="932"/>
      <c r="D1170" s="932"/>
      <c r="E1170" s="932"/>
      <c r="F1170" s="932"/>
      <c r="G1170" s="932"/>
      <c r="H1170" s="932"/>
      <c r="I1170" s="932"/>
      <c r="J1170" s="932"/>
      <c r="K1170" s="932"/>
      <c r="L1170" s="932"/>
      <c r="M1170" s="932"/>
      <c r="N1170" s="932"/>
      <c r="O1170" s="932"/>
      <c r="P1170" s="932"/>
      <c r="Q1170" s="932"/>
      <c r="R1170" s="932"/>
      <c r="S1170" s="932"/>
      <c r="T1170" s="932"/>
      <c r="U1170" s="932"/>
      <c r="V1170" s="932"/>
      <c r="W1170" s="932"/>
      <c r="X1170" s="932"/>
      <c r="Y1170" s="932"/>
      <c r="Z1170" s="932"/>
      <c r="AA1170" s="932"/>
      <c r="AB1170" s="932"/>
      <c r="AC1170" s="932"/>
      <c r="AD1170" s="932"/>
      <c r="AE1170" s="932"/>
      <c r="AF1170" s="932"/>
      <c r="AG1170" s="932"/>
      <c r="AH1170" s="932"/>
      <c r="AI1170" s="932"/>
      <c r="AJ1170" s="932"/>
      <c r="AK1170" s="932"/>
      <c r="AL1170" s="932"/>
      <c r="AM1170" s="932"/>
      <c r="AN1170" s="932"/>
      <c r="AO1170" s="932"/>
      <c r="AP1170" s="932"/>
      <c r="AQ1170" s="932"/>
      <c r="AR1170" s="932"/>
      <c r="AS1170" s="932"/>
      <c r="AT1170" s="932"/>
      <c r="AU1170" s="932"/>
      <c r="AV1170" s="932"/>
      <c r="AW1170" s="932"/>
      <c r="AX1170" s="932"/>
      <c r="AY1170" s="932"/>
      <c r="AZ1170" s="932"/>
      <c r="BA1170" s="932"/>
      <c r="BB1170" s="932"/>
      <c r="BC1170" s="932"/>
      <c r="BD1170" s="932"/>
      <c r="BE1170" s="932"/>
      <c r="BF1170" s="932"/>
    </row>
    <row r="1171" spans="2:58" ht="15" x14ac:dyDescent="0.25">
      <c r="B1171" s="932"/>
      <c r="C1171" s="932"/>
      <c r="D1171" s="932"/>
      <c r="E1171" s="932"/>
      <c r="F1171" s="932"/>
      <c r="G1171" s="932"/>
      <c r="H1171" s="932"/>
      <c r="I1171" s="932"/>
      <c r="J1171" s="932"/>
      <c r="K1171" s="932"/>
      <c r="L1171" s="932"/>
      <c r="M1171" s="932"/>
      <c r="N1171" s="932"/>
      <c r="O1171" s="932"/>
      <c r="P1171" s="932"/>
      <c r="Q1171" s="932"/>
      <c r="R1171" s="932"/>
      <c r="S1171" s="932"/>
      <c r="T1171" s="932"/>
      <c r="U1171" s="932"/>
      <c r="V1171" s="932"/>
      <c r="W1171" s="932"/>
      <c r="X1171" s="932"/>
      <c r="Y1171" s="932"/>
      <c r="Z1171" s="932"/>
      <c r="AA1171" s="932"/>
      <c r="AB1171" s="932"/>
      <c r="AC1171" s="932"/>
      <c r="AD1171" s="932"/>
      <c r="AE1171" s="932"/>
      <c r="AF1171" s="932"/>
      <c r="AG1171" s="932"/>
      <c r="AH1171" s="932"/>
      <c r="AI1171" s="932"/>
      <c r="AJ1171" s="932"/>
      <c r="AK1171" s="932"/>
      <c r="AL1171" s="932"/>
      <c r="AM1171" s="932"/>
      <c r="AN1171" s="932"/>
      <c r="AO1171" s="932"/>
      <c r="AP1171" s="932"/>
      <c r="AQ1171" s="932"/>
      <c r="AR1171" s="932"/>
      <c r="AS1171" s="932"/>
      <c r="AT1171" s="932"/>
      <c r="AU1171" s="932"/>
      <c r="AV1171" s="932"/>
      <c r="AW1171" s="932"/>
      <c r="AX1171" s="932"/>
      <c r="AY1171" s="932"/>
      <c r="AZ1171" s="932"/>
      <c r="BA1171" s="932"/>
      <c r="BB1171" s="932"/>
      <c r="BC1171" s="932"/>
      <c r="BD1171" s="932"/>
      <c r="BE1171" s="932"/>
      <c r="BF1171" s="932"/>
    </row>
    <row r="1172" spans="2:58" ht="15" x14ac:dyDescent="0.25">
      <c r="B1172" s="932"/>
      <c r="C1172" s="932"/>
      <c r="D1172" s="932"/>
      <c r="E1172" s="932"/>
      <c r="F1172" s="932"/>
      <c r="G1172" s="932"/>
      <c r="H1172" s="932"/>
      <c r="I1172" s="932"/>
      <c r="J1172" s="932"/>
      <c r="K1172" s="932"/>
      <c r="L1172" s="932"/>
      <c r="M1172" s="932"/>
      <c r="N1172" s="932"/>
      <c r="O1172" s="932"/>
      <c r="P1172" s="932"/>
      <c r="Q1172" s="932"/>
      <c r="R1172" s="932"/>
      <c r="S1172" s="932"/>
      <c r="T1172" s="932"/>
      <c r="U1172" s="932"/>
      <c r="V1172" s="932"/>
      <c r="W1172" s="932"/>
      <c r="X1172" s="932"/>
      <c r="Y1172" s="932"/>
      <c r="Z1172" s="932"/>
      <c r="AA1172" s="932"/>
      <c r="AB1172" s="932"/>
      <c r="AC1172" s="932"/>
      <c r="AD1172" s="932"/>
      <c r="AE1172" s="932"/>
      <c r="AF1172" s="932"/>
      <c r="AG1172" s="932"/>
      <c r="AH1172" s="932"/>
      <c r="AI1172" s="932"/>
      <c r="AJ1172" s="932"/>
      <c r="AK1172" s="932"/>
      <c r="AL1172" s="932"/>
      <c r="AM1172" s="932"/>
      <c r="AN1172" s="932"/>
      <c r="AO1172" s="932"/>
      <c r="AP1172" s="932"/>
      <c r="AQ1172" s="932"/>
      <c r="AR1172" s="932"/>
      <c r="AS1172" s="932"/>
      <c r="AT1172" s="932"/>
      <c r="AU1172" s="932"/>
      <c r="AV1172" s="932"/>
      <c r="AW1172" s="932"/>
      <c r="AX1172" s="932"/>
      <c r="AY1172" s="932"/>
      <c r="AZ1172" s="932"/>
      <c r="BA1172" s="932"/>
      <c r="BB1172" s="932"/>
      <c r="BC1172" s="932"/>
      <c r="BD1172" s="932"/>
      <c r="BE1172" s="932"/>
      <c r="BF1172" s="932"/>
    </row>
    <row r="1173" spans="2:58" ht="15" x14ac:dyDescent="0.25">
      <c r="B1173" s="932"/>
      <c r="C1173" s="932"/>
      <c r="D1173" s="932"/>
      <c r="E1173" s="932"/>
      <c r="F1173" s="932"/>
      <c r="G1173" s="932"/>
      <c r="H1173" s="932"/>
      <c r="I1173" s="932"/>
      <c r="J1173" s="932"/>
      <c r="K1173" s="932"/>
      <c r="L1173" s="932"/>
      <c r="M1173" s="932"/>
      <c r="N1173" s="932"/>
      <c r="O1173" s="932"/>
      <c r="P1173" s="932"/>
      <c r="Q1173" s="932"/>
      <c r="R1173" s="932"/>
      <c r="S1173" s="932"/>
      <c r="T1173" s="932"/>
      <c r="U1173" s="932"/>
      <c r="V1173" s="932"/>
      <c r="W1173" s="932"/>
      <c r="X1173" s="932"/>
      <c r="Y1173" s="932"/>
      <c r="Z1173" s="932"/>
      <c r="AA1173" s="932"/>
      <c r="AB1173" s="932"/>
      <c r="AC1173" s="932"/>
      <c r="AD1173" s="932"/>
      <c r="AE1173" s="932"/>
      <c r="AF1173" s="932"/>
      <c r="AG1173" s="932"/>
      <c r="AH1173" s="932"/>
      <c r="AI1173" s="932"/>
      <c r="AJ1173" s="932"/>
      <c r="AK1173" s="932"/>
      <c r="AL1173" s="932"/>
      <c r="AM1173" s="932"/>
      <c r="AN1173" s="932"/>
      <c r="AO1173" s="932"/>
      <c r="AP1173" s="932"/>
      <c r="AQ1173" s="932"/>
      <c r="AR1173" s="932"/>
      <c r="AS1173" s="932"/>
      <c r="AT1173" s="932"/>
      <c r="AU1173" s="932"/>
      <c r="AV1173" s="932"/>
      <c r="AW1173" s="932"/>
      <c r="AX1173" s="932"/>
      <c r="AY1173" s="932"/>
      <c r="AZ1173" s="932"/>
      <c r="BA1173" s="932"/>
      <c r="BB1173" s="932"/>
      <c r="BC1173" s="932"/>
      <c r="BD1173" s="932"/>
      <c r="BE1173" s="932"/>
      <c r="BF1173" s="932"/>
    </row>
    <row r="1174" spans="2:58" ht="15" x14ac:dyDescent="0.25">
      <c r="B1174" s="932"/>
      <c r="C1174" s="932"/>
      <c r="D1174" s="932"/>
      <c r="E1174" s="932"/>
      <c r="F1174" s="932"/>
      <c r="G1174" s="932"/>
      <c r="H1174" s="932"/>
      <c r="I1174" s="932"/>
      <c r="J1174" s="932"/>
      <c r="K1174" s="932"/>
      <c r="L1174" s="932"/>
      <c r="M1174" s="932"/>
      <c r="N1174" s="932"/>
      <c r="O1174" s="932"/>
      <c r="P1174" s="932"/>
      <c r="Q1174" s="932"/>
      <c r="R1174" s="932"/>
      <c r="S1174" s="932"/>
      <c r="T1174" s="932"/>
      <c r="U1174" s="932"/>
      <c r="V1174" s="932"/>
      <c r="W1174" s="932"/>
      <c r="X1174" s="932"/>
      <c r="Y1174" s="932"/>
      <c r="Z1174" s="932"/>
      <c r="AA1174" s="932"/>
      <c r="AB1174" s="932"/>
      <c r="AC1174" s="932"/>
      <c r="AD1174" s="932"/>
      <c r="AE1174" s="932"/>
      <c r="AF1174" s="932"/>
      <c r="AG1174" s="932"/>
      <c r="AH1174" s="932"/>
      <c r="AI1174" s="932"/>
      <c r="AJ1174" s="932"/>
      <c r="AK1174" s="932"/>
      <c r="AL1174" s="932"/>
      <c r="AM1174" s="932"/>
      <c r="AN1174" s="932"/>
      <c r="AO1174" s="932"/>
      <c r="AP1174" s="932"/>
      <c r="AQ1174" s="932"/>
      <c r="AR1174" s="932"/>
      <c r="AS1174" s="932"/>
      <c r="AT1174" s="932"/>
      <c r="AU1174" s="932"/>
      <c r="AV1174" s="932"/>
      <c r="AW1174" s="932"/>
      <c r="AX1174" s="932"/>
      <c r="AY1174" s="932"/>
      <c r="AZ1174" s="932"/>
      <c r="BA1174" s="932"/>
      <c r="BB1174" s="932"/>
      <c r="BC1174" s="932"/>
      <c r="BD1174" s="932"/>
      <c r="BE1174" s="932"/>
      <c r="BF1174" s="932"/>
    </row>
    <row r="1175" spans="2:58" ht="15" x14ac:dyDescent="0.25">
      <c r="B1175" s="932"/>
      <c r="C1175" s="932"/>
      <c r="D1175" s="932"/>
      <c r="E1175" s="932"/>
      <c r="F1175" s="932"/>
      <c r="G1175" s="932"/>
      <c r="H1175" s="932"/>
      <c r="I1175" s="932"/>
      <c r="J1175" s="932"/>
      <c r="K1175" s="932"/>
      <c r="L1175" s="932"/>
      <c r="M1175" s="932"/>
      <c r="N1175" s="932"/>
      <c r="O1175" s="932"/>
      <c r="P1175" s="932"/>
      <c r="Q1175" s="932"/>
      <c r="R1175" s="932"/>
      <c r="S1175" s="932"/>
      <c r="T1175" s="932"/>
      <c r="U1175" s="932"/>
      <c r="V1175" s="932"/>
      <c r="W1175" s="932"/>
      <c r="X1175" s="932"/>
      <c r="Y1175" s="932"/>
      <c r="Z1175" s="932"/>
      <c r="AA1175" s="932"/>
      <c r="AB1175" s="932"/>
      <c r="AC1175" s="932"/>
      <c r="AD1175" s="932"/>
      <c r="AE1175" s="932"/>
      <c r="AF1175" s="932"/>
      <c r="AG1175" s="932"/>
      <c r="AH1175" s="932"/>
      <c r="AI1175" s="932"/>
      <c r="AJ1175" s="932"/>
      <c r="AK1175" s="932"/>
      <c r="AL1175" s="932"/>
      <c r="AM1175" s="932"/>
      <c r="AN1175" s="932"/>
      <c r="AO1175" s="932"/>
      <c r="AP1175" s="932"/>
      <c r="AQ1175" s="932"/>
      <c r="AR1175" s="932"/>
      <c r="AS1175" s="932"/>
      <c r="AT1175" s="932"/>
      <c r="AU1175" s="932"/>
      <c r="AV1175" s="932"/>
      <c r="AW1175" s="932"/>
      <c r="AX1175" s="932"/>
      <c r="AY1175" s="932"/>
      <c r="AZ1175" s="932"/>
      <c r="BA1175" s="932"/>
      <c r="BB1175" s="932"/>
      <c r="BC1175" s="932"/>
      <c r="BD1175" s="932"/>
      <c r="BE1175" s="932"/>
      <c r="BF1175" s="932"/>
    </row>
    <row r="1176" spans="2:58" ht="15" x14ac:dyDescent="0.25">
      <c r="B1176" s="932"/>
      <c r="C1176" s="932"/>
      <c r="D1176" s="932"/>
      <c r="E1176" s="932"/>
      <c r="F1176" s="932"/>
      <c r="G1176" s="932"/>
      <c r="H1176" s="932"/>
      <c r="I1176" s="932"/>
      <c r="J1176" s="932"/>
      <c r="K1176" s="932"/>
      <c r="L1176" s="932"/>
      <c r="M1176" s="932"/>
      <c r="N1176" s="932"/>
      <c r="O1176" s="932"/>
      <c r="P1176" s="932"/>
      <c r="Q1176" s="932"/>
      <c r="R1176" s="932"/>
      <c r="S1176" s="932"/>
      <c r="T1176" s="932"/>
      <c r="U1176" s="932"/>
      <c r="V1176" s="932"/>
      <c r="W1176" s="932"/>
      <c r="X1176" s="932"/>
      <c r="Y1176" s="932"/>
      <c r="Z1176" s="932"/>
      <c r="AA1176" s="932"/>
      <c r="AB1176" s="932"/>
      <c r="AC1176" s="932"/>
      <c r="AD1176" s="932"/>
      <c r="AE1176" s="932"/>
      <c r="AF1176" s="932"/>
      <c r="AG1176" s="932"/>
      <c r="AH1176" s="932"/>
      <c r="AI1176" s="932"/>
      <c r="AJ1176" s="932"/>
      <c r="AK1176" s="932"/>
      <c r="AL1176" s="932"/>
      <c r="AM1176" s="932"/>
      <c r="AN1176" s="932"/>
      <c r="AO1176" s="932"/>
      <c r="AP1176" s="932"/>
      <c r="AQ1176" s="932"/>
      <c r="AR1176" s="932"/>
      <c r="AS1176" s="932"/>
      <c r="AT1176" s="932"/>
      <c r="AU1176" s="932"/>
      <c r="AV1176" s="932"/>
      <c r="AW1176" s="932"/>
      <c r="AX1176" s="932"/>
      <c r="AY1176" s="932"/>
      <c r="AZ1176" s="932"/>
      <c r="BA1176" s="932"/>
      <c r="BB1176" s="932"/>
      <c r="BC1176" s="932"/>
      <c r="BD1176" s="932"/>
      <c r="BE1176" s="932"/>
      <c r="BF1176" s="932"/>
    </row>
    <row r="1177" spans="2:58" ht="15" x14ac:dyDescent="0.25">
      <c r="B1177" s="932"/>
      <c r="C1177" s="932"/>
      <c r="D1177" s="932"/>
      <c r="E1177" s="932"/>
      <c r="F1177" s="932"/>
      <c r="G1177" s="932"/>
      <c r="H1177" s="932"/>
      <c r="I1177" s="932"/>
      <c r="J1177" s="932"/>
      <c r="K1177" s="932"/>
      <c r="L1177" s="932"/>
      <c r="M1177" s="932"/>
      <c r="N1177" s="932"/>
      <c r="O1177" s="932"/>
      <c r="P1177" s="932"/>
      <c r="Q1177" s="932"/>
      <c r="R1177" s="932"/>
      <c r="S1177" s="932"/>
      <c r="T1177" s="932"/>
      <c r="U1177" s="932"/>
      <c r="V1177" s="932"/>
      <c r="W1177" s="932"/>
      <c r="X1177" s="932"/>
      <c r="Y1177" s="932"/>
      <c r="Z1177" s="932"/>
      <c r="AA1177" s="932"/>
      <c r="AB1177" s="932"/>
      <c r="AC1177" s="932"/>
      <c r="AD1177" s="932"/>
      <c r="AE1177" s="932"/>
      <c r="AF1177" s="932"/>
      <c r="AG1177" s="932"/>
      <c r="AH1177" s="932"/>
      <c r="AI1177" s="932"/>
      <c r="AJ1177" s="932"/>
      <c r="AK1177" s="932"/>
      <c r="AL1177" s="932"/>
      <c r="AM1177" s="932"/>
      <c r="AN1177" s="932"/>
      <c r="AO1177" s="932"/>
      <c r="AP1177" s="932"/>
      <c r="AQ1177" s="932"/>
      <c r="AR1177" s="932"/>
      <c r="AS1177" s="932"/>
      <c r="AT1177" s="932"/>
      <c r="AU1177" s="932"/>
      <c r="AV1177" s="932"/>
      <c r="AW1177" s="932"/>
      <c r="AX1177" s="932"/>
      <c r="AY1177" s="932"/>
      <c r="AZ1177" s="932"/>
      <c r="BA1177" s="932"/>
      <c r="BB1177" s="932"/>
      <c r="BC1177" s="932"/>
      <c r="BD1177" s="932"/>
      <c r="BE1177" s="932"/>
      <c r="BF1177" s="932"/>
    </row>
    <row r="1178" spans="2:58" ht="15" x14ac:dyDescent="0.25">
      <c r="B1178" s="932"/>
      <c r="C1178" s="932"/>
      <c r="D1178" s="932"/>
      <c r="E1178" s="932"/>
      <c r="F1178" s="932"/>
      <c r="G1178" s="932"/>
      <c r="H1178" s="932"/>
      <c r="I1178" s="932"/>
      <c r="J1178" s="932"/>
      <c r="K1178" s="932"/>
      <c r="L1178" s="932"/>
      <c r="M1178" s="932"/>
      <c r="N1178" s="932"/>
      <c r="O1178" s="932"/>
      <c r="P1178" s="932"/>
      <c r="Q1178" s="932"/>
      <c r="R1178" s="932"/>
      <c r="S1178" s="932"/>
      <c r="T1178" s="932"/>
      <c r="U1178" s="932"/>
      <c r="V1178" s="932"/>
      <c r="W1178" s="932"/>
      <c r="X1178" s="932"/>
      <c r="Y1178" s="932"/>
      <c r="Z1178" s="932"/>
      <c r="AA1178" s="932"/>
      <c r="AB1178" s="932"/>
      <c r="AC1178" s="932"/>
      <c r="AD1178" s="932"/>
      <c r="AE1178" s="932"/>
      <c r="AF1178" s="932"/>
      <c r="AG1178" s="932"/>
      <c r="AH1178" s="932"/>
      <c r="AI1178" s="932"/>
      <c r="AJ1178" s="932"/>
      <c r="AK1178" s="932"/>
      <c r="AL1178" s="932"/>
      <c r="AM1178" s="932"/>
      <c r="AN1178" s="932"/>
      <c r="AO1178" s="932"/>
      <c r="AP1178" s="932"/>
      <c r="AQ1178" s="932"/>
      <c r="AR1178" s="932"/>
      <c r="AS1178" s="932"/>
      <c r="AT1178" s="932"/>
      <c r="AU1178" s="932"/>
      <c r="AV1178" s="932"/>
      <c r="AW1178" s="932"/>
      <c r="AX1178" s="932"/>
      <c r="AY1178" s="932"/>
      <c r="AZ1178" s="932"/>
      <c r="BA1178" s="932"/>
      <c r="BB1178" s="932"/>
      <c r="BC1178" s="932"/>
      <c r="BD1178" s="932"/>
      <c r="BE1178" s="932"/>
      <c r="BF1178" s="932"/>
    </row>
    <row r="1179" spans="2:58" ht="15" x14ac:dyDescent="0.25">
      <c r="B1179" s="932"/>
      <c r="C1179" s="932"/>
      <c r="D1179" s="932"/>
      <c r="E1179" s="932"/>
      <c r="F1179" s="932"/>
      <c r="G1179" s="932"/>
      <c r="H1179" s="932"/>
      <c r="I1179" s="932"/>
      <c r="J1179" s="932"/>
      <c r="K1179" s="932"/>
      <c r="L1179" s="932"/>
      <c r="M1179" s="932"/>
      <c r="N1179" s="932"/>
      <c r="O1179" s="932"/>
      <c r="P1179" s="932"/>
      <c r="Q1179" s="932"/>
      <c r="R1179" s="932"/>
      <c r="S1179" s="932"/>
      <c r="T1179" s="932"/>
      <c r="U1179" s="932"/>
      <c r="V1179" s="932"/>
      <c r="W1179" s="932"/>
      <c r="X1179" s="932"/>
      <c r="Y1179" s="932"/>
      <c r="Z1179" s="932"/>
      <c r="AA1179" s="932"/>
      <c r="AB1179" s="932"/>
      <c r="AC1179" s="932"/>
      <c r="AD1179" s="932"/>
      <c r="AE1179" s="932"/>
      <c r="AF1179" s="932"/>
      <c r="AG1179" s="932"/>
      <c r="AH1179" s="932"/>
      <c r="AI1179" s="932"/>
      <c r="AJ1179" s="932"/>
      <c r="AK1179" s="932"/>
      <c r="AL1179" s="932"/>
      <c r="AM1179" s="932"/>
      <c r="AN1179" s="932"/>
      <c r="AO1179" s="932"/>
      <c r="AP1179" s="932"/>
      <c r="AQ1179" s="932"/>
      <c r="AR1179" s="932"/>
      <c r="AS1179" s="932"/>
      <c r="AT1179" s="932"/>
      <c r="AU1179" s="932"/>
      <c r="AV1179" s="932"/>
      <c r="AW1179" s="932"/>
      <c r="AX1179" s="932"/>
      <c r="AY1179" s="932"/>
      <c r="AZ1179" s="932"/>
      <c r="BA1179" s="932"/>
      <c r="BB1179" s="932"/>
      <c r="BC1179" s="932"/>
      <c r="BD1179" s="932"/>
      <c r="BE1179" s="932"/>
      <c r="BF1179" s="932"/>
    </row>
    <row r="1180" spans="2:58" ht="15" x14ac:dyDescent="0.25">
      <c r="B1180" s="932"/>
      <c r="C1180" s="932"/>
      <c r="D1180" s="932"/>
      <c r="E1180" s="932"/>
      <c r="F1180" s="932"/>
      <c r="G1180" s="932"/>
      <c r="H1180" s="932"/>
      <c r="I1180" s="932"/>
      <c r="J1180" s="932"/>
      <c r="K1180" s="932"/>
      <c r="L1180" s="932"/>
      <c r="M1180" s="932"/>
      <c r="N1180" s="932"/>
      <c r="O1180" s="932"/>
      <c r="P1180" s="932"/>
      <c r="Q1180" s="932"/>
      <c r="R1180" s="932"/>
      <c r="S1180" s="932"/>
      <c r="T1180" s="932"/>
      <c r="U1180" s="932"/>
      <c r="V1180" s="932"/>
      <c r="W1180" s="932"/>
      <c r="X1180" s="932"/>
      <c r="Y1180" s="932"/>
      <c r="Z1180" s="932"/>
      <c r="AA1180" s="932"/>
      <c r="AB1180" s="932"/>
      <c r="AC1180" s="932"/>
      <c r="AD1180" s="932"/>
      <c r="AE1180" s="932"/>
      <c r="AF1180" s="932"/>
      <c r="AG1180" s="932"/>
      <c r="AH1180" s="932"/>
      <c r="AI1180" s="932"/>
      <c r="AJ1180" s="932"/>
      <c r="AK1180" s="932"/>
      <c r="AL1180" s="932"/>
      <c r="AM1180" s="932"/>
      <c r="AN1180" s="932"/>
      <c r="AO1180" s="932"/>
      <c r="AP1180" s="932"/>
      <c r="AQ1180" s="932"/>
      <c r="AR1180" s="932"/>
      <c r="AS1180" s="932"/>
      <c r="AT1180" s="932"/>
      <c r="AU1180" s="932"/>
      <c r="AV1180" s="932"/>
      <c r="AW1180" s="932"/>
      <c r="AX1180" s="932"/>
      <c r="AY1180" s="932"/>
      <c r="AZ1180" s="932"/>
      <c r="BA1180" s="932"/>
      <c r="BB1180" s="932"/>
      <c r="BC1180" s="932"/>
      <c r="BD1180" s="932"/>
      <c r="BE1180" s="932"/>
      <c r="BF1180" s="932"/>
    </row>
    <row r="1181" spans="2:58" ht="15" x14ac:dyDescent="0.25">
      <c r="B1181" s="932"/>
      <c r="C1181" s="932"/>
      <c r="D1181" s="932"/>
      <c r="E1181" s="932"/>
      <c r="F1181" s="932"/>
      <c r="G1181" s="932"/>
      <c r="H1181" s="932"/>
      <c r="I1181" s="932"/>
      <c r="J1181" s="932"/>
      <c r="K1181" s="932"/>
      <c r="L1181" s="932"/>
      <c r="M1181" s="932"/>
      <c r="N1181" s="932"/>
      <c r="O1181" s="932"/>
      <c r="P1181" s="932"/>
      <c r="Q1181" s="932"/>
      <c r="R1181" s="932"/>
      <c r="S1181" s="932"/>
      <c r="T1181" s="932"/>
      <c r="U1181" s="932"/>
      <c r="V1181" s="932"/>
      <c r="W1181" s="932"/>
      <c r="X1181" s="932"/>
      <c r="Y1181" s="932"/>
      <c r="Z1181" s="932"/>
      <c r="AA1181" s="932"/>
      <c r="AB1181" s="932"/>
      <c r="AC1181" s="932"/>
      <c r="AD1181" s="932"/>
      <c r="AE1181" s="932"/>
      <c r="AF1181" s="932"/>
      <c r="AG1181" s="932"/>
      <c r="AH1181" s="932"/>
      <c r="AI1181" s="932"/>
      <c r="AJ1181" s="932"/>
      <c r="AK1181" s="932"/>
      <c r="AL1181" s="932"/>
      <c r="AM1181" s="932"/>
      <c r="AN1181" s="932"/>
      <c r="AO1181" s="932"/>
      <c r="AP1181" s="932"/>
      <c r="AQ1181" s="932"/>
      <c r="AR1181" s="932"/>
      <c r="AS1181" s="932"/>
      <c r="AT1181" s="932"/>
      <c r="AU1181" s="932"/>
      <c r="AV1181" s="932"/>
      <c r="AW1181" s="932"/>
      <c r="AX1181" s="932"/>
      <c r="AY1181" s="932"/>
      <c r="AZ1181" s="932"/>
      <c r="BA1181" s="932"/>
      <c r="BB1181" s="932"/>
      <c r="BC1181" s="932"/>
      <c r="BD1181" s="932"/>
      <c r="BE1181" s="932"/>
      <c r="BF1181" s="932"/>
    </row>
    <row r="1182" spans="2:58" ht="15" x14ac:dyDescent="0.25">
      <c r="B1182" s="932"/>
      <c r="C1182" s="932"/>
      <c r="D1182" s="932"/>
      <c r="E1182" s="932"/>
      <c r="F1182" s="932"/>
      <c r="G1182" s="932"/>
      <c r="H1182" s="932"/>
      <c r="I1182" s="932"/>
      <c r="J1182" s="932"/>
      <c r="K1182" s="932"/>
      <c r="L1182" s="932"/>
      <c r="M1182" s="932"/>
      <c r="N1182" s="932"/>
      <c r="O1182" s="932"/>
      <c r="P1182" s="932"/>
      <c r="Q1182" s="932"/>
      <c r="R1182" s="932"/>
      <c r="S1182" s="932"/>
      <c r="T1182" s="932"/>
      <c r="U1182" s="932"/>
      <c r="V1182" s="932"/>
      <c r="W1182" s="932"/>
      <c r="X1182" s="932"/>
      <c r="Y1182" s="932"/>
      <c r="Z1182" s="932"/>
      <c r="AA1182" s="932"/>
      <c r="AB1182" s="932"/>
      <c r="AC1182" s="932"/>
      <c r="AD1182" s="932"/>
      <c r="AE1182" s="932"/>
      <c r="AF1182" s="932"/>
      <c r="AG1182" s="932"/>
      <c r="AH1182" s="932"/>
      <c r="AI1182" s="932"/>
      <c r="AJ1182" s="932"/>
      <c r="AK1182" s="932"/>
      <c r="AL1182" s="932"/>
      <c r="AM1182" s="932"/>
      <c r="AN1182" s="932"/>
      <c r="AO1182" s="932"/>
      <c r="AP1182" s="932"/>
      <c r="AQ1182" s="932"/>
      <c r="AR1182" s="932"/>
      <c r="AS1182" s="932"/>
      <c r="AT1182" s="932"/>
      <c r="AU1182" s="932"/>
      <c r="AV1182" s="932"/>
      <c r="AW1182" s="932"/>
      <c r="AX1182" s="932"/>
      <c r="AY1182" s="932"/>
      <c r="AZ1182" s="932"/>
      <c r="BA1182" s="932"/>
      <c r="BB1182" s="932"/>
      <c r="BC1182" s="932"/>
      <c r="BD1182" s="932"/>
      <c r="BE1182" s="932"/>
      <c r="BF1182" s="932"/>
    </row>
    <row r="1183" spans="2:58" ht="15" x14ac:dyDescent="0.25">
      <c r="B1183" s="932"/>
      <c r="C1183" s="932"/>
      <c r="D1183" s="932"/>
      <c r="E1183" s="932"/>
      <c r="F1183" s="932"/>
      <c r="G1183" s="932"/>
      <c r="H1183" s="932"/>
      <c r="I1183" s="932"/>
      <c r="J1183" s="932"/>
      <c r="K1183" s="932"/>
      <c r="L1183" s="932"/>
      <c r="M1183" s="932"/>
      <c r="N1183" s="932"/>
      <c r="O1183" s="932"/>
      <c r="P1183" s="932"/>
      <c r="Q1183" s="932"/>
      <c r="R1183" s="932"/>
      <c r="S1183" s="932"/>
      <c r="T1183" s="932"/>
      <c r="U1183" s="932"/>
      <c r="V1183" s="932"/>
      <c r="W1183" s="932"/>
      <c r="X1183" s="932"/>
      <c r="Y1183" s="932"/>
      <c r="Z1183" s="932"/>
      <c r="AA1183" s="932"/>
      <c r="AB1183" s="932"/>
      <c r="AC1183" s="932"/>
      <c r="AD1183" s="932"/>
      <c r="AE1183" s="932"/>
      <c r="AF1183" s="932"/>
      <c r="AG1183" s="932"/>
      <c r="AH1183" s="932"/>
      <c r="AI1183" s="932"/>
      <c r="AJ1183" s="932"/>
      <c r="AK1183" s="932"/>
      <c r="AL1183" s="932"/>
      <c r="AM1183" s="932"/>
      <c r="AN1183" s="932"/>
      <c r="AO1183" s="932"/>
      <c r="AP1183" s="932"/>
      <c r="AQ1183" s="932"/>
      <c r="AR1183" s="932"/>
      <c r="AS1183" s="932"/>
      <c r="AT1183" s="932"/>
      <c r="AU1183" s="932"/>
      <c r="AV1183" s="932"/>
      <c r="AW1183" s="932"/>
      <c r="AX1183" s="932"/>
      <c r="AY1183" s="932"/>
      <c r="AZ1183" s="932"/>
      <c r="BA1183" s="932"/>
      <c r="BB1183" s="932"/>
      <c r="BC1183" s="932"/>
      <c r="BD1183" s="932"/>
      <c r="BE1183" s="932"/>
      <c r="BF1183" s="932"/>
    </row>
    <row r="1184" spans="2:58" ht="15" x14ac:dyDescent="0.25">
      <c r="B1184" s="932"/>
      <c r="C1184" s="932"/>
      <c r="D1184" s="932"/>
      <c r="E1184" s="932"/>
      <c r="F1184" s="932"/>
      <c r="G1184" s="932"/>
      <c r="H1184" s="932"/>
      <c r="I1184" s="932"/>
      <c r="J1184" s="932"/>
      <c r="K1184" s="932"/>
      <c r="L1184" s="932"/>
      <c r="M1184" s="932"/>
      <c r="N1184" s="932"/>
      <c r="O1184" s="932"/>
      <c r="P1184" s="932"/>
      <c r="Q1184" s="932"/>
      <c r="R1184" s="932"/>
      <c r="S1184" s="932"/>
      <c r="T1184" s="932"/>
      <c r="U1184" s="932"/>
      <c r="V1184" s="932"/>
      <c r="W1184" s="932"/>
      <c r="X1184" s="932"/>
      <c r="Y1184" s="932"/>
      <c r="Z1184" s="932"/>
      <c r="AA1184" s="932"/>
      <c r="AB1184" s="932"/>
      <c r="AC1184" s="932"/>
      <c r="AD1184" s="932"/>
      <c r="AE1184" s="932"/>
      <c r="AF1184" s="932"/>
      <c r="AG1184" s="932"/>
      <c r="AH1184" s="932"/>
      <c r="AI1184" s="932"/>
      <c r="AJ1184" s="932"/>
      <c r="AK1184" s="932"/>
      <c r="AL1184" s="932"/>
      <c r="AM1184" s="932"/>
      <c r="AN1184" s="932"/>
      <c r="AO1184" s="932"/>
      <c r="AP1184" s="932"/>
      <c r="AQ1184" s="932"/>
      <c r="AR1184" s="932"/>
      <c r="AS1184" s="932"/>
      <c r="AT1184" s="932"/>
      <c r="AU1184" s="932"/>
      <c r="AV1184" s="932"/>
      <c r="AW1184" s="932"/>
      <c r="AX1184" s="932"/>
      <c r="AY1184" s="932"/>
      <c r="AZ1184" s="932"/>
      <c r="BA1184" s="932"/>
      <c r="BB1184" s="932"/>
      <c r="BC1184" s="932"/>
      <c r="BD1184" s="932"/>
      <c r="BE1184" s="932"/>
      <c r="BF1184" s="932"/>
    </row>
    <row r="1185" spans="2:58" ht="15" x14ac:dyDescent="0.25">
      <c r="B1185" s="932"/>
      <c r="C1185" s="932"/>
      <c r="D1185" s="932"/>
      <c r="E1185" s="932"/>
      <c r="F1185" s="932"/>
      <c r="G1185" s="932"/>
      <c r="H1185" s="932"/>
      <c r="I1185" s="932"/>
      <c r="J1185" s="932"/>
      <c r="K1185" s="932"/>
      <c r="L1185" s="932"/>
      <c r="M1185" s="932"/>
      <c r="N1185" s="932"/>
      <c r="O1185" s="932"/>
      <c r="P1185" s="932"/>
      <c r="Q1185" s="932"/>
      <c r="R1185" s="932"/>
      <c r="S1185" s="932"/>
      <c r="T1185" s="932"/>
      <c r="U1185" s="932"/>
      <c r="V1185" s="932"/>
      <c r="W1185" s="932"/>
      <c r="X1185" s="932"/>
      <c r="Y1185" s="932"/>
      <c r="Z1185" s="932"/>
      <c r="AA1185" s="932"/>
      <c r="AB1185" s="932"/>
      <c r="AC1185" s="932"/>
      <c r="AD1185" s="932"/>
      <c r="AE1185" s="932"/>
      <c r="AF1185" s="932"/>
      <c r="AG1185" s="932"/>
      <c r="AH1185" s="932"/>
      <c r="AI1185" s="932"/>
      <c r="AJ1185" s="932"/>
      <c r="AK1185" s="932"/>
      <c r="AL1185" s="932"/>
      <c r="AM1185" s="932"/>
      <c r="AN1185" s="932"/>
      <c r="AO1185" s="932"/>
      <c r="AP1185" s="932"/>
      <c r="AQ1185" s="932"/>
      <c r="AR1185" s="932"/>
      <c r="AS1185" s="932"/>
      <c r="AT1185" s="932"/>
      <c r="AU1185" s="932"/>
      <c r="AV1185" s="932"/>
      <c r="AW1185" s="932"/>
      <c r="AX1185" s="932"/>
      <c r="AY1185" s="932"/>
      <c r="AZ1185" s="932"/>
      <c r="BA1185" s="932"/>
      <c r="BB1185" s="932"/>
      <c r="BC1185" s="932"/>
      <c r="BD1185" s="932"/>
      <c r="BE1185" s="932"/>
      <c r="BF1185" s="932"/>
    </row>
    <row r="1186" spans="2:58" ht="15" x14ac:dyDescent="0.25">
      <c r="B1186" s="932"/>
      <c r="C1186" s="932"/>
      <c r="D1186" s="932"/>
      <c r="E1186" s="932"/>
      <c r="F1186" s="932"/>
      <c r="G1186" s="932"/>
      <c r="H1186" s="932"/>
      <c r="I1186" s="932"/>
      <c r="J1186" s="932"/>
      <c r="K1186" s="932"/>
      <c r="L1186" s="932"/>
      <c r="M1186" s="932"/>
      <c r="N1186" s="932"/>
      <c r="O1186" s="932"/>
      <c r="P1186" s="932"/>
      <c r="Q1186" s="932"/>
      <c r="R1186" s="932"/>
      <c r="S1186" s="932"/>
      <c r="T1186" s="932"/>
      <c r="U1186" s="932"/>
      <c r="V1186" s="932"/>
      <c r="W1186" s="932"/>
      <c r="X1186" s="932"/>
      <c r="Y1186" s="932"/>
      <c r="Z1186" s="932"/>
      <c r="AA1186" s="932"/>
      <c r="AB1186" s="932"/>
      <c r="AC1186" s="932"/>
      <c r="AD1186" s="932"/>
      <c r="AE1186" s="932"/>
      <c r="AF1186" s="932"/>
      <c r="AG1186" s="932"/>
      <c r="AH1186" s="932"/>
      <c r="AI1186" s="932"/>
      <c r="AJ1186" s="932"/>
      <c r="AK1186" s="932"/>
      <c r="AL1186" s="932"/>
      <c r="AM1186" s="932"/>
      <c r="AN1186" s="932"/>
      <c r="AO1186" s="932"/>
      <c r="AP1186" s="932"/>
      <c r="AQ1186" s="932"/>
      <c r="AR1186" s="932"/>
      <c r="AS1186" s="932"/>
      <c r="AT1186" s="932"/>
      <c r="AU1186" s="932"/>
      <c r="AV1186" s="932"/>
      <c r="AW1186" s="932"/>
      <c r="AX1186" s="932"/>
      <c r="AY1186" s="932"/>
      <c r="AZ1186" s="932"/>
      <c r="BA1186" s="932"/>
      <c r="BB1186" s="932"/>
      <c r="BC1186" s="932"/>
      <c r="BD1186" s="932"/>
      <c r="BE1186" s="932"/>
      <c r="BF1186" s="932"/>
    </row>
    <row r="1187" spans="2:58" ht="15" x14ac:dyDescent="0.25">
      <c r="B1187" s="932"/>
      <c r="C1187" s="932"/>
      <c r="D1187" s="932"/>
      <c r="E1187" s="932"/>
      <c r="F1187" s="932"/>
      <c r="G1187" s="932"/>
      <c r="H1187" s="932"/>
      <c r="I1187" s="932"/>
      <c r="J1187" s="932"/>
      <c r="K1187" s="932"/>
      <c r="L1187" s="932"/>
      <c r="M1187" s="932"/>
      <c r="N1187" s="932"/>
      <c r="O1187" s="932"/>
      <c r="P1187" s="932"/>
      <c r="Q1187" s="932"/>
      <c r="R1187" s="932"/>
      <c r="S1187" s="932"/>
      <c r="T1187" s="932"/>
      <c r="U1187" s="932"/>
      <c r="V1187" s="932"/>
      <c r="W1187" s="932"/>
      <c r="X1187" s="932"/>
      <c r="Y1187" s="932"/>
      <c r="Z1187" s="932"/>
      <c r="AA1187" s="932"/>
      <c r="AB1187" s="932"/>
      <c r="AC1187" s="932"/>
      <c r="AD1187" s="932"/>
      <c r="AE1187" s="932"/>
      <c r="AF1187" s="932"/>
      <c r="AG1187" s="932"/>
      <c r="AH1187" s="932"/>
      <c r="AI1187" s="932"/>
      <c r="AJ1187" s="932"/>
      <c r="AK1187" s="932"/>
      <c r="AL1187" s="932"/>
      <c r="AM1187" s="932"/>
      <c r="AN1187" s="932"/>
      <c r="AO1187" s="932"/>
      <c r="AP1187" s="932"/>
      <c r="AQ1187" s="932"/>
      <c r="AR1187" s="932"/>
      <c r="AS1187" s="932"/>
      <c r="AT1187" s="932"/>
      <c r="AU1187" s="932"/>
      <c r="AV1187" s="932"/>
      <c r="AW1187" s="932"/>
      <c r="AX1187" s="932"/>
      <c r="AY1187" s="932"/>
      <c r="AZ1187" s="932"/>
      <c r="BA1187" s="932"/>
      <c r="BB1187" s="932"/>
      <c r="BC1187" s="932"/>
      <c r="BD1187" s="932"/>
      <c r="BE1187" s="932"/>
      <c r="BF1187" s="932"/>
    </row>
    <row r="1188" spans="2:58" ht="15" x14ac:dyDescent="0.25">
      <c r="B1188" s="932"/>
      <c r="C1188" s="932"/>
      <c r="D1188" s="932"/>
      <c r="E1188" s="932"/>
      <c r="F1188" s="932"/>
      <c r="G1188" s="932"/>
      <c r="H1188" s="932"/>
      <c r="I1188" s="932"/>
      <c r="J1188" s="932"/>
      <c r="K1188" s="932"/>
      <c r="L1188" s="932"/>
      <c r="M1188" s="932"/>
      <c r="N1188" s="932"/>
      <c r="O1188" s="932"/>
      <c r="P1188" s="932"/>
      <c r="Q1188" s="932"/>
      <c r="R1188" s="932"/>
      <c r="S1188" s="932"/>
      <c r="T1188" s="932"/>
      <c r="U1188" s="932"/>
      <c r="V1188" s="932"/>
      <c r="W1188" s="932"/>
      <c r="X1188" s="932"/>
      <c r="Y1188" s="932"/>
      <c r="Z1188" s="932"/>
      <c r="AA1188" s="932"/>
      <c r="AB1188" s="932"/>
      <c r="AC1188" s="932"/>
      <c r="AD1188" s="932"/>
      <c r="AE1188" s="932"/>
      <c r="AF1188" s="932"/>
      <c r="AG1188" s="932"/>
      <c r="AH1188" s="932"/>
      <c r="AI1188" s="932"/>
      <c r="AJ1188" s="932"/>
      <c r="AK1188" s="932"/>
      <c r="AL1188" s="932"/>
      <c r="AM1188" s="932"/>
      <c r="AN1188" s="932"/>
      <c r="AO1188" s="932"/>
      <c r="AP1188" s="932"/>
      <c r="AQ1188" s="932"/>
      <c r="AR1188" s="932"/>
      <c r="AS1188" s="932"/>
      <c r="AT1188" s="932"/>
      <c r="AU1188" s="932"/>
      <c r="AV1188" s="932"/>
      <c r="AW1188" s="932"/>
      <c r="AX1188" s="932"/>
      <c r="AY1188" s="932"/>
      <c r="AZ1188" s="932"/>
      <c r="BA1188" s="932"/>
      <c r="BB1188" s="932"/>
      <c r="BC1188" s="932"/>
      <c r="BD1188" s="932"/>
      <c r="BE1188" s="932"/>
      <c r="BF1188" s="932"/>
    </row>
    <row r="1189" spans="2:58" ht="15" x14ac:dyDescent="0.25">
      <c r="B1189" s="932"/>
      <c r="C1189" s="932"/>
      <c r="D1189" s="932"/>
      <c r="E1189" s="932"/>
      <c r="F1189" s="932"/>
      <c r="G1189" s="932"/>
      <c r="H1189" s="932"/>
      <c r="I1189" s="932"/>
      <c r="J1189" s="932"/>
      <c r="K1189" s="932"/>
      <c r="L1189" s="932"/>
      <c r="M1189" s="932"/>
      <c r="N1189" s="932"/>
      <c r="O1189" s="932"/>
      <c r="P1189" s="932"/>
      <c r="Q1189" s="932"/>
      <c r="R1189" s="932"/>
      <c r="S1189" s="932"/>
      <c r="T1189" s="932"/>
      <c r="U1189" s="932"/>
      <c r="V1189" s="932"/>
      <c r="W1189" s="932"/>
      <c r="X1189" s="932"/>
      <c r="Y1189" s="932"/>
      <c r="Z1189" s="932"/>
      <c r="AA1189" s="932"/>
      <c r="AB1189" s="932"/>
      <c r="AC1189" s="932"/>
      <c r="AD1189" s="932"/>
      <c r="AE1189" s="932"/>
      <c r="AF1189" s="932"/>
      <c r="AG1189" s="932"/>
      <c r="AH1189" s="932"/>
      <c r="AI1189" s="932"/>
      <c r="AJ1189" s="932"/>
      <c r="AK1189" s="932"/>
      <c r="AL1189" s="932"/>
      <c r="AM1189" s="932"/>
      <c r="AN1189" s="932"/>
      <c r="AO1189" s="932"/>
      <c r="AP1189" s="932"/>
      <c r="AQ1189" s="932"/>
      <c r="AR1189" s="932"/>
      <c r="AS1189" s="932"/>
      <c r="AT1189" s="932"/>
      <c r="AU1189" s="932"/>
      <c r="AV1189" s="932"/>
      <c r="AW1189" s="932"/>
      <c r="AX1189" s="932"/>
      <c r="AY1189" s="932"/>
      <c r="AZ1189" s="932"/>
      <c r="BA1189" s="932"/>
      <c r="BB1189" s="932"/>
      <c r="BC1189" s="932"/>
      <c r="BD1189" s="932"/>
      <c r="BE1189" s="932"/>
      <c r="BF1189" s="932"/>
    </row>
    <row r="1190" spans="2:58" ht="15" x14ac:dyDescent="0.25">
      <c r="B1190" s="932"/>
      <c r="C1190" s="932"/>
      <c r="D1190" s="932"/>
      <c r="E1190" s="932"/>
      <c r="F1190" s="932"/>
      <c r="G1190" s="932"/>
      <c r="H1190" s="932"/>
      <c r="I1190" s="932"/>
      <c r="J1190" s="932"/>
      <c r="K1190" s="932"/>
      <c r="L1190" s="932"/>
      <c r="M1190" s="932"/>
      <c r="N1190" s="932"/>
      <c r="O1190" s="932"/>
      <c r="P1190" s="932"/>
      <c r="Q1190" s="932"/>
      <c r="R1190" s="932"/>
      <c r="S1190" s="932"/>
      <c r="T1190" s="932"/>
      <c r="U1190" s="932"/>
      <c r="V1190" s="932"/>
      <c r="W1190" s="932"/>
      <c r="X1190" s="932"/>
      <c r="Y1190" s="932"/>
      <c r="Z1190" s="932"/>
      <c r="AA1190" s="932"/>
      <c r="AB1190" s="932"/>
      <c r="AC1190" s="932"/>
      <c r="AD1190" s="932"/>
      <c r="AE1190" s="932"/>
      <c r="AF1190" s="932"/>
      <c r="AG1190" s="932"/>
      <c r="AH1190" s="932"/>
      <c r="AI1190" s="932"/>
      <c r="AJ1190" s="932"/>
      <c r="AK1190" s="932"/>
      <c r="AL1190" s="932"/>
      <c r="AM1190" s="932"/>
      <c r="AN1190" s="932"/>
      <c r="AO1190" s="932"/>
      <c r="AP1190" s="932"/>
      <c r="AQ1190" s="932"/>
      <c r="AR1190" s="932"/>
      <c r="AS1190" s="932"/>
      <c r="AT1190" s="932"/>
      <c r="AU1190" s="932"/>
      <c r="AV1190" s="932"/>
      <c r="AW1190" s="932"/>
      <c r="AX1190" s="932"/>
      <c r="AY1190" s="932"/>
      <c r="AZ1190" s="932"/>
      <c r="BA1190" s="932"/>
      <c r="BB1190" s="932"/>
      <c r="BC1190" s="932"/>
      <c r="BD1190" s="932"/>
      <c r="BE1190" s="932"/>
      <c r="BF1190" s="932"/>
    </row>
    <row r="1191" spans="2:58" ht="15" x14ac:dyDescent="0.25">
      <c r="B1191" s="932"/>
      <c r="C1191" s="932"/>
      <c r="D1191" s="932"/>
      <c r="E1191" s="932"/>
      <c r="F1191" s="932"/>
      <c r="G1191" s="932"/>
      <c r="H1191" s="932"/>
      <c r="I1191" s="932"/>
      <c r="J1191" s="932"/>
      <c r="K1191" s="932"/>
      <c r="L1191" s="932"/>
      <c r="M1191" s="932"/>
      <c r="N1191" s="932"/>
      <c r="O1191" s="932"/>
      <c r="P1191" s="932"/>
      <c r="Q1191" s="932"/>
      <c r="R1191" s="932"/>
      <c r="S1191" s="932"/>
      <c r="T1191" s="932"/>
      <c r="U1191" s="932"/>
      <c r="V1191" s="932"/>
      <c r="W1191" s="932"/>
      <c r="X1191" s="932"/>
      <c r="Y1191" s="932"/>
      <c r="Z1191" s="932"/>
      <c r="AA1191" s="932"/>
      <c r="AB1191" s="932"/>
      <c r="AC1191" s="932"/>
      <c r="AD1191" s="932"/>
      <c r="AE1191" s="932"/>
      <c r="AF1191" s="932"/>
      <c r="AG1191" s="932"/>
      <c r="AH1191" s="932"/>
      <c r="AI1191" s="932"/>
      <c r="AJ1191" s="932"/>
      <c r="AK1191" s="932"/>
      <c r="AL1191" s="932"/>
      <c r="AM1191" s="932"/>
      <c r="AN1191" s="932"/>
      <c r="AO1191" s="932"/>
      <c r="AP1191" s="932"/>
      <c r="AQ1191" s="932"/>
      <c r="AR1191" s="932"/>
      <c r="AS1191" s="932"/>
      <c r="AT1191" s="932"/>
      <c r="AU1191" s="932"/>
      <c r="AV1191" s="932"/>
      <c r="AW1191" s="932"/>
      <c r="AX1191" s="932"/>
      <c r="AY1191" s="932"/>
      <c r="AZ1191" s="932"/>
      <c r="BA1191" s="932"/>
      <c r="BB1191" s="932"/>
      <c r="BC1191" s="932"/>
      <c r="BD1191" s="932"/>
      <c r="BE1191" s="932"/>
      <c r="BF1191" s="932"/>
    </row>
    <row r="1192" spans="2:58" ht="15" x14ac:dyDescent="0.25">
      <c r="B1192" s="932"/>
      <c r="C1192" s="932"/>
      <c r="D1192" s="932"/>
      <c r="E1192" s="932"/>
      <c r="F1192" s="932"/>
      <c r="G1192" s="932"/>
      <c r="H1192" s="932"/>
      <c r="I1192" s="932"/>
      <c r="J1192" s="932"/>
      <c r="K1192" s="932"/>
      <c r="L1192" s="932"/>
      <c r="M1192" s="932"/>
      <c r="N1192" s="932"/>
      <c r="O1192" s="932"/>
      <c r="P1192" s="932"/>
      <c r="Q1192" s="932"/>
      <c r="R1192" s="932"/>
      <c r="S1192" s="932"/>
      <c r="T1192" s="932"/>
      <c r="U1192" s="932"/>
      <c r="V1192" s="932"/>
      <c r="W1192" s="932"/>
      <c r="X1192" s="932"/>
      <c r="Y1192" s="932"/>
      <c r="Z1192" s="932"/>
      <c r="AA1192" s="932"/>
      <c r="AB1192" s="932"/>
      <c r="AC1192" s="932"/>
      <c r="AD1192" s="932"/>
      <c r="AE1192" s="932"/>
      <c r="AF1192" s="932"/>
      <c r="AG1192" s="932"/>
      <c r="AH1192" s="932"/>
      <c r="AI1192" s="932"/>
      <c r="AJ1192" s="932"/>
      <c r="AK1192" s="932"/>
      <c r="AL1192" s="932"/>
      <c r="AM1192" s="932"/>
      <c r="AN1192" s="932"/>
      <c r="AO1192" s="932"/>
      <c r="AP1192" s="932"/>
      <c r="AQ1192" s="932"/>
      <c r="AR1192" s="932"/>
      <c r="AS1192" s="932"/>
      <c r="AT1192" s="932"/>
      <c r="AU1192" s="932"/>
      <c r="AV1192" s="932"/>
      <c r="AW1192" s="932"/>
      <c r="AX1192" s="932"/>
      <c r="AY1192" s="932"/>
      <c r="AZ1192" s="932"/>
      <c r="BA1192" s="932"/>
      <c r="BB1192" s="932"/>
      <c r="BC1192" s="932"/>
      <c r="BD1192" s="932"/>
      <c r="BE1192" s="932"/>
      <c r="BF1192" s="932"/>
    </row>
    <row r="1193" spans="2:58" ht="15" x14ac:dyDescent="0.25">
      <c r="B1193" s="932"/>
      <c r="C1193" s="932"/>
      <c r="D1193" s="932"/>
      <c r="E1193" s="932"/>
      <c r="F1193" s="932"/>
      <c r="G1193" s="932"/>
      <c r="H1193" s="932"/>
      <c r="I1193" s="932"/>
      <c r="J1193" s="932"/>
      <c r="K1193" s="932"/>
      <c r="L1193" s="932"/>
      <c r="M1193" s="932"/>
      <c r="N1193" s="932"/>
      <c r="O1193" s="932"/>
      <c r="P1193" s="932"/>
      <c r="Q1193" s="932"/>
      <c r="R1193" s="932"/>
      <c r="S1193" s="932"/>
      <c r="T1193" s="932"/>
      <c r="U1193" s="932"/>
      <c r="V1193" s="932"/>
      <c r="W1193" s="932"/>
      <c r="X1193" s="932"/>
      <c r="Y1193" s="932"/>
      <c r="Z1193" s="932"/>
      <c r="AA1193" s="932"/>
      <c r="AB1193" s="932"/>
      <c r="AC1193" s="932"/>
      <c r="AD1193" s="932"/>
      <c r="AE1193" s="932"/>
      <c r="AF1193" s="932"/>
      <c r="AG1193" s="932"/>
      <c r="AH1193" s="932"/>
      <c r="AI1193" s="932"/>
      <c r="AJ1193" s="932"/>
      <c r="AK1193" s="932"/>
      <c r="AL1193" s="932"/>
      <c r="AM1193" s="932"/>
      <c r="AN1193" s="932"/>
      <c r="AO1193" s="932"/>
      <c r="AP1193" s="932"/>
      <c r="AQ1193" s="932"/>
      <c r="AR1193" s="932"/>
      <c r="AS1193" s="932"/>
      <c r="AT1193" s="932"/>
      <c r="AU1193" s="932"/>
      <c r="AV1193" s="932"/>
      <c r="AW1193" s="932"/>
      <c r="AX1193" s="932"/>
      <c r="AY1193" s="932"/>
      <c r="AZ1193" s="932"/>
      <c r="BA1193" s="932"/>
      <c r="BB1193" s="932"/>
      <c r="BC1193" s="932"/>
      <c r="BD1193" s="932"/>
      <c r="BE1193" s="932"/>
      <c r="BF1193" s="932"/>
    </row>
    <row r="1194" spans="2:58" ht="15" x14ac:dyDescent="0.25">
      <c r="B1194" s="932"/>
      <c r="C1194" s="932"/>
      <c r="D1194" s="932"/>
      <c r="E1194" s="932"/>
      <c r="F1194" s="932"/>
      <c r="G1194" s="932"/>
      <c r="H1194" s="932"/>
      <c r="I1194" s="932"/>
      <c r="J1194" s="932"/>
      <c r="K1194" s="932"/>
      <c r="L1194" s="932"/>
      <c r="M1194" s="932"/>
      <c r="N1194" s="932"/>
      <c r="O1194" s="932"/>
      <c r="P1194" s="932"/>
      <c r="Q1194" s="932"/>
      <c r="R1194" s="932"/>
      <c r="S1194" s="932"/>
      <c r="T1194" s="932"/>
      <c r="U1194" s="932"/>
      <c r="V1194" s="932"/>
      <c r="W1194" s="932"/>
      <c r="X1194" s="932"/>
      <c r="Y1194" s="932"/>
      <c r="Z1194" s="932"/>
      <c r="AA1194" s="932"/>
      <c r="AB1194" s="932"/>
      <c r="AC1194" s="932"/>
      <c r="AD1194" s="932"/>
      <c r="AE1194" s="932"/>
      <c r="AF1194" s="932"/>
      <c r="AG1194" s="932"/>
      <c r="AH1194" s="932"/>
      <c r="AI1194" s="932"/>
      <c r="AJ1194" s="932"/>
      <c r="AK1194" s="932"/>
      <c r="AL1194" s="932"/>
      <c r="AM1194" s="932"/>
      <c r="AN1194" s="932"/>
      <c r="AO1194" s="932"/>
      <c r="AP1194" s="932"/>
      <c r="AQ1194" s="932"/>
      <c r="AR1194" s="932"/>
      <c r="AS1194" s="932"/>
      <c r="AT1194" s="932"/>
      <c r="AU1194" s="932"/>
      <c r="AV1194" s="932"/>
      <c r="AW1194" s="932"/>
      <c r="AX1194" s="932"/>
      <c r="AY1194" s="932"/>
      <c r="AZ1194" s="932"/>
      <c r="BA1194" s="932"/>
      <c r="BB1194" s="932"/>
      <c r="BC1194" s="932"/>
      <c r="BD1194" s="932"/>
      <c r="BE1194" s="932"/>
      <c r="BF1194" s="932"/>
    </row>
    <row r="1195" spans="2:58" ht="15" x14ac:dyDescent="0.25">
      <c r="B1195" s="932"/>
      <c r="C1195" s="932"/>
      <c r="D1195" s="932"/>
      <c r="E1195" s="932"/>
      <c r="F1195" s="932"/>
      <c r="G1195" s="932"/>
      <c r="H1195" s="932"/>
      <c r="I1195" s="932"/>
      <c r="J1195" s="932"/>
      <c r="K1195" s="932"/>
      <c r="L1195" s="932"/>
      <c r="M1195" s="932"/>
      <c r="N1195" s="932"/>
      <c r="O1195" s="932"/>
      <c r="P1195" s="932"/>
      <c r="Q1195" s="932"/>
      <c r="R1195" s="932"/>
      <c r="S1195" s="932"/>
      <c r="T1195" s="932"/>
      <c r="U1195" s="932"/>
      <c r="V1195" s="932"/>
      <c r="W1195" s="932"/>
      <c r="X1195" s="932"/>
      <c r="Y1195" s="932"/>
      <c r="Z1195" s="932"/>
      <c r="AA1195" s="932"/>
      <c r="AB1195" s="932"/>
      <c r="AC1195" s="932"/>
      <c r="AD1195" s="932"/>
      <c r="AE1195" s="932"/>
      <c r="AF1195" s="932"/>
      <c r="AG1195" s="932"/>
      <c r="AH1195" s="932"/>
      <c r="AI1195" s="932"/>
      <c r="AJ1195" s="932"/>
      <c r="AK1195" s="932"/>
      <c r="AL1195" s="932"/>
      <c r="AM1195" s="932"/>
      <c r="AN1195" s="932"/>
      <c r="AO1195" s="932"/>
      <c r="AP1195" s="932"/>
      <c r="AQ1195" s="932"/>
      <c r="AR1195" s="932"/>
      <c r="AS1195" s="932"/>
      <c r="AT1195" s="932"/>
      <c r="AU1195" s="932"/>
      <c r="AV1195" s="932"/>
      <c r="AW1195" s="932"/>
      <c r="AX1195" s="932"/>
      <c r="AY1195" s="932"/>
      <c r="AZ1195" s="932"/>
      <c r="BA1195" s="932"/>
      <c r="BB1195" s="932"/>
      <c r="BC1195" s="932"/>
      <c r="BD1195" s="932"/>
      <c r="BE1195" s="932"/>
      <c r="BF1195" s="932"/>
    </row>
    <row r="1196" spans="2:58" ht="15" x14ac:dyDescent="0.25">
      <c r="B1196" s="932"/>
      <c r="C1196" s="932"/>
      <c r="D1196" s="932"/>
      <c r="E1196" s="932"/>
      <c r="F1196" s="932"/>
      <c r="G1196" s="932"/>
      <c r="H1196" s="932"/>
      <c r="I1196" s="932"/>
      <c r="J1196" s="932"/>
      <c r="K1196" s="932"/>
      <c r="L1196" s="932"/>
      <c r="M1196" s="932"/>
      <c r="N1196" s="932"/>
      <c r="O1196" s="932"/>
      <c r="P1196" s="932"/>
      <c r="Q1196" s="932"/>
      <c r="R1196" s="932"/>
      <c r="S1196" s="932"/>
      <c r="T1196" s="932"/>
      <c r="U1196" s="932"/>
      <c r="V1196" s="932"/>
      <c r="W1196" s="932"/>
      <c r="X1196" s="932"/>
      <c r="Y1196" s="932"/>
      <c r="Z1196" s="932"/>
      <c r="AA1196" s="932"/>
      <c r="AB1196" s="932"/>
      <c r="AC1196" s="932"/>
      <c r="AD1196" s="932"/>
      <c r="AE1196" s="932"/>
      <c r="AF1196" s="932"/>
      <c r="AG1196" s="932"/>
      <c r="AH1196" s="932"/>
      <c r="AI1196" s="932"/>
      <c r="AJ1196" s="932"/>
      <c r="AK1196" s="932"/>
      <c r="AL1196" s="932"/>
      <c r="AM1196" s="932"/>
      <c r="AN1196" s="932"/>
      <c r="AO1196" s="932"/>
      <c r="AP1196" s="932"/>
      <c r="AQ1196" s="932"/>
      <c r="AR1196" s="932"/>
      <c r="AS1196" s="932"/>
      <c r="AT1196" s="932"/>
      <c r="AU1196" s="932"/>
      <c r="AV1196" s="932"/>
      <c r="AW1196" s="932"/>
      <c r="AX1196" s="932"/>
      <c r="AY1196" s="932"/>
      <c r="AZ1196" s="932"/>
      <c r="BA1196" s="932"/>
      <c r="BB1196" s="932"/>
      <c r="BC1196" s="932"/>
      <c r="BD1196" s="932"/>
      <c r="BE1196" s="932"/>
      <c r="BF1196" s="932"/>
    </row>
    <row r="1197" spans="2:58" ht="15" x14ac:dyDescent="0.25">
      <c r="B1197" s="932"/>
      <c r="C1197" s="932"/>
      <c r="D1197" s="932"/>
      <c r="E1197" s="932"/>
      <c r="F1197" s="932"/>
      <c r="G1197" s="932"/>
      <c r="H1197" s="932"/>
      <c r="I1197" s="932"/>
      <c r="J1197" s="932"/>
      <c r="K1197" s="932"/>
      <c r="L1197" s="932"/>
      <c r="M1197" s="932"/>
      <c r="N1197" s="932"/>
      <c r="O1197" s="932"/>
      <c r="P1197" s="932"/>
      <c r="Q1197" s="932"/>
      <c r="R1197" s="932"/>
      <c r="S1197" s="932"/>
      <c r="T1197" s="932"/>
      <c r="U1197" s="932"/>
      <c r="V1197" s="932"/>
      <c r="W1197" s="932"/>
      <c r="X1197" s="932"/>
      <c r="Y1197" s="932"/>
      <c r="Z1197" s="932"/>
      <c r="AA1197" s="932"/>
      <c r="AB1197" s="932"/>
      <c r="AC1197" s="932"/>
      <c r="AD1197" s="932"/>
      <c r="AE1197" s="932"/>
      <c r="AF1197" s="932"/>
      <c r="AG1197" s="932"/>
      <c r="AH1197" s="932"/>
      <c r="AI1197" s="932"/>
      <c r="AJ1197" s="932"/>
      <c r="AK1197" s="932"/>
      <c r="AL1197" s="932"/>
      <c r="AM1197" s="932"/>
      <c r="AN1197" s="932"/>
      <c r="AO1197" s="932"/>
      <c r="AP1197" s="932"/>
      <c r="AQ1197" s="932"/>
      <c r="AR1197" s="932"/>
      <c r="AS1197" s="932"/>
      <c r="AT1197" s="932"/>
      <c r="AU1197" s="932"/>
      <c r="AV1197" s="932"/>
      <c r="AW1197" s="932"/>
      <c r="AX1197" s="932"/>
      <c r="AY1197" s="932"/>
      <c r="AZ1197" s="932"/>
      <c r="BA1197" s="932"/>
      <c r="BB1197" s="932"/>
      <c r="BC1197" s="932"/>
      <c r="BD1197" s="932"/>
      <c r="BE1197" s="932"/>
      <c r="BF1197" s="932"/>
    </row>
    <row r="1198" spans="2:58" ht="15" x14ac:dyDescent="0.25">
      <c r="B1198" s="932"/>
      <c r="C1198" s="932"/>
      <c r="D1198" s="932"/>
      <c r="E1198" s="932"/>
      <c r="F1198" s="932"/>
      <c r="G1198" s="932"/>
      <c r="H1198" s="932"/>
      <c r="I1198" s="932"/>
      <c r="J1198" s="932"/>
      <c r="K1198" s="932"/>
      <c r="L1198" s="932"/>
      <c r="M1198" s="932"/>
      <c r="N1198" s="932"/>
      <c r="O1198" s="932"/>
      <c r="P1198" s="932"/>
      <c r="Q1198" s="932"/>
      <c r="R1198" s="932"/>
      <c r="S1198" s="932"/>
      <c r="T1198" s="932"/>
      <c r="U1198" s="932"/>
      <c r="V1198" s="932"/>
      <c r="W1198" s="932"/>
      <c r="X1198" s="932"/>
      <c r="Y1198" s="932"/>
      <c r="Z1198" s="932"/>
      <c r="AA1198" s="932"/>
      <c r="AB1198" s="932"/>
      <c r="AC1198" s="932"/>
      <c r="AD1198" s="932"/>
      <c r="AE1198" s="932"/>
      <c r="AF1198" s="932"/>
      <c r="AG1198" s="932"/>
      <c r="AH1198" s="932"/>
      <c r="AI1198" s="932"/>
      <c r="AJ1198" s="932"/>
      <c r="AK1198" s="932"/>
      <c r="AL1198" s="932"/>
      <c r="AM1198" s="932"/>
      <c r="AN1198" s="932"/>
      <c r="AO1198" s="932"/>
      <c r="AP1198" s="932"/>
      <c r="AQ1198" s="932"/>
      <c r="AR1198" s="932"/>
      <c r="AS1198" s="932"/>
      <c r="AT1198" s="932"/>
      <c r="AU1198" s="932"/>
      <c r="AV1198" s="932"/>
      <c r="AW1198" s="932"/>
      <c r="AX1198" s="932"/>
      <c r="AY1198" s="932"/>
      <c r="AZ1198" s="932"/>
      <c r="BA1198" s="932"/>
      <c r="BB1198" s="932"/>
      <c r="BC1198" s="932"/>
      <c r="BD1198" s="932"/>
      <c r="BE1198" s="932"/>
      <c r="BF1198" s="932"/>
    </row>
    <row r="1199" spans="2:58" ht="15" x14ac:dyDescent="0.25">
      <c r="B1199" s="932"/>
      <c r="C1199" s="932"/>
      <c r="D1199" s="932"/>
      <c r="E1199" s="932"/>
      <c r="F1199" s="932"/>
      <c r="G1199" s="932"/>
      <c r="H1199" s="932"/>
      <c r="I1199" s="932"/>
      <c r="J1199" s="932"/>
      <c r="K1199" s="932"/>
      <c r="L1199" s="932"/>
      <c r="M1199" s="932"/>
      <c r="N1199" s="932"/>
      <c r="O1199" s="932"/>
      <c r="P1199" s="932"/>
      <c r="Q1199" s="932"/>
      <c r="R1199" s="932"/>
      <c r="S1199" s="932"/>
      <c r="T1199" s="932"/>
      <c r="U1199" s="932"/>
      <c r="V1199" s="932"/>
      <c r="W1199" s="932"/>
      <c r="X1199" s="932"/>
      <c r="Y1199" s="932"/>
      <c r="Z1199" s="932"/>
      <c r="AA1199" s="932"/>
      <c r="AB1199" s="932"/>
      <c r="AC1199" s="932"/>
      <c r="AD1199" s="932"/>
      <c r="AE1199" s="932"/>
      <c r="AF1199" s="932"/>
      <c r="AG1199" s="932"/>
      <c r="AH1199" s="932"/>
      <c r="AI1199" s="932"/>
      <c r="AJ1199" s="932"/>
      <c r="AK1199" s="932"/>
      <c r="AL1199" s="932"/>
      <c r="AM1199" s="932"/>
      <c r="AN1199" s="932"/>
      <c r="AO1199" s="932"/>
      <c r="AP1199" s="932"/>
      <c r="AQ1199" s="932"/>
      <c r="AR1199" s="932"/>
      <c r="AS1199" s="932"/>
      <c r="AT1199" s="932"/>
      <c r="AU1199" s="932"/>
      <c r="AV1199" s="932"/>
      <c r="AW1199" s="932"/>
      <c r="AX1199" s="932"/>
      <c r="AY1199" s="932"/>
      <c r="AZ1199" s="932"/>
      <c r="BA1199" s="932"/>
      <c r="BB1199" s="932"/>
      <c r="BC1199" s="932"/>
      <c r="BD1199" s="932"/>
      <c r="BE1199" s="932"/>
      <c r="BF1199" s="932"/>
    </row>
    <row r="1200" spans="2:58" ht="15" x14ac:dyDescent="0.25">
      <c r="B1200" s="932"/>
      <c r="C1200" s="932"/>
      <c r="D1200" s="932"/>
      <c r="E1200" s="932"/>
      <c r="F1200" s="932"/>
      <c r="G1200" s="932"/>
      <c r="H1200" s="932"/>
      <c r="I1200" s="932"/>
      <c r="J1200" s="932"/>
      <c r="K1200" s="932"/>
      <c r="L1200" s="932"/>
      <c r="M1200" s="932"/>
      <c r="N1200" s="932"/>
      <c r="O1200" s="932"/>
      <c r="P1200" s="932"/>
      <c r="Q1200" s="932"/>
      <c r="R1200" s="932"/>
      <c r="S1200" s="932"/>
      <c r="T1200" s="932"/>
      <c r="U1200" s="932"/>
      <c r="V1200" s="932"/>
      <c r="W1200" s="932"/>
      <c r="X1200" s="932"/>
      <c r="Y1200" s="932"/>
      <c r="Z1200" s="932"/>
      <c r="AA1200" s="932"/>
      <c r="AB1200" s="932"/>
      <c r="AC1200" s="932"/>
      <c r="AD1200" s="932"/>
      <c r="AE1200" s="932"/>
      <c r="AF1200" s="932"/>
      <c r="AG1200" s="932"/>
      <c r="AH1200" s="932"/>
      <c r="AI1200" s="932"/>
      <c r="AJ1200" s="932"/>
      <c r="AK1200" s="932"/>
      <c r="AL1200" s="932"/>
      <c r="AM1200" s="932"/>
      <c r="AN1200" s="932"/>
      <c r="AO1200" s="932"/>
      <c r="AP1200" s="932"/>
      <c r="AQ1200" s="932"/>
      <c r="AR1200" s="932"/>
      <c r="AS1200" s="932"/>
      <c r="AT1200" s="932"/>
      <c r="AU1200" s="932"/>
      <c r="AV1200" s="932"/>
      <c r="AW1200" s="932"/>
      <c r="AX1200" s="932"/>
      <c r="AY1200" s="932"/>
      <c r="AZ1200" s="932"/>
      <c r="BA1200" s="932"/>
      <c r="BB1200" s="932"/>
      <c r="BC1200" s="932"/>
      <c r="BD1200" s="932"/>
      <c r="BE1200" s="932"/>
      <c r="BF1200" s="932"/>
    </row>
    <row r="1201" spans="2:58" ht="15" x14ac:dyDescent="0.25">
      <c r="B1201" s="932"/>
      <c r="C1201" s="932"/>
      <c r="D1201" s="932"/>
      <c r="E1201" s="932"/>
      <c r="F1201" s="932"/>
      <c r="G1201" s="932"/>
      <c r="H1201" s="932"/>
      <c r="I1201" s="932"/>
      <c r="J1201" s="932"/>
      <c r="K1201" s="932"/>
      <c r="L1201" s="932"/>
      <c r="M1201" s="932"/>
      <c r="N1201" s="932"/>
      <c r="O1201" s="932"/>
      <c r="P1201" s="932"/>
      <c r="Q1201" s="932"/>
      <c r="R1201" s="932"/>
      <c r="S1201" s="932"/>
      <c r="T1201" s="932"/>
      <c r="U1201" s="932"/>
      <c r="V1201" s="932"/>
      <c r="W1201" s="932"/>
      <c r="X1201" s="932"/>
      <c r="Y1201" s="932"/>
      <c r="Z1201" s="932"/>
      <c r="AA1201" s="932"/>
      <c r="AB1201" s="932"/>
      <c r="AC1201" s="932"/>
      <c r="AD1201" s="932"/>
      <c r="AE1201" s="932"/>
      <c r="AF1201" s="932"/>
      <c r="AG1201" s="932"/>
      <c r="AH1201" s="932"/>
      <c r="AI1201" s="932"/>
      <c r="AJ1201" s="932"/>
      <c r="AK1201" s="932"/>
      <c r="AL1201" s="932"/>
      <c r="AM1201" s="932"/>
      <c r="AN1201" s="932"/>
      <c r="AO1201" s="932"/>
      <c r="AP1201" s="932"/>
      <c r="AQ1201" s="932"/>
      <c r="AR1201" s="932"/>
      <c r="AS1201" s="932"/>
      <c r="AT1201" s="932"/>
      <c r="AU1201" s="932"/>
      <c r="AV1201" s="932"/>
      <c r="AW1201" s="932"/>
      <c r="AX1201" s="932"/>
      <c r="AY1201" s="932"/>
      <c r="AZ1201" s="932"/>
      <c r="BA1201" s="932"/>
      <c r="BB1201" s="932"/>
      <c r="BC1201" s="932"/>
      <c r="BD1201" s="932"/>
      <c r="BE1201" s="932"/>
      <c r="BF1201" s="932"/>
    </row>
    <row r="1202" spans="2:58" ht="15" x14ac:dyDescent="0.25">
      <c r="B1202" s="932"/>
      <c r="C1202" s="932"/>
      <c r="D1202" s="932"/>
      <c r="E1202" s="932"/>
      <c r="F1202" s="932"/>
      <c r="G1202" s="932"/>
      <c r="H1202" s="932"/>
      <c r="I1202" s="932"/>
      <c r="J1202" s="932"/>
      <c r="K1202" s="932"/>
      <c r="L1202" s="932"/>
      <c r="M1202" s="932"/>
      <c r="N1202" s="932"/>
      <c r="O1202" s="932"/>
      <c r="P1202" s="932"/>
      <c r="Q1202" s="932"/>
      <c r="R1202" s="932"/>
      <c r="S1202" s="932"/>
      <c r="T1202" s="932"/>
      <c r="U1202" s="932"/>
      <c r="V1202" s="932"/>
      <c r="W1202" s="932"/>
      <c r="X1202" s="932"/>
      <c r="Y1202" s="932"/>
      <c r="Z1202" s="932"/>
      <c r="AA1202" s="932"/>
      <c r="AB1202" s="932"/>
      <c r="AC1202" s="932"/>
      <c r="AD1202" s="932"/>
      <c r="AE1202" s="932"/>
      <c r="AF1202" s="932"/>
      <c r="AG1202" s="932"/>
      <c r="AH1202" s="932"/>
      <c r="AI1202" s="932"/>
      <c r="AJ1202" s="932"/>
      <c r="AK1202" s="932"/>
      <c r="AL1202" s="932"/>
      <c r="AM1202" s="932"/>
      <c r="AN1202" s="932"/>
      <c r="AO1202" s="932"/>
      <c r="AP1202" s="932"/>
      <c r="AQ1202" s="932"/>
      <c r="AR1202" s="932"/>
      <c r="AS1202" s="932"/>
      <c r="AT1202" s="932"/>
      <c r="AU1202" s="932"/>
      <c r="AV1202" s="932"/>
      <c r="AW1202" s="932"/>
      <c r="AX1202" s="932"/>
      <c r="AY1202" s="932"/>
      <c r="AZ1202" s="932"/>
      <c r="BA1202" s="932"/>
      <c r="BB1202" s="932"/>
      <c r="BC1202" s="932"/>
      <c r="BD1202" s="932"/>
      <c r="BE1202" s="932"/>
      <c r="BF1202" s="932"/>
    </row>
    <row r="1203" spans="2:58" ht="15" x14ac:dyDescent="0.25">
      <c r="B1203" s="932"/>
      <c r="C1203" s="932"/>
      <c r="D1203" s="932"/>
      <c r="E1203" s="932"/>
      <c r="F1203" s="932"/>
      <c r="G1203" s="932"/>
      <c r="H1203" s="932"/>
      <c r="I1203" s="932"/>
      <c r="J1203" s="932"/>
      <c r="K1203" s="932"/>
      <c r="L1203" s="932"/>
      <c r="M1203" s="932"/>
      <c r="N1203" s="932"/>
      <c r="O1203" s="932"/>
      <c r="P1203" s="932"/>
      <c r="Q1203" s="932"/>
      <c r="R1203" s="932"/>
      <c r="S1203" s="932"/>
      <c r="T1203" s="932"/>
      <c r="U1203" s="932"/>
      <c r="V1203" s="932"/>
      <c r="W1203" s="932"/>
      <c r="X1203" s="932"/>
      <c r="Y1203" s="932"/>
      <c r="Z1203" s="932"/>
      <c r="AA1203" s="932"/>
      <c r="AB1203" s="932"/>
      <c r="AC1203" s="932"/>
      <c r="AD1203" s="932"/>
      <c r="AE1203" s="932"/>
      <c r="AF1203" s="932"/>
      <c r="AG1203" s="932"/>
      <c r="AH1203" s="932"/>
      <c r="AI1203" s="932"/>
      <c r="AJ1203" s="932"/>
      <c r="AK1203" s="932"/>
      <c r="AL1203" s="932"/>
      <c r="AM1203" s="932"/>
      <c r="AN1203" s="932"/>
      <c r="AO1203" s="932"/>
      <c r="AP1203" s="932"/>
      <c r="AQ1203" s="932"/>
      <c r="AR1203" s="932"/>
      <c r="AS1203" s="932"/>
      <c r="AT1203" s="932"/>
      <c r="AU1203" s="932"/>
      <c r="AV1203" s="932"/>
      <c r="AW1203" s="932"/>
      <c r="AX1203" s="932"/>
      <c r="AY1203" s="932"/>
      <c r="AZ1203" s="932"/>
      <c r="BA1203" s="932"/>
      <c r="BB1203" s="932"/>
      <c r="BC1203" s="932"/>
      <c r="BD1203" s="932"/>
      <c r="BE1203" s="932"/>
      <c r="BF1203" s="932"/>
    </row>
    <row r="1204" spans="2:58" ht="15" x14ac:dyDescent="0.25">
      <c r="B1204" s="932"/>
      <c r="C1204" s="932"/>
      <c r="D1204" s="932"/>
      <c r="E1204" s="932"/>
      <c r="F1204" s="932"/>
      <c r="G1204" s="932"/>
      <c r="H1204" s="932"/>
      <c r="I1204" s="932"/>
      <c r="J1204" s="932"/>
      <c r="K1204" s="932"/>
      <c r="L1204" s="932"/>
      <c r="M1204" s="932"/>
      <c r="N1204" s="932"/>
      <c r="O1204" s="932"/>
      <c r="P1204" s="932"/>
      <c r="Q1204" s="932"/>
      <c r="R1204" s="932"/>
      <c r="S1204" s="932"/>
      <c r="T1204" s="932"/>
      <c r="U1204" s="932"/>
      <c r="V1204" s="932"/>
      <c r="W1204" s="932"/>
      <c r="X1204" s="932"/>
      <c r="Y1204" s="932"/>
      <c r="Z1204" s="932"/>
      <c r="AA1204" s="932"/>
      <c r="AB1204" s="932"/>
      <c r="AC1204" s="932"/>
      <c r="AD1204" s="932"/>
      <c r="AE1204" s="932"/>
      <c r="AF1204" s="932"/>
      <c r="AG1204" s="932"/>
      <c r="AH1204" s="932"/>
      <c r="AI1204" s="932"/>
      <c r="AJ1204" s="932"/>
      <c r="AK1204" s="932"/>
      <c r="AL1204" s="932"/>
      <c r="AM1204" s="932"/>
      <c r="AN1204" s="932"/>
      <c r="AO1204" s="932"/>
      <c r="AP1204" s="932"/>
      <c r="AQ1204" s="932"/>
      <c r="AR1204" s="932"/>
      <c r="AS1204" s="932"/>
      <c r="AT1204" s="932"/>
      <c r="AU1204" s="932"/>
      <c r="AV1204" s="932"/>
      <c r="AW1204" s="932"/>
      <c r="AX1204" s="932"/>
      <c r="AY1204" s="932"/>
      <c r="AZ1204" s="932"/>
      <c r="BA1204" s="932"/>
      <c r="BB1204" s="932"/>
      <c r="BC1204" s="932"/>
      <c r="BD1204" s="932"/>
      <c r="BE1204" s="932"/>
      <c r="BF1204" s="932"/>
    </row>
    <row r="1205" spans="2:58" ht="15" x14ac:dyDescent="0.25">
      <c r="B1205" s="932"/>
      <c r="C1205" s="932"/>
      <c r="D1205" s="932"/>
      <c r="E1205" s="932"/>
      <c r="F1205" s="932"/>
      <c r="G1205" s="932"/>
      <c r="H1205" s="932"/>
      <c r="I1205" s="932"/>
      <c r="J1205" s="932"/>
      <c r="K1205" s="932"/>
      <c r="L1205" s="932"/>
      <c r="M1205" s="932"/>
      <c r="N1205" s="932"/>
      <c r="O1205" s="932"/>
      <c r="P1205" s="932"/>
      <c r="Q1205" s="932"/>
      <c r="R1205" s="932"/>
      <c r="S1205" s="932"/>
      <c r="T1205" s="932"/>
      <c r="U1205" s="932"/>
      <c r="V1205" s="932"/>
      <c r="W1205" s="932"/>
      <c r="X1205" s="932"/>
      <c r="Y1205" s="932"/>
      <c r="Z1205" s="932"/>
      <c r="AA1205" s="932"/>
      <c r="AB1205" s="932"/>
      <c r="AC1205" s="932"/>
      <c r="AD1205" s="932"/>
      <c r="AE1205" s="932"/>
      <c r="AF1205" s="932"/>
      <c r="AG1205" s="932"/>
      <c r="AH1205" s="932"/>
      <c r="AI1205" s="932"/>
      <c r="AJ1205" s="932"/>
      <c r="AK1205" s="932"/>
      <c r="AL1205" s="932"/>
      <c r="AM1205" s="932"/>
      <c r="AN1205" s="932"/>
      <c r="AO1205" s="932"/>
      <c r="AP1205" s="932"/>
      <c r="AQ1205" s="932"/>
      <c r="AR1205" s="932"/>
      <c r="AS1205" s="932"/>
      <c r="AT1205" s="932"/>
      <c r="AU1205" s="932"/>
      <c r="AV1205" s="932"/>
      <c r="AW1205" s="932"/>
      <c r="AX1205" s="932"/>
      <c r="AY1205" s="932"/>
      <c r="AZ1205" s="932"/>
      <c r="BA1205" s="932"/>
      <c r="BB1205" s="932"/>
      <c r="BC1205" s="932"/>
      <c r="BD1205" s="932"/>
      <c r="BE1205" s="932"/>
      <c r="BF1205" s="932"/>
    </row>
    <row r="1206" spans="2:58" ht="15" x14ac:dyDescent="0.25">
      <c r="B1206" s="932"/>
      <c r="C1206" s="932"/>
      <c r="D1206" s="932"/>
      <c r="E1206" s="932"/>
      <c r="F1206" s="932"/>
      <c r="G1206" s="932"/>
      <c r="H1206" s="932"/>
      <c r="I1206" s="932"/>
      <c r="J1206" s="932"/>
      <c r="K1206" s="932"/>
      <c r="L1206" s="932"/>
      <c r="M1206" s="932"/>
      <c r="N1206" s="932"/>
      <c r="O1206" s="932"/>
      <c r="P1206" s="932"/>
      <c r="Q1206" s="932"/>
      <c r="R1206" s="932"/>
      <c r="S1206" s="932"/>
      <c r="T1206" s="932"/>
      <c r="U1206" s="932"/>
      <c r="V1206" s="932"/>
      <c r="W1206" s="932"/>
      <c r="X1206" s="932"/>
      <c r="Y1206" s="932"/>
      <c r="Z1206" s="932"/>
      <c r="AA1206" s="932"/>
      <c r="AB1206" s="932"/>
      <c r="AC1206" s="932"/>
      <c r="AD1206" s="932"/>
      <c r="AE1206" s="932"/>
      <c r="AF1206" s="932"/>
      <c r="AG1206" s="932"/>
      <c r="AH1206" s="932"/>
      <c r="AI1206" s="932"/>
      <c r="AJ1206" s="932"/>
      <c r="AK1206" s="932"/>
      <c r="AL1206" s="932"/>
      <c r="AM1206" s="932"/>
      <c r="AN1206" s="932"/>
      <c r="AO1206" s="932"/>
      <c r="AP1206" s="932"/>
      <c r="AQ1206" s="932"/>
      <c r="AR1206" s="932"/>
      <c r="AS1206" s="932"/>
      <c r="AT1206" s="932"/>
      <c r="AU1206" s="932"/>
      <c r="AV1206" s="932"/>
      <c r="AW1206" s="932"/>
      <c r="AX1206" s="932"/>
      <c r="AY1206" s="932"/>
      <c r="AZ1206" s="932"/>
      <c r="BA1206" s="932"/>
      <c r="BB1206" s="932"/>
      <c r="BC1206" s="932"/>
      <c r="BD1206" s="932"/>
      <c r="BE1206" s="932"/>
      <c r="BF1206" s="932"/>
    </row>
    <row r="1207" spans="2:58" ht="15" x14ac:dyDescent="0.25">
      <c r="B1207" s="932"/>
      <c r="C1207" s="932"/>
      <c r="D1207" s="932"/>
      <c r="E1207" s="932"/>
      <c r="F1207" s="932"/>
      <c r="G1207" s="932"/>
      <c r="H1207" s="932"/>
      <c r="I1207" s="932"/>
      <c r="J1207" s="932"/>
      <c r="K1207" s="932"/>
      <c r="L1207" s="932"/>
      <c r="M1207" s="932"/>
      <c r="N1207" s="932"/>
      <c r="O1207" s="932"/>
      <c r="P1207" s="932"/>
      <c r="Q1207" s="932"/>
      <c r="R1207" s="932"/>
      <c r="S1207" s="932"/>
      <c r="T1207" s="932"/>
      <c r="U1207" s="932"/>
      <c r="V1207" s="932"/>
      <c r="W1207" s="932"/>
      <c r="X1207" s="932"/>
      <c r="Y1207" s="932"/>
      <c r="Z1207" s="932"/>
      <c r="AA1207" s="932"/>
      <c r="AB1207" s="932"/>
      <c r="AC1207" s="932"/>
      <c r="AD1207" s="932"/>
      <c r="AE1207" s="932"/>
      <c r="AF1207" s="932"/>
      <c r="AG1207" s="932"/>
      <c r="AH1207" s="932"/>
      <c r="AI1207" s="932"/>
      <c r="AJ1207" s="932"/>
      <c r="AK1207" s="932"/>
      <c r="AL1207" s="932"/>
      <c r="AM1207" s="932"/>
      <c r="AN1207" s="932"/>
      <c r="AO1207" s="932"/>
      <c r="AP1207" s="932"/>
      <c r="AQ1207" s="932"/>
      <c r="AR1207" s="932"/>
      <c r="AS1207" s="932"/>
      <c r="AT1207" s="932"/>
      <c r="AU1207" s="932"/>
      <c r="AV1207" s="932"/>
      <c r="AW1207" s="932"/>
      <c r="AX1207" s="932"/>
      <c r="AY1207" s="932"/>
      <c r="AZ1207" s="932"/>
      <c r="BA1207" s="932"/>
      <c r="BB1207" s="932"/>
      <c r="BC1207" s="932"/>
      <c r="BD1207" s="932"/>
      <c r="BE1207" s="932"/>
      <c r="BF1207" s="932"/>
    </row>
    <row r="1208" spans="2:58" ht="15" x14ac:dyDescent="0.25">
      <c r="B1208" s="932"/>
      <c r="C1208" s="932"/>
      <c r="D1208" s="932"/>
      <c r="E1208" s="932"/>
      <c r="F1208" s="932"/>
      <c r="G1208" s="932"/>
      <c r="H1208" s="932"/>
      <c r="I1208" s="932"/>
      <c r="J1208" s="932"/>
      <c r="K1208" s="932"/>
      <c r="L1208" s="932"/>
      <c r="M1208" s="932"/>
      <c r="N1208" s="932"/>
      <c r="O1208" s="932"/>
      <c r="P1208" s="932"/>
      <c r="Q1208" s="932"/>
      <c r="R1208" s="932"/>
      <c r="S1208" s="932"/>
      <c r="T1208" s="932"/>
      <c r="U1208" s="932"/>
      <c r="V1208" s="932"/>
      <c r="W1208" s="932"/>
      <c r="X1208" s="932"/>
      <c r="Y1208" s="932"/>
      <c r="Z1208" s="932"/>
      <c r="AA1208" s="932"/>
      <c r="AB1208" s="932"/>
      <c r="AC1208" s="932"/>
      <c r="AD1208" s="932"/>
      <c r="AE1208" s="932"/>
      <c r="AF1208" s="932"/>
      <c r="AG1208" s="932"/>
      <c r="AH1208" s="932"/>
      <c r="AI1208" s="932"/>
      <c r="AJ1208" s="932"/>
      <c r="AK1208" s="932"/>
      <c r="AL1208" s="932"/>
      <c r="AM1208" s="932"/>
      <c r="AN1208" s="932"/>
      <c r="AO1208" s="932"/>
      <c r="AP1208" s="932"/>
      <c r="AQ1208" s="932"/>
      <c r="AR1208" s="932"/>
      <c r="AS1208" s="932"/>
      <c r="AT1208" s="932"/>
      <c r="AU1208" s="932"/>
      <c r="AV1208" s="932"/>
      <c r="AW1208" s="932"/>
      <c r="AX1208" s="932"/>
      <c r="AY1208" s="932"/>
      <c r="AZ1208" s="932"/>
      <c r="BA1208" s="932"/>
      <c r="BB1208" s="932"/>
      <c r="BC1208" s="932"/>
      <c r="BD1208" s="932"/>
      <c r="BE1208" s="932"/>
      <c r="BF1208" s="932"/>
    </row>
    <row r="1209" spans="2:58" ht="15" x14ac:dyDescent="0.25">
      <c r="B1209" s="932"/>
      <c r="C1209" s="932"/>
      <c r="D1209" s="932"/>
      <c r="E1209" s="932"/>
      <c r="F1209" s="932"/>
      <c r="G1209" s="932"/>
      <c r="H1209" s="932"/>
      <c r="I1209" s="932"/>
      <c r="J1209" s="932"/>
      <c r="K1209" s="932"/>
      <c r="L1209" s="932"/>
      <c r="M1209" s="932"/>
      <c r="N1209" s="932"/>
      <c r="O1209" s="932"/>
      <c r="P1209" s="932"/>
      <c r="Q1209" s="932"/>
      <c r="R1209" s="932"/>
      <c r="S1209" s="932"/>
      <c r="T1209" s="932"/>
      <c r="U1209" s="932"/>
      <c r="V1209" s="932"/>
      <c r="W1209" s="932"/>
      <c r="X1209" s="932"/>
      <c r="Y1209" s="932"/>
      <c r="Z1209" s="932"/>
      <c r="AA1209" s="932"/>
      <c r="AB1209" s="932"/>
      <c r="AC1209" s="932"/>
      <c r="AD1209" s="932"/>
      <c r="AE1209" s="932"/>
      <c r="AF1209" s="932"/>
      <c r="AG1209" s="932"/>
      <c r="AH1209" s="932"/>
      <c r="AI1209" s="932"/>
      <c r="AJ1209" s="932"/>
      <c r="AK1209" s="932"/>
      <c r="AL1209" s="932"/>
      <c r="AM1209" s="932"/>
      <c r="AN1209" s="932"/>
      <c r="AO1209" s="932"/>
      <c r="AP1209" s="932"/>
      <c r="AQ1209" s="932"/>
      <c r="AR1209" s="932"/>
      <c r="AS1209" s="932"/>
      <c r="AT1209" s="932"/>
      <c r="AU1209" s="932"/>
      <c r="AV1209" s="932"/>
      <c r="AW1209" s="932"/>
      <c r="AX1209" s="932"/>
      <c r="AY1209" s="932"/>
      <c r="AZ1209" s="932"/>
      <c r="BA1209" s="932"/>
      <c r="BB1209" s="932"/>
      <c r="BC1209" s="932"/>
      <c r="BD1209" s="932"/>
      <c r="BE1209" s="932"/>
      <c r="BF1209" s="932"/>
    </row>
    <row r="1210" spans="2:58" ht="15" x14ac:dyDescent="0.25">
      <c r="B1210" s="932"/>
      <c r="C1210" s="932"/>
      <c r="D1210" s="932"/>
      <c r="E1210" s="932"/>
      <c r="F1210" s="932"/>
      <c r="G1210" s="932"/>
      <c r="H1210" s="932"/>
      <c r="I1210" s="932"/>
      <c r="J1210" s="932"/>
      <c r="K1210" s="932"/>
      <c r="L1210" s="932"/>
      <c r="M1210" s="932"/>
      <c r="N1210" s="932"/>
      <c r="O1210" s="932"/>
      <c r="P1210" s="932"/>
      <c r="Q1210" s="932"/>
      <c r="R1210" s="932"/>
      <c r="S1210" s="932"/>
      <c r="T1210" s="932"/>
      <c r="U1210" s="932"/>
      <c r="V1210" s="932"/>
      <c r="W1210" s="932"/>
      <c r="X1210" s="932"/>
      <c r="Y1210" s="932"/>
      <c r="Z1210" s="932"/>
      <c r="AA1210" s="932"/>
      <c r="AB1210" s="932"/>
      <c r="AC1210" s="932"/>
      <c r="AD1210" s="932"/>
      <c r="AE1210" s="932"/>
      <c r="AF1210" s="932"/>
      <c r="AG1210" s="932"/>
      <c r="AH1210" s="932"/>
      <c r="AI1210" s="932"/>
      <c r="AJ1210" s="932"/>
      <c r="AK1210" s="932"/>
      <c r="AL1210" s="932"/>
      <c r="AM1210" s="932"/>
      <c r="AN1210" s="932"/>
      <c r="AO1210" s="932"/>
      <c r="AP1210" s="932"/>
      <c r="AQ1210" s="932"/>
      <c r="AR1210" s="932"/>
      <c r="AS1210" s="932"/>
      <c r="AT1210" s="932"/>
      <c r="AU1210" s="932"/>
      <c r="AV1210" s="932"/>
      <c r="AW1210" s="932"/>
      <c r="AX1210" s="932"/>
      <c r="AY1210" s="932"/>
      <c r="AZ1210" s="932"/>
      <c r="BA1210" s="932"/>
      <c r="BB1210" s="932"/>
      <c r="BC1210" s="932"/>
      <c r="BD1210" s="932"/>
      <c r="BE1210" s="932"/>
      <c r="BF1210" s="932"/>
    </row>
    <row r="1211" spans="2:58" ht="15" x14ac:dyDescent="0.25">
      <c r="B1211" s="932"/>
      <c r="C1211" s="932"/>
      <c r="D1211" s="932"/>
      <c r="E1211" s="932"/>
      <c r="F1211" s="932"/>
      <c r="G1211" s="932"/>
      <c r="H1211" s="932"/>
      <c r="I1211" s="932"/>
      <c r="J1211" s="932"/>
      <c r="K1211" s="932"/>
      <c r="L1211" s="932"/>
      <c r="M1211" s="932"/>
      <c r="N1211" s="932"/>
      <c r="O1211" s="932"/>
      <c r="P1211" s="932"/>
      <c r="Q1211" s="932"/>
      <c r="R1211" s="932"/>
      <c r="S1211" s="932"/>
      <c r="T1211" s="932"/>
      <c r="U1211" s="932"/>
      <c r="V1211" s="932"/>
      <c r="W1211" s="932"/>
      <c r="X1211" s="932"/>
      <c r="Y1211" s="932"/>
      <c r="Z1211" s="932"/>
      <c r="AA1211" s="932"/>
      <c r="AB1211" s="932"/>
      <c r="AC1211" s="932"/>
      <c r="AD1211" s="932"/>
      <c r="AE1211" s="932"/>
      <c r="AF1211" s="932"/>
      <c r="AG1211" s="932"/>
      <c r="AH1211" s="932"/>
      <c r="AI1211" s="932"/>
      <c r="AJ1211" s="932"/>
      <c r="AK1211" s="932"/>
      <c r="AL1211" s="932"/>
      <c r="AM1211" s="932"/>
      <c r="AN1211" s="932"/>
      <c r="AO1211" s="932"/>
      <c r="AP1211" s="932"/>
      <c r="AQ1211" s="932"/>
      <c r="AR1211" s="932"/>
      <c r="AS1211" s="932"/>
      <c r="AT1211" s="932"/>
      <c r="AU1211" s="932"/>
      <c r="AV1211" s="932"/>
      <c r="AW1211" s="932"/>
      <c r="AX1211" s="932"/>
      <c r="AY1211" s="932"/>
      <c r="AZ1211" s="932"/>
      <c r="BA1211" s="932"/>
      <c r="BB1211" s="932"/>
      <c r="BC1211" s="932"/>
      <c r="BD1211" s="932"/>
      <c r="BE1211" s="932"/>
      <c r="BF1211" s="932"/>
    </row>
    <row r="1212" spans="2:58" ht="15" x14ac:dyDescent="0.25">
      <c r="B1212" s="932"/>
      <c r="C1212" s="932"/>
      <c r="D1212" s="932"/>
      <c r="E1212" s="932"/>
      <c r="F1212" s="932"/>
      <c r="G1212" s="932"/>
      <c r="H1212" s="932"/>
      <c r="I1212" s="932"/>
      <c r="J1212" s="932"/>
      <c r="K1212" s="932"/>
      <c r="L1212" s="932"/>
      <c r="M1212" s="932"/>
      <c r="N1212" s="932"/>
      <c r="O1212" s="932"/>
      <c r="P1212" s="932"/>
      <c r="Q1212" s="932"/>
      <c r="R1212" s="932"/>
      <c r="S1212" s="932"/>
      <c r="T1212" s="932"/>
      <c r="U1212" s="932"/>
      <c r="V1212" s="932"/>
      <c r="W1212" s="932"/>
      <c r="X1212" s="932"/>
      <c r="Y1212" s="932"/>
      <c r="Z1212" s="932"/>
      <c r="AA1212" s="932"/>
      <c r="AB1212" s="932"/>
      <c r="AC1212" s="932"/>
      <c r="AD1212" s="932"/>
      <c r="AE1212" s="932"/>
      <c r="AF1212" s="932"/>
      <c r="AG1212" s="932"/>
      <c r="AH1212" s="932"/>
      <c r="AI1212" s="932"/>
      <c r="AJ1212" s="932"/>
      <c r="AK1212" s="932"/>
      <c r="AL1212" s="932"/>
      <c r="AM1212" s="932"/>
      <c r="AN1212" s="932"/>
      <c r="AO1212" s="932"/>
      <c r="AP1212" s="932"/>
      <c r="AQ1212" s="932"/>
      <c r="AR1212" s="932"/>
      <c r="AS1212" s="932"/>
      <c r="AT1212" s="932"/>
      <c r="AU1212" s="932"/>
      <c r="AV1212" s="932"/>
      <c r="AW1212" s="932"/>
      <c r="AX1212" s="932"/>
      <c r="AY1212" s="932"/>
      <c r="AZ1212" s="932"/>
      <c r="BA1212" s="932"/>
      <c r="BB1212" s="932"/>
      <c r="BC1212" s="932"/>
      <c r="BD1212" s="932"/>
      <c r="BE1212" s="932"/>
      <c r="BF1212" s="932"/>
    </row>
    <row r="1213" spans="2:58" ht="15" x14ac:dyDescent="0.25">
      <c r="B1213" s="932"/>
      <c r="C1213" s="932"/>
      <c r="D1213" s="932"/>
      <c r="E1213" s="932"/>
      <c r="F1213" s="932"/>
      <c r="G1213" s="932"/>
      <c r="H1213" s="932"/>
      <c r="I1213" s="932"/>
      <c r="J1213" s="932"/>
      <c r="K1213" s="932"/>
      <c r="L1213" s="932"/>
      <c r="M1213" s="932"/>
      <c r="N1213" s="932"/>
      <c r="O1213" s="932"/>
      <c r="P1213" s="932"/>
      <c r="Q1213" s="932"/>
      <c r="R1213" s="932"/>
      <c r="S1213" s="932"/>
      <c r="T1213" s="932"/>
      <c r="U1213" s="932"/>
      <c r="V1213" s="932"/>
      <c r="W1213" s="932"/>
      <c r="X1213" s="932"/>
      <c r="Y1213" s="932"/>
      <c r="Z1213" s="932"/>
      <c r="AA1213" s="932"/>
      <c r="AB1213" s="932"/>
      <c r="AC1213" s="932"/>
      <c r="AD1213" s="932"/>
      <c r="AE1213" s="932"/>
      <c r="AF1213" s="932"/>
      <c r="AG1213" s="932"/>
      <c r="AH1213" s="932"/>
      <c r="AI1213" s="932"/>
      <c r="AJ1213" s="932"/>
      <c r="AK1213" s="932"/>
      <c r="AL1213" s="932"/>
      <c r="AM1213" s="932"/>
      <c r="AN1213" s="932"/>
      <c r="AO1213" s="932"/>
      <c r="AP1213" s="932"/>
      <c r="AQ1213" s="932"/>
      <c r="AR1213" s="932"/>
      <c r="AS1213" s="932"/>
      <c r="AT1213" s="932"/>
      <c r="AU1213" s="932"/>
      <c r="AV1213" s="932"/>
      <c r="AW1213" s="932"/>
      <c r="AX1213" s="932"/>
      <c r="AY1213" s="932"/>
      <c r="AZ1213" s="932"/>
      <c r="BA1213" s="932"/>
      <c r="BB1213" s="932"/>
      <c r="BC1213" s="932"/>
      <c r="BD1213" s="932"/>
      <c r="BE1213" s="932"/>
      <c r="BF1213" s="932"/>
    </row>
    <row r="1214" spans="2:58" ht="15" x14ac:dyDescent="0.25">
      <c r="B1214" s="932"/>
      <c r="C1214" s="932"/>
      <c r="D1214" s="932"/>
      <c r="E1214" s="932"/>
      <c r="F1214" s="932"/>
      <c r="G1214" s="932"/>
      <c r="H1214" s="932"/>
      <c r="I1214" s="932"/>
      <c r="J1214" s="932"/>
      <c r="K1214" s="932"/>
      <c r="L1214" s="932"/>
      <c r="M1214" s="932"/>
      <c r="N1214" s="932"/>
      <c r="O1214" s="932"/>
      <c r="P1214" s="932"/>
      <c r="Q1214" s="932"/>
      <c r="R1214" s="932"/>
      <c r="S1214" s="932"/>
      <c r="T1214" s="932"/>
      <c r="U1214" s="932"/>
      <c r="V1214" s="932"/>
      <c r="W1214" s="932"/>
      <c r="X1214" s="932"/>
      <c r="Y1214" s="932"/>
      <c r="Z1214" s="932"/>
      <c r="AA1214" s="932"/>
      <c r="AB1214" s="932"/>
      <c r="AC1214" s="932"/>
      <c r="AD1214" s="932"/>
      <c r="AE1214" s="932"/>
      <c r="AF1214" s="932"/>
      <c r="AG1214" s="932"/>
      <c r="AH1214" s="932"/>
      <c r="AI1214" s="932"/>
      <c r="AJ1214" s="932"/>
      <c r="AK1214" s="932"/>
      <c r="AL1214" s="932"/>
      <c r="AM1214" s="932"/>
      <c r="AN1214" s="932"/>
      <c r="AO1214" s="932"/>
      <c r="AP1214" s="932"/>
      <c r="AQ1214" s="932"/>
      <c r="AR1214" s="932"/>
      <c r="AS1214" s="932"/>
      <c r="AT1214" s="932"/>
      <c r="AU1214" s="932"/>
      <c r="AV1214" s="932"/>
      <c r="AW1214" s="932"/>
      <c r="AX1214" s="932"/>
      <c r="AY1214" s="932"/>
      <c r="AZ1214" s="932"/>
      <c r="BA1214" s="932"/>
      <c r="BB1214" s="932"/>
      <c r="BC1214" s="932"/>
      <c r="BD1214" s="932"/>
      <c r="BE1214" s="932"/>
      <c r="BF1214" s="932"/>
    </row>
    <row r="1215" spans="2:58" ht="15" x14ac:dyDescent="0.25">
      <c r="B1215" s="932"/>
      <c r="C1215" s="932"/>
      <c r="D1215" s="932"/>
      <c r="E1215" s="932"/>
      <c r="F1215" s="932"/>
      <c r="G1215" s="932"/>
      <c r="H1215" s="932"/>
      <c r="I1215" s="932"/>
      <c r="J1215" s="932"/>
      <c r="K1215" s="932"/>
      <c r="L1215" s="932"/>
      <c r="M1215" s="932"/>
      <c r="N1215" s="932"/>
      <c r="O1215" s="932"/>
      <c r="P1215" s="932"/>
      <c r="Q1215" s="932"/>
      <c r="R1215" s="932"/>
      <c r="S1215" s="932"/>
      <c r="T1215" s="932"/>
      <c r="U1215" s="932"/>
      <c r="V1215" s="932"/>
      <c r="W1215" s="932"/>
      <c r="X1215" s="932"/>
      <c r="Y1215" s="932"/>
      <c r="Z1215" s="932"/>
      <c r="AA1215" s="932"/>
      <c r="AB1215" s="932"/>
      <c r="AC1215" s="932"/>
      <c r="AD1215" s="932"/>
      <c r="AE1215" s="932"/>
      <c r="AF1215" s="932"/>
      <c r="AG1215" s="932"/>
      <c r="AH1215" s="932"/>
      <c r="AI1215" s="932"/>
      <c r="AJ1215" s="932"/>
      <c r="AK1215" s="932"/>
      <c r="AL1215" s="932"/>
      <c r="AM1215" s="932"/>
      <c r="AN1215" s="932"/>
      <c r="AO1215" s="932"/>
      <c r="AP1215" s="932"/>
      <c r="AQ1215" s="932"/>
      <c r="AR1215" s="932"/>
      <c r="AS1215" s="932"/>
      <c r="AT1215" s="932"/>
      <c r="AU1215" s="932"/>
      <c r="AV1215" s="932"/>
      <c r="AW1215" s="932"/>
      <c r="AX1215" s="932"/>
      <c r="AY1215" s="932"/>
      <c r="AZ1215" s="932"/>
      <c r="BA1215" s="932"/>
      <c r="BB1215" s="932"/>
      <c r="BC1215" s="932"/>
      <c r="BD1215" s="932"/>
      <c r="BE1215" s="932"/>
      <c r="BF1215" s="932"/>
    </row>
    <row r="1216" spans="2:58" ht="15" x14ac:dyDescent="0.25">
      <c r="B1216" s="932"/>
      <c r="C1216" s="932"/>
      <c r="D1216" s="932"/>
      <c r="E1216" s="932"/>
      <c r="F1216" s="932"/>
      <c r="G1216" s="932"/>
      <c r="H1216" s="932"/>
      <c r="I1216" s="932"/>
      <c r="J1216" s="932"/>
      <c r="K1216" s="932"/>
      <c r="L1216" s="932"/>
      <c r="M1216" s="932"/>
      <c r="N1216" s="932"/>
      <c r="O1216" s="932"/>
      <c r="P1216" s="932"/>
      <c r="Q1216" s="932"/>
      <c r="R1216" s="932"/>
      <c r="S1216" s="932"/>
      <c r="T1216" s="932"/>
      <c r="U1216" s="932"/>
      <c r="V1216" s="932"/>
      <c r="W1216" s="932"/>
      <c r="X1216" s="932"/>
      <c r="Y1216" s="932"/>
      <c r="Z1216" s="932"/>
      <c r="AA1216" s="932"/>
      <c r="AB1216" s="932"/>
      <c r="AC1216" s="932"/>
      <c r="AD1216" s="932"/>
      <c r="AE1216" s="932"/>
      <c r="AF1216" s="932"/>
      <c r="AG1216" s="932"/>
      <c r="AH1216" s="932"/>
      <c r="AI1216" s="932"/>
      <c r="AJ1216" s="932"/>
      <c r="AK1216" s="932"/>
      <c r="AL1216" s="932"/>
      <c r="AM1216" s="932"/>
      <c r="AN1216" s="932"/>
      <c r="AO1216" s="932"/>
      <c r="AP1216" s="932"/>
      <c r="AQ1216" s="932"/>
      <c r="AR1216" s="932"/>
      <c r="AS1216" s="932"/>
      <c r="AT1216" s="932"/>
      <c r="AU1216" s="932"/>
      <c r="AV1216" s="932"/>
      <c r="AW1216" s="932"/>
      <c r="AX1216" s="932"/>
      <c r="AY1216" s="932"/>
      <c r="AZ1216" s="932"/>
      <c r="BA1216" s="932"/>
      <c r="BB1216" s="932"/>
      <c r="BC1216" s="932"/>
      <c r="BD1216" s="932"/>
      <c r="BE1216" s="932"/>
      <c r="BF1216" s="932"/>
    </row>
    <row r="1217" spans="2:58" ht="15" x14ac:dyDescent="0.25">
      <c r="B1217" s="932"/>
      <c r="C1217" s="932"/>
      <c r="D1217" s="932"/>
      <c r="E1217" s="932"/>
      <c r="F1217" s="932"/>
      <c r="G1217" s="932"/>
      <c r="H1217" s="932"/>
      <c r="I1217" s="932"/>
      <c r="J1217" s="932"/>
      <c r="K1217" s="932"/>
      <c r="L1217" s="932"/>
      <c r="M1217" s="932"/>
      <c r="N1217" s="932"/>
      <c r="O1217" s="932"/>
      <c r="P1217" s="932"/>
      <c r="Q1217" s="932"/>
      <c r="R1217" s="932"/>
      <c r="S1217" s="932"/>
      <c r="T1217" s="932"/>
      <c r="U1217" s="932"/>
      <c r="V1217" s="932"/>
      <c r="W1217" s="932"/>
      <c r="X1217" s="932"/>
      <c r="Y1217" s="932"/>
      <c r="Z1217" s="932"/>
      <c r="AA1217" s="932"/>
      <c r="AB1217" s="932"/>
      <c r="AC1217" s="932"/>
      <c r="AD1217" s="932"/>
      <c r="AE1217" s="932"/>
      <c r="AF1217" s="932"/>
      <c r="AG1217" s="932"/>
      <c r="AH1217" s="932"/>
      <c r="AI1217" s="932"/>
      <c r="AJ1217" s="932"/>
      <c r="AK1217" s="932"/>
      <c r="AL1217" s="932"/>
      <c r="AM1217" s="932"/>
      <c r="AN1217" s="932"/>
      <c r="AO1217" s="932"/>
      <c r="AP1217" s="932"/>
      <c r="AQ1217" s="932"/>
      <c r="AR1217" s="932"/>
      <c r="AS1217" s="932"/>
      <c r="AT1217" s="932"/>
      <c r="AU1217" s="932"/>
      <c r="AV1217" s="932"/>
      <c r="AW1217" s="932"/>
      <c r="AX1217" s="932"/>
      <c r="AY1217" s="932"/>
      <c r="AZ1217" s="932"/>
      <c r="BA1217" s="932"/>
      <c r="BB1217" s="932"/>
      <c r="BC1217" s="932"/>
      <c r="BD1217" s="932"/>
      <c r="BE1217" s="932"/>
      <c r="BF1217" s="932"/>
    </row>
    <row r="1218" spans="2:58" ht="15" x14ac:dyDescent="0.25">
      <c r="B1218" s="932"/>
      <c r="C1218" s="932"/>
      <c r="D1218" s="932"/>
      <c r="E1218" s="932"/>
      <c r="F1218" s="932"/>
      <c r="G1218" s="932"/>
      <c r="H1218" s="932"/>
      <c r="I1218" s="932"/>
      <c r="J1218" s="932"/>
      <c r="K1218" s="932"/>
      <c r="L1218" s="932"/>
      <c r="M1218" s="932"/>
      <c r="N1218" s="932"/>
      <c r="O1218" s="932"/>
      <c r="P1218" s="932"/>
      <c r="Q1218" s="932"/>
      <c r="R1218" s="932"/>
      <c r="S1218" s="932"/>
      <c r="T1218" s="932"/>
      <c r="U1218" s="932"/>
      <c r="V1218" s="932"/>
      <c r="W1218" s="932"/>
      <c r="X1218" s="932"/>
      <c r="Y1218" s="932"/>
      <c r="Z1218" s="932"/>
      <c r="AA1218" s="932"/>
      <c r="AB1218" s="932"/>
      <c r="AC1218" s="932"/>
      <c r="AD1218" s="932"/>
      <c r="AE1218" s="932"/>
      <c r="AF1218" s="932"/>
      <c r="AG1218" s="932"/>
      <c r="AH1218" s="932"/>
      <c r="AI1218" s="932"/>
      <c r="AJ1218" s="932"/>
      <c r="AK1218" s="932"/>
      <c r="AL1218" s="932"/>
      <c r="AM1218" s="932"/>
      <c r="AN1218" s="932"/>
      <c r="AO1218" s="932"/>
      <c r="AP1218" s="932"/>
      <c r="AQ1218" s="932"/>
      <c r="AR1218" s="932"/>
      <c r="AS1218" s="932"/>
      <c r="AT1218" s="932"/>
      <c r="AU1218" s="932"/>
      <c r="AV1218" s="932"/>
      <c r="AW1218" s="932"/>
      <c r="AX1218" s="932"/>
      <c r="AY1218" s="932"/>
      <c r="AZ1218" s="932"/>
      <c r="BA1218" s="932"/>
      <c r="BB1218" s="932"/>
      <c r="BC1218" s="932"/>
      <c r="BD1218" s="932"/>
      <c r="BE1218" s="932"/>
      <c r="BF1218" s="932"/>
    </row>
    <row r="1219" spans="2:58" ht="15" x14ac:dyDescent="0.25">
      <c r="B1219" s="932"/>
      <c r="C1219" s="932"/>
      <c r="D1219" s="932"/>
      <c r="E1219" s="932"/>
      <c r="F1219" s="932"/>
      <c r="G1219" s="932"/>
      <c r="H1219" s="932"/>
      <c r="I1219" s="932"/>
      <c r="J1219" s="932"/>
      <c r="K1219" s="932"/>
      <c r="L1219" s="932"/>
      <c r="M1219" s="932"/>
      <c r="N1219" s="932"/>
      <c r="O1219" s="932"/>
      <c r="P1219" s="932"/>
      <c r="Q1219" s="932"/>
      <c r="R1219" s="932"/>
      <c r="S1219" s="932"/>
      <c r="T1219" s="932"/>
      <c r="U1219" s="932"/>
      <c r="V1219" s="932"/>
      <c r="W1219" s="932"/>
      <c r="X1219" s="932"/>
      <c r="Y1219" s="932"/>
      <c r="Z1219" s="932"/>
      <c r="AA1219" s="932"/>
      <c r="AB1219" s="932"/>
      <c r="AC1219" s="932"/>
      <c r="AD1219" s="932"/>
      <c r="AE1219" s="932"/>
      <c r="AF1219" s="932"/>
      <c r="AG1219" s="932"/>
      <c r="AH1219" s="932"/>
      <c r="AI1219" s="932"/>
      <c r="AJ1219" s="932"/>
      <c r="AK1219" s="932"/>
      <c r="AL1219" s="932"/>
      <c r="AM1219" s="932"/>
      <c r="AN1219" s="932"/>
      <c r="AO1219" s="932"/>
      <c r="AP1219" s="932"/>
      <c r="AQ1219" s="932"/>
      <c r="AR1219" s="932"/>
      <c r="AS1219" s="932"/>
      <c r="AT1219" s="932"/>
      <c r="AU1219" s="932"/>
      <c r="AV1219" s="932"/>
      <c r="AW1219" s="932"/>
      <c r="AX1219" s="932"/>
      <c r="AY1219" s="932"/>
      <c r="AZ1219" s="932"/>
      <c r="BA1219" s="932"/>
      <c r="BB1219" s="932"/>
      <c r="BC1219" s="932"/>
      <c r="BD1219" s="932"/>
      <c r="BE1219" s="932"/>
      <c r="BF1219" s="932"/>
    </row>
    <row r="1220" spans="2:58" ht="15" x14ac:dyDescent="0.25">
      <c r="B1220" s="932"/>
      <c r="C1220" s="932"/>
      <c r="D1220" s="932"/>
      <c r="E1220" s="932"/>
      <c r="F1220" s="932"/>
      <c r="G1220" s="932"/>
      <c r="H1220" s="932"/>
      <c r="I1220" s="932"/>
      <c r="J1220" s="932"/>
      <c r="K1220" s="932"/>
      <c r="L1220" s="932"/>
      <c r="M1220" s="932"/>
      <c r="N1220" s="932"/>
      <c r="O1220" s="932"/>
      <c r="P1220" s="932"/>
      <c r="Q1220" s="932"/>
      <c r="R1220" s="932"/>
      <c r="S1220" s="932"/>
      <c r="T1220" s="932"/>
      <c r="U1220" s="932"/>
      <c r="V1220" s="932"/>
      <c r="W1220" s="932"/>
      <c r="X1220" s="932"/>
      <c r="Y1220" s="932"/>
      <c r="Z1220" s="932"/>
      <c r="AA1220" s="932"/>
      <c r="AB1220" s="932"/>
      <c r="AC1220" s="932"/>
      <c r="AD1220" s="932"/>
      <c r="AE1220" s="932"/>
      <c r="AF1220" s="932"/>
      <c r="AG1220" s="932"/>
      <c r="AH1220" s="932"/>
      <c r="AI1220" s="932"/>
      <c r="AJ1220" s="932"/>
      <c r="AK1220" s="932"/>
      <c r="AL1220" s="932"/>
      <c r="AM1220" s="932"/>
      <c r="AN1220" s="932"/>
      <c r="AO1220" s="932"/>
      <c r="AP1220" s="932"/>
      <c r="AQ1220" s="932"/>
      <c r="AR1220" s="932"/>
      <c r="AS1220" s="932"/>
      <c r="AT1220" s="932"/>
      <c r="AU1220" s="932"/>
      <c r="AV1220" s="932"/>
      <c r="AW1220" s="932"/>
      <c r="AX1220" s="932"/>
      <c r="AY1220" s="932"/>
      <c r="AZ1220" s="932"/>
      <c r="BA1220" s="932"/>
      <c r="BB1220" s="932"/>
      <c r="BC1220" s="932"/>
      <c r="BD1220" s="932"/>
      <c r="BE1220" s="932"/>
      <c r="BF1220" s="932"/>
    </row>
    <row r="1221" spans="2:58" ht="15" x14ac:dyDescent="0.25">
      <c r="B1221" s="932"/>
      <c r="C1221" s="932"/>
      <c r="D1221" s="932"/>
      <c r="E1221" s="932"/>
      <c r="F1221" s="932"/>
      <c r="G1221" s="932"/>
      <c r="H1221" s="932"/>
      <c r="I1221" s="932"/>
      <c r="J1221" s="932"/>
      <c r="K1221" s="932"/>
      <c r="L1221" s="932"/>
      <c r="M1221" s="932"/>
      <c r="N1221" s="932"/>
      <c r="O1221" s="932"/>
      <c r="P1221" s="932"/>
      <c r="Q1221" s="932"/>
      <c r="R1221" s="932"/>
      <c r="S1221" s="932"/>
      <c r="T1221" s="932"/>
      <c r="U1221" s="932"/>
      <c r="V1221" s="932"/>
      <c r="W1221" s="932"/>
      <c r="X1221" s="932"/>
      <c r="Y1221" s="932"/>
      <c r="Z1221" s="932"/>
      <c r="AA1221" s="932"/>
      <c r="AB1221" s="932"/>
      <c r="AC1221" s="932"/>
      <c r="AD1221" s="932"/>
      <c r="AE1221" s="932"/>
      <c r="AF1221" s="932"/>
      <c r="AG1221" s="932"/>
      <c r="AH1221" s="932"/>
      <c r="AI1221" s="932"/>
      <c r="AJ1221" s="932"/>
      <c r="AK1221" s="932"/>
      <c r="AL1221" s="932"/>
      <c r="AM1221" s="932"/>
      <c r="AN1221" s="932"/>
      <c r="AO1221" s="932"/>
      <c r="AP1221" s="932"/>
      <c r="AQ1221" s="932"/>
      <c r="AR1221" s="932"/>
      <c r="AS1221" s="932"/>
      <c r="AT1221" s="932"/>
      <c r="AU1221" s="932"/>
      <c r="AV1221" s="932"/>
      <c r="AW1221" s="932"/>
      <c r="AX1221" s="932"/>
      <c r="AY1221" s="932"/>
      <c r="AZ1221" s="932"/>
      <c r="BA1221" s="932"/>
      <c r="BB1221" s="932"/>
      <c r="BC1221" s="932"/>
      <c r="BD1221" s="932"/>
      <c r="BE1221" s="932"/>
      <c r="BF1221" s="932"/>
    </row>
    <row r="1222" spans="2:58" ht="15" x14ac:dyDescent="0.25">
      <c r="B1222" s="932"/>
      <c r="C1222" s="932"/>
      <c r="D1222" s="932"/>
      <c r="E1222" s="932"/>
      <c r="F1222" s="932"/>
      <c r="G1222" s="932"/>
      <c r="H1222" s="932"/>
      <c r="I1222" s="932"/>
      <c r="J1222" s="932"/>
      <c r="K1222" s="932"/>
      <c r="L1222" s="932"/>
      <c r="M1222" s="932"/>
      <c r="N1222" s="932"/>
      <c r="O1222" s="932"/>
      <c r="P1222" s="932"/>
      <c r="Q1222" s="932"/>
      <c r="R1222" s="932"/>
      <c r="S1222" s="932"/>
      <c r="T1222" s="932"/>
      <c r="U1222" s="932"/>
      <c r="V1222" s="932"/>
      <c r="W1222" s="932"/>
      <c r="X1222" s="932"/>
      <c r="Y1222" s="932"/>
      <c r="Z1222" s="932"/>
      <c r="AA1222" s="932"/>
      <c r="AB1222" s="932"/>
      <c r="AC1222" s="932"/>
      <c r="AD1222" s="932"/>
      <c r="AE1222" s="932"/>
      <c r="AF1222" s="932"/>
      <c r="AG1222" s="932"/>
      <c r="AH1222" s="932"/>
      <c r="AI1222" s="932"/>
      <c r="AJ1222" s="932"/>
      <c r="AK1222" s="932"/>
      <c r="AL1222" s="932"/>
      <c r="AM1222" s="932"/>
      <c r="AN1222" s="932"/>
      <c r="AO1222" s="932"/>
      <c r="AP1222" s="932"/>
      <c r="AQ1222" s="932"/>
      <c r="AR1222" s="932"/>
      <c r="AS1222" s="932"/>
      <c r="AT1222" s="932"/>
      <c r="AU1222" s="932"/>
      <c r="AV1222" s="932"/>
      <c r="AW1222" s="932"/>
      <c r="AX1222" s="932"/>
      <c r="AY1222" s="932"/>
      <c r="AZ1222" s="932"/>
      <c r="BA1222" s="932"/>
      <c r="BB1222" s="932"/>
      <c r="BC1222" s="932"/>
      <c r="BD1222" s="932"/>
      <c r="BE1222" s="932"/>
      <c r="BF1222" s="932"/>
    </row>
    <row r="1223" spans="2:58" ht="15" x14ac:dyDescent="0.25">
      <c r="B1223" s="932"/>
      <c r="C1223" s="932"/>
      <c r="D1223" s="932"/>
      <c r="E1223" s="932"/>
      <c r="F1223" s="932"/>
      <c r="G1223" s="932"/>
      <c r="H1223" s="932"/>
      <c r="I1223" s="932"/>
      <c r="J1223" s="932"/>
      <c r="K1223" s="932"/>
      <c r="L1223" s="932"/>
      <c r="M1223" s="932"/>
      <c r="N1223" s="932"/>
      <c r="O1223" s="932"/>
      <c r="P1223" s="932"/>
      <c r="Q1223" s="932"/>
      <c r="R1223" s="932"/>
      <c r="S1223" s="932"/>
      <c r="T1223" s="932"/>
      <c r="U1223" s="932"/>
      <c r="V1223" s="932"/>
      <c r="W1223" s="932"/>
      <c r="X1223" s="932"/>
      <c r="Y1223" s="932"/>
      <c r="Z1223" s="932"/>
      <c r="AA1223" s="932"/>
      <c r="AB1223" s="932"/>
      <c r="AC1223" s="932"/>
      <c r="AD1223" s="932"/>
      <c r="AE1223" s="932"/>
      <c r="AF1223" s="932"/>
      <c r="AG1223" s="932"/>
      <c r="AH1223" s="932"/>
      <c r="AI1223" s="932"/>
      <c r="AJ1223" s="932"/>
      <c r="AK1223" s="932"/>
      <c r="AL1223" s="932"/>
      <c r="AM1223" s="932"/>
      <c r="AN1223" s="932"/>
      <c r="AO1223" s="932"/>
      <c r="AP1223" s="932"/>
      <c r="AQ1223" s="932"/>
      <c r="AR1223" s="932"/>
      <c r="AS1223" s="932"/>
      <c r="AT1223" s="932"/>
      <c r="AU1223" s="932"/>
      <c r="AV1223" s="932"/>
      <c r="AW1223" s="932"/>
      <c r="AX1223" s="932"/>
      <c r="AY1223" s="932"/>
      <c r="AZ1223" s="932"/>
      <c r="BA1223" s="932"/>
      <c r="BB1223" s="932"/>
      <c r="BC1223" s="932"/>
      <c r="BD1223" s="932"/>
      <c r="BE1223" s="932"/>
      <c r="BF1223" s="932"/>
    </row>
    <row r="1224" spans="2:58" ht="15" x14ac:dyDescent="0.25">
      <c r="B1224" s="932"/>
      <c r="C1224" s="932"/>
      <c r="D1224" s="932"/>
      <c r="E1224" s="932"/>
      <c r="F1224" s="932"/>
      <c r="G1224" s="932"/>
      <c r="H1224" s="932"/>
      <c r="I1224" s="932"/>
      <c r="J1224" s="932"/>
      <c r="K1224" s="932"/>
      <c r="L1224" s="932"/>
      <c r="M1224" s="932"/>
      <c r="N1224" s="932"/>
      <c r="O1224" s="932"/>
      <c r="P1224" s="932"/>
      <c r="Q1224" s="932"/>
      <c r="R1224" s="932"/>
      <c r="S1224" s="932"/>
      <c r="T1224" s="932"/>
      <c r="U1224" s="932"/>
      <c r="V1224" s="932"/>
      <c r="W1224" s="932"/>
      <c r="X1224" s="932"/>
      <c r="Y1224" s="932"/>
      <c r="Z1224" s="932"/>
      <c r="AA1224" s="932"/>
      <c r="AB1224" s="932"/>
      <c r="AC1224" s="932"/>
      <c r="AD1224" s="932"/>
      <c r="AE1224" s="932"/>
      <c r="AF1224" s="932"/>
      <c r="AG1224" s="932"/>
      <c r="AH1224" s="932"/>
      <c r="AI1224" s="932"/>
      <c r="AJ1224" s="932"/>
      <c r="AK1224" s="932"/>
      <c r="AL1224" s="932"/>
      <c r="AM1224" s="932"/>
      <c r="AN1224" s="932"/>
      <c r="AO1224" s="932"/>
      <c r="AP1224" s="932"/>
      <c r="AQ1224" s="932"/>
      <c r="AR1224" s="932"/>
      <c r="AS1224" s="932"/>
      <c r="AT1224" s="932"/>
      <c r="AU1224" s="932"/>
      <c r="AV1224" s="932"/>
      <c r="AW1224" s="932"/>
      <c r="AX1224" s="932"/>
      <c r="AY1224" s="932"/>
      <c r="AZ1224" s="932"/>
      <c r="BA1224" s="932"/>
      <c r="BB1224" s="932"/>
      <c r="BC1224" s="932"/>
      <c r="BD1224" s="932"/>
      <c r="BE1224" s="932"/>
      <c r="BF1224" s="932"/>
    </row>
    <row r="1225" spans="2:58" ht="15" x14ac:dyDescent="0.25">
      <c r="B1225" s="932"/>
      <c r="C1225" s="932"/>
      <c r="D1225" s="932"/>
      <c r="E1225" s="932"/>
      <c r="F1225" s="932"/>
      <c r="G1225" s="932"/>
      <c r="H1225" s="932"/>
      <c r="I1225" s="932"/>
      <c r="J1225" s="932"/>
      <c r="K1225" s="932"/>
      <c r="L1225" s="932"/>
      <c r="M1225" s="932"/>
      <c r="N1225" s="932"/>
      <c r="O1225" s="932"/>
      <c r="P1225" s="932"/>
      <c r="Q1225" s="932"/>
      <c r="R1225" s="932"/>
      <c r="S1225" s="932"/>
      <c r="T1225" s="932"/>
      <c r="U1225" s="932"/>
      <c r="V1225" s="932"/>
      <c r="W1225" s="932"/>
      <c r="X1225" s="932"/>
      <c r="Y1225" s="932"/>
      <c r="Z1225" s="932"/>
      <c r="AA1225" s="932"/>
      <c r="AB1225" s="932"/>
      <c r="AC1225" s="932"/>
      <c r="AD1225" s="932"/>
      <c r="AE1225" s="932"/>
      <c r="AF1225" s="932"/>
      <c r="AG1225" s="932"/>
      <c r="AH1225" s="932"/>
      <c r="AI1225" s="932"/>
      <c r="AJ1225" s="932"/>
      <c r="AK1225" s="932"/>
      <c r="AL1225" s="932"/>
      <c r="AM1225" s="932"/>
      <c r="AN1225" s="932"/>
      <c r="AO1225" s="932"/>
      <c r="AP1225" s="932"/>
      <c r="AQ1225" s="932"/>
      <c r="AR1225" s="932"/>
      <c r="AS1225" s="932"/>
      <c r="AT1225" s="932"/>
      <c r="AU1225" s="932"/>
      <c r="AV1225" s="932"/>
      <c r="AW1225" s="932"/>
      <c r="AX1225" s="932"/>
      <c r="AY1225" s="932"/>
      <c r="AZ1225" s="932"/>
      <c r="BA1225" s="932"/>
      <c r="BB1225" s="932"/>
      <c r="BC1225" s="932"/>
      <c r="BD1225" s="932"/>
      <c r="BE1225" s="932"/>
      <c r="BF1225" s="932"/>
    </row>
    <row r="1226" spans="2:58" ht="15" x14ac:dyDescent="0.25">
      <c r="B1226" s="932"/>
      <c r="C1226" s="932"/>
      <c r="D1226" s="932"/>
      <c r="E1226" s="932"/>
      <c r="F1226" s="932"/>
      <c r="G1226" s="932"/>
      <c r="H1226" s="932"/>
      <c r="I1226" s="932"/>
      <c r="J1226" s="932"/>
      <c r="K1226" s="932"/>
      <c r="L1226" s="932"/>
      <c r="M1226" s="932"/>
      <c r="N1226" s="932"/>
      <c r="O1226" s="932"/>
      <c r="P1226" s="932"/>
      <c r="Q1226" s="932"/>
      <c r="R1226" s="932"/>
      <c r="S1226" s="932"/>
      <c r="T1226" s="932"/>
      <c r="U1226" s="932"/>
      <c r="V1226" s="932"/>
      <c r="W1226" s="932"/>
      <c r="X1226" s="932"/>
      <c r="Y1226" s="932"/>
      <c r="Z1226" s="932"/>
      <c r="AA1226" s="932"/>
      <c r="AB1226" s="932"/>
      <c r="AC1226" s="932"/>
      <c r="AD1226" s="932"/>
      <c r="AE1226" s="932"/>
      <c r="AF1226" s="932"/>
      <c r="AG1226" s="932"/>
      <c r="AH1226" s="932"/>
      <c r="AI1226" s="932"/>
      <c r="AJ1226" s="932"/>
      <c r="AK1226" s="932"/>
      <c r="AL1226" s="932"/>
      <c r="AM1226" s="932"/>
      <c r="AN1226" s="932"/>
      <c r="AO1226" s="932"/>
      <c r="AP1226" s="932"/>
      <c r="AQ1226" s="932"/>
      <c r="AR1226" s="932"/>
      <c r="AS1226" s="932"/>
      <c r="AT1226" s="932"/>
      <c r="AU1226" s="932"/>
      <c r="AV1226" s="932"/>
      <c r="AW1226" s="932"/>
      <c r="AX1226" s="932"/>
      <c r="AY1226" s="932"/>
      <c r="AZ1226" s="932"/>
      <c r="BA1226" s="932"/>
      <c r="BB1226" s="932"/>
      <c r="BC1226" s="932"/>
      <c r="BD1226" s="932"/>
      <c r="BE1226" s="932"/>
      <c r="BF1226" s="932"/>
    </row>
    <row r="1227" spans="2:58" ht="15" x14ac:dyDescent="0.25">
      <c r="B1227" s="932"/>
      <c r="C1227" s="932"/>
      <c r="D1227" s="932"/>
      <c r="E1227" s="932"/>
      <c r="F1227" s="932"/>
      <c r="G1227" s="932"/>
      <c r="H1227" s="932"/>
      <c r="I1227" s="932"/>
      <c r="J1227" s="932"/>
      <c r="K1227" s="932"/>
      <c r="L1227" s="932"/>
      <c r="M1227" s="932"/>
      <c r="N1227" s="932"/>
      <c r="O1227" s="932"/>
      <c r="P1227" s="932"/>
      <c r="Q1227" s="932"/>
      <c r="R1227" s="932"/>
      <c r="S1227" s="932"/>
      <c r="T1227" s="932"/>
      <c r="U1227" s="932"/>
      <c r="V1227" s="932"/>
      <c r="W1227" s="932"/>
      <c r="X1227" s="932"/>
      <c r="Y1227" s="932"/>
      <c r="Z1227" s="932"/>
      <c r="AA1227" s="932"/>
      <c r="AB1227" s="932"/>
      <c r="AC1227" s="932"/>
      <c r="AD1227" s="932"/>
      <c r="AE1227" s="932"/>
      <c r="AF1227" s="932"/>
      <c r="AG1227" s="932"/>
      <c r="AH1227" s="932"/>
      <c r="AI1227" s="932"/>
      <c r="AJ1227" s="932"/>
      <c r="AK1227" s="932"/>
      <c r="AL1227" s="932"/>
      <c r="AM1227" s="932"/>
      <c r="AN1227" s="932"/>
      <c r="AO1227" s="932"/>
      <c r="AP1227" s="932"/>
      <c r="AQ1227" s="932"/>
      <c r="AR1227" s="932"/>
      <c r="AS1227" s="932"/>
      <c r="AT1227" s="932"/>
      <c r="AU1227" s="932"/>
      <c r="AV1227" s="932"/>
      <c r="AW1227" s="932"/>
      <c r="AX1227" s="932"/>
      <c r="AY1227" s="932"/>
      <c r="AZ1227" s="932"/>
      <c r="BA1227" s="932"/>
      <c r="BB1227" s="932"/>
      <c r="BC1227" s="932"/>
      <c r="BD1227" s="932"/>
      <c r="BE1227" s="932"/>
      <c r="BF1227" s="932"/>
    </row>
    <row r="1228" spans="2:58" ht="15" x14ac:dyDescent="0.25">
      <c r="B1228" s="932"/>
      <c r="C1228" s="932"/>
      <c r="D1228" s="932"/>
      <c r="E1228" s="932"/>
      <c r="F1228" s="932"/>
      <c r="G1228" s="932"/>
      <c r="H1228" s="932"/>
      <c r="I1228" s="932"/>
      <c r="J1228" s="932"/>
      <c r="K1228" s="932"/>
      <c r="L1228" s="932"/>
      <c r="M1228" s="932"/>
      <c r="N1228" s="932"/>
      <c r="O1228" s="932"/>
      <c r="P1228" s="932"/>
      <c r="Q1228" s="932"/>
      <c r="R1228" s="932"/>
      <c r="S1228" s="932"/>
      <c r="T1228" s="932"/>
      <c r="U1228" s="932"/>
      <c r="V1228" s="932"/>
      <c r="W1228" s="932"/>
      <c r="X1228" s="932"/>
      <c r="Y1228" s="932"/>
      <c r="Z1228" s="932"/>
      <c r="AA1228" s="932"/>
      <c r="AB1228" s="932"/>
      <c r="AC1228" s="932"/>
      <c r="AD1228" s="932"/>
      <c r="AE1228" s="932"/>
      <c r="AF1228" s="932"/>
      <c r="AG1228" s="932"/>
      <c r="AH1228" s="932"/>
      <c r="AI1228" s="932"/>
      <c r="AJ1228" s="932"/>
      <c r="AK1228" s="932"/>
      <c r="AL1228" s="932"/>
      <c r="AM1228" s="932"/>
      <c r="AN1228" s="932"/>
      <c r="AO1228" s="932"/>
      <c r="AP1228" s="932"/>
      <c r="AQ1228" s="932"/>
      <c r="AR1228" s="932"/>
      <c r="AS1228" s="932"/>
      <c r="AT1228" s="932"/>
      <c r="AU1228" s="932"/>
      <c r="AV1228" s="932"/>
      <c r="AW1228" s="932"/>
      <c r="AX1228" s="932"/>
      <c r="AY1228" s="932"/>
      <c r="AZ1228" s="932"/>
      <c r="BA1228" s="932"/>
      <c r="BB1228" s="932"/>
      <c r="BC1228" s="932"/>
      <c r="BD1228" s="932"/>
      <c r="BE1228" s="932"/>
      <c r="BF1228" s="932"/>
    </row>
    <row r="1229" spans="2:58" ht="15" x14ac:dyDescent="0.25">
      <c r="B1229" s="932"/>
      <c r="C1229" s="932"/>
      <c r="D1229" s="932"/>
      <c r="E1229" s="932"/>
      <c r="F1229" s="932"/>
      <c r="G1229" s="932"/>
      <c r="H1229" s="932"/>
      <c r="I1229" s="932"/>
      <c r="J1229" s="932"/>
      <c r="K1229" s="932"/>
      <c r="L1229" s="932"/>
      <c r="M1229" s="932"/>
      <c r="N1229" s="932"/>
      <c r="O1229" s="932"/>
      <c r="P1229" s="932"/>
      <c r="Q1229" s="932"/>
      <c r="R1229" s="932"/>
      <c r="S1229" s="932"/>
      <c r="T1229" s="932"/>
      <c r="U1229" s="932"/>
      <c r="V1229" s="932"/>
      <c r="W1229" s="932"/>
      <c r="X1229" s="932"/>
      <c r="Y1229" s="932"/>
      <c r="Z1229" s="932"/>
      <c r="AA1229" s="932"/>
      <c r="AB1229" s="932"/>
      <c r="AC1229" s="932"/>
      <c r="AD1229" s="932"/>
      <c r="AE1229" s="932"/>
      <c r="AF1229" s="932"/>
      <c r="AG1229" s="932"/>
      <c r="AH1229" s="932"/>
      <c r="AI1229" s="932"/>
      <c r="AJ1229" s="932"/>
      <c r="AK1229" s="932"/>
      <c r="AL1229" s="932"/>
      <c r="AM1229" s="932"/>
      <c r="AN1229" s="932"/>
      <c r="AO1229" s="932"/>
      <c r="AP1229" s="932"/>
      <c r="AQ1229" s="932"/>
      <c r="AR1229" s="932"/>
      <c r="AS1229" s="932"/>
      <c r="AT1229" s="932"/>
      <c r="AU1229" s="932"/>
      <c r="AV1229" s="932"/>
      <c r="AW1229" s="932"/>
      <c r="AX1229" s="932"/>
      <c r="AY1229" s="932"/>
      <c r="AZ1229" s="932"/>
      <c r="BA1229" s="932"/>
      <c r="BB1229" s="932"/>
      <c r="BC1229" s="932"/>
      <c r="BD1229" s="932"/>
      <c r="BE1229" s="932"/>
      <c r="BF1229" s="932"/>
    </row>
    <row r="1230" spans="2:58" ht="15" x14ac:dyDescent="0.25">
      <c r="B1230" s="932"/>
      <c r="C1230" s="932"/>
      <c r="D1230" s="932"/>
      <c r="E1230" s="932"/>
      <c r="F1230" s="932"/>
      <c r="G1230" s="932"/>
      <c r="H1230" s="932"/>
      <c r="I1230" s="932"/>
      <c r="J1230" s="932"/>
      <c r="K1230" s="932"/>
      <c r="L1230" s="932"/>
      <c r="M1230" s="932"/>
      <c r="N1230" s="932"/>
      <c r="O1230" s="932"/>
      <c r="P1230" s="932"/>
      <c r="Q1230" s="932"/>
      <c r="R1230" s="932"/>
      <c r="S1230" s="932"/>
      <c r="T1230" s="932"/>
      <c r="U1230" s="932"/>
      <c r="V1230" s="932"/>
      <c r="W1230" s="932"/>
      <c r="X1230" s="932"/>
      <c r="Y1230" s="932"/>
      <c r="Z1230" s="932"/>
      <c r="AA1230" s="932"/>
      <c r="AB1230" s="932"/>
      <c r="AC1230" s="932"/>
      <c r="AD1230" s="932"/>
      <c r="AE1230" s="932"/>
      <c r="AF1230" s="932"/>
      <c r="AG1230" s="932"/>
      <c r="AH1230" s="932"/>
      <c r="AI1230" s="932"/>
      <c r="AJ1230" s="932"/>
      <c r="AK1230" s="932"/>
      <c r="AL1230" s="932"/>
      <c r="AM1230" s="932"/>
      <c r="AN1230" s="932"/>
      <c r="AO1230" s="932"/>
      <c r="AP1230" s="932"/>
      <c r="AQ1230" s="932"/>
      <c r="AR1230" s="932"/>
      <c r="AS1230" s="932"/>
      <c r="AT1230" s="932"/>
      <c r="AU1230" s="932"/>
      <c r="AV1230" s="932"/>
      <c r="AW1230" s="932"/>
      <c r="AX1230" s="932"/>
      <c r="AY1230" s="932"/>
      <c r="AZ1230" s="932"/>
      <c r="BA1230" s="932"/>
      <c r="BB1230" s="932"/>
      <c r="BC1230" s="932"/>
      <c r="BD1230" s="932"/>
      <c r="BE1230" s="932"/>
      <c r="BF1230" s="932"/>
    </row>
    <row r="1231" spans="2:58" ht="15" x14ac:dyDescent="0.25">
      <c r="B1231" s="932"/>
      <c r="C1231" s="932"/>
      <c r="D1231" s="932"/>
      <c r="E1231" s="932"/>
      <c r="F1231" s="932"/>
      <c r="G1231" s="932"/>
      <c r="H1231" s="932"/>
      <c r="I1231" s="932"/>
      <c r="J1231" s="932"/>
      <c r="K1231" s="932"/>
      <c r="L1231" s="932"/>
      <c r="M1231" s="932"/>
      <c r="N1231" s="932"/>
      <c r="O1231" s="932"/>
      <c r="P1231" s="932"/>
      <c r="Q1231" s="932"/>
      <c r="R1231" s="932"/>
      <c r="S1231" s="932"/>
      <c r="T1231" s="932"/>
      <c r="U1231" s="932"/>
      <c r="V1231" s="932"/>
      <c r="W1231" s="932"/>
      <c r="X1231" s="932"/>
      <c r="Y1231" s="932"/>
      <c r="Z1231" s="932"/>
      <c r="AA1231" s="932"/>
      <c r="AB1231" s="932"/>
      <c r="AC1231" s="932"/>
      <c r="AD1231" s="932"/>
      <c r="AE1231" s="932"/>
      <c r="AF1231" s="932"/>
      <c r="AG1231" s="932"/>
      <c r="AH1231" s="932"/>
      <c r="AI1231" s="932"/>
      <c r="AJ1231" s="932"/>
      <c r="AK1231" s="932"/>
      <c r="AL1231" s="932"/>
      <c r="AM1231" s="932"/>
      <c r="AN1231" s="932"/>
      <c r="AO1231" s="932"/>
      <c r="AP1231" s="932"/>
      <c r="AQ1231" s="932"/>
      <c r="AR1231" s="932"/>
      <c r="AS1231" s="932"/>
      <c r="AT1231" s="932"/>
      <c r="AU1231" s="932"/>
      <c r="AV1231" s="932"/>
      <c r="AW1231" s="932"/>
      <c r="AX1231" s="932"/>
      <c r="AY1231" s="932"/>
      <c r="AZ1231" s="932"/>
      <c r="BA1231" s="932"/>
      <c r="BB1231" s="932"/>
      <c r="BC1231" s="932"/>
      <c r="BD1231" s="932"/>
      <c r="BE1231" s="932"/>
      <c r="BF1231" s="932"/>
    </row>
    <row r="1232" spans="2:58" ht="15" x14ac:dyDescent="0.25">
      <c r="B1232" s="932"/>
      <c r="C1232" s="932"/>
      <c r="D1232" s="932"/>
      <c r="E1232" s="932"/>
      <c r="F1232" s="932"/>
      <c r="G1232" s="932"/>
      <c r="H1232" s="932"/>
      <c r="I1232" s="932"/>
      <c r="J1232" s="932"/>
      <c r="K1232" s="932"/>
      <c r="L1232" s="932"/>
      <c r="M1232" s="932"/>
      <c r="N1232" s="932"/>
      <c r="O1232" s="932"/>
      <c r="P1232" s="932"/>
      <c r="Q1232" s="932"/>
      <c r="R1232" s="932"/>
      <c r="S1232" s="932"/>
      <c r="T1232" s="932"/>
      <c r="U1232" s="932"/>
      <c r="V1232" s="932"/>
      <c r="W1232" s="932"/>
      <c r="X1232" s="932"/>
      <c r="Y1232" s="932"/>
      <c r="Z1232" s="932"/>
      <c r="AA1232" s="932"/>
      <c r="AB1232" s="932"/>
      <c r="AC1232" s="932"/>
      <c r="AD1232" s="932"/>
      <c r="AE1232" s="932"/>
      <c r="AF1232" s="932"/>
      <c r="AG1232" s="932"/>
      <c r="AH1232" s="932"/>
      <c r="AI1232" s="932"/>
      <c r="AJ1232" s="932"/>
      <c r="AK1232" s="932"/>
      <c r="AL1232" s="932"/>
      <c r="AM1232" s="932"/>
      <c r="AN1232" s="932"/>
      <c r="AO1232" s="932"/>
      <c r="AP1232" s="932"/>
      <c r="AQ1232" s="932"/>
      <c r="AR1232" s="932"/>
      <c r="AS1232" s="932"/>
      <c r="AT1232" s="932"/>
      <c r="AU1232" s="932"/>
      <c r="AV1232" s="932"/>
      <c r="AW1232" s="932"/>
      <c r="AX1232" s="932"/>
      <c r="AY1232" s="932"/>
      <c r="AZ1232" s="932"/>
      <c r="BA1232" s="932"/>
      <c r="BB1232" s="932"/>
      <c r="BC1232" s="932"/>
      <c r="BD1232" s="932"/>
      <c r="BE1232" s="932"/>
      <c r="BF1232" s="932"/>
    </row>
    <row r="1233" spans="2:58" ht="15" x14ac:dyDescent="0.25">
      <c r="B1233" s="932"/>
      <c r="C1233" s="932"/>
      <c r="D1233" s="932"/>
      <c r="E1233" s="932"/>
      <c r="F1233" s="932"/>
      <c r="G1233" s="932"/>
      <c r="H1233" s="932"/>
      <c r="I1233" s="932"/>
      <c r="J1233" s="932"/>
      <c r="K1233" s="932"/>
      <c r="L1233" s="932"/>
      <c r="M1233" s="932"/>
      <c r="N1233" s="932"/>
      <c r="O1233" s="932"/>
      <c r="P1233" s="932"/>
      <c r="Q1233" s="932"/>
      <c r="R1233" s="932"/>
      <c r="S1233" s="932"/>
      <c r="T1233" s="932"/>
      <c r="U1233" s="932"/>
      <c r="V1233" s="932"/>
      <c r="W1233" s="932"/>
      <c r="X1233" s="932"/>
      <c r="Y1233" s="932"/>
      <c r="Z1233" s="932"/>
      <c r="AA1233" s="932"/>
      <c r="AB1233" s="932"/>
      <c r="AC1233" s="932"/>
      <c r="AD1233" s="932"/>
      <c r="AE1233" s="932"/>
      <c r="AF1233" s="932"/>
      <c r="AG1233" s="932"/>
      <c r="AH1233" s="932"/>
      <c r="AI1233" s="932"/>
      <c r="AJ1233" s="932"/>
      <c r="AK1233" s="932"/>
      <c r="AL1233" s="932"/>
      <c r="AM1233" s="932"/>
      <c r="AN1233" s="932"/>
      <c r="AO1233" s="932"/>
      <c r="AP1233" s="932"/>
      <c r="AQ1233" s="932"/>
      <c r="AR1233" s="932"/>
      <c r="AS1233" s="932"/>
      <c r="AT1233" s="932"/>
      <c r="AU1233" s="932"/>
      <c r="AV1233" s="932"/>
      <c r="AW1233" s="932"/>
      <c r="AX1233" s="932"/>
      <c r="AY1233" s="932"/>
      <c r="AZ1233" s="932"/>
      <c r="BA1233" s="932"/>
      <c r="BB1233" s="932"/>
      <c r="BC1233" s="932"/>
      <c r="BD1233" s="932"/>
      <c r="BE1233" s="932"/>
      <c r="BF1233" s="932"/>
    </row>
    <row r="1234" spans="2:58" ht="15" x14ac:dyDescent="0.25">
      <c r="B1234" s="932"/>
      <c r="C1234" s="932"/>
      <c r="D1234" s="932"/>
      <c r="E1234" s="932"/>
      <c r="F1234" s="932"/>
      <c r="G1234" s="932"/>
      <c r="H1234" s="932"/>
      <c r="I1234" s="932"/>
      <c r="J1234" s="932"/>
      <c r="K1234" s="932"/>
      <c r="L1234" s="932"/>
      <c r="M1234" s="932"/>
      <c r="N1234" s="932"/>
      <c r="O1234" s="932"/>
      <c r="P1234" s="932"/>
      <c r="Q1234" s="932"/>
      <c r="R1234" s="932"/>
      <c r="S1234" s="932"/>
      <c r="T1234" s="932"/>
      <c r="U1234" s="932"/>
      <c r="V1234" s="932"/>
      <c r="W1234" s="932"/>
      <c r="X1234" s="932"/>
      <c r="Y1234" s="932"/>
      <c r="Z1234" s="932"/>
      <c r="AA1234" s="932"/>
      <c r="AB1234" s="932"/>
      <c r="AC1234" s="932"/>
      <c r="AD1234" s="932"/>
      <c r="AE1234" s="932"/>
      <c r="AF1234" s="932"/>
      <c r="AG1234" s="932"/>
      <c r="AH1234" s="932"/>
      <c r="AI1234" s="932"/>
      <c r="AJ1234" s="932"/>
      <c r="AK1234" s="932"/>
      <c r="AL1234" s="932"/>
      <c r="AM1234" s="932"/>
      <c r="AN1234" s="932"/>
      <c r="AO1234" s="932"/>
      <c r="AP1234" s="932"/>
      <c r="AQ1234" s="932"/>
      <c r="AR1234" s="932"/>
      <c r="AS1234" s="932"/>
      <c r="AT1234" s="932"/>
      <c r="AU1234" s="932"/>
      <c r="AV1234" s="932"/>
      <c r="AW1234" s="932"/>
      <c r="AX1234" s="932"/>
      <c r="AY1234" s="932"/>
      <c r="AZ1234" s="932"/>
      <c r="BA1234" s="932"/>
      <c r="BB1234" s="932"/>
      <c r="BC1234" s="932"/>
      <c r="BD1234" s="932"/>
      <c r="BE1234" s="932"/>
      <c r="BF1234" s="932"/>
    </row>
    <row r="1235" spans="2:58" ht="15" x14ac:dyDescent="0.25">
      <c r="B1235" s="932"/>
      <c r="C1235" s="932"/>
      <c r="D1235" s="932"/>
      <c r="E1235" s="932"/>
      <c r="F1235" s="932"/>
      <c r="G1235" s="932"/>
      <c r="H1235" s="932"/>
      <c r="I1235" s="932"/>
      <c r="J1235" s="932"/>
      <c r="K1235" s="932"/>
      <c r="L1235" s="932"/>
      <c r="M1235" s="932"/>
      <c r="N1235" s="932"/>
      <c r="O1235" s="932"/>
      <c r="P1235" s="932"/>
      <c r="Q1235" s="932"/>
      <c r="R1235" s="932"/>
      <c r="S1235" s="932"/>
      <c r="T1235" s="932"/>
      <c r="U1235" s="932"/>
      <c r="V1235" s="932"/>
      <c r="W1235" s="932"/>
      <c r="X1235" s="932"/>
      <c r="Y1235" s="932"/>
      <c r="Z1235" s="932"/>
      <c r="AA1235" s="932"/>
      <c r="AB1235" s="932"/>
      <c r="AC1235" s="932"/>
      <c r="AD1235" s="932"/>
      <c r="AE1235" s="932"/>
      <c r="AF1235" s="932"/>
      <c r="AG1235" s="932"/>
      <c r="AH1235" s="932"/>
      <c r="AI1235" s="932"/>
      <c r="AJ1235" s="932"/>
      <c r="AK1235" s="932"/>
      <c r="AL1235" s="932"/>
      <c r="AM1235" s="932"/>
      <c r="AN1235" s="932"/>
      <c r="AO1235" s="932"/>
      <c r="AP1235" s="932"/>
      <c r="AQ1235" s="932"/>
      <c r="AR1235" s="932"/>
      <c r="AS1235" s="932"/>
      <c r="AT1235" s="932"/>
      <c r="AU1235" s="932"/>
      <c r="AV1235" s="932"/>
      <c r="AW1235" s="932"/>
      <c r="AX1235" s="932"/>
      <c r="AY1235" s="932"/>
      <c r="AZ1235" s="932"/>
      <c r="BA1235" s="932"/>
      <c r="BB1235" s="932"/>
      <c r="BC1235" s="932"/>
      <c r="BD1235" s="932"/>
      <c r="BE1235" s="932"/>
      <c r="BF1235" s="932"/>
    </row>
    <row r="1236" spans="2:58" ht="15" x14ac:dyDescent="0.25">
      <c r="B1236" s="932"/>
      <c r="C1236" s="932"/>
      <c r="D1236" s="932"/>
      <c r="E1236" s="932"/>
      <c r="F1236" s="932"/>
      <c r="G1236" s="932"/>
      <c r="H1236" s="932"/>
      <c r="I1236" s="932"/>
      <c r="J1236" s="932"/>
      <c r="K1236" s="932"/>
      <c r="L1236" s="932"/>
      <c r="M1236" s="932"/>
      <c r="N1236" s="932"/>
      <c r="O1236" s="932"/>
      <c r="P1236" s="932"/>
      <c r="Q1236" s="932"/>
      <c r="R1236" s="932"/>
      <c r="S1236" s="932"/>
      <c r="T1236" s="932"/>
      <c r="U1236" s="932"/>
      <c r="V1236" s="932"/>
      <c r="W1236" s="932"/>
      <c r="X1236" s="932"/>
      <c r="Y1236" s="932"/>
      <c r="Z1236" s="932"/>
      <c r="AA1236" s="932"/>
      <c r="AB1236" s="932"/>
      <c r="AC1236" s="932"/>
      <c r="AD1236" s="932"/>
      <c r="AE1236" s="932"/>
      <c r="AF1236" s="932"/>
      <c r="AG1236" s="932"/>
      <c r="AH1236" s="932"/>
      <c r="AI1236" s="932"/>
      <c r="AJ1236" s="932"/>
      <c r="AK1236" s="932"/>
      <c r="AL1236" s="932"/>
      <c r="AM1236" s="932"/>
      <c r="AN1236" s="932"/>
      <c r="AO1236" s="932"/>
      <c r="AP1236" s="932"/>
      <c r="AQ1236" s="932"/>
      <c r="AR1236" s="932"/>
      <c r="AS1236" s="932"/>
      <c r="AT1236" s="932"/>
      <c r="AU1236" s="932"/>
      <c r="AV1236" s="932"/>
      <c r="AW1236" s="932"/>
      <c r="AX1236" s="932"/>
      <c r="AY1236" s="932"/>
      <c r="AZ1236" s="932"/>
      <c r="BA1236" s="932"/>
      <c r="BB1236" s="932"/>
      <c r="BC1236" s="932"/>
      <c r="BD1236" s="932"/>
      <c r="BE1236" s="932"/>
      <c r="BF1236" s="932"/>
    </row>
    <row r="1237" spans="2:58" ht="15" x14ac:dyDescent="0.25">
      <c r="B1237" s="932"/>
      <c r="C1237" s="932"/>
      <c r="D1237" s="932"/>
      <c r="E1237" s="932"/>
      <c r="F1237" s="932"/>
      <c r="G1237" s="932"/>
      <c r="H1237" s="932"/>
      <c r="I1237" s="932"/>
      <c r="J1237" s="932"/>
      <c r="K1237" s="932"/>
      <c r="L1237" s="932"/>
      <c r="M1237" s="932"/>
      <c r="N1237" s="932"/>
      <c r="O1237" s="932"/>
      <c r="P1237" s="932"/>
      <c r="Q1237" s="932"/>
      <c r="R1237" s="932"/>
      <c r="S1237" s="932"/>
      <c r="T1237" s="932"/>
      <c r="U1237" s="932"/>
      <c r="V1237" s="932"/>
      <c r="W1237" s="932"/>
      <c r="X1237" s="932"/>
      <c r="Y1237" s="932"/>
      <c r="Z1237" s="932"/>
      <c r="AA1237" s="932"/>
      <c r="AB1237" s="932"/>
      <c r="AC1237" s="932"/>
      <c r="AD1237" s="932"/>
      <c r="AE1237" s="932"/>
      <c r="AF1237" s="932"/>
      <c r="AG1237" s="932"/>
      <c r="AH1237" s="932"/>
      <c r="AI1237" s="932"/>
      <c r="AJ1237" s="932"/>
      <c r="AK1237" s="932"/>
      <c r="AL1237" s="932"/>
      <c r="AM1237" s="932"/>
      <c r="AN1237" s="932"/>
      <c r="AO1237" s="932"/>
      <c r="AP1237" s="932"/>
      <c r="AQ1237" s="932"/>
      <c r="AR1237" s="932"/>
      <c r="AS1237" s="932"/>
      <c r="AT1237" s="932"/>
      <c r="AU1237" s="932"/>
      <c r="AV1237" s="932"/>
      <c r="AW1237" s="932"/>
      <c r="AX1237" s="932"/>
      <c r="AY1237" s="932"/>
      <c r="AZ1237" s="932"/>
      <c r="BA1237" s="932"/>
      <c r="BB1237" s="932"/>
      <c r="BC1237" s="932"/>
      <c r="BD1237" s="932"/>
      <c r="BE1237" s="932"/>
      <c r="BF1237" s="932"/>
    </row>
    <row r="1238" spans="2:58" ht="15" x14ac:dyDescent="0.25">
      <c r="B1238" s="932"/>
      <c r="C1238" s="932"/>
      <c r="D1238" s="932"/>
      <c r="E1238" s="932"/>
      <c r="F1238" s="932"/>
      <c r="G1238" s="932"/>
      <c r="H1238" s="932"/>
      <c r="I1238" s="932"/>
      <c r="J1238" s="932"/>
      <c r="K1238" s="932"/>
      <c r="L1238" s="932"/>
      <c r="M1238" s="932"/>
      <c r="N1238" s="932"/>
      <c r="O1238" s="932"/>
      <c r="P1238" s="932"/>
      <c r="Q1238" s="932"/>
      <c r="R1238" s="932"/>
      <c r="S1238" s="932"/>
      <c r="T1238" s="932"/>
      <c r="U1238" s="932"/>
      <c r="V1238" s="932"/>
      <c r="W1238" s="932"/>
      <c r="X1238" s="932"/>
      <c r="Y1238" s="932"/>
      <c r="Z1238" s="932"/>
      <c r="AA1238" s="932"/>
      <c r="AB1238" s="932"/>
      <c r="AC1238" s="932"/>
      <c r="AD1238" s="932"/>
      <c r="AE1238" s="932"/>
      <c r="AF1238" s="932"/>
      <c r="AG1238" s="932"/>
      <c r="AH1238" s="932"/>
      <c r="AI1238" s="932"/>
      <c r="AJ1238" s="932"/>
      <c r="AK1238" s="932"/>
      <c r="AL1238" s="932"/>
      <c r="AM1238" s="932"/>
      <c r="AN1238" s="932"/>
      <c r="AO1238" s="932"/>
      <c r="AP1238" s="932"/>
      <c r="AQ1238" s="932"/>
      <c r="AR1238" s="932"/>
      <c r="AS1238" s="932"/>
      <c r="AT1238" s="932"/>
      <c r="AU1238" s="932"/>
      <c r="AV1238" s="932"/>
      <c r="AW1238" s="932"/>
      <c r="AX1238" s="932"/>
      <c r="AY1238" s="932"/>
      <c r="AZ1238" s="932"/>
      <c r="BA1238" s="932"/>
      <c r="BB1238" s="932"/>
      <c r="BC1238" s="932"/>
      <c r="BD1238" s="932"/>
      <c r="BE1238" s="932"/>
      <c r="BF1238" s="932"/>
    </row>
    <row r="1239" spans="2:58" ht="15" x14ac:dyDescent="0.25">
      <c r="B1239" s="932"/>
      <c r="C1239" s="932"/>
      <c r="D1239" s="932"/>
      <c r="E1239" s="932"/>
      <c r="F1239" s="932"/>
      <c r="G1239" s="932"/>
      <c r="H1239" s="932"/>
      <c r="I1239" s="932"/>
      <c r="J1239" s="932"/>
      <c r="K1239" s="932"/>
      <c r="L1239" s="932"/>
      <c r="M1239" s="932"/>
      <c r="N1239" s="932"/>
      <c r="O1239" s="932"/>
      <c r="P1239" s="932"/>
      <c r="Q1239" s="932"/>
      <c r="R1239" s="932"/>
      <c r="S1239" s="932"/>
      <c r="T1239" s="932"/>
      <c r="U1239" s="932"/>
      <c r="V1239" s="932"/>
      <c r="W1239" s="932"/>
      <c r="X1239" s="932"/>
      <c r="Y1239" s="932"/>
      <c r="Z1239" s="932"/>
      <c r="AA1239" s="932"/>
      <c r="AB1239" s="932"/>
      <c r="AC1239" s="932"/>
      <c r="AD1239" s="932"/>
      <c r="AE1239" s="932"/>
      <c r="AF1239" s="932"/>
      <c r="AG1239" s="932"/>
      <c r="AH1239" s="932"/>
      <c r="AI1239" s="932"/>
      <c r="AJ1239" s="932"/>
      <c r="AK1239" s="932"/>
      <c r="AL1239" s="932"/>
      <c r="AM1239" s="932"/>
      <c r="AN1239" s="932"/>
      <c r="AO1239" s="932"/>
      <c r="AP1239" s="932"/>
      <c r="AQ1239" s="932"/>
      <c r="AR1239" s="932"/>
      <c r="AS1239" s="932"/>
      <c r="AT1239" s="932"/>
      <c r="AU1239" s="932"/>
      <c r="AV1239" s="932"/>
      <c r="AW1239" s="932"/>
      <c r="AX1239" s="932"/>
      <c r="AY1239" s="932"/>
      <c r="AZ1239" s="932"/>
      <c r="BA1239" s="932"/>
      <c r="BB1239" s="932"/>
      <c r="BC1239" s="932"/>
      <c r="BD1239" s="932"/>
      <c r="BE1239" s="932"/>
      <c r="BF1239" s="932"/>
    </row>
    <row r="1240" spans="2:58" ht="15" x14ac:dyDescent="0.25">
      <c r="B1240" s="932"/>
      <c r="C1240" s="932"/>
      <c r="D1240" s="932"/>
      <c r="E1240" s="932"/>
      <c r="F1240" s="932"/>
      <c r="G1240" s="932"/>
      <c r="H1240" s="932"/>
      <c r="I1240" s="932"/>
      <c r="J1240" s="932"/>
      <c r="K1240" s="932"/>
      <c r="L1240" s="932"/>
      <c r="M1240" s="932"/>
      <c r="N1240" s="932"/>
      <c r="O1240" s="932"/>
      <c r="P1240" s="932"/>
      <c r="Q1240" s="932"/>
      <c r="R1240" s="932"/>
      <c r="S1240" s="932"/>
      <c r="T1240" s="932"/>
      <c r="U1240" s="932"/>
      <c r="V1240" s="932"/>
      <c r="W1240" s="932"/>
      <c r="X1240" s="932"/>
      <c r="Y1240" s="932"/>
      <c r="Z1240" s="932"/>
      <c r="AA1240" s="932"/>
      <c r="AB1240" s="932"/>
      <c r="AC1240" s="932"/>
      <c r="AD1240" s="932"/>
      <c r="AE1240" s="932"/>
      <c r="AF1240" s="932"/>
      <c r="AG1240" s="932"/>
      <c r="AH1240" s="932"/>
      <c r="AI1240" s="932"/>
      <c r="AJ1240" s="932"/>
      <c r="AK1240" s="932"/>
      <c r="AL1240" s="932"/>
      <c r="AM1240" s="932"/>
      <c r="AN1240" s="932"/>
      <c r="AO1240" s="932"/>
      <c r="AP1240" s="932"/>
      <c r="AQ1240" s="932"/>
      <c r="AR1240" s="932"/>
      <c r="AS1240" s="932"/>
      <c r="AT1240" s="932"/>
      <c r="AU1240" s="932"/>
      <c r="AV1240" s="932"/>
      <c r="AW1240" s="932"/>
      <c r="AX1240" s="932"/>
      <c r="AY1240" s="932"/>
      <c r="AZ1240" s="932"/>
      <c r="BA1240" s="932"/>
      <c r="BB1240" s="932"/>
      <c r="BC1240" s="932"/>
      <c r="BD1240" s="932"/>
      <c r="BE1240" s="932"/>
      <c r="BF1240" s="932"/>
    </row>
    <row r="1241" spans="2:58" ht="15" x14ac:dyDescent="0.25">
      <c r="B1241" s="932"/>
      <c r="C1241" s="932"/>
      <c r="D1241" s="932"/>
      <c r="E1241" s="932"/>
      <c r="F1241" s="932"/>
      <c r="G1241" s="932"/>
      <c r="H1241" s="932"/>
      <c r="I1241" s="932"/>
      <c r="J1241" s="932"/>
      <c r="K1241" s="932"/>
      <c r="L1241" s="932"/>
      <c r="M1241" s="932"/>
      <c r="N1241" s="932"/>
      <c r="O1241" s="932"/>
      <c r="P1241" s="932"/>
      <c r="Q1241" s="932"/>
      <c r="R1241" s="932"/>
      <c r="S1241" s="932"/>
      <c r="T1241" s="932"/>
      <c r="U1241" s="932"/>
      <c r="V1241" s="932"/>
      <c r="W1241" s="932"/>
      <c r="X1241" s="932"/>
      <c r="Y1241" s="932"/>
      <c r="Z1241" s="932"/>
      <c r="AA1241" s="932"/>
      <c r="AB1241" s="932"/>
      <c r="AC1241" s="932"/>
      <c r="AD1241" s="932"/>
      <c r="AE1241" s="932"/>
      <c r="AF1241" s="932"/>
      <c r="AG1241" s="932"/>
      <c r="AH1241" s="932"/>
      <c r="AI1241" s="932"/>
      <c r="AJ1241" s="932"/>
      <c r="AK1241" s="932"/>
      <c r="AL1241" s="932"/>
      <c r="AM1241" s="932"/>
      <c r="AN1241" s="932"/>
      <c r="AO1241" s="932"/>
      <c r="AP1241" s="932"/>
      <c r="AQ1241" s="932"/>
      <c r="AR1241" s="932"/>
      <c r="AS1241" s="932"/>
      <c r="AT1241" s="932"/>
      <c r="AU1241" s="932"/>
      <c r="AV1241" s="932"/>
      <c r="AW1241" s="932"/>
      <c r="AX1241" s="932"/>
      <c r="AY1241" s="932"/>
      <c r="AZ1241" s="932"/>
      <c r="BA1241" s="932"/>
      <c r="BB1241" s="932"/>
      <c r="BC1241" s="932"/>
      <c r="BD1241" s="932"/>
      <c r="BE1241" s="932"/>
      <c r="BF1241" s="932"/>
    </row>
    <row r="1242" spans="2:58" ht="15" x14ac:dyDescent="0.25">
      <c r="B1242" s="932"/>
      <c r="C1242" s="932"/>
      <c r="D1242" s="932"/>
      <c r="E1242" s="932"/>
      <c r="F1242" s="932"/>
      <c r="G1242" s="932"/>
      <c r="H1242" s="932"/>
      <c r="I1242" s="932"/>
      <c r="J1242" s="932"/>
      <c r="K1242" s="932"/>
      <c r="L1242" s="932"/>
      <c r="M1242" s="932"/>
      <c r="N1242" s="932"/>
      <c r="O1242" s="932"/>
      <c r="P1242" s="932"/>
      <c r="Q1242" s="932"/>
      <c r="R1242" s="932"/>
      <c r="S1242" s="932"/>
      <c r="T1242" s="932"/>
      <c r="U1242" s="932"/>
      <c r="V1242" s="932"/>
      <c r="W1242" s="932"/>
      <c r="X1242" s="932"/>
      <c r="Y1242" s="932"/>
      <c r="Z1242" s="932"/>
      <c r="AA1242" s="932"/>
      <c r="AB1242" s="932"/>
      <c r="AC1242" s="932"/>
      <c r="AD1242" s="932"/>
      <c r="AE1242" s="932"/>
      <c r="AF1242" s="932"/>
      <c r="AG1242" s="932"/>
      <c r="AH1242" s="932"/>
      <c r="AI1242" s="932"/>
      <c r="AJ1242" s="932"/>
      <c r="AK1242" s="932"/>
      <c r="AL1242" s="932"/>
      <c r="AM1242" s="932"/>
      <c r="AN1242" s="932"/>
      <c r="AO1242" s="932"/>
      <c r="AP1242" s="932"/>
      <c r="AQ1242" s="932"/>
      <c r="AR1242" s="932"/>
      <c r="AS1242" s="932"/>
      <c r="AT1242" s="932"/>
      <c r="AU1242" s="932"/>
      <c r="AV1242" s="932"/>
      <c r="AW1242" s="932"/>
      <c r="AX1242" s="932"/>
      <c r="AY1242" s="932"/>
      <c r="AZ1242" s="932"/>
      <c r="BA1242" s="932"/>
      <c r="BB1242" s="932"/>
      <c r="BC1242" s="932"/>
      <c r="BD1242" s="932"/>
      <c r="BE1242" s="932"/>
      <c r="BF1242" s="932"/>
    </row>
    <row r="1243" spans="2:58" ht="15" x14ac:dyDescent="0.25">
      <c r="B1243" s="932"/>
      <c r="C1243" s="932"/>
      <c r="D1243" s="932"/>
      <c r="E1243" s="932"/>
      <c r="F1243" s="932"/>
      <c r="G1243" s="932"/>
      <c r="H1243" s="932"/>
      <c r="I1243" s="932"/>
      <c r="J1243" s="932"/>
      <c r="K1243" s="932"/>
      <c r="L1243" s="932"/>
      <c r="M1243" s="932"/>
      <c r="N1243" s="932"/>
      <c r="O1243" s="932"/>
      <c r="P1243" s="932"/>
      <c r="Q1243" s="932"/>
      <c r="R1243" s="932"/>
      <c r="S1243" s="932"/>
      <c r="T1243" s="932"/>
      <c r="U1243" s="932"/>
      <c r="V1243" s="932"/>
      <c r="W1243" s="932"/>
      <c r="X1243" s="932"/>
      <c r="Y1243" s="932"/>
      <c r="Z1243" s="932"/>
      <c r="AA1243" s="932"/>
      <c r="AB1243" s="932"/>
      <c r="AC1243" s="932"/>
      <c r="AD1243" s="932"/>
      <c r="AE1243" s="932"/>
      <c r="AF1243" s="932"/>
      <c r="AG1243" s="932"/>
      <c r="AH1243" s="932"/>
      <c r="AI1243" s="932"/>
      <c r="AJ1243" s="932"/>
      <c r="AK1243" s="932"/>
      <c r="AL1243" s="932"/>
      <c r="AM1243" s="932"/>
      <c r="AN1243" s="932"/>
      <c r="AO1243" s="932"/>
      <c r="AP1243" s="932"/>
      <c r="AQ1243" s="932"/>
      <c r="AR1243" s="932"/>
      <c r="AS1243" s="932"/>
      <c r="AT1243" s="932"/>
      <c r="AU1243" s="932"/>
      <c r="AV1243" s="932"/>
      <c r="AW1243" s="932"/>
      <c r="AX1243" s="932"/>
      <c r="AY1243" s="932"/>
      <c r="AZ1243" s="932"/>
      <c r="BA1243" s="932"/>
      <c r="BB1243" s="932"/>
      <c r="BC1243" s="932"/>
      <c r="BD1243" s="932"/>
      <c r="BE1243" s="932"/>
      <c r="BF1243" s="932"/>
    </row>
    <row r="1244" spans="2:58" ht="15" x14ac:dyDescent="0.25">
      <c r="B1244" s="932"/>
      <c r="C1244" s="932"/>
      <c r="D1244" s="932"/>
      <c r="E1244" s="932"/>
      <c r="F1244" s="932"/>
      <c r="G1244" s="932"/>
      <c r="H1244" s="932"/>
      <c r="I1244" s="932"/>
      <c r="J1244" s="932"/>
      <c r="K1244" s="932"/>
      <c r="L1244" s="932"/>
      <c r="M1244" s="932"/>
      <c r="N1244" s="932"/>
      <c r="O1244" s="932"/>
      <c r="P1244" s="932"/>
      <c r="Q1244" s="932"/>
      <c r="R1244" s="932"/>
      <c r="S1244" s="932"/>
      <c r="T1244" s="932"/>
      <c r="U1244" s="932"/>
      <c r="V1244" s="932"/>
      <c r="W1244" s="932"/>
      <c r="X1244" s="932"/>
      <c r="Y1244" s="932"/>
      <c r="Z1244" s="932"/>
      <c r="AA1244" s="932"/>
      <c r="AB1244" s="932"/>
      <c r="AC1244" s="932"/>
      <c r="AD1244" s="932"/>
      <c r="AE1244" s="932"/>
      <c r="AF1244" s="932"/>
      <c r="AG1244" s="932"/>
      <c r="AH1244" s="932"/>
      <c r="AI1244" s="932"/>
      <c r="AJ1244" s="932"/>
      <c r="AK1244" s="932"/>
      <c r="AL1244" s="932"/>
      <c r="AM1244" s="932"/>
      <c r="AN1244" s="932"/>
      <c r="AO1244" s="932"/>
      <c r="AP1244" s="932"/>
      <c r="AQ1244" s="932"/>
      <c r="AR1244" s="932"/>
      <c r="AS1244" s="932"/>
      <c r="AT1244" s="932"/>
      <c r="AU1244" s="932"/>
      <c r="AV1244" s="932"/>
      <c r="AW1244" s="932"/>
      <c r="AX1244" s="932"/>
      <c r="AY1244" s="932"/>
      <c r="AZ1244" s="932"/>
      <c r="BA1244" s="932"/>
      <c r="BB1244" s="932"/>
      <c r="BC1244" s="932"/>
      <c r="BD1244" s="932"/>
      <c r="BE1244" s="932"/>
      <c r="BF1244" s="932"/>
    </row>
    <row r="1245" spans="2:58" ht="15" x14ac:dyDescent="0.25">
      <c r="B1245" s="932"/>
      <c r="C1245" s="932"/>
      <c r="D1245" s="932"/>
      <c r="E1245" s="932"/>
      <c r="F1245" s="932"/>
      <c r="G1245" s="932"/>
      <c r="H1245" s="932"/>
      <c r="I1245" s="932"/>
      <c r="J1245" s="932"/>
      <c r="K1245" s="932"/>
      <c r="L1245" s="932"/>
      <c r="M1245" s="932"/>
      <c r="N1245" s="932"/>
      <c r="O1245" s="932"/>
      <c r="P1245" s="932"/>
      <c r="Q1245" s="932"/>
      <c r="R1245" s="932"/>
      <c r="S1245" s="932"/>
      <c r="T1245" s="932"/>
      <c r="U1245" s="932"/>
      <c r="V1245" s="932"/>
      <c r="W1245" s="932"/>
      <c r="X1245" s="932"/>
      <c r="Y1245" s="932"/>
      <c r="Z1245" s="932"/>
      <c r="AA1245" s="932"/>
      <c r="AB1245" s="932"/>
      <c r="AC1245" s="932"/>
      <c r="AD1245" s="932"/>
      <c r="AE1245" s="932"/>
      <c r="AF1245" s="932"/>
      <c r="AG1245" s="932"/>
      <c r="AH1245" s="932"/>
      <c r="AI1245" s="932"/>
      <c r="AJ1245" s="932"/>
      <c r="AK1245" s="932"/>
      <c r="AL1245" s="932"/>
      <c r="AM1245" s="932"/>
      <c r="AN1245" s="932"/>
      <c r="AO1245" s="932"/>
      <c r="AP1245" s="932"/>
      <c r="AQ1245" s="932"/>
      <c r="AR1245" s="932"/>
      <c r="AS1245" s="932"/>
      <c r="AT1245" s="932"/>
      <c r="AU1245" s="932"/>
      <c r="AV1245" s="932"/>
      <c r="AW1245" s="932"/>
      <c r="AX1245" s="932"/>
      <c r="AY1245" s="932"/>
      <c r="AZ1245" s="932"/>
      <c r="BA1245" s="932"/>
      <c r="BB1245" s="932"/>
      <c r="BC1245" s="932"/>
      <c r="BD1245" s="932"/>
      <c r="BE1245" s="932"/>
      <c r="BF1245" s="932"/>
    </row>
    <row r="1246" spans="2:58" ht="15" x14ac:dyDescent="0.25">
      <c r="B1246" s="932"/>
      <c r="C1246" s="932"/>
      <c r="D1246" s="932"/>
      <c r="E1246" s="932"/>
      <c r="F1246" s="932"/>
      <c r="G1246" s="932"/>
      <c r="H1246" s="932"/>
      <c r="I1246" s="932"/>
      <c r="J1246" s="932"/>
      <c r="K1246" s="932"/>
      <c r="L1246" s="932"/>
      <c r="M1246" s="932"/>
      <c r="N1246" s="932"/>
      <c r="O1246" s="932"/>
      <c r="P1246" s="932"/>
      <c r="Q1246" s="932"/>
      <c r="R1246" s="932"/>
      <c r="S1246" s="932"/>
      <c r="T1246" s="932"/>
      <c r="U1246" s="932"/>
      <c r="V1246" s="932"/>
      <c r="W1246" s="932"/>
      <c r="X1246" s="932"/>
      <c r="Y1246" s="932"/>
      <c r="Z1246" s="932"/>
      <c r="AA1246" s="932"/>
      <c r="AB1246" s="932"/>
      <c r="AC1246" s="932"/>
      <c r="AD1246" s="932"/>
      <c r="AE1246" s="932"/>
      <c r="AF1246" s="932"/>
      <c r="AG1246" s="932"/>
      <c r="AH1246" s="932"/>
      <c r="AI1246" s="932"/>
      <c r="AJ1246" s="932"/>
      <c r="AK1246" s="932"/>
      <c r="AL1246" s="932"/>
      <c r="AM1246" s="932"/>
      <c r="AN1246" s="932"/>
      <c r="AO1246" s="932"/>
      <c r="AP1246" s="932"/>
      <c r="AQ1246" s="932"/>
      <c r="AR1246" s="932"/>
      <c r="AS1246" s="932"/>
      <c r="AT1246" s="932"/>
      <c r="AU1246" s="932"/>
      <c r="AV1246" s="932"/>
      <c r="AW1246" s="932"/>
      <c r="AX1246" s="932"/>
      <c r="AY1246" s="932"/>
      <c r="AZ1246" s="932"/>
      <c r="BA1246" s="932"/>
      <c r="BB1246" s="932"/>
      <c r="BC1246" s="932"/>
      <c r="BD1246" s="932"/>
      <c r="BE1246" s="932"/>
      <c r="BF1246" s="932"/>
    </row>
    <row r="1247" spans="2:58" ht="15" x14ac:dyDescent="0.25">
      <c r="B1247" s="932"/>
      <c r="C1247" s="932"/>
      <c r="D1247" s="932"/>
      <c r="E1247" s="932"/>
      <c r="F1247" s="932"/>
      <c r="G1247" s="932"/>
      <c r="H1247" s="932"/>
      <c r="I1247" s="932"/>
      <c r="J1247" s="932"/>
      <c r="K1247" s="932"/>
      <c r="L1247" s="932"/>
      <c r="M1247" s="932"/>
      <c r="N1247" s="932"/>
      <c r="O1247" s="932"/>
      <c r="P1247" s="932"/>
      <c r="Q1247" s="932"/>
      <c r="R1247" s="932"/>
      <c r="S1247" s="932"/>
      <c r="T1247" s="932"/>
      <c r="U1247" s="932"/>
      <c r="V1247" s="932"/>
      <c r="W1247" s="932"/>
      <c r="X1247" s="932"/>
      <c r="Y1247" s="932"/>
      <c r="Z1247" s="932"/>
      <c r="AA1247" s="932"/>
      <c r="AB1247" s="932"/>
      <c r="AC1247" s="932"/>
      <c r="AD1247" s="932"/>
      <c r="AE1247" s="932"/>
      <c r="AF1247" s="932"/>
      <c r="AG1247" s="932"/>
      <c r="AH1247" s="932"/>
      <c r="AI1247" s="932"/>
      <c r="AJ1247" s="932"/>
      <c r="AK1247" s="932"/>
      <c r="AL1247" s="932"/>
      <c r="AM1247" s="932"/>
      <c r="AN1247" s="932"/>
      <c r="AO1247" s="932"/>
      <c r="AP1247" s="932"/>
      <c r="AQ1247" s="932"/>
      <c r="AR1247" s="932"/>
      <c r="AS1247" s="932"/>
      <c r="AT1247" s="932"/>
      <c r="AU1247" s="932"/>
      <c r="AV1247" s="932"/>
      <c r="AW1247" s="932"/>
      <c r="AX1247" s="932"/>
      <c r="AY1247" s="932"/>
      <c r="AZ1247" s="932"/>
      <c r="BA1247" s="932"/>
      <c r="BB1247" s="932"/>
      <c r="BC1247" s="932"/>
      <c r="BD1247" s="932"/>
      <c r="BE1247" s="932"/>
      <c r="BF1247" s="932"/>
    </row>
    <row r="1248" spans="2:58" ht="15" x14ac:dyDescent="0.25">
      <c r="B1248" s="932"/>
      <c r="C1248" s="932"/>
      <c r="D1248" s="932"/>
      <c r="E1248" s="932"/>
      <c r="F1248" s="932"/>
      <c r="G1248" s="932"/>
      <c r="H1248" s="932"/>
      <c r="I1248" s="932"/>
      <c r="J1248" s="932"/>
      <c r="K1248" s="932"/>
      <c r="L1248" s="932"/>
      <c r="M1248" s="932"/>
      <c r="N1248" s="932"/>
      <c r="O1248" s="932"/>
      <c r="P1248" s="932"/>
      <c r="Q1248" s="932"/>
      <c r="R1248" s="932"/>
      <c r="S1248" s="932"/>
      <c r="T1248" s="932"/>
      <c r="U1248" s="932"/>
      <c r="V1248" s="932"/>
      <c r="W1248" s="932"/>
      <c r="X1248" s="932"/>
      <c r="Y1248" s="932"/>
      <c r="Z1248" s="932"/>
      <c r="AA1248" s="932"/>
      <c r="AB1248" s="932"/>
      <c r="AC1248" s="932"/>
      <c r="AD1248" s="932"/>
      <c r="AE1248" s="932"/>
      <c r="AF1248" s="932"/>
      <c r="AG1248" s="932"/>
      <c r="AH1248" s="932"/>
      <c r="AI1248" s="932"/>
      <c r="AJ1248" s="932"/>
      <c r="AK1248" s="932"/>
      <c r="AL1248" s="932"/>
      <c r="AM1248" s="932"/>
      <c r="AN1248" s="932"/>
      <c r="AO1248" s="932"/>
      <c r="AP1248" s="932"/>
      <c r="AQ1248" s="932"/>
      <c r="AR1248" s="932"/>
      <c r="AS1248" s="932"/>
      <c r="AT1248" s="932"/>
      <c r="AU1248" s="932"/>
      <c r="AV1248" s="932"/>
      <c r="AW1248" s="932"/>
      <c r="AX1248" s="932"/>
      <c r="AY1248" s="932"/>
      <c r="AZ1248" s="932"/>
      <c r="BA1248" s="932"/>
      <c r="BB1248" s="932"/>
      <c r="BC1248" s="932"/>
      <c r="BD1248" s="932"/>
      <c r="BE1248" s="932"/>
      <c r="BF1248" s="932"/>
    </row>
    <row r="1249" spans="2:58" ht="15" x14ac:dyDescent="0.25">
      <c r="B1249" s="932"/>
      <c r="C1249" s="932"/>
      <c r="D1249" s="932"/>
      <c r="E1249" s="932"/>
      <c r="F1249" s="932"/>
      <c r="G1249" s="932"/>
      <c r="H1249" s="932"/>
      <c r="I1249" s="932"/>
      <c r="J1249" s="932"/>
      <c r="K1249" s="932"/>
      <c r="L1249" s="932"/>
      <c r="M1249" s="932"/>
      <c r="N1249" s="932"/>
      <c r="O1249" s="932"/>
      <c r="P1249" s="932"/>
      <c r="Q1249" s="932"/>
      <c r="R1249" s="932"/>
      <c r="S1249" s="932"/>
      <c r="T1249" s="932"/>
      <c r="U1249" s="932"/>
      <c r="V1249" s="932"/>
      <c r="W1249" s="932"/>
      <c r="X1249" s="932"/>
      <c r="Y1249" s="932"/>
      <c r="Z1249" s="932"/>
      <c r="AA1249" s="932"/>
      <c r="AB1249" s="932"/>
      <c r="AC1249" s="932"/>
      <c r="AD1249" s="932"/>
      <c r="AE1249" s="932"/>
      <c r="AF1249" s="932"/>
      <c r="AG1249" s="932"/>
      <c r="AH1249" s="932"/>
      <c r="AI1249" s="932"/>
      <c r="AJ1249" s="932"/>
      <c r="AK1249" s="932"/>
      <c r="AL1249" s="932"/>
      <c r="AM1249" s="932"/>
      <c r="AN1249" s="932"/>
      <c r="AO1249" s="932"/>
      <c r="AP1249" s="932"/>
      <c r="AQ1249" s="932"/>
      <c r="AR1249" s="932"/>
      <c r="AS1249" s="932"/>
      <c r="AT1249" s="932"/>
      <c r="AU1249" s="932"/>
      <c r="AV1249" s="932"/>
      <c r="AW1249" s="932"/>
      <c r="AX1249" s="932"/>
      <c r="AY1249" s="932"/>
      <c r="AZ1249" s="932"/>
      <c r="BA1249" s="932"/>
      <c r="BB1249" s="932"/>
      <c r="BC1249" s="932"/>
      <c r="BD1249" s="932"/>
      <c r="BE1249" s="932"/>
      <c r="BF1249" s="932"/>
    </row>
    <row r="1250" spans="2:58" ht="15" x14ac:dyDescent="0.25">
      <c r="B1250" s="932"/>
      <c r="C1250" s="932"/>
      <c r="D1250" s="932"/>
      <c r="E1250" s="932"/>
      <c r="F1250" s="932"/>
      <c r="G1250" s="932"/>
      <c r="H1250" s="932"/>
      <c r="I1250" s="932"/>
      <c r="J1250" s="932"/>
      <c r="K1250" s="932"/>
      <c r="L1250" s="932"/>
      <c r="M1250" s="932"/>
      <c r="N1250" s="932"/>
      <c r="O1250" s="932"/>
      <c r="P1250" s="932"/>
      <c r="Q1250" s="932"/>
      <c r="R1250" s="932"/>
      <c r="S1250" s="932"/>
      <c r="T1250" s="932"/>
      <c r="U1250" s="932"/>
      <c r="V1250" s="932"/>
      <c r="W1250" s="932"/>
      <c r="X1250" s="932"/>
      <c r="Y1250" s="932"/>
      <c r="Z1250" s="932"/>
      <c r="AA1250" s="932"/>
      <c r="AB1250" s="932"/>
      <c r="AC1250" s="932"/>
      <c r="AD1250" s="932"/>
      <c r="AE1250" s="932"/>
      <c r="AF1250" s="932"/>
      <c r="AG1250" s="932"/>
      <c r="AH1250" s="932"/>
      <c r="AI1250" s="932"/>
      <c r="AJ1250" s="932"/>
      <c r="AK1250" s="932"/>
      <c r="AL1250" s="932"/>
      <c r="AM1250" s="932"/>
      <c r="AN1250" s="932"/>
      <c r="AO1250" s="932"/>
      <c r="AP1250" s="932"/>
      <c r="AQ1250" s="932"/>
      <c r="AR1250" s="932"/>
      <c r="AS1250" s="932"/>
      <c r="AT1250" s="932"/>
      <c r="AU1250" s="932"/>
      <c r="AV1250" s="932"/>
      <c r="AW1250" s="932"/>
      <c r="AX1250" s="932"/>
      <c r="AY1250" s="932"/>
      <c r="AZ1250" s="932"/>
      <c r="BA1250" s="932"/>
      <c r="BB1250" s="932"/>
      <c r="BC1250" s="932"/>
      <c r="BD1250" s="932"/>
      <c r="BE1250" s="932"/>
      <c r="BF1250" s="932"/>
    </row>
    <row r="1251" spans="2:58" ht="15" x14ac:dyDescent="0.25">
      <c r="B1251" s="932"/>
      <c r="C1251" s="932"/>
      <c r="D1251" s="932"/>
      <c r="E1251" s="932"/>
      <c r="F1251" s="932"/>
      <c r="G1251" s="932"/>
      <c r="H1251" s="932"/>
      <c r="I1251" s="932"/>
      <c r="J1251" s="932"/>
      <c r="K1251" s="932"/>
      <c r="L1251" s="932"/>
      <c r="M1251" s="932"/>
      <c r="N1251" s="932"/>
      <c r="O1251" s="932"/>
      <c r="P1251" s="932"/>
      <c r="Q1251" s="932"/>
      <c r="R1251" s="932"/>
      <c r="S1251" s="932"/>
      <c r="T1251" s="932"/>
      <c r="U1251" s="932"/>
      <c r="V1251" s="932"/>
      <c r="W1251" s="932"/>
      <c r="X1251" s="932"/>
      <c r="Y1251" s="932"/>
      <c r="Z1251" s="932"/>
      <c r="AA1251" s="932"/>
      <c r="AB1251" s="932"/>
      <c r="AC1251" s="932"/>
      <c r="AD1251" s="932"/>
      <c r="AE1251" s="932"/>
      <c r="AF1251" s="932"/>
      <c r="AG1251" s="932"/>
      <c r="AH1251" s="932"/>
      <c r="AI1251" s="932"/>
      <c r="AJ1251" s="932"/>
      <c r="AK1251" s="932"/>
      <c r="AL1251" s="932"/>
      <c r="AM1251" s="932"/>
      <c r="AN1251" s="932"/>
      <c r="AO1251" s="932"/>
      <c r="AP1251" s="932"/>
      <c r="AQ1251" s="932"/>
      <c r="AR1251" s="932"/>
      <c r="AS1251" s="932"/>
      <c r="AT1251" s="932"/>
      <c r="AU1251" s="932"/>
      <c r="AV1251" s="932"/>
      <c r="AW1251" s="932"/>
      <c r="AX1251" s="932"/>
      <c r="AY1251" s="932"/>
      <c r="AZ1251" s="932"/>
      <c r="BA1251" s="932"/>
      <c r="BB1251" s="932"/>
      <c r="BC1251" s="932"/>
      <c r="BD1251" s="932"/>
      <c r="BE1251" s="932"/>
      <c r="BF1251" s="932"/>
    </row>
    <row r="1252" spans="2:58" ht="15" x14ac:dyDescent="0.25">
      <c r="B1252" s="932"/>
      <c r="C1252" s="932"/>
      <c r="D1252" s="932"/>
      <c r="E1252" s="932"/>
      <c r="F1252" s="932"/>
      <c r="G1252" s="932"/>
      <c r="H1252" s="932"/>
      <c r="I1252" s="932"/>
      <c r="J1252" s="932"/>
      <c r="K1252" s="932"/>
      <c r="L1252" s="932"/>
      <c r="M1252" s="932"/>
      <c r="N1252" s="932"/>
      <c r="O1252" s="932"/>
      <c r="P1252" s="932"/>
      <c r="Q1252" s="932"/>
      <c r="R1252" s="932"/>
      <c r="S1252" s="932"/>
      <c r="T1252" s="932"/>
      <c r="U1252" s="932"/>
      <c r="V1252" s="932"/>
      <c r="W1252" s="932"/>
      <c r="X1252" s="932"/>
      <c r="Y1252" s="932"/>
      <c r="Z1252" s="932"/>
      <c r="AA1252" s="932"/>
      <c r="AB1252" s="932"/>
      <c r="AC1252" s="932"/>
      <c r="AD1252" s="932"/>
      <c r="AE1252" s="932"/>
      <c r="AF1252" s="932"/>
      <c r="AG1252" s="932"/>
      <c r="AH1252" s="932"/>
      <c r="AI1252" s="932"/>
      <c r="AJ1252" s="932"/>
      <c r="AK1252" s="932"/>
      <c r="AL1252" s="932"/>
      <c r="AM1252" s="932"/>
      <c r="AN1252" s="932"/>
      <c r="AO1252" s="932"/>
      <c r="AP1252" s="932"/>
      <c r="AQ1252" s="932"/>
      <c r="AR1252" s="932"/>
      <c r="AS1252" s="932"/>
      <c r="AT1252" s="932"/>
      <c r="AU1252" s="932"/>
      <c r="AV1252" s="932"/>
      <c r="AW1252" s="932"/>
      <c r="AX1252" s="932"/>
      <c r="AY1252" s="932"/>
      <c r="AZ1252" s="932"/>
      <c r="BA1252" s="932"/>
      <c r="BB1252" s="932"/>
      <c r="BC1252" s="932"/>
      <c r="BD1252" s="932"/>
      <c r="BE1252" s="932"/>
      <c r="BF1252" s="932"/>
    </row>
    <row r="1253" spans="2:58" ht="15" x14ac:dyDescent="0.25">
      <c r="B1253" s="932"/>
      <c r="C1253" s="932"/>
      <c r="D1253" s="932"/>
      <c r="E1253" s="932"/>
      <c r="F1253" s="932"/>
      <c r="G1253" s="932"/>
      <c r="H1253" s="932"/>
      <c r="I1253" s="932"/>
      <c r="J1253" s="932"/>
      <c r="K1253" s="932"/>
      <c r="L1253" s="932"/>
      <c r="M1253" s="932"/>
      <c r="N1253" s="932"/>
      <c r="O1253" s="932"/>
      <c r="P1253" s="932"/>
      <c r="Q1253" s="932"/>
      <c r="R1253" s="932"/>
      <c r="S1253" s="932"/>
      <c r="T1253" s="932"/>
      <c r="U1253" s="932"/>
      <c r="V1253" s="932"/>
      <c r="W1253" s="932"/>
      <c r="X1253" s="932"/>
      <c r="Y1253" s="932"/>
      <c r="Z1253" s="932"/>
      <c r="AA1253" s="932"/>
      <c r="AB1253" s="932"/>
      <c r="AC1253" s="932"/>
      <c r="AD1253" s="932"/>
      <c r="AE1253" s="932"/>
      <c r="AF1253" s="932"/>
      <c r="AG1253" s="932"/>
      <c r="AH1253" s="932"/>
      <c r="AI1253" s="932"/>
      <c r="AJ1253" s="932"/>
      <c r="AK1253" s="932"/>
      <c r="AL1253" s="932"/>
      <c r="AM1253" s="932"/>
      <c r="AN1253" s="932"/>
      <c r="AO1253" s="932"/>
      <c r="AP1253" s="932"/>
      <c r="AQ1253" s="932"/>
      <c r="AR1253" s="932"/>
      <c r="AS1253" s="932"/>
      <c r="AT1253" s="932"/>
      <c r="AU1253" s="932"/>
      <c r="AV1253" s="932"/>
      <c r="AW1253" s="932"/>
      <c r="AX1253" s="932"/>
      <c r="AY1253" s="932"/>
      <c r="AZ1253" s="932"/>
      <c r="BA1253" s="932"/>
      <c r="BB1253" s="932"/>
      <c r="BC1253" s="932"/>
      <c r="BD1253" s="932"/>
      <c r="BE1253" s="932"/>
      <c r="BF1253" s="932"/>
    </row>
    <row r="1254" spans="2:58" ht="15" x14ac:dyDescent="0.25">
      <c r="B1254" s="932"/>
      <c r="C1254" s="932"/>
      <c r="D1254" s="932"/>
      <c r="E1254" s="932"/>
      <c r="F1254" s="932"/>
      <c r="G1254" s="932"/>
      <c r="H1254" s="932"/>
      <c r="I1254" s="932"/>
      <c r="J1254" s="932"/>
      <c r="K1254" s="932"/>
      <c r="L1254" s="932"/>
      <c r="M1254" s="932"/>
      <c r="N1254" s="932"/>
      <c r="O1254" s="932"/>
      <c r="P1254" s="932"/>
      <c r="Q1254" s="932"/>
      <c r="R1254" s="932"/>
      <c r="S1254" s="932"/>
      <c r="T1254" s="932"/>
      <c r="U1254" s="932"/>
      <c r="V1254" s="932"/>
      <c r="W1254" s="932"/>
      <c r="X1254" s="932"/>
      <c r="Y1254" s="932"/>
      <c r="Z1254" s="932"/>
      <c r="AA1254" s="932"/>
      <c r="AB1254" s="932"/>
      <c r="AC1254" s="932"/>
      <c r="AD1254" s="932"/>
      <c r="AE1254" s="932"/>
      <c r="AF1254" s="932"/>
      <c r="AG1254" s="932"/>
      <c r="AH1254" s="932"/>
      <c r="AI1254" s="932"/>
      <c r="AJ1254" s="932"/>
      <c r="AK1254" s="932"/>
      <c r="AL1254" s="932"/>
      <c r="AM1254" s="932"/>
      <c r="AN1254" s="932"/>
      <c r="AO1254" s="932"/>
      <c r="AP1254" s="932"/>
      <c r="AQ1254" s="932"/>
      <c r="AR1254" s="932"/>
      <c r="AS1254" s="932"/>
      <c r="AT1254" s="932"/>
      <c r="AU1254" s="932"/>
      <c r="AV1254" s="932"/>
      <c r="AW1254" s="932"/>
      <c r="AX1254" s="932"/>
      <c r="AY1254" s="932"/>
      <c r="AZ1254" s="932"/>
      <c r="BA1254" s="932"/>
      <c r="BB1254" s="932"/>
      <c r="BC1254" s="932"/>
      <c r="BD1254" s="932"/>
      <c r="BE1254" s="932"/>
      <c r="BF1254" s="932"/>
    </row>
    <row r="1255" spans="2:58" ht="15" x14ac:dyDescent="0.25">
      <c r="B1255" s="932"/>
      <c r="C1255" s="932"/>
      <c r="D1255" s="932"/>
      <c r="E1255" s="932"/>
      <c r="F1255" s="932"/>
      <c r="G1255" s="932"/>
      <c r="H1255" s="932"/>
      <c r="I1255" s="932"/>
      <c r="J1255" s="932"/>
      <c r="K1255" s="932"/>
      <c r="L1255" s="932"/>
      <c r="M1255" s="932"/>
      <c r="N1255" s="932"/>
      <c r="O1255" s="932"/>
      <c r="P1255" s="932"/>
      <c r="Q1255" s="932"/>
      <c r="R1255" s="932"/>
      <c r="S1255" s="932"/>
      <c r="T1255" s="932"/>
      <c r="U1255" s="932"/>
      <c r="V1255" s="932"/>
      <c r="W1255" s="932"/>
      <c r="X1255" s="932"/>
      <c r="Y1255" s="932"/>
      <c r="Z1255" s="932"/>
      <c r="AA1255" s="932"/>
      <c r="AB1255" s="932"/>
      <c r="AC1255" s="932"/>
      <c r="AD1255" s="932"/>
      <c r="AE1255" s="932"/>
      <c r="AF1255" s="932"/>
      <c r="AG1255" s="932"/>
      <c r="AH1255" s="932"/>
      <c r="AI1255" s="932"/>
      <c r="AJ1255" s="932"/>
      <c r="AK1255" s="932"/>
      <c r="AL1255" s="932"/>
      <c r="AM1255" s="932"/>
      <c r="AN1255" s="932"/>
      <c r="AO1255" s="932"/>
      <c r="AP1255" s="932"/>
      <c r="AQ1255" s="932"/>
      <c r="AR1255" s="932"/>
      <c r="AS1255" s="932"/>
      <c r="AT1255" s="932"/>
      <c r="AU1255" s="932"/>
      <c r="AV1255" s="932"/>
      <c r="AW1255" s="932"/>
      <c r="AX1255" s="932"/>
      <c r="AY1255" s="932"/>
      <c r="AZ1255" s="932"/>
      <c r="BA1255" s="932"/>
      <c r="BB1255" s="932"/>
      <c r="BC1255" s="932"/>
      <c r="BD1255" s="932"/>
      <c r="BE1255" s="932"/>
      <c r="BF1255" s="932"/>
    </row>
    <row r="1256" spans="2:58" ht="15" x14ac:dyDescent="0.25">
      <c r="B1256" s="932"/>
      <c r="C1256" s="932"/>
      <c r="D1256" s="932"/>
      <c r="E1256" s="932"/>
      <c r="F1256" s="932"/>
      <c r="G1256" s="932"/>
      <c r="H1256" s="932"/>
      <c r="I1256" s="932"/>
      <c r="J1256" s="932"/>
      <c r="K1256" s="932"/>
      <c r="L1256" s="932"/>
      <c r="M1256" s="932"/>
      <c r="N1256" s="932"/>
      <c r="O1256" s="932"/>
      <c r="P1256" s="932"/>
      <c r="Q1256" s="932"/>
      <c r="R1256" s="932"/>
      <c r="S1256" s="932"/>
      <c r="T1256" s="932"/>
      <c r="U1256" s="932"/>
      <c r="V1256" s="932"/>
      <c r="W1256" s="932"/>
      <c r="X1256" s="932"/>
      <c r="Y1256" s="932"/>
      <c r="Z1256" s="932"/>
      <c r="AA1256" s="932"/>
      <c r="AB1256" s="932"/>
      <c r="AC1256" s="932"/>
      <c r="AD1256" s="932"/>
      <c r="AE1256" s="932"/>
      <c r="AF1256" s="932"/>
      <c r="AG1256" s="932"/>
      <c r="AH1256" s="932"/>
      <c r="AI1256" s="932"/>
      <c r="AJ1256" s="932"/>
      <c r="AK1256" s="932"/>
      <c r="AL1256" s="932"/>
      <c r="AM1256" s="932"/>
      <c r="AN1256" s="932"/>
      <c r="AO1256" s="932"/>
      <c r="AP1256" s="932"/>
      <c r="AQ1256" s="932"/>
      <c r="AR1256" s="932"/>
      <c r="AS1256" s="932"/>
      <c r="AT1256" s="932"/>
      <c r="AU1256" s="932"/>
      <c r="AV1256" s="932"/>
      <c r="AW1256" s="932"/>
      <c r="AX1256" s="932"/>
      <c r="AY1256" s="932"/>
      <c r="AZ1256" s="932"/>
      <c r="BA1256" s="932"/>
      <c r="BB1256" s="932"/>
      <c r="BC1256" s="932"/>
      <c r="BD1256" s="932"/>
      <c r="BE1256" s="932"/>
      <c r="BF1256" s="932"/>
    </row>
    <row r="1257" spans="2:58" ht="15" x14ac:dyDescent="0.25">
      <c r="B1257" s="932"/>
      <c r="C1257" s="932"/>
      <c r="D1257" s="932"/>
      <c r="E1257" s="932"/>
      <c r="F1257" s="932"/>
      <c r="G1257" s="932"/>
      <c r="H1257" s="932"/>
      <c r="I1257" s="932"/>
      <c r="J1257" s="932"/>
      <c r="K1257" s="932"/>
      <c r="L1257" s="932"/>
      <c r="M1257" s="932"/>
      <c r="N1257" s="932"/>
      <c r="O1257" s="932"/>
      <c r="P1257" s="932"/>
      <c r="Q1257" s="932"/>
      <c r="R1257" s="932"/>
      <c r="S1257" s="932"/>
      <c r="T1257" s="932"/>
      <c r="U1257" s="932"/>
      <c r="V1257" s="932"/>
      <c r="W1257" s="932"/>
      <c r="X1257" s="932"/>
      <c r="Y1257" s="932"/>
      <c r="Z1257" s="932"/>
      <c r="AA1257" s="932"/>
      <c r="AB1257" s="932"/>
      <c r="AC1257" s="932"/>
      <c r="AD1257" s="932"/>
      <c r="AE1257" s="932"/>
      <c r="AF1257" s="932"/>
      <c r="AG1257" s="932"/>
      <c r="AH1257" s="932"/>
      <c r="AI1257" s="932"/>
      <c r="AJ1257" s="932"/>
      <c r="AK1257" s="932"/>
      <c r="AL1257" s="932"/>
      <c r="AM1257" s="932"/>
      <c r="AN1257" s="932"/>
      <c r="AO1257" s="932"/>
      <c r="AP1257" s="932"/>
      <c r="AQ1257" s="932"/>
      <c r="AR1257" s="932"/>
      <c r="AS1257" s="932"/>
      <c r="AT1257" s="932"/>
      <c r="AU1257" s="932"/>
      <c r="AV1257" s="932"/>
      <c r="AW1257" s="932"/>
      <c r="AX1257" s="932"/>
      <c r="AY1257" s="932"/>
      <c r="AZ1257" s="932"/>
      <c r="BA1257" s="932"/>
      <c r="BB1257" s="932"/>
      <c r="BC1257" s="932"/>
      <c r="BD1257" s="932"/>
      <c r="BE1257" s="932"/>
      <c r="BF1257" s="932"/>
    </row>
    <row r="1258" spans="2:58" ht="15" x14ac:dyDescent="0.25">
      <c r="B1258" s="932"/>
      <c r="C1258" s="932"/>
      <c r="D1258" s="932"/>
      <c r="E1258" s="932"/>
      <c r="F1258" s="932"/>
      <c r="G1258" s="932"/>
      <c r="H1258" s="932"/>
      <c r="I1258" s="932"/>
      <c r="J1258" s="932"/>
      <c r="K1258" s="932"/>
      <c r="L1258" s="932"/>
      <c r="M1258" s="932"/>
      <c r="N1258" s="932"/>
      <c r="O1258" s="932"/>
      <c r="P1258" s="932"/>
      <c r="Q1258" s="932"/>
      <c r="R1258" s="932"/>
      <c r="S1258" s="932"/>
      <c r="T1258" s="932"/>
      <c r="U1258" s="932"/>
      <c r="V1258" s="932"/>
      <c r="W1258" s="932"/>
      <c r="X1258" s="932"/>
      <c r="Y1258" s="932"/>
      <c r="Z1258" s="932"/>
      <c r="AA1258" s="932"/>
      <c r="AB1258" s="932"/>
      <c r="AC1258" s="932"/>
      <c r="AD1258" s="932"/>
      <c r="AE1258" s="932"/>
      <c r="AF1258" s="932"/>
      <c r="AG1258" s="932"/>
      <c r="AH1258" s="932"/>
      <c r="AI1258" s="932"/>
      <c r="AJ1258" s="932"/>
      <c r="AK1258" s="932"/>
      <c r="AL1258" s="932"/>
      <c r="AM1258" s="932"/>
      <c r="AN1258" s="932"/>
      <c r="AO1258" s="932"/>
      <c r="AP1258" s="932"/>
      <c r="AQ1258" s="932"/>
      <c r="AR1258" s="932"/>
      <c r="AS1258" s="932"/>
      <c r="AT1258" s="932"/>
      <c r="AU1258" s="932"/>
      <c r="AV1258" s="932"/>
      <c r="AW1258" s="932"/>
      <c r="AX1258" s="932"/>
      <c r="AY1258" s="932"/>
      <c r="AZ1258" s="932"/>
      <c r="BA1258" s="932"/>
      <c r="BB1258" s="932"/>
      <c r="BC1258" s="932"/>
      <c r="BD1258" s="932"/>
      <c r="BE1258" s="932"/>
      <c r="BF1258" s="932"/>
    </row>
    <row r="1259" spans="2:58" ht="15" x14ac:dyDescent="0.25">
      <c r="B1259" s="932"/>
      <c r="C1259" s="932"/>
      <c r="D1259" s="932"/>
      <c r="E1259" s="932"/>
      <c r="F1259" s="932"/>
      <c r="G1259" s="932"/>
      <c r="H1259" s="932"/>
      <c r="I1259" s="932"/>
      <c r="J1259" s="932"/>
      <c r="K1259" s="932"/>
      <c r="L1259" s="932"/>
      <c r="M1259" s="932"/>
      <c r="N1259" s="932"/>
      <c r="O1259" s="932"/>
      <c r="P1259" s="932"/>
      <c r="Q1259" s="932"/>
      <c r="R1259" s="932"/>
      <c r="S1259" s="932"/>
      <c r="T1259" s="932"/>
      <c r="U1259" s="932"/>
      <c r="V1259" s="932"/>
      <c r="W1259" s="932"/>
      <c r="X1259" s="932"/>
      <c r="Y1259" s="932"/>
      <c r="Z1259" s="932"/>
      <c r="AA1259" s="932"/>
      <c r="AB1259" s="932"/>
      <c r="AC1259" s="932"/>
      <c r="AD1259" s="932"/>
      <c r="AE1259" s="932"/>
      <c r="AF1259" s="932"/>
      <c r="AG1259" s="932"/>
      <c r="AH1259" s="932"/>
      <c r="AI1259" s="932"/>
      <c r="AJ1259" s="932"/>
      <c r="AK1259" s="932"/>
      <c r="AL1259" s="932"/>
      <c r="AM1259" s="932"/>
      <c r="AN1259" s="932"/>
      <c r="AO1259" s="932"/>
      <c r="AP1259" s="932"/>
      <c r="AQ1259" s="932"/>
      <c r="AR1259" s="932"/>
      <c r="AS1259" s="932"/>
      <c r="AT1259" s="932"/>
      <c r="AU1259" s="932"/>
      <c r="AV1259" s="932"/>
      <c r="AW1259" s="932"/>
      <c r="AX1259" s="932"/>
      <c r="AY1259" s="932"/>
      <c r="AZ1259" s="932"/>
      <c r="BA1259" s="932"/>
      <c r="BB1259" s="932"/>
      <c r="BC1259" s="932"/>
      <c r="BD1259" s="932"/>
      <c r="BE1259" s="932"/>
      <c r="BF1259" s="932"/>
    </row>
    <row r="1260" spans="2:58" ht="15" x14ac:dyDescent="0.25">
      <c r="B1260" s="932"/>
      <c r="C1260" s="932"/>
      <c r="D1260" s="932"/>
      <c r="E1260" s="932"/>
      <c r="F1260" s="932"/>
      <c r="G1260" s="932"/>
      <c r="H1260" s="932"/>
      <c r="I1260" s="932"/>
      <c r="J1260" s="932"/>
      <c r="K1260" s="932"/>
      <c r="L1260" s="932"/>
      <c r="M1260" s="932"/>
      <c r="N1260" s="932"/>
      <c r="O1260" s="932"/>
      <c r="P1260" s="932"/>
      <c r="Q1260" s="932"/>
      <c r="R1260" s="932"/>
      <c r="S1260" s="932"/>
      <c r="T1260" s="932"/>
      <c r="U1260" s="932"/>
      <c r="V1260" s="932"/>
      <c r="W1260" s="932"/>
      <c r="X1260" s="932"/>
      <c r="Y1260" s="932"/>
      <c r="Z1260" s="932"/>
      <c r="AA1260" s="932"/>
      <c r="AB1260" s="932"/>
      <c r="AC1260" s="932"/>
      <c r="AD1260" s="932"/>
      <c r="AE1260" s="932"/>
      <c r="AF1260" s="932"/>
      <c r="AG1260" s="932"/>
      <c r="AH1260" s="932"/>
      <c r="AI1260" s="932"/>
      <c r="AJ1260" s="932"/>
      <c r="AK1260" s="932"/>
      <c r="AL1260" s="932"/>
      <c r="AM1260" s="932"/>
      <c r="AN1260" s="932"/>
      <c r="AO1260" s="932"/>
      <c r="AP1260" s="932"/>
      <c r="AQ1260" s="932"/>
      <c r="AR1260" s="932"/>
      <c r="AS1260" s="932"/>
      <c r="AT1260" s="932"/>
      <c r="AU1260" s="932"/>
      <c r="AV1260" s="932"/>
      <c r="AW1260" s="932"/>
      <c r="AX1260" s="932"/>
      <c r="AY1260" s="932"/>
      <c r="AZ1260" s="932"/>
      <c r="BA1260" s="932"/>
      <c r="BB1260" s="932"/>
      <c r="BC1260" s="932"/>
      <c r="BD1260" s="932"/>
      <c r="BE1260" s="932"/>
      <c r="BF1260" s="932"/>
    </row>
    <row r="1261" spans="2:58" ht="15" x14ac:dyDescent="0.25">
      <c r="B1261" s="932"/>
      <c r="C1261" s="932"/>
      <c r="D1261" s="932"/>
      <c r="E1261" s="932"/>
      <c r="F1261" s="932"/>
      <c r="G1261" s="932"/>
      <c r="H1261" s="932"/>
      <c r="I1261" s="932"/>
      <c r="J1261" s="932"/>
      <c r="K1261" s="932"/>
      <c r="L1261" s="932"/>
      <c r="M1261" s="932"/>
      <c r="N1261" s="932"/>
      <c r="O1261" s="932"/>
      <c r="P1261" s="932"/>
      <c r="Q1261" s="932"/>
      <c r="R1261" s="932"/>
      <c r="S1261" s="932"/>
      <c r="T1261" s="932"/>
      <c r="U1261" s="932"/>
      <c r="V1261" s="932"/>
      <c r="W1261" s="932"/>
      <c r="X1261" s="932"/>
      <c r="Y1261" s="932"/>
      <c r="Z1261" s="932"/>
      <c r="AA1261" s="932"/>
      <c r="AB1261" s="932"/>
      <c r="AC1261" s="932"/>
      <c r="AD1261" s="932"/>
      <c r="AE1261" s="932"/>
      <c r="AF1261" s="932"/>
      <c r="AG1261" s="932"/>
      <c r="AH1261" s="932"/>
      <c r="AI1261" s="932"/>
      <c r="AJ1261" s="932"/>
      <c r="AK1261" s="932"/>
      <c r="AL1261" s="932"/>
      <c r="AM1261" s="932"/>
      <c r="AN1261" s="932"/>
      <c r="AO1261" s="932"/>
      <c r="AP1261" s="932"/>
      <c r="AQ1261" s="932"/>
      <c r="AR1261" s="932"/>
      <c r="AS1261" s="932"/>
      <c r="AT1261" s="932"/>
      <c r="AU1261" s="932"/>
      <c r="AV1261" s="932"/>
      <c r="AW1261" s="932"/>
      <c r="AX1261" s="932"/>
      <c r="AY1261" s="932"/>
      <c r="AZ1261" s="932"/>
      <c r="BA1261" s="932"/>
      <c r="BB1261" s="932"/>
      <c r="BC1261" s="932"/>
      <c r="BD1261" s="932"/>
      <c r="BE1261" s="932"/>
      <c r="BF1261" s="932"/>
    </row>
    <row r="1262" spans="2:58" ht="15" x14ac:dyDescent="0.25">
      <c r="B1262" s="932"/>
      <c r="C1262" s="932"/>
      <c r="D1262" s="932"/>
      <c r="E1262" s="932"/>
      <c r="F1262" s="932"/>
      <c r="G1262" s="932"/>
      <c r="H1262" s="932"/>
      <c r="I1262" s="932"/>
      <c r="J1262" s="932"/>
      <c r="K1262" s="932"/>
      <c r="L1262" s="932"/>
      <c r="M1262" s="932"/>
      <c r="N1262" s="932"/>
      <c r="O1262" s="932"/>
      <c r="P1262" s="932"/>
      <c r="Q1262" s="932"/>
      <c r="R1262" s="932"/>
      <c r="S1262" s="932"/>
      <c r="T1262" s="932"/>
      <c r="U1262" s="932"/>
      <c r="V1262" s="932"/>
      <c r="W1262" s="932"/>
      <c r="X1262" s="932"/>
      <c r="Y1262" s="932"/>
      <c r="Z1262" s="932"/>
      <c r="AA1262" s="932"/>
      <c r="AB1262" s="932"/>
      <c r="AC1262" s="932"/>
      <c r="AD1262" s="932"/>
      <c r="AE1262" s="932"/>
      <c r="AF1262" s="932"/>
      <c r="AG1262" s="932"/>
      <c r="AH1262" s="932"/>
      <c r="AI1262" s="932"/>
      <c r="AJ1262" s="932"/>
      <c r="AK1262" s="932"/>
      <c r="AL1262" s="932"/>
      <c r="AM1262" s="932"/>
      <c r="AN1262" s="932"/>
      <c r="AO1262" s="932"/>
      <c r="AP1262" s="932"/>
      <c r="AQ1262" s="932"/>
      <c r="AR1262" s="932"/>
      <c r="AS1262" s="932"/>
      <c r="AT1262" s="932"/>
      <c r="AU1262" s="932"/>
      <c r="AV1262" s="932"/>
      <c r="AW1262" s="932"/>
      <c r="AX1262" s="932"/>
      <c r="AY1262" s="932"/>
      <c r="AZ1262" s="932"/>
      <c r="BA1262" s="932"/>
      <c r="BB1262" s="932"/>
      <c r="BC1262" s="932"/>
      <c r="BD1262" s="932"/>
      <c r="BE1262" s="932"/>
      <c r="BF1262" s="932"/>
    </row>
    <row r="1263" spans="2:58" ht="15" x14ac:dyDescent="0.25">
      <c r="B1263" s="932"/>
      <c r="C1263" s="932"/>
      <c r="D1263" s="932"/>
      <c r="E1263" s="932"/>
      <c r="F1263" s="932"/>
      <c r="G1263" s="932"/>
      <c r="H1263" s="932"/>
      <c r="I1263" s="932"/>
      <c r="J1263" s="932"/>
      <c r="K1263" s="932"/>
      <c r="L1263" s="932"/>
      <c r="M1263" s="932"/>
      <c r="N1263" s="932"/>
      <c r="O1263" s="932"/>
      <c r="P1263" s="932"/>
      <c r="Q1263" s="932"/>
      <c r="R1263" s="932"/>
      <c r="S1263" s="932"/>
      <c r="T1263" s="932"/>
      <c r="U1263" s="932"/>
      <c r="V1263" s="932"/>
      <c r="W1263" s="932"/>
      <c r="X1263" s="932"/>
      <c r="Y1263" s="932"/>
      <c r="Z1263" s="932"/>
      <c r="AA1263" s="932"/>
      <c r="AB1263" s="932"/>
      <c r="AC1263" s="932"/>
      <c r="AD1263" s="932"/>
      <c r="AE1263" s="932"/>
      <c r="AF1263" s="932"/>
      <c r="AG1263" s="932"/>
      <c r="AH1263" s="932"/>
      <c r="AI1263" s="932"/>
      <c r="AJ1263" s="932"/>
      <c r="AK1263" s="932"/>
      <c r="AL1263" s="932"/>
      <c r="AM1263" s="932"/>
      <c r="AN1263" s="932"/>
      <c r="AO1263" s="932"/>
      <c r="AP1263" s="932"/>
      <c r="AQ1263" s="932"/>
      <c r="AR1263" s="932"/>
      <c r="AS1263" s="932"/>
      <c r="AT1263" s="932"/>
      <c r="AU1263" s="932"/>
      <c r="AV1263" s="932"/>
      <c r="AW1263" s="932"/>
      <c r="AX1263" s="932"/>
      <c r="AY1263" s="932"/>
      <c r="AZ1263" s="932"/>
      <c r="BA1263" s="932"/>
      <c r="BB1263" s="932"/>
      <c r="BC1263" s="932"/>
      <c r="BD1263" s="932"/>
      <c r="BE1263" s="932"/>
      <c r="BF1263" s="932"/>
    </row>
    <row r="1264" spans="2:58" ht="15" x14ac:dyDescent="0.25">
      <c r="B1264" s="932"/>
      <c r="C1264" s="932"/>
      <c r="D1264" s="932"/>
      <c r="E1264" s="932"/>
      <c r="F1264" s="932"/>
      <c r="G1264" s="932"/>
      <c r="H1264" s="932"/>
      <c r="I1264" s="932"/>
      <c r="J1264" s="932"/>
      <c r="K1264" s="932"/>
      <c r="L1264" s="932"/>
      <c r="M1264" s="932"/>
      <c r="N1264" s="932"/>
      <c r="O1264" s="932"/>
      <c r="P1264" s="932"/>
      <c r="Q1264" s="932"/>
      <c r="R1264" s="932"/>
      <c r="S1264" s="932"/>
      <c r="T1264" s="932"/>
      <c r="U1264" s="932"/>
      <c r="V1264" s="932"/>
      <c r="W1264" s="932"/>
      <c r="X1264" s="932"/>
      <c r="Y1264" s="932"/>
      <c r="Z1264" s="932"/>
      <c r="AA1264" s="932"/>
      <c r="AB1264" s="932"/>
      <c r="AC1264" s="932"/>
      <c r="AD1264" s="932"/>
      <c r="AE1264" s="932"/>
      <c r="AF1264" s="932"/>
      <c r="AG1264" s="932"/>
      <c r="AH1264" s="932"/>
      <c r="AI1264" s="932"/>
      <c r="AJ1264" s="932"/>
      <c r="AK1264" s="932"/>
      <c r="AL1264" s="932"/>
      <c r="AM1264" s="932"/>
      <c r="AN1264" s="932"/>
      <c r="AO1264" s="932"/>
      <c r="AP1264" s="932"/>
      <c r="AQ1264" s="932"/>
      <c r="AR1264" s="932"/>
      <c r="AS1264" s="932"/>
      <c r="AT1264" s="932"/>
      <c r="AU1264" s="932"/>
      <c r="AV1264" s="932"/>
      <c r="AW1264" s="932"/>
      <c r="AX1264" s="932"/>
      <c r="AY1264" s="932"/>
      <c r="AZ1264" s="932"/>
      <c r="BA1264" s="932"/>
      <c r="BB1264" s="932"/>
      <c r="BC1264" s="932"/>
      <c r="BD1264" s="932"/>
      <c r="BE1264" s="932"/>
      <c r="BF1264" s="932"/>
    </row>
    <row r="1265" spans="2:58" ht="15" x14ac:dyDescent="0.25">
      <c r="B1265" s="932"/>
      <c r="C1265" s="932"/>
      <c r="D1265" s="932"/>
      <c r="E1265" s="932"/>
      <c r="F1265" s="932"/>
      <c r="G1265" s="932"/>
      <c r="H1265" s="932"/>
      <c r="I1265" s="932"/>
      <c r="J1265" s="932"/>
      <c r="K1265" s="932"/>
      <c r="L1265" s="932"/>
      <c r="M1265" s="932"/>
      <c r="N1265" s="932"/>
      <c r="O1265" s="932"/>
      <c r="P1265" s="932"/>
      <c r="Q1265" s="932"/>
      <c r="R1265" s="932"/>
      <c r="S1265" s="932"/>
      <c r="T1265" s="932"/>
      <c r="U1265" s="932"/>
      <c r="V1265" s="932"/>
      <c r="W1265" s="932"/>
      <c r="X1265" s="932"/>
      <c r="Y1265" s="932"/>
      <c r="Z1265" s="932"/>
      <c r="AA1265" s="932"/>
      <c r="AB1265" s="932"/>
      <c r="AC1265" s="932"/>
      <c r="AD1265" s="932"/>
      <c r="AE1265" s="932"/>
      <c r="AF1265" s="932"/>
      <c r="AG1265" s="932"/>
      <c r="AH1265" s="932"/>
      <c r="AI1265" s="932"/>
      <c r="AJ1265" s="932"/>
      <c r="AK1265" s="932"/>
      <c r="AL1265" s="932"/>
      <c r="AM1265" s="932"/>
      <c r="AN1265" s="932"/>
      <c r="AO1265" s="932"/>
      <c r="AP1265" s="932"/>
      <c r="AQ1265" s="932"/>
      <c r="AR1265" s="932"/>
      <c r="AS1265" s="932"/>
      <c r="AT1265" s="932"/>
      <c r="AU1265" s="932"/>
      <c r="AV1265" s="932"/>
      <c r="AW1265" s="932"/>
      <c r="AX1265" s="932"/>
      <c r="AY1265" s="932"/>
      <c r="AZ1265" s="932"/>
      <c r="BA1265" s="932"/>
      <c r="BB1265" s="932"/>
      <c r="BC1265" s="932"/>
      <c r="BD1265" s="932"/>
      <c r="BE1265" s="932"/>
      <c r="BF1265" s="932"/>
    </row>
    <row r="1266" spans="2:58" ht="15" x14ac:dyDescent="0.25">
      <c r="B1266" s="932"/>
      <c r="C1266" s="932"/>
      <c r="D1266" s="932"/>
      <c r="E1266" s="932"/>
      <c r="F1266" s="932"/>
      <c r="G1266" s="932"/>
      <c r="H1266" s="932"/>
      <c r="I1266" s="932"/>
      <c r="J1266" s="932"/>
      <c r="K1266" s="932"/>
      <c r="L1266" s="932"/>
      <c r="M1266" s="932"/>
      <c r="N1266" s="932"/>
      <c r="O1266" s="932"/>
      <c r="P1266" s="932"/>
      <c r="Q1266" s="932"/>
      <c r="R1266" s="932"/>
      <c r="S1266" s="932"/>
      <c r="T1266" s="932"/>
      <c r="U1266" s="932"/>
      <c r="V1266" s="932"/>
      <c r="W1266" s="932"/>
      <c r="X1266" s="932"/>
      <c r="Y1266" s="932"/>
      <c r="Z1266" s="932"/>
      <c r="AA1266" s="932"/>
      <c r="AB1266" s="932"/>
      <c r="AC1266" s="932"/>
      <c r="AD1266" s="932"/>
      <c r="AE1266" s="932"/>
      <c r="AF1266" s="932"/>
      <c r="AG1266" s="932"/>
      <c r="AH1266" s="932"/>
      <c r="AI1266" s="932"/>
      <c r="AJ1266" s="932"/>
      <c r="AK1266" s="932"/>
      <c r="AL1266" s="932"/>
      <c r="AM1266" s="932"/>
      <c r="AN1266" s="932"/>
      <c r="AO1266" s="932"/>
      <c r="AP1266" s="932"/>
      <c r="AQ1266" s="932"/>
      <c r="AR1266" s="932"/>
      <c r="AS1266" s="932"/>
      <c r="AT1266" s="932"/>
      <c r="AU1266" s="932"/>
      <c r="AV1266" s="932"/>
      <c r="AW1266" s="932"/>
      <c r="AX1266" s="932"/>
      <c r="AY1266" s="932"/>
      <c r="AZ1266" s="932"/>
      <c r="BA1266" s="932"/>
      <c r="BB1266" s="932"/>
      <c r="BC1266" s="932"/>
      <c r="BD1266" s="932"/>
      <c r="BE1266" s="932"/>
      <c r="BF1266" s="932"/>
    </row>
    <row r="1267" spans="2:58" ht="15" x14ac:dyDescent="0.25">
      <c r="B1267" s="932"/>
      <c r="C1267" s="932"/>
      <c r="D1267" s="932"/>
      <c r="E1267" s="932"/>
      <c r="F1267" s="932"/>
      <c r="G1267" s="932"/>
      <c r="H1267" s="932"/>
      <c r="I1267" s="932"/>
      <c r="J1267" s="932"/>
      <c r="K1267" s="932"/>
      <c r="L1267" s="932"/>
      <c r="M1267" s="932"/>
      <c r="N1267" s="932"/>
      <c r="O1267" s="932"/>
      <c r="P1267" s="932"/>
      <c r="Q1267" s="932"/>
      <c r="R1267" s="932"/>
      <c r="S1267" s="932"/>
      <c r="T1267" s="932"/>
      <c r="U1267" s="932"/>
      <c r="V1267" s="932"/>
      <c r="W1267" s="932"/>
      <c r="X1267" s="932"/>
      <c r="Y1267" s="932"/>
      <c r="Z1267" s="932"/>
      <c r="AA1267" s="932"/>
      <c r="AB1267" s="932"/>
      <c r="AC1267" s="932"/>
      <c r="AD1267" s="932"/>
      <c r="AE1267" s="932"/>
      <c r="AF1267" s="932"/>
      <c r="AG1267" s="932"/>
      <c r="AH1267" s="932"/>
      <c r="AI1267" s="932"/>
      <c r="AJ1267" s="932"/>
      <c r="AK1267" s="932"/>
      <c r="AL1267" s="932"/>
      <c r="AM1267" s="932"/>
      <c r="AN1267" s="932"/>
      <c r="AO1267" s="932"/>
      <c r="AP1267" s="932"/>
      <c r="AQ1267" s="932"/>
      <c r="AR1267" s="932"/>
      <c r="AS1267" s="932"/>
      <c r="AT1267" s="932"/>
      <c r="AU1267" s="932"/>
      <c r="AV1267" s="932"/>
      <c r="AW1267" s="932"/>
      <c r="AX1267" s="932"/>
      <c r="AY1267" s="932"/>
      <c r="AZ1267" s="932"/>
      <c r="BA1267" s="932"/>
      <c r="BB1267" s="932"/>
      <c r="BC1267" s="932"/>
      <c r="BD1267" s="932"/>
      <c r="BE1267" s="932"/>
      <c r="BF1267" s="932"/>
    </row>
    <row r="1268" spans="2:58" ht="15" x14ac:dyDescent="0.25">
      <c r="B1268" s="932"/>
      <c r="C1268" s="932"/>
      <c r="D1268" s="932"/>
      <c r="E1268" s="932"/>
      <c r="F1268" s="932"/>
      <c r="G1268" s="932"/>
      <c r="H1268" s="932"/>
      <c r="I1268" s="932"/>
      <c r="J1268" s="932"/>
      <c r="K1268" s="932"/>
      <c r="L1268" s="932"/>
      <c r="M1268" s="932"/>
      <c r="N1268" s="932"/>
      <c r="O1268" s="932"/>
      <c r="P1268" s="932"/>
      <c r="Q1268" s="932"/>
      <c r="R1268" s="932"/>
      <c r="S1268" s="932"/>
      <c r="T1268" s="932"/>
      <c r="U1268" s="932"/>
      <c r="V1268" s="932"/>
      <c r="W1268" s="932"/>
      <c r="X1268" s="932"/>
      <c r="Y1268" s="932"/>
      <c r="Z1268" s="932"/>
      <c r="AA1268" s="932"/>
      <c r="AB1268" s="932"/>
      <c r="AC1268" s="932"/>
      <c r="AD1268" s="932"/>
      <c r="AE1268" s="932"/>
      <c r="AF1268" s="932"/>
      <c r="AG1268" s="932"/>
      <c r="AH1268" s="932"/>
      <c r="AI1268" s="932"/>
      <c r="AJ1268" s="932"/>
      <c r="AK1268" s="932"/>
      <c r="AL1268" s="932"/>
      <c r="AM1268" s="932"/>
      <c r="AN1268" s="932"/>
      <c r="AO1268" s="932"/>
      <c r="AP1268" s="932"/>
      <c r="AQ1268" s="932"/>
      <c r="AR1268" s="932"/>
      <c r="AS1268" s="932"/>
      <c r="AT1268" s="932"/>
      <c r="AU1268" s="932"/>
      <c r="AV1268" s="932"/>
      <c r="AW1268" s="932"/>
      <c r="AX1268" s="932"/>
      <c r="AY1268" s="932"/>
      <c r="AZ1268" s="932"/>
      <c r="BA1268" s="932"/>
      <c r="BB1268" s="932"/>
      <c r="BC1268" s="932"/>
      <c r="BD1268" s="932"/>
      <c r="BE1268" s="932"/>
      <c r="BF1268" s="932"/>
    </row>
    <row r="1269" spans="2:58" ht="15" x14ac:dyDescent="0.25">
      <c r="B1269" s="932"/>
      <c r="C1269" s="932"/>
      <c r="D1269" s="932"/>
      <c r="E1269" s="932"/>
      <c r="F1269" s="932"/>
      <c r="G1269" s="932"/>
      <c r="H1269" s="932"/>
      <c r="I1269" s="932"/>
      <c r="J1269" s="932"/>
      <c r="K1269" s="932"/>
      <c r="L1269" s="932"/>
      <c r="M1269" s="932"/>
      <c r="N1269" s="932"/>
      <c r="O1269" s="932"/>
      <c r="P1269" s="932"/>
      <c r="Q1269" s="932"/>
      <c r="R1269" s="932"/>
      <c r="S1269" s="932"/>
      <c r="T1269" s="932"/>
      <c r="U1269" s="932"/>
      <c r="V1269" s="932"/>
      <c r="W1269" s="932"/>
      <c r="X1269" s="932"/>
      <c r="Y1269" s="932"/>
      <c r="Z1269" s="932"/>
      <c r="AA1269" s="932"/>
      <c r="AB1269" s="932"/>
      <c r="AC1269" s="932"/>
      <c r="AD1269" s="932"/>
      <c r="AE1269" s="932"/>
      <c r="AF1269" s="932"/>
      <c r="AG1269" s="932"/>
      <c r="AH1269" s="932"/>
      <c r="AI1269" s="932"/>
      <c r="AJ1269" s="932"/>
      <c r="AK1269" s="932"/>
      <c r="AL1269" s="932"/>
      <c r="AM1269" s="932"/>
      <c r="AN1269" s="932"/>
      <c r="AO1269" s="932"/>
      <c r="AP1269" s="932"/>
      <c r="AQ1269" s="932"/>
      <c r="AR1269" s="932"/>
      <c r="AS1269" s="932"/>
      <c r="AT1269" s="932"/>
      <c r="AU1269" s="932"/>
      <c r="AV1269" s="932"/>
      <c r="AW1269" s="932"/>
      <c r="AX1269" s="932"/>
      <c r="AY1269" s="932"/>
      <c r="AZ1269" s="932"/>
      <c r="BA1269" s="932"/>
      <c r="BB1269" s="932"/>
      <c r="BC1269" s="932"/>
      <c r="BD1269" s="932"/>
      <c r="BE1269" s="932"/>
      <c r="BF1269" s="932"/>
    </row>
    <row r="1270" spans="2:58" ht="15" x14ac:dyDescent="0.25">
      <c r="B1270" s="932"/>
      <c r="C1270" s="932"/>
      <c r="D1270" s="932"/>
      <c r="E1270" s="932"/>
      <c r="F1270" s="932"/>
      <c r="G1270" s="932"/>
      <c r="H1270" s="932"/>
      <c r="I1270" s="932"/>
      <c r="J1270" s="932"/>
      <c r="K1270" s="932"/>
      <c r="L1270" s="932"/>
      <c r="M1270" s="932"/>
      <c r="N1270" s="932"/>
      <c r="O1270" s="932"/>
      <c r="P1270" s="932"/>
      <c r="Q1270" s="932"/>
      <c r="R1270" s="932"/>
      <c r="S1270" s="932"/>
      <c r="T1270" s="932"/>
      <c r="U1270" s="932"/>
      <c r="V1270" s="932"/>
      <c r="W1270" s="932"/>
      <c r="X1270" s="932"/>
      <c r="Y1270" s="932"/>
      <c r="Z1270" s="932"/>
      <c r="AA1270" s="932"/>
      <c r="AB1270" s="932"/>
      <c r="AC1270" s="932"/>
      <c r="AD1270" s="932"/>
      <c r="AE1270" s="932"/>
      <c r="AF1270" s="932"/>
      <c r="AG1270" s="932"/>
      <c r="AH1270" s="932"/>
      <c r="AI1270" s="932"/>
      <c r="AJ1270" s="932"/>
      <c r="AK1270" s="932"/>
      <c r="AL1270" s="932"/>
      <c r="AM1270" s="932"/>
      <c r="AN1270" s="932"/>
      <c r="AO1270" s="932"/>
      <c r="AP1270" s="932"/>
      <c r="AQ1270" s="932"/>
      <c r="AR1270" s="932"/>
      <c r="AS1270" s="932"/>
      <c r="AT1270" s="932"/>
      <c r="AU1270" s="932"/>
      <c r="AV1270" s="932"/>
      <c r="AW1270" s="932"/>
      <c r="AX1270" s="932"/>
      <c r="AY1270" s="932"/>
      <c r="AZ1270" s="932"/>
      <c r="BA1270" s="932"/>
      <c r="BB1270" s="932"/>
      <c r="BC1270" s="932"/>
      <c r="BD1270" s="932"/>
      <c r="BE1270" s="932"/>
      <c r="BF1270" s="932"/>
    </row>
    <row r="1271" spans="2:58" ht="15" x14ac:dyDescent="0.25">
      <c r="B1271" s="932"/>
      <c r="C1271" s="932"/>
      <c r="D1271" s="932"/>
      <c r="E1271" s="932"/>
      <c r="F1271" s="932"/>
      <c r="G1271" s="932"/>
      <c r="H1271" s="932"/>
      <c r="I1271" s="932"/>
      <c r="J1271" s="932"/>
      <c r="K1271" s="932"/>
      <c r="L1271" s="932"/>
      <c r="M1271" s="932"/>
      <c r="N1271" s="932"/>
      <c r="O1271" s="932"/>
      <c r="P1271" s="932"/>
      <c r="Q1271" s="932"/>
      <c r="R1271" s="932"/>
      <c r="S1271" s="932"/>
      <c r="T1271" s="932"/>
      <c r="U1271" s="932"/>
      <c r="V1271" s="932"/>
      <c r="W1271" s="932"/>
      <c r="X1271" s="932"/>
      <c r="Y1271" s="932"/>
      <c r="Z1271" s="932"/>
      <c r="AA1271" s="932"/>
      <c r="AB1271" s="932"/>
      <c r="AC1271" s="932"/>
      <c r="AD1271" s="932"/>
      <c r="AE1271" s="932"/>
      <c r="AF1271" s="932"/>
      <c r="AG1271" s="932"/>
      <c r="AH1271" s="932"/>
      <c r="AI1271" s="932"/>
      <c r="AJ1271" s="932"/>
      <c r="AK1271" s="932"/>
      <c r="AL1271" s="932"/>
      <c r="AM1271" s="932"/>
      <c r="AN1271" s="932"/>
      <c r="AO1271" s="932"/>
      <c r="AP1271" s="932"/>
      <c r="AQ1271" s="932"/>
      <c r="AR1271" s="932"/>
      <c r="AS1271" s="932"/>
      <c r="AT1271" s="932"/>
      <c r="AU1271" s="932"/>
      <c r="AV1271" s="932"/>
      <c r="AW1271" s="932"/>
      <c r="AX1271" s="932"/>
      <c r="AY1271" s="932"/>
      <c r="AZ1271" s="932"/>
      <c r="BA1271" s="932"/>
      <c r="BB1271" s="932"/>
      <c r="BC1271" s="932"/>
      <c r="BD1271" s="932"/>
      <c r="BE1271" s="932"/>
      <c r="BF1271" s="932"/>
    </row>
    <row r="1272" spans="2:58" ht="15" x14ac:dyDescent="0.25">
      <c r="B1272" s="932"/>
      <c r="C1272" s="932"/>
      <c r="D1272" s="932"/>
      <c r="E1272" s="932"/>
      <c r="F1272" s="932"/>
      <c r="G1272" s="932"/>
      <c r="H1272" s="932"/>
      <c r="I1272" s="932"/>
      <c r="J1272" s="932"/>
      <c r="K1272" s="932"/>
      <c r="L1272" s="932"/>
      <c r="M1272" s="932"/>
      <c r="N1272" s="932"/>
      <c r="O1272" s="932"/>
      <c r="P1272" s="932"/>
      <c r="Q1272" s="932"/>
      <c r="R1272" s="932"/>
      <c r="S1272" s="932"/>
      <c r="T1272" s="932"/>
      <c r="U1272" s="932"/>
      <c r="V1272" s="932"/>
      <c r="W1272" s="932"/>
      <c r="X1272" s="932"/>
      <c r="Y1272" s="932"/>
      <c r="Z1272" s="932"/>
      <c r="AA1272" s="932"/>
      <c r="AB1272" s="932"/>
      <c r="AC1272" s="932"/>
      <c r="AD1272" s="932"/>
      <c r="AE1272" s="932"/>
      <c r="AF1272" s="932"/>
      <c r="AG1272" s="932"/>
      <c r="AH1272" s="932"/>
      <c r="AI1272" s="932"/>
      <c r="AJ1272" s="932"/>
      <c r="AK1272" s="932"/>
      <c r="AL1272" s="932"/>
      <c r="AM1272" s="932"/>
      <c r="AN1272" s="932"/>
      <c r="AO1272" s="932"/>
      <c r="AP1272" s="932"/>
      <c r="AQ1272" s="932"/>
      <c r="AR1272" s="932"/>
      <c r="AS1272" s="932"/>
      <c r="AT1272" s="932"/>
      <c r="AU1272" s="932"/>
      <c r="AV1272" s="932"/>
      <c r="AW1272" s="932"/>
      <c r="AX1272" s="932"/>
      <c r="AY1272" s="932"/>
      <c r="AZ1272" s="932"/>
      <c r="BA1272" s="932"/>
      <c r="BB1272" s="932"/>
      <c r="BC1272" s="932"/>
      <c r="BD1272" s="932"/>
      <c r="BE1272" s="932"/>
      <c r="BF1272" s="932"/>
    </row>
    <row r="1273" spans="2:58" ht="15" x14ac:dyDescent="0.25">
      <c r="B1273" s="932"/>
      <c r="C1273" s="932"/>
      <c r="D1273" s="932"/>
      <c r="E1273" s="932"/>
      <c r="F1273" s="932"/>
      <c r="G1273" s="932"/>
      <c r="H1273" s="932"/>
      <c r="I1273" s="932"/>
      <c r="J1273" s="932"/>
      <c r="K1273" s="932"/>
      <c r="L1273" s="932"/>
      <c r="M1273" s="932"/>
      <c r="N1273" s="932"/>
      <c r="O1273" s="932"/>
      <c r="P1273" s="932"/>
      <c r="Q1273" s="932"/>
      <c r="R1273" s="932"/>
      <c r="S1273" s="932"/>
      <c r="T1273" s="932"/>
      <c r="U1273" s="932"/>
      <c r="V1273" s="932"/>
      <c r="W1273" s="932"/>
      <c r="X1273" s="932"/>
      <c r="Y1273" s="932"/>
      <c r="Z1273" s="932"/>
      <c r="AA1273" s="932"/>
      <c r="AB1273" s="932"/>
      <c r="AC1273" s="932"/>
      <c r="AD1273" s="932"/>
      <c r="AE1273" s="932"/>
      <c r="AF1273" s="932"/>
      <c r="AG1273" s="932"/>
      <c r="AH1273" s="932"/>
      <c r="AI1273" s="932"/>
      <c r="AJ1273" s="932"/>
      <c r="AK1273" s="932"/>
      <c r="AL1273" s="932"/>
      <c r="AM1273" s="932"/>
      <c r="AN1273" s="932"/>
      <c r="AO1273" s="932"/>
      <c r="AP1273" s="932"/>
      <c r="AQ1273" s="932"/>
      <c r="AR1273" s="932"/>
      <c r="AS1273" s="932"/>
      <c r="AT1273" s="932"/>
      <c r="AU1273" s="932"/>
      <c r="AV1273" s="932"/>
      <c r="AW1273" s="932"/>
      <c r="AX1273" s="932"/>
      <c r="AY1273" s="932"/>
      <c r="AZ1273" s="932"/>
      <c r="BA1273" s="932"/>
      <c r="BB1273" s="932"/>
      <c r="BC1273" s="932"/>
      <c r="BD1273" s="932"/>
      <c r="BE1273" s="932"/>
      <c r="BF1273" s="932"/>
    </row>
    <row r="1274" spans="2:58" ht="15" x14ac:dyDescent="0.25">
      <c r="B1274" s="932"/>
      <c r="C1274" s="932"/>
      <c r="D1274" s="932"/>
      <c r="E1274" s="932"/>
      <c r="F1274" s="932"/>
      <c r="G1274" s="932"/>
      <c r="H1274" s="932"/>
      <c r="I1274" s="932"/>
      <c r="J1274" s="932"/>
      <c r="K1274" s="932"/>
      <c r="L1274" s="932"/>
      <c r="M1274" s="932"/>
      <c r="N1274" s="932"/>
      <c r="O1274" s="932"/>
      <c r="P1274" s="932"/>
      <c r="Q1274" s="932"/>
      <c r="R1274" s="932"/>
      <c r="S1274" s="932"/>
      <c r="T1274" s="932"/>
      <c r="U1274" s="932"/>
      <c r="V1274" s="932"/>
      <c r="W1274" s="932"/>
      <c r="X1274" s="932"/>
      <c r="Y1274" s="932"/>
      <c r="Z1274" s="932"/>
      <c r="AA1274" s="932"/>
      <c r="AB1274" s="932"/>
      <c r="AC1274" s="932"/>
      <c r="AD1274" s="932"/>
      <c r="AE1274" s="932"/>
      <c r="AF1274" s="932"/>
      <c r="AG1274" s="932"/>
      <c r="AH1274" s="932"/>
      <c r="AI1274" s="932"/>
      <c r="AJ1274" s="932"/>
      <c r="AK1274" s="932"/>
      <c r="AL1274" s="932"/>
      <c r="AM1274" s="932"/>
      <c r="AN1274" s="932"/>
      <c r="AO1274" s="932"/>
      <c r="AP1274" s="932"/>
      <c r="AQ1274" s="932"/>
      <c r="AR1274" s="932"/>
      <c r="AS1274" s="932"/>
      <c r="AT1274" s="932"/>
      <c r="AU1274" s="932"/>
      <c r="AV1274" s="932"/>
      <c r="AW1274" s="932"/>
      <c r="AX1274" s="932"/>
      <c r="AY1274" s="932"/>
      <c r="AZ1274" s="932"/>
      <c r="BA1274" s="932"/>
      <c r="BB1274" s="932"/>
      <c r="BC1274" s="932"/>
      <c r="BD1274" s="932"/>
      <c r="BE1274" s="932"/>
      <c r="BF1274" s="932"/>
    </row>
    <row r="1275" spans="2:58" ht="15" x14ac:dyDescent="0.25">
      <c r="B1275" s="932"/>
      <c r="C1275" s="932"/>
      <c r="D1275" s="932"/>
      <c r="E1275" s="932"/>
      <c r="F1275" s="932"/>
      <c r="G1275" s="932"/>
      <c r="H1275" s="932"/>
      <c r="I1275" s="932"/>
      <c r="J1275" s="932"/>
      <c r="K1275" s="932"/>
      <c r="L1275" s="932"/>
      <c r="M1275" s="932"/>
      <c r="N1275" s="932"/>
      <c r="O1275" s="932"/>
      <c r="P1275" s="932"/>
      <c r="Q1275" s="932"/>
      <c r="R1275" s="932"/>
      <c r="S1275" s="932"/>
      <c r="T1275" s="932"/>
      <c r="U1275" s="932"/>
      <c r="V1275" s="932"/>
      <c r="W1275" s="932"/>
      <c r="X1275" s="932"/>
      <c r="Y1275" s="932"/>
      <c r="Z1275" s="932"/>
      <c r="AA1275" s="932"/>
      <c r="AB1275" s="932"/>
      <c r="AC1275" s="932"/>
      <c r="AD1275" s="932"/>
      <c r="AE1275" s="932"/>
      <c r="AF1275" s="932"/>
      <c r="AG1275" s="932"/>
      <c r="AH1275" s="932"/>
      <c r="AI1275" s="932"/>
      <c r="AJ1275" s="932"/>
      <c r="AK1275" s="932"/>
      <c r="AL1275" s="932"/>
      <c r="AM1275" s="932"/>
      <c r="AN1275" s="932"/>
      <c r="AO1275" s="932"/>
      <c r="AP1275" s="932"/>
      <c r="AQ1275" s="932"/>
      <c r="AR1275" s="932"/>
      <c r="AS1275" s="932"/>
      <c r="AT1275" s="932"/>
      <c r="AU1275" s="932"/>
      <c r="AV1275" s="932"/>
      <c r="AW1275" s="932"/>
      <c r="AX1275" s="932"/>
      <c r="AY1275" s="932"/>
      <c r="AZ1275" s="932"/>
      <c r="BA1275" s="932"/>
      <c r="BB1275" s="932"/>
      <c r="BC1275" s="932"/>
      <c r="BD1275" s="932"/>
      <c r="BE1275" s="932"/>
      <c r="BF1275" s="932"/>
    </row>
    <row r="1276" spans="2:58" ht="15" x14ac:dyDescent="0.25">
      <c r="B1276" s="932"/>
      <c r="C1276" s="932"/>
      <c r="D1276" s="932"/>
      <c r="E1276" s="932"/>
      <c r="F1276" s="932"/>
      <c r="G1276" s="932"/>
      <c r="H1276" s="932"/>
      <c r="I1276" s="932"/>
      <c r="J1276" s="932"/>
      <c r="K1276" s="932"/>
      <c r="L1276" s="932"/>
      <c r="M1276" s="932"/>
      <c r="N1276" s="932"/>
      <c r="O1276" s="932"/>
      <c r="P1276" s="932"/>
      <c r="Q1276" s="932"/>
      <c r="R1276" s="932"/>
      <c r="S1276" s="932"/>
      <c r="T1276" s="932"/>
      <c r="U1276" s="932"/>
      <c r="V1276" s="932"/>
      <c r="W1276" s="932"/>
      <c r="X1276" s="932"/>
      <c r="Y1276" s="932"/>
      <c r="Z1276" s="932"/>
      <c r="AA1276" s="932"/>
      <c r="AB1276" s="932"/>
      <c r="AC1276" s="932"/>
      <c r="AD1276" s="932"/>
      <c r="AE1276" s="932"/>
      <c r="AF1276" s="932"/>
      <c r="AG1276" s="932"/>
      <c r="AH1276" s="932"/>
      <c r="AI1276" s="932"/>
      <c r="AJ1276" s="932"/>
      <c r="AK1276" s="932"/>
      <c r="AL1276" s="932"/>
      <c r="AM1276" s="932"/>
      <c r="AN1276" s="932"/>
      <c r="AO1276" s="932"/>
      <c r="AP1276" s="932"/>
      <c r="AQ1276" s="932"/>
      <c r="AR1276" s="932"/>
      <c r="AS1276" s="932"/>
      <c r="AT1276" s="932"/>
      <c r="AU1276" s="932"/>
      <c r="AV1276" s="932"/>
      <c r="AW1276" s="932"/>
      <c r="AX1276" s="932"/>
      <c r="AY1276" s="932"/>
      <c r="AZ1276" s="932"/>
      <c r="BA1276" s="932"/>
      <c r="BB1276" s="932"/>
      <c r="BC1276" s="932"/>
      <c r="BD1276" s="932"/>
      <c r="BE1276" s="932"/>
      <c r="BF1276" s="932"/>
    </row>
    <row r="1277" spans="2:58" ht="15" x14ac:dyDescent="0.25">
      <c r="B1277" s="932"/>
      <c r="C1277" s="932"/>
      <c r="D1277" s="932"/>
      <c r="E1277" s="932"/>
      <c r="F1277" s="932"/>
      <c r="G1277" s="932"/>
      <c r="H1277" s="932"/>
      <c r="I1277" s="932"/>
      <c r="J1277" s="932"/>
      <c r="K1277" s="932"/>
      <c r="L1277" s="932"/>
      <c r="M1277" s="932"/>
      <c r="N1277" s="932"/>
      <c r="O1277" s="932"/>
      <c r="P1277" s="932"/>
      <c r="Q1277" s="932"/>
      <c r="R1277" s="932"/>
      <c r="S1277" s="932"/>
      <c r="T1277" s="932"/>
      <c r="U1277" s="932"/>
      <c r="V1277" s="932"/>
      <c r="W1277" s="932"/>
      <c r="X1277" s="932"/>
      <c r="Y1277" s="932"/>
      <c r="Z1277" s="932"/>
      <c r="AA1277" s="932"/>
      <c r="AB1277" s="932"/>
      <c r="AC1277" s="932"/>
      <c r="AD1277" s="932"/>
      <c r="AE1277" s="932"/>
      <c r="AF1277" s="932"/>
      <c r="AG1277" s="932"/>
      <c r="AH1277" s="932"/>
      <c r="AI1277" s="932"/>
      <c r="AJ1277" s="932"/>
      <c r="AK1277" s="932"/>
      <c r="AL1277" s="932"/>
      <c r="AM1277" s="932"/>
      <c r="AN1277" s="932"/>
      <c r="AO1277" s="932"/>
      <c r="AP1277" s="932"/>
      <c r="AQ1277" s="932"/>
      <c r="AR1277" s="932"/>
      <c r="AS1277" s="932"/>
      <c r="AT1277" s="932"/>
      <c r="AU1277" s="932"/>
      <c r="AV1277" s="932"/>
      <c r="AW1277" s="932"/>
      <c r="AX1277" s="932"/>
      <c r="AY1277" s="932"/>
      <c r="AZ1277" s="932"/>
      <c r="BA1277" s="932"/>
      <c r="BB1277" s="932"/>
      <c r="BC1277" s="932"/>
      <c r="BD1277" s="932"/>
      <c r="BE1277" s="932"/>
      <c r="BF1277" s="932"/>
    </row>
    <row r="1278" spans="2:58" ht="15" x14ac:dyDescent="0.25">
      <c r="B1278" s="932"/>
      <c r="C1278" s="932"/>
      <c r="D1278" s="932"/>
      <c r="E1278" s="932"/>
      <c r="F1278" s="932"/>
      <c r="G1278" s="932"/>
      <c r="H1278" s="932"/>
      <c r="I1278" s="932"/>
      <c r="J1278" s="932"/>
      <c r="K1278" s="932"/>
      <c r="L1278" s="932"/>
      <c r="M1278" s="932"/>
      <c r="N1278" s="932"/>
      <c r="O1278" s="932"/>
      <c r="P1278" s="932"/>
      <c r="Q1278" s="932"/>
      <c r="R1278" s="932"/>
      <c r="S1278" s="932"/>
      <c r="T1278" s="932"/>
      <c r="U1278" s="932"/>
      <c r="V1278" s="932"/>
      <c r="W1278" s="932"/>
      <c r="X1278" s="932"/>
      <c r="Y1278" s="932"/>
      <c r="Z1278" s="932"/>
      <c r="AA1278" s="932"/>
      <c r="AB1278" s="932"/>
      <c r="AC1278" s="932"/>
      <c r="AD1278" s="932"/>
      <c r="AE1278" s="932"/>
      <c r="AF1278" s="932"/>
      <c r="AG1278" s="932"/>
      <c r="AH1278" s="932"/>
      <c r="AI1278" s="932"/>
      <c r="AJ1278" s="932"/>
      <c r="AK1278" s="932"/>
      <c r="AL1278" s="932"/>
      <c r="AM1278" s="932"/>
      <c r="AN1278" s="932"/>
      <c r="AO1278" s="932"/>
      <c r="AP1278" s="932"/>
      <c r="AQ1278" s="932"/>
      <c r="AR1278" s="932"/>
      <c r="AS1278" s="932"/>
      <c r="AT1278" s="932"/>
      <c r="AU1278" s="932"/>
      <c r="AV1278" s="932"/>
      <c r="AW1278" s="932"/>
      <c r="AX1278" s="932"/>
      <c r="AY1278" s="932"/>
      <c r="AZ1278" s="932"/>
      <c r="BA1278" s="932"/>
      <c r="BB1278" s="932"/>
      <c r="BC1278" s="932"/>
      <c r="BD1278" s="932"/>
      <c r="BE1278" s="932"/>
      <c r="BF1278" s="932"/>
    </row>
    <row r="1279" spans="2:58" ht="15" x14ac:dyDescent="0.25">
      <c r="B1279" s="932"/>
      <c r="C1279" s="932"/>
      <c r="D1279" s="932"/>
      <c r="E1279" s="932"/>
      <c r="F1279" s="932"/>
      <c r="G1279" s="932"/>
      <c r="H1279" s="932"/>
      <c r="I1279" s="932"/>
      <c r="J1279" s="932"/>
      <c r="K1279" s="932"/>
      <c r="L1279" s="932"/>
      <c r="M1279" s="932"/>
      <c r="N1279" s="932"/>
      <c r="O1279" s="932"/>
      <c r="P1279" s="932"/>
      <c r="Q1279" s="932"/>
      <c r="R1279" s="932"/>
      <c r="S1279" s="932"/>
      <c r="T1279" s="932"/>
      <c r="U1279" s="932"/>
      <c r="V1279" s="932"/>
      <c r="W1279" s="932"/>
      <c r="X1279" s="932"/>
      <c r="Y1279" s="932"/>
      <c r="Z1279" s="932"/>
      <c r="AA1279" s="932"/>
      <c r="AB1279" s="932"/>
      <c r="AC1279" s="932"/>
      <c r="AD1279" s="932"/>
      <c r="AE1279" s="932"/>
      <c r="AF1279" s="932"/>
      <c r="AG1279" s="932"/>
      <c r="AH1279" s="932"/>
      <c r="AI1279" s="932"/>
      <c r="AJ1279" s="932"/>
      <c r="AK1279" s="932"/>
      <c r="AL1279" s="932"/>
      <c r="AM1279" s="932"/>
      <c r="AN1279" s="932"/>
      <c r="AO1279" s="932"/>
      <c r="AP1279" s="932"/>
      <c r="AQ1279" s="932"/>
      <c r="AR1279" s="932"/>
      <c r="AS1279" s="932"/>
      <c r="AT1279" s="932"/>
      <c r="AU1279" s="932"/>
      <c r="AV1279" s="932"/>
      <c r="AW1279" s="932"/>
      <c r="AX1279" s="932"/>
      <c r="AY1279" s="932"/>
      <c r="AZ1279" s="932"/>
      <c r="BA1279" s="932"/>
      <c r="BB1279" s="932"/>
      <c r="BC1279" s="932"/>
      <c r="BD1279" s="932"/>
      <c r="BE1279" s="932"/>
      <c r="BF1279" s="932"/>
    </row>
    <row r="1280" spans="2:58" ht="15" x14ac:dyDescent="0.25">
      <c r="B1280" s="932"/>
      <c r="C1280" s="932"/>
      <c r="D1280" s="932"/>
      <c r="E1280" s="932"/>
      <c r="F1280" s="932"/>
      <c r="G1280" s="932"/>
      <c r="H1280" s="932"/>
      <c r="I1280" s="932"/>
      <c r="J1280" s="932"/>
      <c r="K1280" s="932"/>
      <c r="L1280" s="932"/>
      <c r="M1280" s="932"/>
      <c r="N1280" s="932"/>
      <c r="O1280" s="932"/>
      <c r="P1280" s="932"/>
      <c r="Q1280" s="932"/>
      <c r="R1280" s="932"/>
      <c r="S1280" s="932"/>
      <c r="T1280" s="932"/>
      <c r="U1280" s="932"/>
      <c r="V1280" s="932"/>
      <c r="W1280" s="932"/>
      <c r="X1280" s="932"/>
      <c r="Y1280" s="932"/>
      <c r="Z1280" s="932"/>
      <c r="AA1280" s="932"/>
      <c r="AB1280" s="932"/>
      <c r="AC1280" s="932"/>
      <c r="AD1280" s="932"/>
      <c r="AE1280" s="932"/>
      <c r="AF1280" s="932"/>
      <c r="AG1280" s="932"/>
      <c r="AH1280" s="932"/>
      <c r="AI1280" s="932"/>
      <c r="AJ1280" s="932"/>
      <c r="AK1280" s="932"/>
      <c r="AL1280" s="932"/>
      <c r="AM1280" s="932"/>
      <c r="AN1280" s="932"/>
      <c r="AO1280" s="932"/>
      <c r="AP1280" s="932"/>
      <c r="AQ1280" s="932"/>
      <c r="AR1280" s="932"/>
      <c r="AS1280" s="932"/>
      <c r="AT1280" s="932"/>
      <c r="AU1280" s="932"/>
      <c r="AV1280" s="932"/>
      <c r="AW1280" s="932"/>
      <c r="AX1280" s="932"/>
      <c r="AY1280" s="932"/>
      <c r="AZ1280" s="932"/>
      <c r="BA1280" s="932"/>
      <c r="BB1280" s="932"/>
      <c r="BC1280" s="932"/>
      <c r="BD1280" s="932"/>
      <c r="BE1280" s="932"/>
      <c r="BF1280" s="932"/>
    </row>
    <row r="1281" spans="2:58" ht="15" x14ac:dyDescent="0.25">
      <c r="B1281" s="932"/>
      <c r="C1281" s="932"/>
      <c r="D1281" s="932"/>
      <c r="E1281" s="932"/>
      <c r="F1281" s="932"/>
      <c r="G1281" s="932"/>
      <c r="H1281" s="932"/>
      <c r="I1281" s="932"/>
      <c r="J1281" s="932"/>
      <c r="K1281" s="932"/>
      <c r="L1281" s="932"/>
      <c r="M1281" s="932"/>
      <c r="N1281" s="932"/>
      <c r="O1281" s="932"/>
      <c r="P1281" s="932"/>
      <c r="Q1281" s="932"/>
      <c r="R1281" s="932"/>
      <c r="S1281" s="932"/>
      <c r="T1281" s="932"/>
      <c r="U1281" s="932"/>
      <c r="V1281" s="932"/>
      <c r="W1281" s="932"/>
      <c r="X1281" s="932"/>
      <c r="Y1281" s="932"/>
      <c r="Z1281" s="932"/>
      <c r="AA1281" s="932"/>
      <c r="AB1281" s="932"/>
      <c r="AC1281" s="932"/>
      <c r="AD1281" s="932"/>
      <c r="AE1281" s="932"/>
      <c r="AF1281" s="932"/>
      <c r="AG1281" s="932"/>
      <c r="AH1281" s="932"/>
      <c r="AI1281" s="932"/>
      <c r="AJ1281" s="932"/>
      <c r="AK1281" s="932"/>
      <c r="AL1281" s="932"/>
      <c r="AM1281" s="932"/>
      <c r="AN1281" s="932"/>
      <c r="AO1281" s="932"/>
      <c r="AP1281" s="932"/>
      <c r="AQ1281" s="932"/>
      <c r="AR1281" s="932"/>
      <c r="AS1281" s="932"/>
      <c r="AT1281" s="932"/>
      <c r="AU1281" s="932"/>
      <c r="AV1281" s="932"/>
      <c r="AW1281" s="932"/>
      <c r="AX1281" s="932"/>
      <c r="AY1281" s="932"/>
      <c r="AZ1281" s="932"/>
      <c r="BA1281" s="932"/>
      <c r="BB1281" s="932"/>
      <c r="BC1281" s="932"/>
      <c r="BD1281" s="932"/>
      <c r="BE1281" s="932"/>
      <c r="BF1281" s="932"/>
    </row>
    <row r="1282" spans="2:58" ht="15" x14ac:dyDescent="0.25">
      <c r="B1282" s="932"/>
      <c r="C1282" s="932"/>
      <c r="D1282" s="932"/>
      <c r="E1282" s="932"/>
      <c r="F1282" s="932"/>
      <c r="G1282" s="932"/>
      <c r="H1282" s="932"/>
      <c r="I1282" s="932"/>
      <c r="J1282" s="932"/>
      <c r="K1282" s="932"/>
      <c r="L1282" s="932"/>
      <c r="M1282" s="932"/>
      <c r="N1282" s="932"/>
      <c r="O1282" s="932"/>
      <c r="P1282" s="932"/>
      <c r="Q1282" s="932"/>
      <c r="R1282" s="932"/>
      <c r="S1282" s="932"/>
      <c r="T1282" s="932"/>
      <c r="U1282" s="932"/>
      <c r="V1282" s="932"/>
      <c r="W1282" s="932"/>
      <c r="X1282" s="932"/>
      <c r="Y1282" s="932"/>
      <c r="Z1282" s="932"/>
      <c r="AA1282" s="932"/>
      <c r="AB1282" s="932"/>
      <c r="AC1282" s="932"/>
      <c r="AD1282" s="932"/>
      <c r="AE1282" s="932"/>
      <c r="AF1282" s="932"/>
      <c r="AG1282" s="932"/>
      <c r="AH1282" s="932"/>
      <c r="AI1282" s="932"/>
      <c r="AJ1282" s="932"/>
      <c r="AK1282" s="932"/>
      <c r="AL1282" s="932"/>
      <c r="AM1282" s="932"/>
      <c r="AN1282" s="932"/>
      <c r="AO1282" s="932"/>
      <c r="AP1282" s="932"/>
      <c r="AQ1282" s="932"/>
      <c r="AR1282" s="932"/>
      <c r="AS1282" s="932"/>
      <c r="AT1282" s="932"/>
      <c r="AU1282" s="932"/>
      <c r="AV1282" s="932"/>
      <c r="AW1282" s="932"/>
      <c r="AX1282" s="932"/>
      <c r="AY1282" s="932"/>
      <c r="AZ1282" s="932"/>
      <c r="BA1282" s="932"/>
      <c r="BB1282" s="932"/>
      <c r="BC1282" s="932"/>
      <c r="BD1282" s="932"/>
      <c r="BE1282" s="932"/>
      <c r="BF1282" s="932"/>
    </row>
    <row r="1283" spans="2:58" ht="15" x14ac:dyDescent="0.25">
      <c r="B1283" s="932"/>
      <c r="C1283" s="932"/>
      <c r="D1283" s="932"/>
      <c r="E1283" s="932"/>
      <c r="F1283" s="932"/>
      <c r="G1283" s="932"/>
      <c r="H1283" s="932"/>
      <c r="I1283" s="932"/>
      <c r="J1283" s="932"/>
      <c r="K1283" s="932"/>
      <c r="L1283" s="932"/>
      <c r="M1283" s="932"/>
      <c r="N1283" s="932"/>
      <c r="O1283" s="932"/>
      <c r="P1283" s="932"/>
      <c r="Q1283" s="932"/>
      <c r="R1283" s="932"/>
      <c r="S1283" s="932"/>
      <c r="T1283" s="932"/>
      <c r="U1283" s="932"/>
      <c r="V1283" s="932"/>
      <c r="W1283" s="932"/>
      <c r="X1283" s="932"/>
      <c r="Y1283" s="932"/>
      <c r="Z1283" s="932"/>
      <c r="AA1283" s="932"/>
      <c r="AB1283" s="932"/>
      <c r="AC1283" s="932"/>
      <c r="AD1283" s="932"/>
      <c r="AE1283" s="932"/>
      <c r="AF1283" s="932"/>
      <c r="AG1283" s="932"/>
      <c r="AH1283" s="932"/>
      <c r="AI1283" s="932"/>
      <c r="AJ1283" s="932"/>
      <c r="AK1283" s="932"/>
      <c r="AL1283" s="932"/>
      <c r="AM1283" s="932"/>
      <c r="AN1283" s="932"/>
      <c r="AO1283" s="932"/>
      <c r="AP1283" s="932"/>
      <c r="AQ1283" s="932"/>
      <c r="AR1283" s="932"/>
      <c r="AS1283" s="932"/>
      <c r="AT1283" s="932"/>
      <c r="AU1283" s="932"/>
      <c r="AV1283" s="932"/>
      <c r="AW1283" s="932"/>
      <c r="AX1283" s="932"/>
      <c r="AY1283" s="932"/>
      <c r="AZ1283" s="932"/>
      <c r="BA1283" s="932"/>
      <c r="BB1283" s="932"/>
      <c r="BC1283" s="932"/>
      <c r="BD1283" s="932"/>
      <c r="BE1283" s="932"/>
      <c r="BF1283" s="932"/>
    </row>
    <row r="1284" spans="2:58" ht="15" x14ac:dyDescent="0.25">
      <c r="B1284" s="932"/>
      <c r="C1284" s="932"/>
      <c r="D1284" s="932"/>
      <c r="E1284" s="932"/>
      <c r="F1284" s="932"/>
      <c r="G1284" s="932"/>
      <c r="H1284" s="932"/>
      <c r="I1284" s="932"/>
      <c r="J1284" s="932"/>
      <c r="K1284" s="932"/>
      <c r="L1284" s="932"/>
      <c r="M1284" s="932"/>
      <c r="N1284" s="932"/>
      <c r="O1284" s="932"/>
      <c r="P1284" s="932"/>
      <c r="Q1284" s="932"/>
      <c r="R1284" s="932"/>
      <c r="S1284" s="932"/>
      <c r="T1284" s="932"/>
      <c r="U1284" s="932"/>
      <c r="V1284" s="932"/>
      <c r="W1284" s="932"/>
      <c r="X1284" s="932"/>
      <c r="Y1284" s="932"/>
      <c r="Z1284" s="932"/>
      <c r="AA1284" s="932"/>
      <c r="AB1284" s="932"/>
      <c r="AC1284" s="932"/>
      <c r="AD1284" s="932"/>
      <c r="AE1284" s="932"/>
      <c r="AF1284" s="932"/>
      <c r="AG1284" s="932"/>
      <c r="AH1284" s="932"/>
      <c r="AI1284" s="932"/>
      <c r="AJ1284" s="932"/>
      <c r="AK1284" s="932"/>
      <c r="AL1284" s="932"/>
      <c r="AM1284" s="932"/>
      <c r="AN1284" s="932"/>
      <c r="AO1284" s="932"/>
      <c r="AP1284" s="932"/>
      <c r="AQ1284" s="932"/>
      <c r="AR1284" s="932"/>
      <c r="AS1284" s="932"/>
      <c r="AT1284" s="932"/>
      <c r="AU1284" s="932"/>
      <c r="AV1284" s="932"/>
      <c r="AW1284" s="932"/>
      <c r="AX1284" s="932"/>
      <c r="AY1284" s="932"/>
      <c r="AZ1284" s="932"/>
      <c r="BA1284" s="932"/>
      <c r="BB1284" s="932"/>
      <c r="BC1284" s="932"/>
      <c r="BD1284" s="932"/>
      <c r="BE1284" s="932"/>
      <c r="BF1284" s="932"/>
    </row>
    <row r="1285" spans="2:58" ht="15" x14ac:dyDescent="0.25">
      <c r="B1285" s="932"/>
      <c r="C1285" s="932"/>
      <c r="D1285" s="932"/>
      <c r="E1285" s="932"/>
      <c r="F1285" s="932"/>
      <c r="G1285" s="932"/>
      <c r="H1285" s="932"/>
      <c r="I1285" s="932"/>
      <c r="J1285" s="932"/>
      <c r="K1285" s="932"/>
      <c r="L1285" s="932"/>
      <c r="M1285" s="932"/>
      <c r="N1285" s="932"/>
      <c r="O1285" s="932"/>
      <c r="P1285" s="932"/>
      <c r="Q1285" s="932"/>
      <c r="R1285" s="932"/>
      <c r="S1285" s="932"/>
      <c r="T1285" s="932"/>
      <c r="U1285" s="932"/>
      <c r="V1285" s="932"/>
      <c r="W1285" s="932"/>
      <c r="X1285" s="932"/>
      <c r="Y1285" s="932"/>
      <c r="Z1285" s="932"/>
      <c r="AA1285" s="932"/>
      <c r="AB1285" s="932"/>
      <c r="AC1285" s="932"/>
      <c r="AD1285" s="932"/>
      <c r="AE1285" s="932"/>
      <c r="AF1285" s="932"/>
      <c r="AG1285" s="932"/>
      <c r="AH1285" s="932"/>
      <c r="AI1285" s="932"/>
      <c r="AJ1285" s="932"/>
      <c r="AK1285" s="932"/>
      <c r="AL1285" s="932"/>
      <c r="AM1285" s="932"/>
      <c r="AN1285" s="932"/>
      <c r="AO1285" s="932"/>
      <c r="AP1285" s="932"/>
      <c r="AQ1285" s="932"/>
      <c r="AR1285" s="932"/>
      <c r="AS1285" s="932"/>
      <c r="AT1285" s="932"/>
      <c r="AU1285" s="932"/>
      <c r="AV1285" s="932"/>
      <c r="AW1285" s="932"/>
      <c r="AX1285" s="932"/>
      <c r="AY1285" s="932"/>
      <c r="AZ1285" s="932"/>
      <c r="BA1285" s="932"/>
      <c r="BB1285" s="932"/>
      <c r="BC1285" s="932"/>
      <c r="BD1285" s="932"/>
      <c r="BE1285" s="932"/>
      <c r="BF1285" s="932"/>
    </row>
    <row r="1286" spans="2:58" ht="15" x14ac:dyDescent="0.25">
      <c r="B1286" s="932"/>
      <c r="C1286" s="932"/>
      <c r="D1286" s="932"/>
      <c r="E1286" s="932"/>
      <c r="F1286" s="932"/>
      <c r="G1286" s="932"/>
      <c r="H1286" s="932"/>
      <c r="I1286" s="932"/>
      <c r="J1286" s="932"/>
      <c r="K1286" s="932"/>
      <c r="L1286" s="932"/>
      <c r="M1286" s="932"/>
      <c r="N1286" s="932"/>
      <c r="O1286" s="932"/>
      <c r="P1286" s="932"/>
      <c r="Q1286" s="932"/>
      <c r="R1286" s="932"/>
      <c r="S1286" s="932"/>
      <c r="T1286" s="932"/>
      <c r="U1286" s="932"/>
      <c r="V1286" s="932"/>
      <c r="W1286" s="932"/>
      <c r="X1286" s="932"/>
      <c r="Y1286" s="932"/>
      <c r="Z1286" s="932"/>
      <c r="AA1286" s="932"/>
      <c r="AB1286" s="932"/>
      <c r="AC1286" s="932"/>
      <c r="AD1286" s="932"/>
      <c r="AE1286" s="932"/>
      <c r="AF1286" s="932"/>
      <c r="AG1286" s="932"/>
      <c r="AH1286" s="932"/>
      <c r="AI1286" s="932"/>
      <c r="AJ1286" s="932"/>
      <c r="AK1286" s="932"/>
      <c r="AL1286" s="932"/>
      <c r="AM1286" s="932"/>
      <c r="AN1286" s="932"/>
      <c r="AO1286" s="932"/>
      <c r="AP1286" s="932"/>
      <c r="AQ1286" s="932"/>
      <c r="AR1286" s="932"/>
      <c r="AS1286" s="932"/>
      <c r="AT1286" s="932"/>
      <c r="AU1286" s="932"/>
      <c r="AV1286" s="932"/>
      <c r="AW1286" s="932"/>
      <c r="AX1286" s="932"/>
      <c r="AY1286" s="932"/>
      <c r="AZ1286" s="932"/>
      <c r="BA1286" s="932"/>
      <c r="BB1286" s="932"/>
      <c r="BC1286" s="932"/>
      <c r="BD1286" s="932"/>
      <c r="BE1286" s="932"/>
      <c r="BF1286" s="932"/>
    </row>
    <row r="1287" spans="2:58" ht="15" x14ac:dyDescent="0.25">
      <c r="B1287" s="932"/>
      <c r="C1287" s="932"/>
      <c r="D1287" s="932"/>
      <c r="E1287" s="932"/>
      <c r="F1287" s="932"/>
      <c r="G1287" s="932"/>
      <c r="H1287" s="932"/>
      <c r="I1287" s="932"/>
      <c r="J1287" s="932"/>
      <c r="K1287" s="932"/>
      <c r="L1287" s="932"/>
      <c r="M1287" s="932"/>
      <c r="N1287" s="932"/>
      <c r="O1287" s="932"/>
      <c r="P1287" s="932"/>
      <c r="Q1287" s="932"/>
      <c r="R1287" s="932"/>
      <c r="S1287" s="932"/>
      <c r="T1287" s="932"/>
      <c r="U1287" s="932"/>
      <c r="V1287" s="932"/>
      <c r="W1287" s="932"/>
      <c r="X1287" s="932"/>
      <c r="Y1287" s="932"/>
      <c r="Z1287" s="932"/>
      <c r="AA1287" s="932"/>
      <c r="AB1287" s="932"/>
      <c r="AC1287" s="932"/>
      <c r="AD1287" s="932"/>
      <c r="AE1287" s="932"/>
      <c r="AF1287" s="932"/>
      <c r="AG1287" s="932"/>
      <c r="AH1287" s="932"/>
      <c r="AI1287" s="932"/>
      <c r="AJ1287" s="932"/>
      <c r="AK1287" s="932"/>
      <c r="AL1287" s="932"/>
      <c r="AM1287" s="932"/>
      <c r="AN1287" s="932"/>
      <c r="AO1287" s="932"/>
      <c r="AP1287" s="932"/>
      <c r="AQ1287" s="932"/>
      <c r="AR1287" s="932"/>
      <c r="AS1287" s="932"/>
      <c r="AT1287" s="932"/>
      <c r="AU1287" s="932"/>
      <c r="AV1287" s="932"/>
      <c r="AW1287" s="932"/>
      <c r="AX1287" s="932"/>
      <c r="AY1287" s="932"/>
      <c r="AZ1287" s="932"/>
      <c r="BA1287" s="932"/>
      <c r="BB1287" s="932"/>
      <c r="BC1287" s="932"/>
      <c r="BD1287" s="932"/>
      <c r="BE1287" s="932"/>
      <c r="BF1287" s="932"/>
    </row>
    <row r="1288" spans="2:58" ht="15" x14ac:dyDescent="0.25">
      <c r="B1288" s="932"/>
      <c r="C1288" s="932"/>
      <c r="D1288" s="932"/>
      <c r="E1288" s="932"/>
      <c r="F1288" s="932"/>
      <c r="G1288" s="932"/>
      <c r="H1288" s="932"/>
      <c r="I1288" s="932"/>
      <c r="J1288" s="932"/>
      <c r="K1288" s="932"/>
      <c r="L1288" s="932"/>
      <c r="M1288" s="932"/>
      <c r="N1288" s="932"/>
      <c r="O1288" s="932"/>
      <c r="P1288" s="932"/>
      <c r="Q1288" s="932"/>
      <c r="R1288" s="932"/>
      <c r="S1288" s="932"/>
      <c r="T1288" s="932"/>
      <c r="U1288" s="932"/>
      <c r="V1288" s="932"/>
      <c r="W1288" s="932"/>
      <c r="X1288" s="932"/>
      <c r="Y1288" s="932"/>
      <c r="Z1288" s="932"/>
      <c r="AA1288" s="932"/>
      <c r="AB1288" s="932"/>
      <c r="AC1288" s="932"/>
      <c r="AD1288" s="932"/>
      <c r="AE1288" s="932"/>
      <c r="AF1288" s="932"/>
      <c r="AG1288" s="932"/>
      <c r="AH1288" s="932"/>
      <c r="AI1288" s="932"/>
      <c r="AJ1288" s="932"/>
      <c r="AK1288" s="932"/>
      <c r="AL1288" s="932"/>
      <c r="AM1288" s="932"/>
      <c r="AN1288" s="932"/>
      <c r="AO1288" s="932"/>
      <c r="AP1288" s="932"/>
      <c r="AQ1288" s="932"/>
      <c r="AR1288" s="932"/>
      <c r="AS1288" s="932"/>
      <c r="AT1288" s="932"/>
      <c r="AU1288" s="932"/>
      <c r="AV1288" s="932"/>
      <c r="AW1288" s="932"/>
      <c r="AX1288" s="932"/>
      <c r="AY1288" s="932"/>
      <c r="AZ1288" s="932"/>
      <c r="BA1288" s="932"/>
      <c r="BB1288" s="932"/>
      <c r="BC1288" s="932"/>
      <c r="BD1288" s="932"/>
      <c r="BE1288" s="932"/>
      <c r="BF1288" s="932"/>
    </row>
    <row r="1289" spans="2:58" ht="15" x14ac:dyDescent="0.25">
      <c r="B1289" s="932"/>
      <c r="C1289" s="932"/>
      <c r="D1289" s="932"/>
      <c r="E1289" s="932"/>
      <c r="F1289" s="932"/>
      <c r="G1289" s="932"/>
      <c r="H1289" s="932"/>
      <c r="I1289" s="932"/>
      <c r="J1289" s="932"/>
      <c r="K1289" s="932"/>
      <c r="L1289" s="932"/>
      <c r="M1289" s="932"/>
      <c r="N1289" s="932"/>
      <c r="O1289" s="932"/>
      <c r="P1289" s="932"/>
      <c r="Q1289" s="932"/>
      <c r="R1289" s="932"/>
      <c r="S1289" s="932"/>
      <c r="T1289" s="932"/>
      <c r="U1289" s="932"/>
      <c r="V1289" s="932"/>
      <c r="W1289" s="932"/>
      <c r="X1289" s="932"/>
      <c r="Y1289" s="932"/>
      <c r="Z1289" s="932"/>
      <c r="AA1289" s="932"/>
      <c r="AB1289" s="932"/>
      <c r="AC1289" s="932"/>
      <c r="AD1289" s="932"/>
      <c r="AE1289" s="932"/>
      <c r="AF1289" s="932"/>
      <c r="AG1289" s="932"/>
      <c r="AH1289" s="932"/>
      <c r="AI1289" s="932"/>
      <c r="AJ1289" s="932"/>
      <c r="AK1289" s="932"/>
      <c r="AL1289" s="932"/>
      <c r="AM1289" s="932"/>
      <c r="AN1289" s="932"/>
      <c r="AO1289" s="932"/>
      <c r="AP1289" s="932"/>
      <c r="AQ1289" s="932"/>
      <c r="AR1289" s="932"/>
      <c r="AS1289" s="932"/>
      <c r="AT1289" s="932"/>
      <c r="AU1289" s="932"/>
      <c r="AV1289" s="932"/>
      <c r="AW1289" s="932"/>
      <c r="AX1289" s="932"/>
      <c r="AY1289" s="932"/>
      <c r="AZ1289" s="932"/>
      <c r="BA1289" s="932"/>
      <c r="BB1289" s="932"/>
      <c r="BC1289" s="932"/>
      <c r="BD1289" s="932"/>
      <c r="BE1289" s="932"/>
      <c r="BF1289" s="932"/>
    </row>
    <row r="1290" spans="2:58" ht="15" x14ac:dyDescent="0.25">
      <c r="B1290" s="932"/>
      <c r="C1290" s="932"/>
      <c r="D1290" s="932"/>
      <c r="E1290" s="932"/>
      <c r="F1290" s="932"/>
      <c r="G1290" s="932"/>
      <c r="H1290" s="932"/>
      <c r="I1290" s="932"/>
      <c r="J1290" s="932"/>
      <c r="K1290" s="932"/>
      <c r="L1290" s="932"/>
      <c r="M1290" s="932"/>
      <c r="N1290" s="932"/>
      <c r="O1290" s="932"/>
      <c r="P1290" s="932"/>
      <c r="Q1290" s="932"/>
      <c r="R1290" s="932"/>
      <c r="S1290" s="932"/>
      <c r="T1290" s="932"/>
      <c r="U1290" s="932"/>
      <c r="V1290" s="932"/>
      <c r="W1290" s="932"/>
      <c r="X1290" s="932"/>
      <c r="Y1290" s="932"/>
      <c r="Z1290" s="932"/>
      <c r="AA1290" s="932"/>
      <c r="AB1290" s="932"/>
      <c r="AC1290" s="932"/>
      <c r="AD1290" s="932"/>
      <c r="AE1290" s="932"/>
      <c r="AF1290" s="932"/>
      <c r="AG1290" s="932"/>
      <c r="AH1290" s="932"/>
      <c r="AI1290" s="932"/>
      <c r="AJ1290" s="932"/>
      <c r="AK1290" s="932"/>
      <c r="AL1290" s="932"/>
      <c r="AM1290" s="932"/>
      <c r="AN1290" s="932"/>
      <c r="AO1290" s="932"/>
      <c r="AP1290" s="932"/>
      <c r="AQ1290" s="932"/>
      <c r="AR1290" s="932"/>
      <c r="AS1290" s="932"/>
      <c r="AT1290" s="932"/>
      <c r="AU1290" s="932"/>
      <c r="AV1290" s="932"/>
      <c r="AW1290" s="932"/>
      <c r="AX1290" s="932"/>
      <c r="AY1290" s="932"/>
      <c r="AZ1290" s="932"/>
      <c r="BA1290" s="932"/>
      <c r="BB1290" s="932"/>
      <c r="BC1290" s="932"/>
      <c r="BD1290" s="932"/>
      <c r="BE1290" s="932"/>
      <c r="BF1290" s="932"/>
    </row>
    <row r="1291" spans="2:58" ht="15" x14ac:dyDescent="0.25">
      <c r="B1291" s="932"/>
      <c r="C1291" s="932"/>
      <c r="D1291" s="932"/>
      <c r="E1291" s="932"/>
      <c r="F1291" s="932"/>
      <c r="G1291" s="932"/>
      <c r="H1291" s="932"/>
      <c r="I1291" s="932"/>
      <c r="J1291" s="932"/>
      <c r="K1291" s="932"/>
      <c r="L1291" s="932"/>
      <c r="M1291" s="932"/>
      <c r="N1291" s="932"/>
      <c r="O1291" s="932"/>
      <c r="P1291" s="932"/>
      <c r="Q1291" s="932"/>
      <c r="R1291" s="932"/>
      <c r="S1291" s="932"/>
      <c r="T1291" s="932"/>
      <c r="U1291" s="932"/>
      <c r="V1291" s="932"/>
      <c r="W1291" s="932"/>
      <c r="X1291" s="932"/>
      <c r="Y1291" s="932"/>
      <c r="Z1291" s="932"/>
      <c r="AA1291" s="932"/>
      <c r="AB1291" s="932"/>
      <c r="AC1291" s="932"/>
      <c r="AD1291" s="932"/>
      <c r="AE1291" s="932"/>
      <c r="AF1291" s="932"/>
      <c r="AG1291" s="932"/>
      <c r="AH1291" s="932"/>
      <c r="AI1291" s="932"/>
      <c r="AJ1291" s="932"/>
      <c r="AK1291" s="932"/>
      <c r="AL1291" s="932"/>
      <c r="AM1291" s="932"/>
      <c r="AN1291" s="932"/>
      <c r="AO1291" s="932"/>
      <c r="AP1291" s="932"/>
      <c r="AQ1291" s="932"/>
      <c r="AR1291" s="932"/>
      <c r="AS1291" s="932"/>
      <c r="AT1291" s="932"/>
      <c r="AU1291" s="932"/>
      <c r="AV1291" s="932"/>
      <c r="AW1291" s="932"/>
      <c r="AX1291" s="932"/>
      <c r="AY1291" s="932"/>
      <c r="AZ1291" s="932"/>
      <c r="BA1291" s="932"/>
      <c r="BB1291" s="932"/>
      <c r="BC1291" s="932"/>
      <c r="BD1291" s="932"/>
      <c r="BE1291" s="932"/>
      <c r="BF1291" s="932"/>
    </row>
    <row r="1292" spans="2:58" ht="15" x14ac:dyDescent="0.25">
      <c r="B1292" s="932"/>
      <c r="C1292" s="932"/>
      <c r="D1292" s="932"/>
      <c r="E1292" s="932"/>
      <c r="F1292" s="932"/>
      <c r="G1292" s="932"/>
      <c r="H1292" s="932"/>
      <c r="I1292" s="932"/>
      <c r="J1292" s="932"/>
      <c r="K1292" s="932"/>
      <c r="L1292" s="932"/>
      <c r="M1292" s="932"/>
      <c r="N1292" s="932"/>
      <c r="O1292" s="932"/>
      <c r="P1292" s="932"/>
      <c r="Q1292" s="932"/>
      <c r="R1292" s="932"/>
      <c r="S1292" s="932"/>
      <c r="T1292" s="932"/>
      <c r="U1292" s="932"/>
      <c r="V1292" s="932"/>
      <c r="W1292" s="932"/>
      <c r="X1292" s="932"/>
      <c r="Y1292" s="932"/>
      <c r="Z1292" s="932"/>
      <c r="AA1292" s="932"/>
      <c r="AB1292" s="932"/>
      <c r="AC1292" s="932"/>
      <c r="AD1292" s="932"/>
      <c r="AE1292" s="932"/>
      <c r="AF1292" s="932"/>
      <c r="AG1292" s="932"/>
      <c r="AH1292" s="932"/>
      <c r="AI1292" s="932"/>
      <c r="AJ1292" s="932"/>
      <c r="AK1292" s="932"/>
      <c r="AL1292" s="932"/>
      <c r="AM1292" s="932"/>
      <c r="AN1292" s="932"/>
      <c r="AO1292" s="932"/>
      <c r="AP1292" s="932"/>
      <c r="AQ1292" s="932"/>
      <c r="AR1292" s="932"/>
      <c r="AS1292" s="932"/>
      <c r="AT1292" s="932"/>
      <c r="AU1292" s="932"/>
      <c r="AV1292" s="932"/>
      <c r="AW1292" s="932"/>
      <c r="AX1292" s="932"/>
      <c r="AY1292" s="932"/>
      <c r="AZ1292" s="932"/>
      <c r="BA1292" s="932"/>
      <c r="BB1292" s="932"/>
      <c r="BC1292" s="932"/>
      <c r="BD1292" s="932"/>
      <c r="BE1292" s="932"/>
      <c r="BF1292" s="932"/>
    </row>
    <row r="1293" spans="2:58" ht="15" x14ac:dyDescent="0.25">
      <c r="B1293" s="932"/>
      <c r="C1293" s="932"/>
      <c r="D1293" s="932"/>
      <c r="E1293" s="932"/>
      <c r="F1293" s="932"/>
      <c r="G1293" s="932"/>
      <c r="H1293" s="932"/>
      <c r="I1293" s="932"/>
      <c r="J1293" s="932"/>
      <c r="K1293" s="932"/>
      <c r="L1293" s="932"/>
      <c r="M1293" s="932"/>
      <c r="N1293" s="932"/>
      <c r="O1293" s="932"/>
      <c r="P1293" s="932"/>
      <c r="Q1293" s="932"/>
      <c r="R1293" s="932"/>
      <c r="S1293" s="932"/>
      <c r="T1293" s="932"/>
      <c r="U1293" s="932"/>
      <c r="V1293" s="932"/>
      <c r="W1293" s="932"/>
      <c r="X1293" s="932"/>
      <c r="Y1293" s="932"/>
      <c r="Z1293" s="932"/>
      <c r="AA1293" s="932"/>
      <c r="AB1293" s="932"/>
      <c r="AC1293" s="932"/>
      <c r="AD1293" s="932"/>
      <c r="AE1293" s="932"/>
      <c r="AF1293" s="932"/>
      <c r="AG1293" s="932"/>
      <c r="AH1293" s="932"/>
      <c r="AI1293" s="932"/>
      <c r="AJ1293" s="932"/>
      <c r="AK1293" s="932"/>
      <c r="AL1293" s="932"/>
      <c r="AM1293" s="932"/>
      <c r="AN1293" s="932"/>
      <c r="AO1293" s="932"/>
      <c r="AP1293" s="932"/>
      <c r="AQ1293" s="932"/>
      <c r="AR1293" s="932"/>
      <c r="AS1293" s="932"/>
      <c r="AT1293" s="932"/>
      <c r="AU1293" s="932"/>
      <c r="AV1293" s="932"/>
      <c r="AW1293" s="932"/>
      <c r="AX1293" s="932"/>
      <c r="AY1293" s="932"/>
      <c r="AZ1293" s="932"/>
      <c r="BA1293" s="932"/>
      <c r="BB1293" s="932"/>
      <c r="BC1293" s="932"/>
      <c r="BD1293" s="932"/>
      <c r="BE1293" s="932"/>
      <c r="BF1293" s="932"/>
    </row>
    <row r="1294" spans="2:58" ht="15" x14ac:dyDescent="0.25">
      <c r="B1294" s="932"/>
      <c r="C1294" s="932"/>
      <c r="D1294" s="932"/>
      <c r="E1294" s="932"/>
      <c r="F1294" s="932"/>
      <c r="G1294" s="932"/>
      <c r="H1294" s="932"/>
      <c r="I1294" s="932"/>
      <c r="J1294" s="932"/>
      <c r="K1294" s="932"/>
      <c r="L1294" s="932"/>
      <c r="M1294" s="932"/>
      <c r="N1294" s="932"/>
      <c r="O1294" s="932"/>
      <c r="P1294" s="932"/>
      <c r="Q1294" s="932"/>
      <c r="R1294" s="932"/>
      <c r="S1294" s="932"/>
      <c r="T1294" s="932"/>
      <c r="U1294" s="932"/>
      <c r="V1294" s="932"/>
      <c r="W1294" s="932"/>
      <c r="X1294" s="932"/>
      <c r="Y1294" s="932"/>
      <c r="Z1294" s="932"/>
      <c r="AA1294" s="932"/>
      <c r="AB1294" s="932"/>
      <c r="AC1294" s="932"/>
      <c r="AD1294" s="932"/>
      <c r="AE1294" s="932"/>
      <c r="AF1294" s="932"/>
      <c r="AG1294" s="932"/>
      <c r="AH1294" s="932"/>
      <c r="AI1294" s="932"/>
      <c r="AJ1294" s="932"/>
      <c r="AK1294" s="932"/>
      <c r="AL1294" s="932"/>
      <c r="AM1294" s="932"/>
      <c r="AN1294" s="932"/>
      <c r="AO1294" s="932"/>
      <c r="AP1294" s="932"/>
      <c r="AQ1294" s="932"/>
      <c r="AR1294" s="932"/>
      <c r="AS1294" s="932"/>
      <c r="AT1294" s="932"/>
      <c r="AU1294" s="932"/>
      <c r="AV1294" s="932"/>
      <c r="AW1294" s="932"/>
      <c r="AX1294" s="932"/>
      <c r="AY1294" s="932"/>
      <c r="AZ1294" s="932"/>
      <c r="BA1294" s="932"/>
      <c r="BB1294" s="932"/>
      <c r="BC1294" s="932"/>
      <c r="BD1294" s="932"/>
      <c r="BE1294" s="932"/>
      <c r="BF1294" s="932"/>
    </row>
    <row r="1295" spans="2:58" ht="15" x14ac:dyDescent="0.25">
      <c r="B1295" s="932"/>
      <c r="C1295" s="932"/>
      <c r="D1295" s="932"/>
      <c r="E1295" s="932"/>
      <c r="F1295" s="932"/>
      <c r="G1295" s="932"/>
      <c r="H1295" s="932"/>
      <c r="I1295" s="932"/>
      <c r="J1295" s="932"/>
      <c r="K1295" s="932"/>
      <c r="L1295" s="932"/>
      <c r="M1295" s="932"/>
      <c r="N1295" s="932"/>
      <c r="O1295" s="932"/>
      <c r="P1295" s="932"/>
      <c r="Q1295" s="932"/>
      <c r="R1295" s="932"/>
      <c r="S1295" s="932"/>
      <c r="T1295" s="932"/>
      <c r="U1295" s="932"/>
      <c r="V1295" s="932"/>
      <c r="W1295" s="932"/>
      <c r="X1295" s="932"/>
      <c r="Y1295" s="932"/>
      <c r="Z1295" s="932"/>
      <c r="AA1295" s="932"/>
      <c r="AB1295" s="932"/>
      <c r="AC1295" s="932"/>
      <c r="AD1295" s="932"/>
      <c r="AE1295" s="932"/>
      <c r="AF1295" s="932"/>
      <c r="AG1295" s="932"/>
      <c r="AH1295" s="932"/>
      <c r="AI1295" s="932"/>
      <c r="AJ1295" s="932"/>
      <c r="AK1295" s="932"/>
      <c r="AL1295" s="932"/>
      <c r="AM1295" s="932"/>
      <c r="AN1295" s="932"/>
      <c r="AO1295" s="932"/>
      <c r="AP1295" s="932"/>
      <c r="AQ1295" s="932"/>
      <c r="AR1295" s="932"/>
      <c r="AS1295" s="932"/>
      <c r="AT1295" s="932"/>
      <c r="AU1295" s="932"/>
      <c r="AV1295" s="932"/>
      <c r="AW1295" s="932"/>
      <c r="AX1295" s="932"/>
      <c r="AY1295" s="932"/>
      <c r="AZ1295" s="932"/>
      <c r="BA1295" s="932"/>
      <c r="BB1295" s="932"/>
      <c r="BC1295" s="932"/>
      <c r="BD1295" s="932"/>
      <c r="BE1295" s="932"/>
      <c r="BF1295" s="932"/>
    </row>
    <row r="1296" spans="2:58" ht="15" x14ac:dyDescent="0.25">
      <c r="B1296" s="932"/>
      <c r="C1296" s="932"/>
      <c r="D1296" s="932"/>
      <c r="E1296" s="932"/>
      <c r="F1296" s="932"/>
      <c r="G1296" s="932"/>
      <c r="H1296" s="932"/>
      <c r="I1296" s="932"/>
      <c r="J1296" s="932"/>
      <c r="K1296" s="932"/>
      <c r="L1296" s="932"/>
      <c r="M1296" s="932"/>
      <c r="N1296" s="932"/>
      <c r="O1296" s="932"/>
      <c r="P1296" s="932"/>
      <c r="Q1296" s="932"/>
      <c r="R1296" s="932"/>
      <c r="S1296" s="932"/>
      <c r="T1296" s="932"/>
      <c r="U1296" s="932"/>
      <c r="V1296" s="932"/>
      <c r="W1296" s="932"/>
      <c r="X1296" s="932"/>
      <c r="Y1296" s="932"/>
      <c r="Z1296" s="932"/>
      <c r="AA1296" s="932"/>
      <c r="AB1296" s="932"/>
      <c r="AC1296" s="932"/>
      <c r="AD1296" s="932"/>
      <c r="AE1296" s="932"/>
      <c r="AF1296" s="932"/>
      <c r="AG1296" s="932"/>
      <c r="AH1296" s="932"/>
      <c r="AI1296" s="932"/>
      <c r="AJ1296" s="932"/>
      <c r="AK1296" s="932"/>
      <c r="AL1296" s="932"/>
      <c r="AM1296" s="932"/>
      <c r="AN1296" s="932"/>
      <c r="AO1296" s="932"/>
      <c r="AP1296" s="932"/>
      <c r="AQ1296" s="932"/>
      <c r="AR1296" s="932"/>
      <c r="AS1296" s="932"/>
      <c r="AT1296" s="932"/>
      <c r="AU1296" s="932"/>
      <c r="AV1296" s="932"/>
      <c r="AW1296" s="932"/>
      <c r="AX1296" s="932"/>
      <c r="AY1296" s="932"/>
      <c r="AZ1296" s="932"/>
      <c r="BA1296" s="932"/>
      <c r="BB1296" s="932"/>
      <c r="BC1296" s="932"/>
      <c r="BD1296" s="932"/>
      <c r="BE1296" s="932"/>
      <c r="BF1296" s="932"/>
    </row>
    <row r="1297" spans="2:58" ht="15" x14ac:dyDescent="0.25">
      <c r="B1297" s="932"/>
      <c r="C1297" s="932"/>
      <c r="D1297" s="932"/>
      <c r="E1297" s="932"/>
      <c r="F1297" s="932"/>
      <c r="G1297" s="932"/>
      <c r="H1297" s="932"/>
      <c r="I1297" s="932"/>
      <c r="J1297" s="932"/>
      <c r="K1297" s="932"/>
      <c r="L1297" s="932"/>
      <c r="M1297" s="932"/>
      <c r="N1297" s="932"/>
      <c r="O1297" s="932"/>
      <c r="P1297" s="932"/>
      <c r="Q1297" s="932"/>
      <c r="R1297" s="932"/>
      <c r="S1297" s="932"/>
      <c r="T1297" s="932"/>
      <c r="U1297" s="932"/>
      <c r="V1297" s="932"/>
      <c r="W1297" s="932"/>
      <c r="X1297" s="932"/>
      <c r="Y1297" s="932"/>
      <c r="Z1297" s="932"/>
      <c r="AA1297" s="932"/>
      <c r="AB1297" s="932"/>
      <c r="AC1297" s="932"/>
      <c r="AD1297" s="932"/>
      <c r="AE1297" s="932"/>
      <c r="AF1297" s="932"/>
      <c r="AG1297" s="932"/>
      <c r="AH1297" s="932"/>
      <c r="AI1297" s="932"/>
      <c r="AJ1297" s="932"/>
      <c r="AK1297" s="932"/>
      <c r="AL1297" s="932"/>
      <c r="AM1297" s="932"/>
      <c r="AN1297" s="932"/>
      <c r="AO1297" s="932"/>
      <c r="AP1297" s="932"/>
      <c r="AQ1297" s="932"/>
      <c r="AR1297" s="932"/>
      <c r="AS1297" s="932"/>
      <c r="AT1297" s="932"/>
      <c r="AU1297" s="932"/>
      <c r="AV1297" s="932"/>
      <c r="AW1297" s="932"/>
      <c r="AX1297" s="932"/>
      <c r="AY1297" s="932"/>
      <c r="AZ1297" s="932"/>
      <c r="BA1297" s="932"/>
      <c r="BB1297" s="932"/>
      <c r="BC1297" s="932"/>
      <c r="BD1297" s="932"/>
      <c r="BE1297" s="932"/>
      <c r="BF1297" s="932"/>
    </row>
    <row r="1298" spans="2:58" ht="15" x14ac:dyDescent="0.25">
      <c r="B1298" s="932"/>
      <c r="C1298" s="932"/>
      <c r="D1298" s="932"/>
      <c r="E1298" s="932"/>
      <c r="F1298" s="932"/>
      <c r="G1298" s="932"/>
      <c r="H1298" s="932"/>
      <c r="I1298" s="932"/>
      <c r="J1298" s="932"/>
      <c r="K1298" s="932"/>
      <c r="L1298" s="932"/>
      <c r="M1298" s="932"/>
      <c r="N1298" s="932"/>
      <c r="O1298" s="932"/>
      <c r="P1298" s="932"/>
      <c r="Q1298" s="932"/>
      <c r="R1298" s="932"/>
      <c r="S1298" s="932"/>
      <c r="T1298" s="932"/>
      <c r="U1298" s="932"/>
      <c r="V1298" s="932"/>
      <c r="W1298" s="932"/>
      <c r="X1298" s="932"/>
      <c r="Y1298" s="932"/>
      <c r="Z1298" s="932"/>
      <c r="AA1298" s="932"/>
      <c r="AB1298" s="932"/>
      <c r="AC1298" s="932"/>
      <c r="AD1298" s="932"/>
      <c r="AE1298" s="932"/>
      <c r="AF1298" s="932"/>
      <c r="AG1298" s="932"/>
      <c r="AH1298" s="932"/>
      <c r="AI1298" s="932"/>
      <c r="AJ1298" s="932"/>
      <c r="AK1298" s="932"/>
      <c r="AL1298" s="932"/>
      <c r="AM1298" s="932"/>
      <c r="AN1298" s="932"/>
      <c r="AO1298" s="932"/>
      <c r="AP1298" s="932"/>
      <c r="AQ1298" s="932"/>
      <c r="AR1298" s="932"/>
      <c r="AS1298" s="932"/>
      <c r="AT1298" s="932"/>
      <c r="AU1298" s="932"/>
      <c r="AV1298" s="932"/>
      <c r="AW1298" s="932"/>
      <c r="AX1298" s="932"/>
      <c r="AY1298" s="932"/>
      <c r="AZ1298" s="932"/>
      <c r="BA1298" s="932"/>
      <c r="BB1298" s="932"/>
      <c r="BC1298" s="932"/>
      <c r="BD1298" s="932"/>
      <c r="BE1298" s="932"/>
      <c r="BF1298" s="932"/>
    </row>
    <row r="1299" spans="2:58" ht="15" x14ac:dyDescent="0.25">
      <c r="B1299" s="932"/>
      <c r="C1299" s="932"/>
      <c r="D1299" s="932"/>
      <c r="E1299" s="932"/>
      <c r="F1299" s="932"/>
      <c r="G1299" s="932"/>
      <c r="H1299" s="932"/>
      <c r="I1299" s="932"/>
      <c r="J1299" s="932"/>
      <c r="K1299" s="932"/>
      <c r="L1299" s="932"/>
      <c r="M1299" s="932"/>
      <c r="N1299" s="932"/>
      <c r="O1299" s="932"/>
      <c r="P1299" s="932"/>
      <c r="Q1299" s="932"/>
      <c r="R1299" s="932"/>
      <c r="S1299" s="932"/>
      <c r="T1299" s="932"/>
      <c r="U1299" s="932"/>
      <c r="V1299" s="932"/>
      <c r="W1299" s="932"/>
      <c r="X1299" s="932"/>
      <c r="Y1299" s="932"/>
      <c r="Z1299" s="932"/>
      <c r="AA1299" s="932"/>
      <c r="AB1299" s="932"/>
      <c r="AC1299" s="932"/>
      <c r="AD1299" s="932"/>
      <c r="AE1299" s="932"/>
      <c r="AF1299" s="932"/>
      <c r="AG1299" s="932"/>
      <c r="AH1299" s="932"/>
      <c r="AI1299" s="932"/>
      <c r="AJ1299" s="932"/>
      <c r="AK1299" s="932"/>
      <c r="AL1299" s="932"/>
      <c r="AM1299" s="932"/>
      <c r="AN1299" s="932"/>
      <c r="AO1299" s="932"/>
      <c r="AP1299" s="932"/>
      <c r="AQ1299" s="932"/>
      <c r="AR1299" s="932"/>
      <c r="AS1299" s="932"/>
      <c r="AT1299" s="932"/>
      <c r="AU1299" s="932"/>
      <c r="AV1299" s="932"/>
      <c r="AW1299" s="932"/>
      <c r="AX1299" s="932"/>
      <c r="AY1299" s="932"/>
      <c r="AZ1299" s="932"/>
      <c r="BA1299" s="932"/>
      <c r="BB1299" s="932"/>
      <c r="BC1299" s="932"/>
      <c r="BD1299" s="932"/>
      <c r="BE1299" s="932"/>
      <c r="BF1299" s="932"/>
    </row>
    <row r="1300" spans="2:58" ht="15" x14ac:dyDescent="0.25">
      <c r="B1300" s="932"/>
      <c r="C1300" s="932"/>
      <c r="D1300" s="932"/>
      <c r="E1300" s="932"/>
      <c r="F1300" s="932"/>
      <c r="G1300" s="932"/>
      <c r="H1300" s="932"/>
      <c r="I1300" s="932"/>
      <c r="J1300" s="932"/>
      <c r="K1300" s="932"/>
      <c r="L1300" s="932"/>
      <c r="M1300" s="932"/>
      <c r="N1300" s="932"/>
      <c r="O1300" s="932"/>
      <c r="P1300" s="932"/>
      <c r="Q1300" s="932"/>
      <c r="R1300" s="932"/>
      <c r="S1300" s="932"/>
      <c r="T1300" s="932"/>
      <c r="U1300" s="932"/>
      <c r="V1300" s="932"/>
      <c r="W1300" s="932"/>
      <c r="X1300" s="932"/>
      <c r="Y1300" s="932"/>
      <c r="Z1300" s="932"/>
      <c r="AA1300" s="932"/>
      <c r="AB1300" s="932"/>
      <c r="AC1300" s="932"/>
      <c r="AD1300" s="932"/>
      <c r="AE1300" s="932"/>
      <c r="AF1300" s="932"/>
      <c r="AG1300" s="932"/>
      <c r="AH1300" s="932"/>
      <c r="AI1300" s="932"/>
      <c r="AJ1300" s="932"/>
      <c r="AK1300" s="932"/>
      <c r="AL1300" s="932"/>
      <c r="AM1300" s="932"/>
      <c r="AN1300" s="932"/>
      <c r="AO1300" s="932"/>
      <c r="AP1300" s="932"/>
      <c r="AQ1300" s="932"/>
      <c r="AR1300" s="932"/>
      <c r="AS1300" s="932"/>
      <c r="AT1300" s="932"/>
      <c r="AU1300" s="932"/>
      <c r="AV1300" s="932"/>
      <c r="AW1300" s="932"/>
      <c r="AX1300" s="932"/>
      <c r="AY1300" s="932"/>
      <c r="AZ1300" s="932"/>
      <c r="BA1300" s="932"/>
      <c r="BB1300" s="932"/>
      <c r="BC1300" s="932"/>
      <c r="BD1300" s="932"/>
      <c r="BE1300" s="932"/>
      <c r="BF1300" s="932"/>
    </row>
    <row r="1301" spans="2:58" ht="15" x14ac:dyDescent="0.25">
      <c r="B1301" s="932"/>
      <c r="C1301" s="932"/>
      <c r="D1301" s="932"/>
      <c r="E1301" s="932"/>
      <c r="F1301" s="932"/>
      <c r="G1301" s="932"/>
      <c r="H1301" s="932"/>
      <c r="I1301" s="932"/>
      <c r="J1301" s="932"/>
      <c r="K1301" s="932"/>
      <c r="L1301" s="932"/>
      <c r="M1301" s="932"/>
      <c r="N1301" s="932"/>
      <c r="O1301" s="932"/>
      <c r="P1301" s="932"/>
      <c r="Q1301" s="932"/>
      <c r="R1301" s="932"/>
      <c r="S1301" s="932"/>
      <c r="T1301" s="932"/>
      <c r="U1301" s="932"/>
      <c r="V1301" s="932"/>
      <c r="W1301" s="932"/>
      <c r="X1301" s="932"/>
      <c r="Y1301" s="932"/>
      <c r="Z1301" s="932"/>
      <c r="AA1301" s="932"/>
      <c r="AB1301" s="932"/>
      <c r="AC1301" s="932"/>
      <c r="AD1301" s="932"/>
      <c r="AE1301" s="932"/>
      <c r="AF1301" s="932"/>
      <c r="AG1301" s="932"/>
      <c r="AH1301" s="932"/>
      <c r="AI1301" s="932"/>
      <c r="AJ1301" s="932"/>
      <c r="AK1301" s="932"/>
      <c r="AL1301" s="932"/>
      <c r="AM1301" s="932"/>
      <c r="AN1301" s="932"/>
      <c r="AO1301" s="932"/>
      <c r="AP1301" s="932"/>
      <c r="AQ1301" s="932"/>
      <c r="AR1301" s="932"/>
      <c r="AS1301" s="932"/>
      <c r="AT1301" s="932"/>
      <c r="AU1301" s="932"/>
      <c r="AV1301" s="932"/>
      <c r="AW1301" s="932"/>
      <c r="AX1301" s="932"/>
      <c r="AY1301" s="932"/>
      <c r="AZ1301" s="932"/>
      <c r="BA1301" s="932"/>
      <c r="BB1301" s="932"/>
      <c r="BC1301" s="932"/>
      <c r="BD1301" s="932"/>
      <c r="BE1301" s="932"/>
      <c r="BF1301" s="932"/>
    </row>
    <row r="1302" spans="2:58" ht="15" x14ac:dyDescent="0.25">
      <c r="B1302" s="932"/>
      <c r="C1302" s="932"/>
      <c r="D1302" s="932"/>
      <c r="E1302" s="932"/>
      <c r="F1302" s="932"/>
      <c r="G1302" s="932"/>
      <c r="H1302" s="932"/>
      <c r="I1302" s="932"/>
      <c r="J1302" s="932"/>
      <c r="K1302" s="932"/>
      <c r="L1302" s="932"/>
      <c r="M1302" s="932"/>
      <c r="N1302" s="932"/>
      <c r="O1302" s="932"/>
      <c r="P1302" s="932"/>
      <c r="Q1302" s="932"/>
      <c r="R1302" s="932"/>
      <c r="S1302" s="932"/>
      <c r="T1302" s="932"/>
      <c r="U1302" s="932"/>
      <c r="V1302" s="932"/>
      <c r="W1302" s="932"/>
      <c r="X1302" s="932"/>
      <c r="Y1302" s="932"/>
      <c r="Z1302" s="932"/>
      <c r="AA1302" s="932"/>
      <c r="AB1302" s="932"/>
      <c r="AC1302" s="932"/>
      <c r="AD1302" s="932"/>
      <c r="AE1302" s="932"/>
      <c r="AF1302" s="932"/>
      <c r="AG1302" s="932"/>
      <c r="AH1302" s="932"/>
      <c r="AI1302" s="932"/>
      <c r="AJ1302" s="932"/>
      <c r="AK1302" s="932"/>
      <c r="AL1302" s="932"/>
      <c r="AM1302" s="932"/>
      <c r="AN1302" s="932"/>
      <c r="AO1302" s="932"/>
      <c r="AP1302" s="932"/>
      <c r="AQ1302" s="932"/>
      <c r="AR1302" s="932"/>
      <c r="AS1302" s="932"/>
      <c r="AT1302" s="932"/>
      <c r="AU1302" s="932"/>
      <c r="AV1302" s="932"/>
      <c r="AW1302" s="932"/>
      <c r="AX1302" s="932"/>
      <c r="AY1302" s="932"/>
      <c r="AZ1302" s="932"/>
      <c r="BA1302" s="932"/>
      <c r="BB1302" s="932"/>
      <c r="BC1302" s="932"/>
      <c r="BD1302" s="932"/>
      <c r="BE1302" s="932"/>
      <c r="BF1302" s="932"/>
    </row>
    <row r="1303" spans="2:58" ht="15" x14ac:dyDescent="0.25">
      <c r="B1303" s="932"/>
      <c r="C1303" s="932"/>
      <c r="D1303" s="932"/>
      <c r="E1303" s="932"/>
      <c r="F1303" s="932"/>
      <c r="G1303" s="932"/>
      <c r="H1303" s="932"/>
      <c r="I1303" s="932"/>
      <c r="J1303" s="932"/>
      <c r="K1303" s="932"/>
      <c r="L1303" s="932"/>
      <c r="M1303" s="932"/>
      <c r="N1303" s="932"/>
      <c r="O1303" s="932"/>
      <c r="P1303" s="932"/>
      <c r="Q1303" s="932"/>
      <c r="R1303" s="932"/>
      <c r="S1303" s="932"/>
      <c r="T1303" s="932"/>
      <c r="U1303" s="932"/>
      <c r="V1303" s="932"/>
      <c r="W1303" s="932"/>
      <c r="X1303" s="932"/>
      <c r="Y1303" s="932"/>
      <c r="Z1303" s="932"/>
      <c r="AA1303" s="932"/>
      <c r="AB1303" s="932"/>
      <c r="AC1303" s="932"/>
      <c r="AD1303" s="932"/>
      <c r="AE1303" s="932"/>
      <c r="AF1303" s="932"/>
      <c r="AG1303" s="932"/>
      <c r="AH1303" s="932"/>
      <c r="AI1303" s="932"/>
      <c r="AJ1303" s="932"/>
      <c r="AK1303" s="932"/>
      <c r="AL1303" s="932"/>
      <c r="AM1303" s="932"/>
      <c r="AN1303" s="932"/>
      <c r="AO1303" s="932"/>
      <c r="AP1303" s="932"/>
      <c r="AQ1303" s="932"/>
      <c r="AR1303" s="932"/>
      <c r="AS1303" s="932"/>
      <c r="AT1303" s="932"/>
      <c r="AU1303" s="932"/>
      <c r="AV1303" s="932"/>
      <c r="AW1303" s="932"/>
      <c r="AX1303" s="932"/>
      <c r="AY1303" s="932"/>
      <c r="AZ1303" s="932"/>
      <c r="BA1303" s="932"/>
      <c r="BB1303" s="932"/>
      <c r="BC1303" s="932"/>
      <c r="BD1303" s="932"/>
      <c r="BE1303" s="932"/>
      <c r="BF1303" s="932"/>
    </row>
    <row r="1304" spans="2:58" ht="15" x14ac:dyDescent="0.25">
      <c r="B1304" s="932"/>
      <c r="C1304" s="932"/>
      <c r="D1304" s="932"/>
      <c r="E1304" s="932"/>
      <c r="F1304" s="932"/>
      <c r="G1304" s="932"/>
      <c r="H1304" s="932"/>
      <c r="I1304" s="932"/>
      <c r="J1304" s="932"/>
      <c r="K1304" s="932"/>
      <c r="L1304" s="932"/>
      <c r="M1304" s="932"/>
      <c r="N1304" s="932"/>
      <c r="O1304" s="932"/>
      <c r="P1304" s="932"/>
      <c r="Q1304" s="932"/>
      <c r="R1304" s="932"/>
      <c r="S1304" s="932"/>
      <c r="T1304" s="932"/>
      <c r="U1304" s="932"/>
      <c r="V1304" s="932"/>
      <c r="W1304" s="932"/>
      <c r="X1304" s="932"/>
      <c r="Y1304" s="932"/>
      <c r="Z1304" s="932"/>
      <c r="AA1304" s="932"/>
      <c r="AB1304" s="932"/>
      <c r="AC1304" s="932"/>
      <c r="AD1304" s="932"/>
      <c r="AE1304" s="932"/>
      <c r="AF1304" s="932"/>
      <c r="AG1304" s="932"/>
      <c r="AH1304" s="932"/>
      <c r="AI1304" s="932"/>
      <c r="AJ1304" s="932"/>
      <c r="AK1304" s="932"/>
      <c r="AL1304" s="932"/>
      <c r="AM1304" s="932"/>
      <c r="AN1304" s="932"/>
      <c r="AO1304" s="932"/>
      <c r="AP1304" s="932"/>
      <c r="AQ1304" s="932"/>
      <c r="AR1304" s="932"/>
      <c r="AS1304" s="932"/>
      <c r="AT1304" s="932"/>
      <c r="AU1304" s="932"/>
      <c r="AV1304" s="932"/>
      <c r="AW1304" s="932"/>
      <c r="AX1304" s="932"/>
      <c r="AY1304" s="932"/>
      <c r="AZ1304" s="932"/>
      <c r="BA1304" s="932"/>
      <c r="BB1304" s="932"/>
      <c r="BC1304" s="932"/>
      <c r="BD1304" s="932"/>
      <c r="BE1304" s="932"/>
      <c r="BF1304" s="932"/>
    </row>
    <row r="1305" spans="2:58" ht="15" x14ac:dyDescent="0.25">
      <c r="B1305" s="932"/>
      <c r="C1305" s="932"/>
      <c r="D1305" s="932"/>
      <c r="E1305" s="932"/>
      <c r="F1305" s="932"/>
      <c r="G1305" s="932"/>
      <c r="H1305" s="932"/>
      <c r="I1305" s="932"/>
      <c r="J1305" s="932"/>
      <c r="K1305" s="932"/>
      <c r="L1305" s="932"/>
      <c r="M1305" s="932"/>
      <c r="N1305" s="932"/>
      <c r="O1305" s="932"/>
      <c r="P1305" s="932"/>
      <c r="Q1305" s="932"/>
      <c r="R1305" s="932"/>
      <c r="S1305" s="932"/>
      <c r="T1305" s="932"/>
      <c r="U1305" s="932"/>
      <c r="V1305" s="932"/>
      <c r="W1305" s="932"/>
      <c r="X1305" s="932"/>
      <c r="Y1305" s="932"/>
      <c r="Z1305" s="932"/>
      <c r="AA1305" s="932"/>
      <c r="AB1305" s="932"/>
      <c r="AC1305" s="932"/>
      <c r="AD1305" s="932"/>
      <c r="AE1305" s="932"/>
      <c r="AF1305" s="932"/>
      <c r="AG1305" s="932"/>
      <c r="AH1305" s="932"/>
      <c r="AI1305" s="932"/>
      <c r="AJ1305" s="932"/>
      <c r="AK1305" s="932"/>
      <c r="AL1305" s="932"/>
      <c r="AM1305" s="932"/>
      <c r="AN1305" s="932"/>
      <c r="AO1305" s="932"/>
      <c r="AP1305" s="932"/>
      <c r="AQ1305" s="932"/>
      <c r="AR1305" s="932"/>
      <c r="AS1305" s="932"/>
      <c r="AT1305" s="932"/>
      <c r="AU1305" s="932"/>
      <c r="AV1305" s="932"/>
      <c r="AW1305" s="932"/>
      <c r="AX1305" s="932"/>
      <c r="AY1305" s="932"/>
      <c r="AZ1305" s="932"/>
      <c r="BA1305" s="932"/>
      <c r="BB1305" s="932"/>
      <c r="BC1305" s="932"/>
      <c r="BD1305" s="932"/>
      <c r="BE1305" s="932"/>
      <c r="BF1305" s="932"/>
    </row>
    <row r="1306" spans="2:58" ht="15" x14ac:dyDescent="0.25">
      <c r="B1306" s="932"/>
      <c r="C1306" s="932"/>
      <c r="D1306" s="932"/>
      <c r="E1306" s="932"/>
      <c r="F1306" s="932"/>
      <c r="G1306" s="932"/>
      <c r="H1306" s="932"/>
      <c r="I1306" s="932"/>
      <c r="J1306" s="932"/>
      <c r="K1306" s="932"/>
      <c r="L1306" s="932"/>
      <c r="M1306" s="932"/>
      <c r="N1306" s="932"/>
      <c r="O1306" s="932"/>
      <c r="P1306" s="932"/>
      <c r="Q1306" s="932"/>
      <c r="R1306" s="932"/>
      <c r="S1306" s="932"/>
      <c r="T1306" s="932"/>
      <c r="U1306" s="932"/>
      <c r="V1306" s="932"/>
      <c r="W1306" s="932"/>
      <c r="X1306" s="932"/>
      <c r="Y1306" s="932"/>
      <c r="Z1306" s="932"/>
      <c r="AA1306" s="932"/>
      <c r="AB1306" s="932"/>
      <c r="AC1306" s="932"/>
      <c r="AD1306" s="932"/>
      <c r="AE1306" s="932"/>
      <c r="AF1306" s="932"/>
      <c r="AG1306" s="932"/>
      <c r="AH1306" s="932"/>
      <c r="AI1306" s="932"/>
      <c r="AJ1306" s="932"/>
      <c r="AK1306" s="932"/>
      <c r="AL1306" s="932"/>
      <c r="AM1306" s="932"/>
      <c r="AN1306" s="932"/>
      <c r="AO1306" s="932"/>
      <c r="AP1306" s="932"/>
      <c r="AQ1306" s="932"/>
      <c r="AR1306" s="932"/>
      <c r="AS1306" s="932"/>
      <c r="AT1306" s="932"/>
      <c r="AU1306" s="932"/>
      <c r="AV1306" s="932"/>
      <c r="AW1306" s="932"/>
      <c r="AX1306" s="932"/>
      <c r="AY1306" s="932"/>
      <c r="AZ1306" s="932"/>
      <c r="BA1306" s="932"/>
      <c r="BB1306" s="932"/>
      <c r="BC1306" s="932"/>
      <c r="BD1306" s="932"/>
      <c r="BE1306" s="932"/>
      <c r="BF1306" s="932"/>
    </row>
    <row r="1307" spans="2:58" ht="15" x14ac:dyDescent="0.25">
      <c r="B1307" s="932"/>
      <c r="C1307" s="932"/>
      <c r="D1307" s="932"/>
      <c r="E1307" s="932"/>
      <c r="F1307" s="932"/>
      <c r="G1307" s="932"/>
      <c r="H1307" s="932"/>
      <c r="I1307" s="932"/>
      <c r="J1307" s="932"/>
      <c r="K1307" s="932"/>
      <c r="L1307" s="932"/>
      <c r="M1307" s="932"/>
      <c r="N1307" s="932"/>
      <c r="O1307" s="932"/>
      <c r="P1307" s="932"/>
      <c r="Q1307" s="932"/>
      <c r="R1307" s="932"/>
      <c r="S1307" s="932"/>
      <c r="T1307" s="932"/>
      <c r="U1307" s="932"/>
      <c r="V1307" s="932"/>
      <c r="W1307" s="932"/>
      <c r="X1307" s="932"/>
      <c r="Y1307" s="932"/>
      <c r="Z1307" s="932"/>
      <c r="AA1307" s="932"/>
      <c r="AB1307" s="932"/>
      <c r="AC1307" s="932"/>
      <c r="AD1307" s="932"/>
      <c r="AE1307" s="932"/>
      <c r="AF1307" s="932"/>
      <c r="AG1307" s="932"/>
      <c r="AH1307" s="932"/>
      <c r="AI1307" s="932"/>
      <c r="AJ1307" s="932"/>
      <c r="AK1307" s="932"/>
      <c r="AL1307" s="932"/>
      <c r="AM1307" s="932"/>
      <c r="AN1307" s="932"/>
      <c r="AO1307" s="932"/>
      <c r="AP1307" s="932"/>
      <c r="AQ1307" s="932"/>
      <c r="AR1307" s="932"/>
      <c r="AS1307" s="932"/>
      <c r="AT1307" s="932"/>
      <c r="AU1307" s="932"/>
      <c r="AV1307" s="932"/>
      <c r="AW1307" s="932"/>
      <c r="AX1307" s="932"/>
      <c r="AY1307" s="932"/>
      <c r="AZ1307" s="932"/>
      <c r="BA1307" s="932"/>
      <c r="BB1307" s="932"/>
      <c r="BC1307" s="932"/>
      <c r="BD1307" s="932"/>
      <c r="BE1307" s="932"/>
      <c r="BF1307" s="932"/>
    </row>
    <row r="1308" spans="2:58" ht="15" x14ac:dyDescent="0.25">
      <c r="B1308" s="932"/>
      <c r="C1308" s="932"/>
      <c r="D1308" s="932"/>
      <c r="E1308" s="932"/>
      <c r="F1308" s="932"/>
      <c r="G1308" s="932"/>
      <c r="H1308" s="932"/>
      <c r="I1308" s="932"/>
      <c r="J1308" s="932"/>
      <c r="K1308" s="932"/>
      <c r="L1308" s="932"/>
      <c r="M1308" s="932"/>
      <c r="N1308" s="932"/>
      <c r="O1308" s="932"/>
      <c r="P1308" s="932"/>
      <c r="Q1308" s="932"/>
      <c r="R1308" s="932"/>
      <c r="S1308" s="932"/>
      <c r="T1308" s="932"/>
      <c r="U1308" s="932"/>
      <c r="V1308" s="932"/>
      <c r="W1308" s="932"/>
      <c r="X1308" s="932"/>
      <c r="Y1308" s="932"/>
      <c r="Z1308" s="932"/>
      <c r="AA1308" s="932"/>
      <c r="AB1308" s="932"/>
      <c r="AC1308" s="932"/>
      <c r="AD1308" s="932"/>
      <c r="AE1308" s="932"/>
      <c r="AF1308" s="932"/>
      <c r="AG1308" s="932"/>
      <c r="AH1308" s="932"/>
      <c r="AI1308" s="932"/>
      <c r="AJ1308" s="932"/>
      <c r="AK1308" s="932"/>
      <c r="AL1308" s="932"/>
      <c r="AM1308" s="932"/>
      <c r="AN1308" s="932"/>
      <c r="AO1308" s="932"/>
      <c r="AP1308" s="932"/>
      <c r="AQ1308" s="932"/>
      <c r="AR1308" s="932"/>
      <c r="AS1308" s="932"/>
      <c r="AT1308" s="932"/>
      <c r="AU1308" s="932"/>
      <c r="AV1308" s="932"/>
      <c r="AW1308" s="932"/>
      <c r="AX1308" s="932"/>
      <c r="AY1308" s="932"/>
      <c r="AZ1308" s="932"/>
      <c r="BA1308" s="932"/>
      <c r="BB1308" s="932"/>
      <c r="BC1308" s="932"/>
      <c r="BD1308" s="932"/>
      <c r="BE1308" s="932"/>
      <c r="BF1308" s="932"/>
    </row>
    <row r="1309" spans="2:58" ht="15" x14ac:dyDescent="0.25">
      <c r="B1309" s="932"/>
      <c r="C1309" s="932"/>
      <c r="D1309" s="932"/>
      <c r="E1309" s="932"/>
      <c r="F1309" s="932"/>
      <c r="G1309" s="932"/>
      <c r="H1309" s="932"/>
      <c r="I1309" s="932"/>
      <c r="J1309" s="932"/>
      <c r="K1309" s="932"/>
      <c r="L1309" s="932"/>
      <c r="M1309" s="932"/>
      <c r="N1309" s="932"/>
      <c r="O1309" s="932"/>
      <c r="P1309" s="932"/>
      <c r="Q1309" s="932"/>
      <c r="R1309" s="932"/>
      <c r="S1309" s="932"/>
      <c r="T1309" s="932"/>
      <c r="U1309" s="932"/>
      <c r="V1309" s="932"/>
      <c r="W1309" s="932"/>
      <c r="X1309" s="932"/>
      <c r="Y1309" s="932"/>
      <c r="Z1309" s="932"/>
      <c r="AA1309" s="932"/>
      <c r="AB1309" s="932"/>
      <c r="AC1309" s="932"/>
      <c r="AD1309" s="932"/>
      <c r="AE1309" s="932"/>
      <c r="AF1309" s="932"/>
      <c r="AG1309" s="932"/>
      <c r="AH1309" s="932"/>
      <c r="AI1309" s="932"/>
      <c r="AJ1309" s="932"/>
      <c r="AK1309" s="932"/>
      <c r="AL1309" s="932"/>
      <c r="AM1309" s="932"/>
      <c r="AN1309" s="932"/>
      <c r="AO1309" s="932"/>
      <c r="AP1309" s="932"/>
      <c r="AQ1309" s="932"/>
      <c r="AR1309" s="932"/>
      <c r="AS1309" s="932"/>
      <c r="AT1309" s="932"/>
      <c r="AU1309" s="932"/>
      <c r="AV1309" s="932"/>
      <c r="AW1309" s="932"/>
      <c r="AX1309" s="932"/>
      <c r="AY1309" s="932"/>
      <c r="AZ1309" s="932"/>
      <c r="BA1309" s="932"/>
      <c r="BB1309" s="932"/>
      <c r="BC1309" s="932"/>
      <c r="BD1309" s="932"/>
      <c r="BE1309" s="932"/>
      <c r="BF1309" s="932"/>
    </row>
    <row r="1310" spans="2:58" ht="15" x14ac:dyDescent="0.25">
      <c r="B1310" s="932"/>
      <c r="C1310" s="932"/>
      <c r="D1310" s="932"/>
      <c r="E1310" s="932"/>
      <c r="F1310" s="932"/>
      <c r="G1310" s="932"/>
      <c r="H1310" s="932"/>
      <c r="I1310" s="932"/>
      <c r="J1310" s="932"/>
      <c r="K1310" s="932"/>
      <c r="L1310" s="932"/>
      <c r="M1310" s="932"/>
      <c r="N1310" s="932"/>
      <c r="O1310" s="932"/>
      <c r="P1310" s="932"/>
      <c r="Q1310" s="932"/>
      <c r="R1310" s="932"/>
      <c r="S1310" s="932"/>
      <c r="T1310" s="932"/>
      <c r="U1310" s="932"/>
      <c r="V1310" s="932"/>
      <c r="W1310" s="932"/>
      <c r="X1310" s="932"/>
      <c r="Y1310" s="932"/>
      <c r="Z1310" s="932"/>
      <c r="AA1310" s="932"/>
      <c r="AB1310" s="932"/>
      <c r="AC1310" s="932"/>
      <c r="AD1310" s="932"/>
      <c r="AE1310" s="932"/>
      <c r="AF1310" s="932"/>
      <c r="AG1310" s="932"/>
      <c r="AH1310" s="932"/>
      <c r="AI1310" s="932"/>
      <c r="AJ1310" s="932"/>
      <c r="AK1310" s="932"/>
      <c r="AL1310" s="932"/>
      <c r="AM1310" s="932"/>
      <c r="AN1310" s="932"/>
      <c r="AO1310" s="932"/>
      <c r="AP1310" s="932"/>
      <c r="AQ1310" s="932"/>
      <c r="AR1310" s="932"/>
      <c r="AS1310" s="932"/>
      <c r="AT1310" s="932"/>
      <c r="AU1310" s="932"/>
      <c r="AV1310" s="932"/>
      <c r="AW1310" s="932"/>
      <c r="AX1310" s="932"/>
      <c r="AY1310" s="932"/>
      <c r="AZ1310" s="932"/>
      <c r="BA1310" s="932"/>
      <c r="BB1310" s="932"/>
      <c r="BC1310" s="932"/>
      <c r="BD1310" s="932"/>
      <c r="BE1310" s="932"/>
      <c r="BF1310" s="932"/>
    </row>
    <row r="1311" spans="2:58" ht="15" x14ac:dyDescent="0.25">
      <c r="B1311" s="932"/>
      <c r="C1311" s="932"/>
      <c r="D1311" s="932"/>
      <c r="E1311" s="932"/>
      <c r="F1311" s="932"/>
      <c r="G1311" s="932"/>
      <c r="H1311" s="932"/>
      <c r="I1311" s="932"/>
      <c r="J1311" s="932"/>
      <c r="K1311" s="932"/>
      <c r="L1311" s="932"/>
      <c r="M1311" s="932"/>
      <c r="N1311" s="932"/>
      <c r="O1311" s="932"/>
      <c r="P1311" s="932"/>
      <c r="Q1311" s="932"/>
      <c r="R1311" s="932"/>
      <c r="S1311" s="932"/>
      <c r="T1311" s="932"/>
      <c r="U1311" s="932"/>
      <c r="V1311" s="932"/>
      <c r="W1311" s="932"/>
      <c r="X1311" s="932"/>
      <c r="Y1311" s="932"/>
      <c r="Z1311" s="932"/>
      <c r="AA1311" s="932"/>
      <c r="AB1311" s="932"/>
      <c r="AC1311" s="932"/>
      <c r="AD1311" s="932"/>
      <c r="AE1311" s="932"/>
      <c r="AF1311" s="932"/>
      <c r="AG1311" s="932"/>
      <c r="AH1311" s="932"/>
      <c r="AI1311" s="932"/>
      <c r="AJ1311" s="932"/>
      <c r="AK1311" s="932"/>
      <c r="AL1311" s="932"/>
      <c r="AM1311" s="932"/>
      <c r="AN1311" s="932"/>
      <c r="AO1311" s="932"/>
      <c r="AP1311" s="932"/>
      <c r="AQ1311" s="932"/>
      <c r="AR1311" s="932"/>
      <c r="AS1311" s="932"/>
      <c r="AT1311" s="932"/>
      <c r="AU1311" s="932"/>
      <c r="AV1311" s="932"/>
      <c r="AW1311" s="932"/>
      <c r="AX1311" s="932"/>
      <c r="AY1311" s="932"/>
      <c r="AZ1311" s="932"/>
      <c r="BA1311" s="932"/>
      <c r="BB1311" s="932"/>
      <c r="BC1311" s="932"/>
      <c r="BD1311" s="932"/>
      <c r="BE1311" s="932"/>
      <c r="BF1311" s="932"/>
    </row>
    <row r="1312" spans="2:58" ht="15" x14ac:dyDescent="0.25">
      <c r="B1312" s="932"/>
      <c r="C1312" s="932"/>
      <c r="D1312" s="932"/>
      <c r="E1312" s="932"/>
      <c r="F1312" s="932"/>
      <c r="G1312" s="932"/>
      <c r="H1312" s="932"/>
      <c r="I1312" s="932"/>
      <c r="J1312" s="932"/>
      <c r="K1312" s="932"/>
      <c r="L1312" s="932"/>
      <c r="M1312" s="932"/>
      <c r="N1312" s="932"/>
      <c r="O1312" s="932"/>
      <c r="P1312" s="932"/>
      <c r="Q1312" s="932"/>
      <c r="R1312" s="932"/>
      <c r="S1312" s="932"/>
      <c r="T1312" s="932"/>
      <c r="U1312" s="932"/>
      <c r="V1312" s="932"/>
      <c r="W1312" s="932"/>
      <c r="X1312" s="932"/>
      <c r="Y1312" s="932"/>
      <c r="Z1312" s="932"/>
      <c r="AA1312" s="932"/>
      <c r="AB1312" s="932"/>
      <c r="AC1312" s="932"/>
      <c r="AD1312" s="932"/>
      <c r="AE1312" s="932"/>
      <c r="AF1312" s="932"/>
      <c r="AG1312" s="932"/>
      <c r="AH1312" s="932"/>
      <c r="AI1312" s="932"/>
      <c r="AJ1312" s="932"/>
      <c r="AK1312" s="932"/>
      <c r="AL1312" s="932"/>
      <c r="AM1312" s="932"/>
      <c r="AN1312" s="932"/>
      <c r="AO1312" s="932"/>
      <c r="AP1312" s="932"/>
      <c r="AQ1312" s="932"/>
      <c r="AR1312" s="932"/>
      <c r="AS1312" s="932"/>
      <c r="AT1312" s="932"/>
      <c r="AU1312" s="932"/>
      <c r="AV1312" s="932"/>
      <c r="AW1312" s="932"/>
      <c r="AX1312" s="932"/>
      <c r="AY1312" s="932"/>
      <c r="AZ1312" s="932"/>
      <c r="BA1312" s="932"/>
      <c r="BB1312" s="932"/>
      <c r="BC1312" s="932"/>
      <c r="BD1312" s="932"/>
      <c r="BE1312" s="932"/>
      <c r="BF1312" s="932"/>
    </row>
    <row r="1313" spans="2:58" ht="15" x14ac:dyDescent="0.25">
      <c r="B1313" s="932"/>
      <c r="C1313" s="932"/>
      <c r="D1313" s="932"/>
      <c r="E1313" s="932"/>
      <c r="F1313" s="932"/>
      <c r="G1313" s="932"/>
      <c r="H1313" s="932"/>
      <c r="I1313" s="932"/>
      <c r="J1313" s="932"/>
      <c r="K1313" s="932"/>
      <c r="L1313" s="932"/>
      <c r="M1313" s="932"/>
      <c r="N1313" s="932"/>
      <c r="O1313" s="932"/>
      <c r="P1313" s="932"/>
      <c r="Q1313" s="932"/>
      <c r="R1313" s="932"/>
      <c r="S1313" s="932"/>
      <c r="T1313" s="932"/>
      <c r="U1313" s="932"/>
      <c r="V1313" s="932"/>
      <c r="W1313" s="932"/>
      <c r="X1313" s="932"/>
      <c r="Y1313" s="932"/>
      <c r="Z1313" s="932"/>
      <c r="AA1313" s="932"/>
      <c r="AB1313" s="932"/>
      <c r="AC1313" s="932"/>
      <c r="AD1313" s="932"/>
      <c r="AE1313" s="932"/>
      <c r="AF1313" s="932"/>
      <c r="AG1313" s="932"/>
      <c r="AH1313" s="932"/>
      <c r="AI1313" s="932"/>
      <c r="AJ1313" s="932"/>
      <c r="AK1313" s="932"/>
      <c r="AL1313" s="932"/>
      <c r="AM1313" s="932"/>
      <c r="AN1313" s="932"/>
      <c r="AO1313" s="932"/>
      <c r="AP1313" s="932"/>
      <c r="AQ1313" s="932"/>
      <c r="AR1313" s="932"/>
      <c r="AS1313" s="932"/>
      <c r="AT1313" s="932"/>
      <c r="AU1313" s="932"/>
      <c r="AV1313" s="932"/>
      <c r="AW1313" s="932"/>
      <c r="AX1313" s="932"/>
      <c r="AY1313" s="932"/>
      <c r="AZ1313" s="932"/>
      <c r="BA1313" s="932"/>
      <c r="BB1313" s="932"/>
      <c r="BC1313" s="932"/>
      <c r="BD1313" s="932"/>
      <c r="BE1313" s="932"/>
      <c r="BF1313" s="932"/>
    </row>
    <row r="1314" spans="2:58" ht="15" x14ac:dyDescent="0.25">
      <c r="B1314" s="932"/>
      <c r="C1314" s="932"/>
      <c r="D1314" s="932"/>
      <c r="E1314" s="932"/>
      <c r="F1314" s="932"/>
      <c r="G1314" s="932"/>
      <c r="H1314" s="932"/>
      <c r="I1314" s="932"/>
      <c r="J1314" s="932"/>
      <c r="K1314" s="932"/>
      <c r="L1314" s="932"/>
      <c r="M1314" s="932"/>
      <c r="N1314" s="932"/>
      <c r="O1314" s="932"/>
      <c r="P1314" s="932"/>
      <c r="Q1314" s="932"/>
      <c r="R1314" s="932"/>
      <c r="S1314" s="932"/>
      <c r="T1314" s="932"/>
      <c r="U1314" s="932"/>
      <c r="V1314" s="932"/>
      <c r="W1314" s="932"/>
      <c r="X1314" s="932"/>
      <c r="Y1314" s="932"/>
      <c r="Z1314" s="932"/>
      <c r="AA1314" s="932"/>
      <c r="AB1314" s="932"/>
      <c r="AC1314" s="932"/>
      <c r="AD1314" s="932"/>
      <c r="AE1314" s="932"/>
      <c r="AF1314" s="932"/>
      <c r="AG1314" s="932"/>
      <c r="AH1314" s="932"/>
      <c r="AI1314" s="932"/>
      <c r="AJ1314" s="932"/>
      <c r="AK1314" s="932"/>
      <c r="AL1314" s="932"/>
      <c r="AM1314" s="932"/>
      <c r="AN1314" s="932"/>
      <c r="AO1314" s="932"/>
      <c r="AP1314" s="932"/>
      <c r="AQ1314" s="932"/>
      <c r="AR1314" s="932"/>
      <c r="AS1314" s="932"/>
      <c r="AT1314" s="932"/>
      <c r="AU1314" s="932"/>
      <c r="AV1314" s="932"/>
      <c r="AW1314" s="932"/>
      <c r="AX1314" s="932"/>
      <c r="AY1314" s="932"/>
      <c r="AZ1314" s="932"/>
      <c r="BA1314" s="932"/>
      <c r="BB1314" s="932"/>
      <c r="BC1314" s="932"/>
      <c r="BD1314" s="932"/>
      <c r="BE1314" s="932"/>
      <c r="BF1314" s="932"/>
    </row>
    <row r="1315" spans="2:58" ht="15" x14ac:dyDescent="0.25">
      <c r="B1315" s="932"/>
      <c r="C1315" s="932"/>
      <c r="D1315" s="932"/>
      <c r="E1315" s="932"/>
      <c r="F1315" s="932"/>
      <c r="G1315" s="932"/>
      <c r="H1315" s="932"/>
      <c r="I1315" s="932"/>
      <c r="J1315" s="932"/>
      <c r="K1315" s="932"/>
      <c r="L1315" s="932"/>
      <c r="M1315" s="932"/>
      <c r="N1315" s="932"/>
      <c r="O1315" s="932"/>
      <c r="P1315" s="932"/>
      <c r="Q1315" s="932"/>
      <c r="R1315" s="932"/>
      <c r="S1315" s="932"/>
      <c r="T1315" s="932"/>
      <c r="U1315" s="932"/>
      <c r="V1315" s="932"/>
      <c r="W1315" s="932"/>
      <c r="X1315" s="932"/>
      <c r="Y1315" s="932"/>
      <c r="Z1315" s="932"/>
      <c r="AA1315" s="932"/>
      <c r="AB1315" s="932"/>
      <c r="AC1315" s="932"/>
      <c r="AD1315" s="932"/>
      <c r="AE1315" s="932"/>
      <c r="AF1315" s="932"/>
      <c r="AG1315" s="932"/>
      <c r="AH1315" s="932"/>
      <c r="AI1315" s="932"/>
      <c r="AJ1315" s="932"/>
      <c r="AK1315" s="932"/>
      <c r="AL1315" s="932"/>
      <c r="AM1315" s="932"/>
      <c r="AN1315" s="932"/>
      <c r="AO1315" s="932"/>
      <c r="AP1315" s="932"/>
      <c r="AQ1315" s="932"/>
      <c r="AR1315" s="932"/>
      <c r="AS1315" s="932"/>
      <c r="AT1315" s="932"/>
      <c r="AU1315" s="932"/>
      <c r="AV1315" s="932"/>
      <c r="AW1315" s="932"/>
      <c r="AX1315" s="932"/>
      <c r="AY1315" s="932"/>
      <c r="AZ1315" s="932"/>
      <c r="BA1315" s="932"/>
      <c r="BB1315" s="932"/>
      <c r="BC1315" s="932"/>
      <c r="BD1315" s="932"/>
      <c r="BE1315" s="932"/>
      <c r="BF1315" s="932"/>
    </row>
    <row r="1316" spans="2:58" ht="15" x14ac:dyDescent="0.25">
      <c r="B1316" s="932"/>
      <c r="C1316" s="932"/>
      <c r="D1316" s="932"/>
      <c r="E1316" s="932"/>
      <c r="F1316" s="932"/>
      <c r="G1316" s="932"/>
      <c r="H1316" s="932"/>
      <c r="I1316" s="932"/>
      <c r="J1316" s="932"/>
      <c r="K1316" s="932"/>
      <c r="L1316" s="932"/>
      <c r="M1316" s="932"/>
      <c r="N1316" s="932"/>
      <c r="O1316" s="932"/>
      <c r="P1316" s="932"/>
      <c r="Q1316" s="932"/>
      <c r="R1316" s="932"/>
      <c r="S1316" s="932"/>
      <c r="T1316" s="932"/>
      <c r="U1316" s="932"/>
      <c r="V1316" s="932"/>
      <c r="W1316" s="932"/>
      <c r="X1316" s="932"/>
      <c r="Y1316" s="932"/>
      <c r="Z1316" s="932"/>
      <c r="AA1316" s="932"/>
      <c r="AB1316" s="932"/>
      <c r="AC1316" s="932"/>
      <c r="AD1316" s="932"/>
      <c r="AE1316" s="932"/>
      <c r="AF1316" s="932"/>
      <c r="AG1316" s="932"/>
      <c r="AH1316" s="932"/>
      <c r="AI1316" s="932"/>
      <c r="AJ1316" s="932"/>
      <c r="AK1316" s="932"/>
      <c r="AL1316" s="932"/>
      <c r="AM1316" s="932"/>
      <c r="AN1316" s="932"/>
      <c r="AO1316" s="932"/>
      <c r="AP1316" s="932"/>
      <c r="AQ1316" s="932"/>
      <c r="AR1316" s="932"/>
      <c r="AS1316" s="932"/>
      <c r="AT1316" s="932"/>
      <c r="AU1316" s="932"/>
      <c r="AV1316" s="932"/>
      <c r="AW1316" s="932"/>
      <c r="AX1316" s="932"/>
      <c r="AY1316" s="932"/>
      <c r="AZ1316" s="932"/>
      <c r="BA1316" s="932"/>
      <c r="BB1316" s="932"/>
      <c r="BC1316" s="932"/>
      <c r="BD1316" s="932"/>
      <c r="BE1316" s="932"/>
      <c r="BF1316" s="932"/>
    </row>
    <row r="1317" spans="2:58" ht="15" x14ac:dyDescent="0.25">
      <c r="B1317" s="932"/>
      <c r="C1317" s="932"/>
      <c r="D1317" s="932"/>
      <c r="E1317" s="932"/>
      <c r="F1317" s="932"/>
      <c r="G1317" s="932"/>
      <c r="H1317" s="932"/>
      <c r="I1317" s="932"/>
      <c r="J1317" s="932"/>
      <c r="K1317" s="932"/>
      <c r="L1317" s="932"/>
      <c r="M1317" s="932"/>
      <c r="N1317" s="932"/>
      <c r="O1317" s="932"/>
      <c r="P1317" s="932"/>
      <c r="Q1317" s="932"/>
      <c r="R1317" s="932"/>
      <c r="S1317" s="932"/>
      <c r="T1317" s="932"/>
      <c r="U1317" s="932"/>
      <c r="V1317" s="932"/>
      <c r="W1317" s="932"/>
      <c r="X1317" s="932"/>
      <c r="Y1317" s="932"/>
      <c r="Z1317" s="932"/>
      <c r="AA1317" s="932"/>
      <c r="AB1317" s="932"/>
      <c r="AC1317" s="932"/>
      <c r="AD1317" s="932"/>
      <c r="AE1317" s="932"/>
      <c r="AF1317" s="932"/>
      <c r="AG1317" s="932"/>
      <c r="AH1317" s="932"/>
      <c r="AI1317" s="932"/>
      <c r="AJ1317" s="932"/>
      <c r="AK1317" s="932"/>
      <c r="AL1317" s="932"/>
      <c r="AM1317" s="932"/>
      <c r="AN1317" s="932"/>
      <c r="AO1317" s="932"/>
      <c r="AP1317" s="932"/>
      <c r="AQ1317" s="932"/>
      <c r="AR1317" s="932"/>
      <c r="AS1317" s="932"/>
      <c r="AT1317" s="932"/>
      <c r="AU1317" s="932"/>
      <c r="AV1317" s="932"/>
      <c r="AW1317" s="932"/>
      <c r="AX1317" s="932"/>
      <c r="AY1317" s="932"/>
      <c r="AZ1317" s="932"/>
      <c r="BA1317" s="932"/>
      <c r="BB1317" s="932"/>
      <c r="BC1317" s="932"/>
      <c r="BD1317" s="932"/>
      <c r="BE1317" s="932"/>
      <c r="BF1317" s="932"/>
    </row>
    <row r="1318" spans="2:58" ht="15" x14ac:dyDescent="0.25">
      <c r="B1318" s="932"/>
      <c r="C1318" s="932"/>
      <c r="D1318" s="932"/>
      <c r="E1318" s="932"/>
      <c r="F1318" s="932"/>
      <c r="G1318" s="932"/>
      <c r="H1318" s="932"/>
      <c r="I1318" s="932"/>
      <c r="J1318" s="932"/>
      <c r="K1318" s="932"/>
      <c r="L1318" s="932"/>
      <c r="M1318" s="932"/>
      <c r="N1318" s="932"/>
      <c r="O1318" s="932"/>
      <c r="P1318" s="932"/>
      <c r="Q1318" s="932"/>
      <c r="R1318" s="932"/>
      <c r="S1318" s="932"/>
      <c r="T1318" s="932"/>
      <c r="U1318" s="932"/>
      <c r="V1318" s="932"/>
      <c r="W1318" s="932"/>
      <c r="X1318" s="932"/>
      <c r="Y1318" s="932"/>
      <c r="Z1318" s="932"/>
      <c r="AA1318" s="932"/>
      <c r="AB1318" s="932"/>
      <c r="AC1318" s="932"/>
      <c r="AD1318" s="932"/>
      <c r="AE1318" s="932"/>
      <c r="AF1318" s="932"/>
      <c r="AG1318" s="932"/>
      <c r="AH1318" s="932"/>
      <c r="AI1318" s="932"/>
      <c r="AJ1318" s="932"/>
      <c r="AK1318" s="932"/>
      <c r="AL1318" s="932"/>
      <c r="AM1318" s="932"/>
      <c r="AN1318" s="932"/>
      <c r="AO1318" s="932"/>
      <c r="AP1318" s="932"/>
      <c r="AQ1318" s="932"/>
      <c r="AR1318" s="932"/>
      <c r="AS1318" s="932"/>
      <c r="AT1318" s="932"/>
      <c r="AU1318" s="932"/>
      <c r="AV1318" s="932"/>
      <c r="AW1318" s="932"/>
      <c r="AX1318" s="932"/>
      <c r="AY1318" s="932"/>
      <c r="AZ1318" s="932"/>
      <c r="BA1318" s="932"/>
      <c r="BB1318" s="932"/>
      <c r="BC1318" s="932"/>
      <c r="BD1318" s="932"/>
      <c r="BE1318" s="932"/>
      <c r="BF1318" s="932"/>
    </row>
    <row r="1319" spans="2:58" ht="15" x14ac:dyDescent="0.25">
      <c r="B1319" s="932"/>
      <c r="C1319" s="932"/>
      <c r="D1319" s="932"/>
      <c r="E1319" s="932"/>
      <c r="F1319" s="932"/>
      <c r="G1319" s="932"/>
      <c r="H1319" s="932"/>
      <c r="I1319" s="932"/>
      <c r="J1319" s="932"/>
      <c r="K1319" s="932"/>
      <c r="L1319" s="932"/>
      <c r="M1319" s="932"/>
      <c r="N1319" s="932"/>
      <c r="O1319" s="932"/>
      <c r="P1319" s="932"/>
      <c r="Q1319" s="932"/>
      <c r="R1319" s="932"/>
      <c r="S1319" s="932"/>
      <c r="T1319" s="932"/>
      <c r="U1319" s="932"/>
      <c r="V1319" s="932"/>
      <c r="W1319" s="932"/>
      <c r="X1319" s="932"/>
      <c r="Y1319" s="932"/>
      <c r="Z1319" s="932"/>
      <c r="AA1319" s="932"/>
      <c r="AB1319" s="932"/>
      <c r="AC1319" s="932"/>
      <c r="AD1319" s="932"/>
      <c r="AE1319" s="932"/>
      <c r="AF1319" s="932"/>
      <c r="AG1319" s="932"/>
      <c r="AH1319" s="932"/>
      <c r="AI1319" s="932"/>
      <c r="AJ1319" s="932"/>
      <c r="AK1319" s="932"/>
      <c r="AL1319" s="932"/>
      <c r="AM1319" s="932"/>
      <c r="AN1319" s="932"/>
      <c r="AO1319" s="932"/>
      <c r="AP1319" s="932"/>
      <c r="AQ1319" s="932"/>
      <c r="AR1319" s="932"/>
      <c r="AS1319" s="932"/>
      <c r="AT1319" s="932"/>
      <c r="AU1319" s="932"/>
      <c r="AV1319" s="932"/>
      <c r="AW1319" s="932"/>
      <c r="AX1319" s="932"/>
      <c r="AY1319" s="932"/>
      <c r="AZ1319" s="932"/>
      <c r="BA1319" s="932"/>
      <c r="BB1319" s="932"/>
      <c r="BC1319" s="932"/>
      <c r="BD1319" s="932"/>
      <c r="BE1319" s="932"/>
      <c r="BF1319" s="932"/>
    </row>
    <row r="1320" spans="2:58" ht="15" x14ac:dyDescent="0.25">
      <c r="B1320" s="932"/>
      <c r="C1320" s="932"/>
      <c r="D1320" s="932"/>
      <c r="E1320" s="932"/>
      <c r="F1320" s="932"/>
      <c r="G1320" s="932"/>
      <c r="H1320" s="932"/>
      <c r="I1320" s="932"/>
      <c r="J1320" s="932"/>
      <c r="K1320" s="932"/>
      <c r="L1320" s="932"/>
      <c r="M1320" s="932"/>
      <c r="N1320" s="932"/>
      <c r="O1320" s="932"/>
      <c r="P1320" s="932"/>
      <c r="Q1320" s="932"/>
      <c r="R1320" s="932"/>
      <c r="S1320" s="932"/>
      <c r="T1320" s="932"/>
      <c r="U1320" s="932"/>
      <c r="V1320" s="932"/>
      <c r="W1320" s="932"/>
      <c r="X1320" s="932"/>
      <c r="Y1320" s="932"/>
      <c r="Z1320" s="932"/>
      <c r="AA1320" s="932"/>
      <c r="AB1320" s="932"/>
      <c r="AC1320" s="932"/>
      <c r="AD1320" s="932"/>
      <c r="AE1320" s="932"/>
      <c r="AF1320" s="932"/>
      <c r="AG1320" s="932"/>
      <c r="AH1320" s="932"/>
      <c r="AI1320" s="932"/>
      <c r="AJ1320" s="932"/>
      <c r="AK1320" s="932"/>
      <c r="AL1320" s="932"/>
      <c r="AM1320" s="932"/>
      <c r="AN1320" s="932"/>
      <c r="AO1320" s="932"/>
      <c r="AP1320" s="932"/>
      <c r="AQ1320" s="932"/>
      <c r="AR1320" s="932"/>
      <c r="AS1320" s="932"/>
      <c r="AT1320" s="932"/>
      <c r="AU1320" s="932"/>
      <c r="AV1320" s="932"/>
      <c r="AW1320" s="932"/>
      <c r="AX1320" s="932"/>
      <c r="AY1320" s="932"/>
      <c r="AZ1320" s="932"/>
      <c r="BA1320" s="932"/>
      <c r="BB1320" s="932"/>
      <c r="BC1320" s="932"/>
      <c r="BD1320" s="932"/>
      <c r="BE1320" s="932"/>
      <c r="BF1320" s="932"/>
    </row>
    <row r="1321" spans="2:58" ht="15" x14ac:dyDescent="0.25">
      <c r="B1321" s="932"/>
      <c r="C1321" s="932"/>
      <c r="D1321" s="932"/>
      <c r="E1321" s="932"/>
      <c r="F1321" s="932"/>
      <c r="G1321" s="932"/>
      <c r="H1321" s="932"/>
      <c r="I1321" s="932"/>
      <c r="J1321" s="932"/>
      <c r="K1321" s="932"/>
      <c r="L1321" s="932"/>
      <c r="M1321" s="932"/>
      <c r="N1321" s="932"/>
      <c r="O1321" s="932"/>
      <c r="P1321" s="932"/>
      <c r="Q1321" s="932"/>
      <c r="R1321" s="932"/>
      <c r="S1321" s="932"/>
      <c r="T1321" s="932"/>
      <c r="U1321" s="932"/>
      <c r="V1321" s="932"/>
      <c r="W1321" s="932"/>
      <c r="X1321" s="932"/>
      <c r="Y1321" s="932"/>
      <c r="Z1321" s="932"/>
      <c r="AA1321" s="932"/>
      <c r="AB1321" s="932"/>
      <c r="AC1321" s="932"/>
      <c r="AD1321" s="932"/>
      <c r="AE1321" s="932"/>
      <c r="AF1321" s="932"/>
      <c r="AG1321" s="932"/>
      <c r="AH1321" s="932"/>
      <c r="AI1321" s="932"/>
      <c r="AJ1321" s="932"/>
      <c r="AK1321" s="932"/>
      <c r="AL1321" s="932"/>
      <c r="AM1321" s="932"/>
      <c r="AN1321" s="932"/>
      <c r="AO1321" s="932"/>
      <c r="AP1321" s="932"/>
      <c r="AQ1321" s="932"/>
      <c r="AR1321" s="932"/>
      <c r="AS1321" s="932"/>
      <c r="AT1321" s="932"/>
      <c r="AU1321" s="932"/>
      <c r="AV1321" s="932"/>
      <c r="AW1321" s="932"/>
      <c r="AX1321" s="932"/>
      <c r="AY1321" s="932"/>
      <c r="AZ1321" s="932"/>
      <c r="BA1321" s="932"/>
      <c r="BB1321" s="932"/>
      <c r="BC1321" s="932"/>
      <c r="BD1321" s="932"/>
      <c r="BE1321" s="932"/>
      <c r="BF1321" s="932"/>
    </row>
    <row r="1322" spans="2:58" ht="15" x14ac:dyDescent="0.25">
      <c r="B1322" s="932"/>
      <c r="C1322" s="932"/>
      <c r="D1322" s="932"/>
      <c r="E1322" s="932"/>
      <c r="F1322" s="932"/>
      <c r="G1322" s="932"/>
      <c r="H1322" s="932"/>
      <c r="I1322" s="932"/>
      <c r="J1322" s="932"/>
      <c r="K1322" s="932"/>
      <c r="L1322" s="932"/>
      <c r="M1322" s="932"/>
      <c r="N1322" s="932"/>
      <c r="O1322" s="932"/>
      <c r="P1322" s="932"/>
      <c r="Q1322" s="932"/>
      <c r="R1322" s="932"/>
      <c r="S1322" s="932"/>
      <c r="T1322" s="932"/>
      <c r="U1322" s="932"/>
      <c r="V1322" s="932"/>
      <c r="W1322" s="932"/>
      <c r="X1322" s="932"/>
      <c r="Y1322" s="932"/>
      <c r="Z1322" s="932"/>
      <c r="AA1322" s="932"/>
      <c r="AB1322" s="932"/>
      <c r="AC1322" s="932"/>
      <c r="AD1322" s="932"/>
      <c r="AE1322" s="932"/>
      <c r="AF1322" s="932"/>
      <c r="AG1322" s="932"/>
      <c r="AH1322" s="932"/>
      <c r="AI1322" s="932"/>
      <c r="AJ1322" s="932"/>
      <c r="AK1322" s="932"/>
      <c r="AL1322" s="932"/>
      <c r="AM1322" s="932"/>
      <c r="AN1322" s="932"/>
      <c r="AO1322" s="932"/>
      <c r="AP1322" s="932"/>
      <c r="AQ1322" s="932"/>
      <c r="AR1322" s="932"/>
      <c r="AS1322" s="932"/>
      <c r="AT1322" s="932"/>
      <c r="AU1322" s="932"/>
      <c r="AV1322" s="932"/>
      <c r="AW1322" s="932"/>
      <c r="AX1322" s="932"/>
      <c r="AY1322" s="932"/>
      <c r="AZ1322" s="932"/>
      <c r="BA1322" s="932"/>
      <c r="BB1322" s="932"/>
      <c r="BC1322" s="932"/>
      <c r="BD1322" s="932"/>
      <c r="BE1322" s="932"/>
      <c r="BF1322" s="932"/>
    </row>
    <row r="1323" spans="2:58" ht="15" x14ac:dyDescent="0.25">
      <c r="B1323" s="932"/>
      <c r="C1323" s="932"/>
      <c r="D1323" s="932"/>
      <c r="E1323" s="932"/>
      <c r="F1323" s="932"/>
      <c r="G1323" s="932"/>
      <c r="H1323" s="932"/>
      <c r="I1323" s="932"/>
      <c r="J1323" s="932"/>
      <c r="K1323" s="932"/>
      <c r="L1323" s="932"/>
      <c r="M1323" s="932"/>
      <c r="N1323" s="932"/>
      <c r="O1323" s="932"/>
      <c r="P1323" s="932"/>
      <c r="Q1323" s="932"/>
      <c r="R1323" s="932"/>
      <c r="S1323" s="932"/>
      <c r="T1323" s="932"/>
      <c r="U1323" s="932"/>
      <c r="V1323" s="932"/>
      <c r="W1323" s="932"/>
      <c r="X1323" s="932"/>
      <c r="Y1323" s="932"/>
      <c r="Z1323" s="932"/>
      <c r="AA1323" s="932"/>
      <c r="AB1323" s="932"/>
      <c r="AC1323" s="932"/>
      <c r="AD1323" s="932"/>
      <c r="AE1323" s="932"/>
      <c r="AF1323" s="932"/>
      <c r="AG1323" s="932"/>
      <c r="AH1323" s="932"/>
      <c r="AI1323" s="932"/>
      <c r="AJ1323" s="932"/>
      <c r="AK1323" s="932"/>
      <c r="AL1323" s="932"/>
      <c r="AM1323" s="932"/>
      <c r="AN1323" s="932"/>
      <c r="AO1323" s="932"/>
      <c r="AP1323" s="932"/>
      <c r="AQ1323" s="932"/>
      <c r="AR1323" s="932"/>
      <c r="AS1323" s="932"/>
      <c r="AT1323" s="932"/>
      <c r="AU1323" s="932"/>
      <c r="AV1323" s="932"/>
      <c r="AW1323" s="932"/>
      <c r="AX1323" s="932"/>
      <c r="AY1323" s="932"/>
      <c r="AZ1323" s="932"/>
      <c r="BA1323" s="932"/>
      <c r="BB1323" s="932"/>
      <c r="BC1323" s="932"/>
      <c r="BD1323" s="932"/>
      <c r="BE1323" s="932"/>
      <c r="BF1323" s="932"/>
    </row>
    <row r="1324" spans="2:58" ht="15" x14ac:dyDescent="0.25">
      <c r="B1324" s="932"/>
      <c r="C1324" s="932"/>
      <c r="D1324" s="932"/>
      <c r="E1324" s="932"/>
      <c r="F1324" s="932"/>
      <c r="G1324" s="932"/>
      <c r="H1324" s="932"/>
      <c r="I1324" s="932"/>
      <c r="J1324" s="932"/>
      <c r="K1324" s="932"/>
      <c r="L1324" s="932"/>
      <c r="M1324" s="932"/>
      <c r="N1324" s="932"/>
      <c r="O1324" s="932"/>
      <c r="P1324" s="932"/>
      <c r="Q1324" s="932"/>
      <c r="R1324" s="932"/>
      <c r="S1324" s="932"/>
      <c r="T1324" s="932"/>
      <c r="U1324" s="932"/>
      <c r="V1324" s="932"/>
      <c r="W1324" s="932"/>
      <c r="X1324" s="932"/>
      <c r="Y1324" s="932"/>
      <c r="Z1324" s="932"/>
      <c r="AA1324" s="932"/>
      <c r="AB1324" s="932"/>
      <c r="AC1324" s="932"/>
      <c r="AD1324" s="932"/>
      <c r="AE1324" s="932"/>
      <c r="AF1324" s="932"/>
      <c r="AG1324" s="932"/>
      <c r="AH1324" s="932"/>
      <c r="AI1324" s="932"/>
      <c r="AJ1324" s="932"/>
      <c r="AK1324" s="932"/>
      <c r="AL1324" s="932"/>
      <c r="AM1324" s="932"/>
      <c r="AN1324" s="932"/>
      <c r="AO1324" s="932"/>
      <c r="AP1324" s="932"/>
      <c r="AQ1324" s="932"/>
      <c r="AR1324" s="932"/>
      <c r="AS1324" s="932"/>
      <c r="AT1324" s="932"/>
      <c r="AU1324" s="932"/>
      <c r="AV1324" s="932"/>
      <c r="AW1324" s="932"/>
      <c r="AX1324" s="932"/>
      <c r="AY1324" s="932"/>
      <c r="AZ1324" s="932"/>
      <c r="BA1324" s="932"/>
      <c r="BB1324" s="932"/>
      <c r="BC1324" s="932"/>
      <c r="BD1324" s="932"/>
      <c r="BE1324" s="932"/>
      <c r="BF1324" s="932"/>
    </row>
    <row r="1325" spans="2:58" ht="15" x14ac:dyDescent="0.25">
      <c r="B1325" s="932"/>
      <c r="C1325" s="932"/>
      <c r="D1325" s="932"/>
      <c r="E1325" s="932"/>
      <c r="F1325" s="932"/>
      <c r="G1325" s="932"/>
      <c r="H1325" s="932"/>
      <c r="I1325" s="932"/>
      <c r="J1325" s="932"/>
      <c r="K1325" s="932"/>
      <c r="L1325" s="932"/>
      <c r="M1325" s="932"/>
      <c r="N1325" s="932"/>
      <c r="O1325" s="932"/>
      <c r="P1325" s="932"/>
      <c r="Q1325" s="932"/>
      <c r="R1325" s="932"/>
      <c r="S1325" s="932"/>
      <c r="T1325" s="932"/>
      <c r="U1325" s="932"/>
      <c r="V1325" s="932"/>
      <c r="W1325" s="932"/>
      <c r="X1325" s="932"/>
      <c r="Y1325" s="932"/>
      <c r="Z1325" s="932"/>
      <c r="AA1325" s="932"/>
      <c r="AB1325" s="932"/>
      <c r="AC1325" s="932"/>
      <c r="AD1325" s="932"/>
      <c r="AE1325" s="932"/>
      <c r="AF1325" s="932"/>
      <c r="AG1325" s="932"/>
      <c r="AH1325" s="932"/>
      <c r="AI1325" s="932"/>
      <c r="AJ1325" s="932"/>
      <c r="AK1325" s="932"/>
      <c r="AL1325" s="932"/>
      <c r="AM1325" s="932"/>
      <c r="AN1325" s="932"/>
      <c r="AO1325" s="932"/>
      <c r="AP1325" s="932"/>
      <c r="AQ1325" s="932"/>
      <c r="AR1325" s="932"/>
      <c r="AS1325" s="932"/>
      <c r="AT1325" s="932"/>
      <c r="AU1325" s="932"/>
      <c r="AV1325" s="932"/>
      <c r="AW1325" s="932"/>
      <c r="AX1325" s="932"/>
      <c r="AY1325" s="932"/>
      <c r="AZ1325" s="932"/>
      <c r="BA1325" s="932"/>
      <c r="BB1325" s="932"/>
      <c r="BC1325" s="932"/>
      <c r="BD1325" s="932"/>
      <c r="BE1325" s="932"/>
      <c r="BF1325" s="932"/>
    </row>
    <row r="1326" spans="2:58" ht="15" x14ac:dyDescent="0.25">
      <c r="B1326" s="932"/>
      <c r="C1326" s="932"/>
      <c r="D1326" s="932"/>
      <c r="E1326" s="932"/>
      <c r="F1326" s="932"/>
      <c r="G1326" s="932"/>
      <c r="H1326" s="932"/>
      <c r="I1326" s="932"/>
      <c r="J1326" s="932"/>
      <c r="K1326" s="932"/>
      <c r="L1326" s="932"/>
      <c r="M1326" s="932"/>
      <c r="N1326" s="932"/>
      <c r="O1326" s="932"/>
      <c r="P1326" s="932"/>
      <c r="Q1326" s="932"/>
      <c r="R1326" s="932"/>
      <c r="S1326" s="932"/>
      <c r="T1326" s="932"/>
      <c r="U1326" s="932"/>
      <c r="V1326" s="932"/>
      <c r="W1326" s="932"/>
      <c r="X1326" s="932"/>
      <c r="Y1326" s="932"/>
      <c r="Z1326" s="932"/>
      <c r="AA1326" s="932"/>
      <c r="AB1326" s="932"/>
      <c r="AC1326" s="932"/>
      <c r="AD1326" s="932"/>
      <c r="AE1326" s="932"/>
      <c r="AF1326" s="932"/>
      <c r="AG1326" s="932"/>
      <c r="AH1326" s="932"/>
      <c r="AI1326" s="932"/>
      <c r="AJ1326" s="932"/>
      <c r="AK1326" s="932"/>
      <c r="AL1326" s="932"/>
      <c r="AM1326" s="932"/>
      <c r="AN1326" s="932"/>
      <c r="AO1326" s="932"/>
      <c r="AP1326" s="932"/>
      <c r="AQ1326" s="932"/>
      <c r="AR1326" s="932"/>
      <c r="AS1326" s="932"/>
      <c r="AT1326" s="932"/>
      <c r="AU1326" s="932"/>
      <c r="AV1326" s="932"/>
      <c r="AW1326" s="932"/>
      <c r="AX1326" s="932"/>
      <c r="AY1326" s="932"/>
      <c r="AZ1326" s="932"/>
      <c r="BA1326" s="932"/>
      <c r="BB1326" s="932"/>
      <c r="BC1326" s="932"/>
      <c r="BD1326" s="932"/>
      <c r="BE1326" s="932"/>
      <c r="BF1326" s="932"/>
    </row>
    <row r="1327" spans="2:58" ht="15" x14ac:dyDescent="0.25">
      <c r="B1327" s="932"/>
      <c r="C1327" s="932"/>
      <c r="D1327" s="932"/>
      <c r="E1327" s="932"/>
      <c r="F1327" s="932"/>
      <c r="G1327" s="932"/>
      <c r="H1327" s="932"/>
      <c r="I1327" s="932"/>
      <c r="J1327" s="932"/>
      <c r="K1327" s="932"/>
      <c r="L1327" s="932"/>
      <c r="M1327" s="932"/>
      <c r="N1327" s="932"/>
      <c r="O1327" s="932"/>
      <c r="P1327" s="932"/>
      <c r="Q1327" s="932"/>
      <c r="R1327" s="932"/>
      <c r="S1327" s="932"/>
      <c r="T1327" s="932"/>
      <c r="U1327" s="932"/>
      <c r="V1327" s="932"/>
      <c r="W1327" s="932"/>
      <c r="X1327" s="932"/>
      <c r="Y1327" s="932"/>
      <c r="Z1327" s="932"/>
      <c r="AA1327" s="932"/>
      <c r="AB1327" s="932"/>
      <c r="AC1327" s="932"/>
      <c r="AD1327" s="932"/>
      <c r="AE1327" s="932"/>
      <c r="AF1327" s="932"/>
      <c r="AG1327" s="932"/>
      <c r="AH1327" s="932"/>
      <c r="AI1327" s="932"/>
      <c r="AJ1327" s="932"/>
      <c r="AK1327" s="932"/>
      <c r="AL1327" s="932"/>
      <c r="AM1327" s="932"/>
      <c r="AN1327" s="932"/>
      <c r="AO1327" s="932"/>
      <c r="AP1327" s="932"/>
      <c r="AQ1327" s="932"/>
      <c r="AR1327" s="932"/>
      <c r="AS1327" s="932"/>
      <c r="AT1327" s="932"/>
      <c r="AU1327" s="932"/>
      <c r="AV1327" s="932"/>
      <c r="AW1327" s="932"/>
      <c r="AX1327" s="932"/>
      <c r="AY1327" s="932"/>
      <c r="AZ1327" s="932"/>
      <c r="BA1327" s="932"/>
      <c r="BB1327" s="932"/>
      <c r="BC1327" s="932"/>
      <c r="BD1327" s="932"/>
      <c r="BE1327" s="932"/>
      <c r="BF1327" s="932"/>
    </row>
    <row r="1328" spans="2:58" ht="15" x14ac:dyDescent="0.25">
      <c r="B1328" s="932"/>
      <c r="C1328" s="932"/>
      <c r="D1328" s="932"/>
      <c r="E1328" s="932"/>
      <c r="F1328" s="932"/>
      <c r="G1328" s="932"/>
      <c r="H1328" s="932"/>
      <c r="I1328" s="932"/>
      <c r="J1328" s="932"/>
      <c r="K1328" s="932"/>
      <c r="L1328" s="932"/>
      <c r="M1328" s="932"/>
      <c r="N1328" s="932"/>
      <c r="O1328" s="932"/>
      <c r="P1328" s="932"/>
      <c r="Q1328" s="932"/>
      <c r="R1328" s="932"/>
      <c r="S1328" s="932"/>
      <c r="T1328" s="932"/>
      <c r="U1328" s="932"/>
      <c r="V1328" s="932"/>
      <c r="W1328" s="932"/>
      <c r="X1328" s="932"/>
      <c r="Y1328" s="932"/>
      <c r="Z1328" s="932"/>
      <c r="AA1328" s="932"/>
      <c r="AB1328" s="932"/>
      <c r="AC1328" s="932"/>
      <c r="AD1328" s="932"/>
      <c r="AE1328" s="932"/>
      <c r="AF1328" s="932"/>
      <c r="AG1328" s="932"/>
      <c r="AH1328" s="932"/>
      <c r="AI1328" s="932"/>
      <c r="AJ1328" s="932"/>
      <c r="AK1328" s="932"/>
      <c r="AL1328" s="932"/>
      <c r="AM1328" s="932"/>
      <c r="AN1328" s="932"/>
      <c r="AO1328" s="932"/>
      <c r="AP1328" s="932"/>
      <c r="AQ1328" s="932"/>
      <c r="AR1328" s="932"/>
      <c r="AS1328" s="932"/>
      <c r="AT1328" s="932"/>
      <c r="AU1328" s="932"/>
      <c r="AV1328" s="932"/>
      <c r="AW1328" s="932"/>
      <c r="AX1328" s="932"/>
      <c r="AY1328" s="932"/>
      <c r="AZ1328" s="932"/>
      <c r="BA1328" s="932"/>
      <c r="BB1328" s="932"/>
      <c r="BC1328" s="932"/>
      <c r="BD1328" s="932"/>
      <c r="BE1328" s="932"/>
      <c r="BF1328" s="932"/>
    </row>
    <row r="1329" spans="2:58" ht="15" x14ac:dyDescent="0.25">
      <c r="B1329" s="932"/>
      <c r="C1329" s="932"/>
      <c r="D1329" s="932"/>
      <c r="E1329" s="932"/>
      <c r="F1329" s="932"/>
      <c r="G1329" s="932"/>
      <c r="H1329" s="932"/>
      <c r="I1329" s="932"/>
      <c r="J1329" s="932"/>
      <c r="K1329" s="932"/>
      <c r="L1329" s="932"/>
      <c r="M1329" s="932"/>
      <c r="N1329" s="932"/>
      <c r="O1329" s="932"/>
      <c r="P1329" s="932"/>
      <c r="Q1329" s="932"/>
      <c r="R1329" s="932"/>
      <c r="S1329" s="932"/>
      <c r="T1329" s="932"/>
      <c r="U1329" s="932"/>
      <c r="V1329" s="932"/>
      <c r="W1329" s="932"/>
      <c r="X1329" s="932"/>
      <c r="Y1329" s="932"/>
      <c r="Z1329" s="932"/>
      <c r="AA1329" s="932"/>
      <c r="AB1329" s="932"/>
      <c r="AC1329" s="932"/>
      <c r="AD1329" s="932"/>
      <c r="AE1329" s="932"/>
      <c r="AF1329" s="932"/>
      <c r="AG1329" s="932"/>
      <c r="AH1329" s="932"/>
      <c r="AI1329" s="932"/>
      <c r="AJ1329" s="932"/>
      <c r="AK1329" s="932"/>
      <c r="AL1329" s="932"/>
      <c r="AM1329" s="932"/>
      <c r="AN1329" s="932"/>
      <c r="AO1329" s="932"/>
      <c r="AP1329" s="932"/>
      <c r="AQ1329" s="932"/>
      <c r="AR1329" s="932"/>
      <c r="AS1329" s="932"/>
      <c r="AT1329" s="932"/>
      <c r="AU1329" s="932"/>
      <c r="AV1329" s="932"/>
      <c r="AW1329" s="932"/>
      <c r="AX1329" s="932"/>
      <c r="AY1329" s="932"/>
      <c r="AZ1329" s="932"/>
      <c r="BA1329" s="932"/>
      <c r="BB1329" s="932"/>
      <c r="BC1329" s="932"/>
      <c r="BD1329" s="932"/>
      <c r="BE1329" s="932"/>
      <c r="BF1329" s="932"/>
    </row>
    <row r="1330" spans="2:58" ht="15" x14ac:dyDescent="0.25">
      <c r="B1330" s="932"/>
      <c r="C1330" s="932"/>
      <c r="D1330" s="932"/>
      <c r="E1330" s="932"/>
      <c r="F1330" s="932"/>
      <c r="G1330" s="932"/>
      <c r="H1330" s="932"/>
      <c r="I1330" s="932"/>
      <c r="J1330" s="932"/>
      <c r="K1330" s="932"/>
      <c r="L1330" s="932"/>
      <c r="M1330" s="932"/>
      <c r="N1330" s="932"/>
      <c r="O1330" s="932"/>
      <c r="P1330" s="932"/>
      <c r="Q1330" s="932"/>
      <c r="R1330" s="932"/>
      <c r="S1330" s="932"/>
      <c r="T1330" s="932"/>
      <c r="U1330" s="932"/>
      <c r="V1330" s="932"/>
      <c r="W1330" s="932"/>
      <c r="X1330" s="932"/>
      <c r="Y1330" s="932"/>
      <c r="Z1330" s="932"/>
      <c r="AA1330" s="932"/>
      <c r="AB1330" s="932"/>
      <c r="AC1330" s="932"/>
      <c r="AD1330" s="932"/>
      <c r="AE1330" s="932"/>
      <c r="AF1330" s="932"/>
      <c r="AG1330" s="932"/>
      <c r="AH1330" s="932"/>
      <c r="AI1330" s="932"/>
      <c r="AJ1330" s="932"/>
      <c r="AK1330" s="932"/>
      <c r="AL1330" s="932"/>
      <c r="AM1330" s="932"/>
      <c r="AN1330" s="932"/>
      <c r="AO1330" s="932"/>
      <c r="AP1330" s="932"/>
      <c r="AQ1330" s="932"/>
      <c r="AR1330" s="932"/>
      <c r="AS1330" s="932"/>
      <c r="AT1330" s="932"/>
      <c r="AU1330" s="932"/>
      <c r="AV1330" s="932"/>
      <c r="AW1330" s="932"/>
      <c r="AX1330" s="932"/>
      <c r="AY1330" s="932"/>
      <c r="AZ1330" s="932"/>
      <c r="BA1330" s="932"/>
      <c r="BB1330" s="932"/>
      <c r="BC1330" s="932"/>
      <c r="BD1330" s="932"/>
      <c r="BE1330" s="932"/>
      <c r="BF1330" s="932"/>
    </row>
    <row r="1331" spans="2:58" ht="15" x14ac:dyDescent="0.25">
      <c r="B1331" s="932"/>
      <c r="C1331" s="932"/>
      <c r="D1331" s="932"/>
      <c r="E1331" s="932"/>
      <c r="F1331" s="932"/>
      <c r="G1331" s="932"/>
      <c r="H1331" s="932"/>
      <c r="I1331" s="932"/>
      <c r="J1331" s="932"/>
      <c r="K1331" s="932"/>
      <c r="L1331" s="932"/>
      <c r="M1331" s="932"/>
      <c r="N1331" s="932"/>
      <c r="O1331" s="932"/>
      <c r="P1331" s="932"/>
      <c r="Q1331" s="932"/>
      <c r="R1331" s="932"/>
      <c r="S1331" s="932"/>
      <c r="T1331" s="932"/>
      <c r="U1331" s="932"/>
      <c r="V1331" s="932"/>
      <c r="W1331" s="932"/>
      <c r="X1331" s="932"/>
      <c r="Y1331" s="932"/>
      <c r="Z1331" s="932"/>
      <c r="AA1331" s="932"/>
      <c r="AB1331" s="932"/>
      <c r="AC1331" s="932"/>
      <c r="AD1331" s="932"/>
      <c r="AE1331" s="932"/>
      <c r="AF1331" s="932"/>
      <c r="AG1331" s="932"/>
      <c r="AH1331" s="932"/>
      <c r="AI1331" s="932"/>
      <c r="AJ1331" s="932"/>
      <c r="AK1331" s="932"/>
      <c r="AL1331" s="932"/>
      <c r="AM1331" s="932"/>
      <c r="AN1331" s="932"/>
      <c r="AO1331" s="932"/>
      <c r="AP1331" s="932"/>
      <c r="AQ1331" s="932"/>
      <c r="AR1331" s="932"/>
      <c r="AS1331" s="932"/>
      <c r="AT1331" s="932"/>
      <c r="AU1331" s="932"/>
      <c r="AV1331" s="932"/>
      <c r="AW1331" s="932"/>
      <c r="AX1331" s="932"/>
      <c r="AY1331" s="932"/>
      <c r="AZ1331" s="932"/>
      <c r="BA1331" s="932"/>
      <c r="BB1331" s="932"/>
      <c r="BC1331" s="932"/>
      <c r="BD1331" s="932"/>
      <c r="BE1331" s="932"/>
      <c r="BF1331" s="932"/>
    </row>
    <row r="1332" spans="2:58" ht="15" x14ac:dyDescent="0.25">
      <c r="B1332" s="932"/>
      <c r="C1332" s="932"/>
      <c r="D1332" s="932"/>
      <c r="E1332" s="932"/>
      <c r="F1332" s="932"/>
      <c r="G1332" s="932"/>
      <c r="H1332" s="932"/>
      <c r="I1332" s="932"/>
      <c r="J1332" s="932"/>
      <c r="K1332" s="932"/>
      <c r="L1332" s="932"/>
      <c r="M1332" s="932"/>
      <c r="N1332" s="932"/>
      <c r="O1332" s="932"/>
      <c r="P1332" s="932"/>
      <c r="Q1332" s="932"/>
      <c r="R1332" s="932"/>
      <c r="S1332" s="932"/>
      <c r="T1332" s="932"/>
      <c r="U1332" s="932"/>
      <c r="V1332" s="932"/>
      <c r="W1332" s="932"/>
      <c r="X1332" s="932"/>
      <c r="Y1332" s="932"/>
      <c r="Z1332" s="932"/>
      <c r="AA1332" s="932"/>
      <c r="AB1332" s="932"/>
      <c r="AC1332" s="932"/>
      <c r="AD1332" s="932"/>
      <c r="AE1332" s="932"/>
      <c r="AF1332" s="932"/>
      <c r="AG1332" s="932"/>
      <c r="AH1332" s="932"/>
      <c r="AI1332" s="932"/>
      <c r="AJ1332" s="932"/>
      <c r="AK1332" s="932"/>
      <c r="AL1332" s="932"/>
      <c r="AM1332" s="932"/>
      <c r="AN1332" s="932"/>
      <c r="AO1332" s="932"/>
      <c r="AP1332" s="932"/>
      <c r="AQ1332" s="932"/>
      <c r="AR1332" s="932"/>
      <c r="AS1332" s="932"/>
      <c r="AT1332" s="932"/>
      <c r="AU1332" s="932"/>
      <c r="AV1332" s="932"/>
      <c r="AW1332" s="932"/>
      <c r="AX1332" s="932"/>
      <c r="AY1332" s="932"/>
      <c r="AZ1332" s="932"/>
      <c r="BA1332" s="932"/>
      <c r="BB1332" s="932"/>
      <c r="BC1332" s="932"/>
      <c r="BD1332" s="932"/>
      <c r="BE1332" s="932"/>
      <c r="BF1332" s="932"/>
    </row>
    <row r="1333" spans="2:58" ht="15" x14ac:dyDescent="0.25">
      <c r="B1333" s="932"/>
      <c r="C1333" s="932"/>
      <c r="D1333" s="932"/>
      <c r="E1333" s="932"/>
      <c r="F1333" s="932"/>
      <c r="G1333" s="932"/>
      <c r="H1333" s="932"/>
      <c r="I1333" s="932"/>
      <c r="J1333" s="932"/>
      <c r="K1333" s="932"/>
      <c r="L1333" s="932"/>
      <c r="M1333" s="932"/>
      <c r="N1333" s="932"/>
      <c r="O1333" s="932"/>
      <c r="P1333" s="932"/>
      <c r="Q1333" s="932"/>
      <c r="R1333" s="932"/>
      <c r="S1333" s="932"/>
      <c r="T1333" s="932"/>
      <c r="U1333" s="932"/>
      <c r="V1333" s="932"/>
      <c r="W1333" s="932"/>
      <c r="X1333" s="932"/>
      <c r="Y1333" s="932"/>
      <c r="Z1333" s="932"/>
      <c r="AA1333" s="932"/>
      <c r="AB1333" s="932"/>
      <c r="AC1333" s="932"/>
      <c r="AD1333" s="932"/>
      <c r="AE1333" s="932"/>
      <c r="AF1333" s="932"/>
      <c r="AG1333" s="932"/>
      <c r="AH1333" s="932"/>
      <c r="AI1333" s="932"/>
      <c r="AJ1333" s="932"/>
      <c r="AK1333" s="932"/>
      <c r="AL1333" s="932"/>
      <c r="AM1333" s="932"/>
      <c r="AN1333" s="932"/>
      <c r="AO1333" s="932"/>
      <c r="AP1333" s="932"/>
      <c r="AQ1333" s="932"/>
      <c r="AR1333" s="932"/>
      <c r="AS1333" s="932"/>
      <c r="AT1333" s="932"/>
      <c r="AU1333" s="932"/>
      <c r="AV1333" s="932"/>
      <c r="AW1333" s="932"/>
      <c r="AX1333" s="932"/>
      <c r="AY1333" s="932"/>
      <c r="AZ1333" s="932"/>
      <c r="BA1333" s="932"/>
      <c r="BB1333" s="932"/>
      <c r="BC1333" s="932"/>
      <c r="BD1333" s="932"/>
      <c r="BE1333" s="932"/>
      <c r="BF1333" s="932"/>
    </row>
    <row r="1334" spans="2:58" ht="15" x14ac:dyDescent="0.25">
      <c r="B1334" s="932"/>
      <c r="C1334" s="932"/>
      <c r="D1334" s="932"/>
      <c r="E1334" s="932"/>
      <c r="F1334" s="932"/>
      <c r="G1334" s="932"/>
      <c r="H1334" s="932"/>
      <c r="I1334" s="932"/>
      <c r="J1334" s="932"/>
      <c r="K1334" s="932"/>
      <c r="L1334" s="932"/>
      <c r="M1334" s="932"/>
      <c r="N1334" s="932"/>
      <c r="O1334" s="932"/>
      <c r="P1334" s="932"/>
      <c r="Q1334" s="932"/>
      <c r="R1334" s="932"/>
      <c r="S1334" s="932"/>
      <c r="T1334" s="932"/>
      <c r="U1334" s="932"/>
      <c r="V1334" s="932"/>
      <c r="W1334" s="932"/>
      <c r="X1334" s="932"/>
      <c r="Y1334" s="932"/>
      <c r="Z1334" s="932"/>
      <c r="AA1334" s="932"/>
      <c r="AB1334" s="932"/>
      <c r="AC1334" s="932"/>
      <c r="AD1334" s="932"/>
      <c r="AE1334" s="932"/>
      <c r="AF1334" s="932"/>
      <c r="AG1334" s="932"/>
      <c r="AH1334" s="932"/>
      <c r="AI1334" s="932"/>
      <c r="AJ1334" s="932"/>
      <c r="AK1334" s="932"/>
      <c r="AL1334" s="932"/>
      <c r="AM1334" s="932"/>
      <c r="AN1334" s="932"/>
      <c r="AO1334" s="932"/>
      <c r="AP1334" s="932"/>
      <c r="AQ1334" s="932"/>
      <c r="AR1334" s="932"/>
      <c r="AS1334" s="932"/>
      <c r="AT1334" s="932"/>
      <c r="AU1334" s="932"/>
      <c r="AV1334" s="932"/>
      <c r="AW1334" s="932"/>
      <c r="AX1334" s="932"/>
      <c r="AY1334" s="932"/>
      <c r="AZ1334" s="932"/>
      <c r="BA1334" s="932"/>
      <c r="BB1334" s="932"/>
      <c r="BC1334" s="932"/>
      <c r="BD1334" s="932"/>
      <c r="BE1334" s="932"/>
      <c r="BF1334" s="932"/>
    </row>
    <row r="1335" spans="2:58" ht="15" x14ac:dyDescent="0.25">
      <c r="B1335" s="932"/>
      <c r="C1335" s="932"/>
      <c r="D1335" s="932"/>
      <c r="E1335" s="932"/>
      <c r="F1335" s="932"/>
      <c r="G1335" s="932"/>
      <c r="H1335" s="932"/>
      <c r="I1335" s="932"/>
      <c r="J1335" s="932"/>
      <c r="K1335" s="932"/>
      <c r="L1335" s="932"/>
      <c r="M1335" s="932"/>
      <c r="N1335" s="932"/>
      <c r="O1335" s="932"/>
      <c r="P1335" s="932"/>
      <c r="Q1335" s="932"/>
      <c r="R1335" s="932"/>
      <c r="S1335" s="932"/>
      <c r="T1335" s="932"/>
      <c r="U1335" s="932"/>
      <c r="V1335" s="932"/>
      <c r="W1335" s="932"/>
      <c r="X1335" s="932"/>
      <c r="Y1335" s="932"/>
      <c r="Z1335" s="932"/>
      <c r="AA1335" s="932"/>
      <c r="AB1335" s="932"/>
      <c r="AC1335" s="932"/>
      <c r="AD1335" s="932"/>
      <c r="AE1335" s="932"/>
      <c r="AF1335" s="932"/>
      <c r="AG1335" s="932"/>
      <c r="AH1335" s="932"/>
      <c r="AI1335" s="932"/>
      <c r="AJ1335" s="932"/>
      <c r="AK1335" s="932"/>
      <c r="AL1335" s="932"/>
      <c r="AM1335" s="932"/>
      <c r="AN1335" s="932"/>
      <c r="AO1335" s="932"/>
      <c r="AP1335" s="932"/>
      <c r="AQ1335" s="932"/>
      <c r="AR1335" s="932"/>
      <c r="AS1335" s="932"/>
      <c r="AT1335" s="932"/>
      <c r="AU1335" s="932"/>
      <c r="AV1335" s="932"/>
      <c r="AW1335" s="932"/>
      <c r="AX1335" s="932"/>
      <c r="AY1335" s="932"/>
      <c r="AZ1335" s="932"/>
      <c r="BA1335" s="932"/>
      <c r="BB1335" s="932"/>
      <c r="BC1335" s="932"/>
      <c r="BD1335" s="932"/>
      <c r="BE1335" s="932"/>
      <c r="BF1335" s="932"/>
    </row>
    <row r="1336" spans="2:58" ht="15" x14ac:dyDescent="0.25">
      <c r="B1336" s="932"/>
      <c r="C1336" s="932"/>
      <c r="D1336" s="932"/>
      <c r="E1336" s="932"/>
      <c r="F1336" s="932"/>
      <c r="G1336" s="932"/>
      <c r="H1336" s="932"/>
      <c r="I1336" s="932"/>
      <c r="J1336" s="932"/>
      <c r="K1336" s="932"/>
      <c r="L1336" s="932"/>
      <c r="M1336" s="932"/>
      <c r="N1336" s="932"/>
      <c r="O1336" s="932"/>
      <c r="P1336" s="932"/>
      <c r="Q1336" s="932"/>
      <c r="R1336" s="932"/>
      <c r="S1336" s="932"/>
      <c r="T1336" s="932"/>
      <c r="U1336" s="932"/>
      <c r="V1336" s="932"/>
      <c r="W1336" s="932"/>
      <c r="X1336" s="932"/>
      <c r="Y1336" s="932"/>
      <c r="Z1336" s="932"/>
      <c r="AA1336" s="932"/>
      <c r="AB1336" s="932"/>
      <c r="AC1336" s="932"/>
      <c r="AD1336" s="932"/>
      <c r="AE1336" s="932"/>
      <c r="AF1336" s="932"/>
      <c r="AG1336" s="932"/>
      <c r="AH1336" s="932"/>
      <c r="AI1336" s="932"/>
      <c r="AJ1336" s="932"/>
      <c r="AK1336" s="932"/>
      <c r="AL1336" s="932"/>
      <c r="AM1336" s="932"/>
      <c r="AN1336" s="932"/>
      <c r="AO1336" s="932"/>
      <c r="AP1336" s="932"/>
      <c r="AQ1336" s="932"/>
      <c r="AR1336" s="932"/>
      <c r="AS1336" s="932"/>
      <c r="AT1336" s="932"/>
      <c r="AU1336" s="932"/>
      <c r="AV1336" s="932"/>
      <c r="AW1336" s="932"/>
      <c r="AX1336" s="932"/>
      <c r="AY1336" s="932"/>
      <c r="AZ1336" s="932"/>
      <c r="BA1336" s="932"/>
      <c r="BB1336" s="932"/>
      <c r="BC1336" s="932"/>
      <c r="BD1336" s="932"/>
      <c r="BE1336" s="932"/>
      <c r="BF1336" s="932"/>
    </row>
    <row r="1337" spans="2:58" ht="15" x14ac:dyDescent="0.25">
      <c r="B1337" s="932"/>
      <c r="C1337" s="932"/>
      <c r="D1337" s="932"/>
      <c r="E1337" s="932"/>
      <c r="F1337" s="932"/>
      <c r="G1337" s="932"/>
      <c r="H1337" s="932"/>
      <c r="I1337" s="932"/>
      <c r="J1337" s="932"/>
      <c r="K1337" s="932"/>
      <c r="L1337" s="932"/>
      <c r="M1337" s="932"/>
      <c r="N1337" s="932"/>
      <c r="O1337" s="932"/>
      <c r="P1337" s="932"/>
      <c r="Q1337" s="932"/>
      <c r="R1337" s="932"/>
      <c r="S1337" s="932"/>
      <c r="T1337" s="932"/>
      <c r="U1337" s="932"/>
      <c r="V1337" s="932"/>
      <c r="W1337" s="932"/>
      <c r="X1337" s="932"/>
      <c r="Y1337" s="932"/>
      <c r="Z1337" s="932"/>
      <c r="AA1337" s="932"/>
      <c r="AB1337" s="932"/>
      <c r="AC1337" s="932"/>
      <c r="AD1337" s="932"/>
      <c r="AE1337" s="932"/>
      <c r="AF1337" s="932"/>
      <c r="AG1337" s="932"/>
      <c r="AH1337" s="932"/>
      <c r="AI1337" s="932"/>
      <c r="AJ1337" s="932"/>
      <c r="AK1337" s="932"/>
      <c r="AL1337" s="932"/>
      <c r="AM1337" s="932"/>
      <c r="AN1337" s="932"/>
      <c r="AO1337" s="932"/>
      <c r="AP1337" s="932"/>
      <c r="AQ1337" s="932"/>
      <c r="AR1337" s="932"/>
      <c r="AS1337" s="932"/>
      <c r="AT1337" s="932"/>
      <c r="AU1337" s="932"/>
      <c r="AV1337" s="932"/>
      <c r="AW1337" s="932"/>
      <c r="AX1337" s="932"/>
      <c r="AY1337" s="932"/>
      <c r="AZ1337" s="932"/>
      <c r="BA1337" s="932"/>
      <c r="BB1337" s="932"/>
      <c r="BC1337" s="932"/>
      <c r="BD1337" s="932"/>
      <c r="BE1337" s="932"/>
      <c r="BF1337" s="932"/>
    </row>
    <row r="1338" spans="2:58" ht="15" x14ac:dyDescent="0.25">
      <c r="B1338" s="932"/>
      <c r="C1338" s="932"/>
      <c r="D1338" s="932"/>
      <c r="E1338" s="932"/>
      <c r="F1338" s="932"/>
      <c r="G1338" s="932"/>
      <c r="H1338" s="932"/>
      <c r="I1338" s="932"/>
      <c r="J1338" s="932"/>
      <c r="K1338" s="932"/>
      <c r="L1338" s="932"/>
      <c r="M1338" s="932"/>
      <c r="N1338" s="932"/>
      <c r="O1338" s="932"/>
      <c r="P1338" s="932"/>
      <c r="Q1338" s="932"/>
      <c r="R1338" s="932"/>
      <c r="S1338" s="932"/>
      <c r="T1338" s="932"/>
      <c r="U1338" s="932"/>
      <c r="V1338" s="932"/>
      <c r="W1338" s="932"/>
      <c r="X1338" s="932"/>
      <c r="Y1338" s="932"/>
      <c r="Z1338" s="932"/>
      <c r="AA1338" s="932"/>
      <c r="AB1338" s="932"/>
      <c r="AC1338" s="932"/>
      <c r="AD1338" s="932"/>
      <c r="AE1338" s="932"/>
      <c r="AF1338" s="932"/>
      <c r="AG1338" s="932"/>
      <c r="AH1338" s="932"/>
      <c r="AI1338" s="932"/>
      <c r="AJ1338" s="932"/>
      <c r="AK1338" s="932"/>
      <c r="AL1338" s="932"/>
      <c r="AM1338" s="932"/>
      <c r="AN1338" s="932"/>
      <c r="AO1338" s="932"/>
      <c r="AP1338" s="932"/>
      <c r="AQ1338" s="932"/>
      <c r="AR1338" s="932"/>
      <c r="AS1338" s="932"/>
      <c r="AT1338" s="932"/>
      <c r="AU1338" s="932"/>
      <c r="AV1338" s="932"/>
      <c r="AW1338" s="932"/>
      <c r="AX1338" s="932"/>
      <c r="AY1338" s="932"/>
      <c r="AZ1338" s="932"/>
      <c r="BA1338" s="932"/>
      <c r="BB1338" s="932"/>
      <c r="BC1338" s="932"/>
      <c r="BD1338" s="932"/>
      <c r="BE1338" s="932"/>
      <c r="BF1338" s="932"/>
    </row>
    <row r="1339" spans="2:58" ht="15" x14ac:dyDescent="0.25">
      <c r="B1339" s="932"/>
      <c r="C1339" s="932"/>
      <c r="D1339" s="932"/>
      <c r="E1339" s="932"/>
      <c r="F1339" s="932"/>
      <c r="G1339" s="932"/>
      <c r="H1339" s="932"/>
      <c r="I1339" s="932"/>
      <c r="J1339" s="932"/>
      <c r="K1339" s="932"/>
      <c r="L1339" s="932"/>
      <c r="M1339" s="932"/>
      <c r="N1339" s="932"/>
      <c r="O1339" s="932"/>
      <c r="P1339" s="932"/>
      <c r="Q1339" s="932"/>
      <c r="R1339" s="932"/>
      <c r="S1339" s="932"/>
      <c r="T1339" s="932"/>
      <c r="U1339" s="932"/>
      <c r="V1339" s="932"/>
      <c r="W1339" s="932"/>
      <c r="X1339" s="932"/>
      <c r="Y1339" s="932"/>
      <c r="Z1339" s="932"/>
      <c r="AA1339" s="932"/>
      <c r="AB1339" s="932"/>
      <c r="AC1339" s="932"/>
      <c r="AD1339" s="932"/>
      <c r="AE1339" s="932"/>
      <c r="AF1339" s="932"/>
      <c r="AG1339" s="932"/>
      <c r="AH1339" s="932"/>
      <c r="AI1339" s="932"/>
      <c r="AJ1339" s="932"/>
      <c r="AK1339" s="932"/>
      <c r="AL1339" s="932"/>
      <c r="AM1339" s="932"/>
      <c r="AN1339" s="932"/>
      <c r="AO1339" s="932"/>
      <c r="AP1339" s="932"/>
      <c r="AQ1339" s="932"/>
      <c r="AR1339" s="932"/>
      <c r="AS1339" s="932"/>
      <c r="AT1339" s="932"/>
      <c r="AU1339" s="932"/>
      <c r="AV1339" s="932"/>
      <c r="AW1339" s="932"/>
      <c r="AX1339" s="932"/>
      <c r="AY1339" s="932"/>
      <c r="AZ1339" s="932"/>
      <c r="BA1339" s="932"/>
      <c r="BB1339" s="932"/>
      <c r="BC1339" s="932"/>
      <c r="BD1339" s="932"/>
      <c r="BE1339" s="932"/>
      <c r="BF1339" s="932"/>
    </row>
    <row r="1340" spans="2:58" ht="15" x14ac:dyDescent="0.25">
      <c r="B1340" s="932"/>
      <c r="C1340" s="932"/>
      <c r="D1340" s="932"/>
      <c r="E1340" s="932"/>
      <c r="F1340" s="932"/>
      <c r="G1340" s="932"/>
      <c r="H1340" s="932"/>
      <c r="I1340" s="932"/>
      <c r="J1340" s="932"/>
      <c r="K1340" s="932"/>
      <c r="L1340" s="932"/>
      <c r="M1340" s="932"/>
      <c r="N1340" s="932"/>
      <c r="O1340" s="932"/>
      <c r="P1340" s="932"/>
      <c r="Q1340" s="932"/>
      <c r="R1340" s="932"/>
      <c r="S1340" s="932"/>
      <c r="T1340" s="932"/>
      <c r="U1340" s="932"/>
      <c r="V1340" s="932"/>
      <c r="W1340" s="932"/>
      <c r="X1340" s="932"/>
      <c r="Y1340" s="932"/>
      <c r="Z1340" s="932"/>
      <c r="AA1340" s="932"/>
      <c r="AB1340" s="932"/>
      <c r="AC1340" s="932"/>
      <c r="AD1340" s="932"/>
      <c r="AE1340" s="932"/>
      <c r="AF1340" s="932"/>
      <c r="AG1340" s="932"/>
      <c r="AH1340" s="932"/>
      <c r="AI1340" s="932"/>
      <c r="AJ1340" s="932"/>
      <c r="AK1340" s="932"/>
      <c r="AL1340" s="932"/>
      <c r="AM1340" s="932"/>
      <c r="AN1340" s="932"/>
      <c r="AO1340" s="932"/>
      <c r="AP1340" s="932"/>
      <c r="AQ1340" s="932"/>
      <c r="AR1340" s="932"/>
      <c r="AS1340" s="932"/>
      <c r="AT1340" s="932"/>
      <c r="AU1340" s="932"/>
      <c r="AV1340" s="932"/>
      <c r="AW1340" s="932"/>
      <c r="AX1340" s="932"/>
      <c r="AY1340" s="932"/>
      <c r="AZ1340" s="932"/>
      <c r="BA1340" s="932"/>
      <c r="BB1340" s="932"/>
      <c r="BC1340" s="932"/>
      <c r="BD1340" s="932"/>
      <c r="BE1340" s="932"/>
      <c r="BF1340" s="932"/>
    </row>
    <row r="1341" spans="2:58" ht="15" x14ac:dyDescent="0.25">
      <c r="B1341" s="932"/>
      <c r="C1341" s="932"/>
      <c r="D1341" s="932"/>
      <c r="E1341" s="932"/>
      <c r="F1341" s="932"/>
      <c r="G1341" s="932"/>
      <c r="H1341" s="932"/>
      <c r="I1341" s="932"/>
      <c r="J1341" s="932"/>
      <c r="K1341" s="932"/>
      <c r="L1341" s="932"/>
      <c r="M1341" s="932"/>
      <c r="N1341" s="932"/>
      <c r="O1341" s="932"/>
      <c r="P1341" s="932"/>
      <c r="Q1341" s="932"/>
      <c r="R1341" s="932"/>
      <c r="S1341" s="932"/>
      <c r="T1341" s="932"/>
      <c r="U1341" s="932"/>
      <c r="V1341" s="932"/>
      <c r="W1341" s="932"/>
      <c r="X1341" s="932"/>
      <c r="Y1341" s="932"/>
      <c r="Z1341" s="932"/>
      <c r="AA1341" s="932"/>
      <c r="AB1341" s="932"/>
      <c r="AC1341" s="932"/>
      <c r="AD1341" s="932"/>
      <c r="AE1341" s="932"/>
      <c r="AF1341" s="932"/>
      <c r="AG1341" s="932"/>
      <c r="AH1341" s="932"/>
      <c r="AI1341" s="932"/>
      <c r="AJ1341" s="932"/>
      <c r="AK1341" s="932"/>
      <c r="AL1341" s="932"/>
      <c r="AM1341" s="932"/>
      <c r="AN1341" s="932"/>
      <c r="AO1341" s="932"/>
      <c r="AP1341" s="932"/>
      <c r="AQ1341" s="932"/>
      <c r="AR1341" s="932"/>
      <c r="AS1341" s="932"/>
      <c r="AT1341" s="932"/>
      <c r="AU1341" s="932"/>
      <c r="AV1341" s="932"/>
      <c r="AW1341" s="932"/>
      <c r="AX1341" s="932"/>
      <c r="AY1341" s="932"/>
      <c r="AZ1341" s="932"/>
      <c r="BA1341" s="932"/>
      <c r="BB1341" s="932"/>
      <c r="BC1341" s="932"/>
      <c r="BD1341" s="932"/>
      <c r="BE1341" s="932"/>
      <c r="BF1341" s="932"/>
    </row>
    <row r="1342" spans="2:58" ht="15" x14ac:dyDescent="0.25">
      <c r="B1342" s="932"/>
      <c r="C1342" s="932"/>
      <c r="D1342" s="932"/>
      <c r="E1342" s="932"/>
      <c r="F1342" s="932"/>
      <c r="G1342" s="932"/>
      <c r="H1342" s="932"/>
      <c r="I1342" s="932"/>
      <c r="J1342" s="932"/>
      <c r="K1342" s="932"/>
      <c r="L1342" s="932"/>
      <c r="M1342" s="932"/>
      <c r="N1342" s="932"/>
      <c r="O1342" s="932"/>
      <c r="P1342" s="932"/>
      <c r="Q1342" s="932"/>
      <c r="R1342" s="932"/>
      <c r="S1342" s="932"/>
      <c r="T1342" s="932"/>
      <c r="U1342" s="932"/>
      <c r="V1342" s="932"/>
      <c r="W1342" s="932"/>
      <c r="X1342" s="932"/>
      <c r="Y1342" s="932"/>
      <c r="Z1342" s="932"/>
      <c r="AA1342" s="932"/>
      <c r="AB1342" s="932"/>
      <c r="AC1342" s="932"/>
      <c r="AD1342" s="932"/>
      <c r="AE1342" s="932"/>
      <c r="AF1342" s="932"/>
      <c r="AG1342" s="932"/>
      <c r="AH1342" s="932"/>
      <c r="AI1342" s="932"/>
      <c r="AJ1342" s="932"/>
      <c r="AK1342" s="932"/>
      <c r="AL1342" s="932"/>
      <c r="AM1342" s="932"/>
      <c r="AN1342" s="932"/>
      <c r="AO1342" s="932"/>
      <c r="AP1342" s="932"/>
      <c r="AQ1342" s="932"/>
      <c r="AR1342" s="932"/>
      <c r="AS1342" s="932"/>
      <c r="AT1342" s="932"/>
      <c r="AU1342" s="932"/>
      <c r="AV1342" s="932"/>
      <c r="AW1342" s="932"/>
      <c r="AX1342" s="932"/>
      <c r="AY1342" s="932"/>
      <c r="AZ1342" s="932"/>
      <c r="BA1342" s="932"/>
      <c r="BB1342" s="932"/>
      <c r="BC1342" s="932"/>
      <c r="BD1342" s="932"/>
      <c r="BE1342" s="932"/>
      <c r="BF1342" s="932"/>
    </row>
    <row r="1343" spans="2:58" ht="15" x14ac:dyDescent="0.25">
      <c r="B1343" s="932"/>
      <c r="C1343" s="932"/>
      <c r="D1343" s="932"/>
      <c r="E1343" s="932"/>
      <c r="F1343" s="932"/>
      <c r="G1343" s="932"/>
      <c r="H1343" s="932"/>
      <c r="I1343" s="932"/>
      <c r="J1343" s="932"/>
      <c r="K1343" s="932"/>
      <c r="L1343" s="932"/>
      <c r="M1343" s="932"/>
      <c r="N1343" s="932"/>
      <c r="O1343" s="932"/>
      <c r="P1343" s="932"/>
      <c r="Q1343" s="932"/>
      <c r="R1343" s="932"/>
      <c r="S1343" s="932"/>
      <c r="T1343" s="932"/>
      <c r="U1343" s="932"/>
      <c r="V1343" s="932"/>
      <c r="W1343" s="932"/>
      <c r="X1343" s="932"/>
      <c r="Y1343" s="932"/>
      <c r="Z1343" s="932"/>
      <c r="AA1343" s="932"/>
      <c r="AB1343" s="932"/>
      <c r="AC1343" s="932"/>
      <c r="AD1343" s="932"/>
      <c r="AE1343" s="932"/>
      <c r="AF1343" s="932"/>
      <c r="AG1343" s="932"/>
      <c r="AH1343" s="932"/>
      <c r="AI1343" s="932"/>
      <c r="AJ1343" s="932"/>
      <c r="AK1343" s="932"/>
      <c r="AL1343" s="932"/>
      <c r="AM1343" s="932"/>
      <c r="AN1343" s="932"/>
      <c r="AO1343" s="932"/>
      <c r="AP1343" s="932"/>
      <c r="AQ1343" s="932"/>
      <c r="AR1343" s="932"/>
      <c r="AS1343" s="932"/>
      <c r="AT1343" s="932"/>
      <c r="AU1343" s="932"/>
      <c r="AV1343" s="932"/>
      <c r="AW1343" s="932"/>
      <c r="AX1343" s="932"/>
      <c r="AY1343" s="932"/>
      <c r="AZ1343" s="932"/>
      <c r="BA1343" s="932"/>
      <c r="BB1343" s="932"/>
      <c r="BC1343" s="932"/>
      <c r="BD1343" s="932"/>
      <c r="BE1343" s="932"/>
      <c r="BF1343" s="932"/>
    </row>
    <row r="1344" spans="2:58" ht="15" x14ac:dyDescent="0.25">
      <c r="B1344" s="932"/>
      <c r="C1344" s="932"/>
      <c r="D1344" s="932"/>
      <c r="E1344" s="932"/>
      <c r="F1344" s="932"/>
      <c r="G1344" s="932"/>
      <c r="H1344" s="932"/>
      <c r="I1344" s="932"/>
      <c r="J1344" s="932"/>
      <c r="K1344" s="932"/>
      <c r="L1344" s="932"/>
      <c r="M1344" s="932"/>
      <c r="N1344" s="932"/>
      <c r="O1344" s="932"/>
      <c r="P1344" s="932"/>
      <c r="Q1344" s="932"/>
      <c r="R1344" s="932"/>
      <c r="S1344" s="932"/>
      <c r="T1344" s="932"/>
      <c r="U1344" s="932"/>
      <c r="V1344" s="932"/>
      <c r="W1344" s="932"/>
      <c r="X1344" s="932"/>
      <c r="Y1344" s="932"/>
      <c r="Z1344" s="932"/>
      <c r="AA1344" s="932"/>
      <c r="AB1344" s="932"/>
      <c r="AC1344" s="932"/>
      <c r="AD1344" s="932"/>
      <c r="AE1344" s="932"/>
      <c r="AF1344" s="932"/>
      <c r="AG1344" s="932"/>
      <c r="AH1344" s="932"/>
      <c r="AI1344" s="932"/>
      <c r="AJ1344" s="932"/>
      <c r="AK1344" s="932"/>
      <c r="AL1344" s="932"/>
      <c r="AM1344" s="932"/>
      <c r="AN1344" s="932"/>
      <c r="AO1344" s="932"/>
      <c r="AP1344" s="932"/>
      <c r="AQ1344" s="932"/>
      <c r="AR1344" s="932"/>
      <c r="AS1344" s="932"/>
      <c r="AT1344" s="932"/>
      <c r="AU1344" s="932"/>
      <c r="AV1344" s="932"/>
      <c r="AW1344" s="932"/>
      <c r="AX1344" s="932"/>
      <c r="AY1344" s="932"/>
      <c r="AZ1344" s="932"/>
      <c r="BA1344" s="932"/>
      <c r="BB1344" s="932"/>
      <c r="BC1344" s="932"/>
      <c r="BD1344" s="932"/>
      <c r="BE1344" s="932"/>
      <c r="BF1344" s="932"/>
    </row>
    <row r="1345" spans="2:58" ht="15" x14ac:dyDescent="0.25">
      <c r="B1345" s="932"/>
      <c r="C1345" s="932"/>
      <c r="D1345" s="932"/>
      <c r="E1345" s="932"/>
      <c r="F1345" s="932"/>
      <c r="G1345" s="932"/>
      <c r="H1345" s="932"/>
      <c r="I1345" s="932"/>
      <c r="J1345" s="932"/>
      <c r="K1345" s="932"/>
      <c r="L1345" s="932"/>
      <c r="M1345" s="932"/>
      <c r="N1345" s="932"/>
      <c r="O1345" s="932"/>
      <c r="P1345" s="932"/>
      <c r="Q1345" s="932"/>
      <c r="R1345" s="932"/>
      <c r="S1345" s="932"/>
      <c r="T1345" s="932"/>
      <c r="U1345" s="932"/>
      <c r="V1345" s="932"/>
      <c r="W1345" s="932"/>
      <c r="X1345" s="932"/>
      <c r="Y1345" s="932"/>
      <c r="Z1345" s="932"/>
      <c r="AA1345" s="932"/>
      <c r="AB1345" s="932"/>
      <c r="AC1345" s="932"/>
      <c r="AD1345" s="932"/>
      <c r="AE1345" s="932"/>
      <c r="AF1345" s="932"/>
      <c r="AG1345" s="932"/>
      <c r="AH1345" s="932"/>
      <c r="AI1345" s="932"/>
      <c r="AJ1345" s="932"/>
      <c r="AK1345" s="932"/>
      <c r="AL1345" s="932"/>
      <c r="AM1345" s="932"/>
      <c r="AN1345" s="932"/>
      <c r="AO1345" s="932"/>
      <c r="AP1345" s="932"/>
      <c r="AQ1345" s="932"/>
      <c r="AR1345" s="932"/>
      <c r="AS1345" s="932"/>
      <c r="AT1345" s="932"/>
      <c r="AU1345" s="932"/>
      <c r="AV1345" s="932"/>
      <c r="AW1345" s="932"/>
      <c r="AX1345" s="932"/>
      <c r="AY1345" s="932"/>
      <c r="AZ1345" s="932"/>
      <c r="BA1345" s="932"/>
      <c r="BB1345" s="932"/>
      <c r="BC1345" s="932"/>
      <c r="BD1345" s="932"/>
      <c r="BE1345" s="932"/>
      <c r="BF1345" s="932"/>
    </row>
    <row r="1346" spans="2:58" ht="15" x14ac:dyDescent="0.25">
      <c r="B1346" s="932"/>
      <c r="C1346" s="932"/>
      <c r="D1346" s="932"/>
      <c r="E1346" s="932"/>
      <c r="F1346" s="932"/>
      <c r="G1346" s="932"/>
      <c r="H1346" s="932"/>
      <c r="I1346" s="932"/>
      <c r="J1346" s="932"/>
      <c r="K1346" s="932"/>
      <c r="L1346" s="932"/>
      <c r="M1346" s="932"/>
      <c r="N1346" s="932"/>
      <c r="O1346" s="932"/>
      <c r="P1346" s="932"/>
      <c r="Q1346" s="932"/>
      <c r="R1346" s="932"/>
      <c r="S1346" s="932"/>
      <c r="T1346" s="932"/>
      <c r="U1346" s="932"/>
      <c r="V1346" s="932"/>
      <c r="W1346" s="932"/>
      <c r="X1346" s="932"/>
      <c r="Y1346" s="932"/>
      <c r="Z1346" s="932"/>
      <c r="AA1346" s="932"/>
      <c r="AB1346" s="932"/>
      <c r="AC1346" s="932"/>
      <c r="AD1346" s="932"/>
      <c r="AE1346" s="932"/>
      <c r="AF1346" s="932"/>
      <c r="AG1346" s="932"/>
      <c r="AH1346" s="932"/>
      <c r="AI1346" s="932"/>
      <c r="AJ1346" s="932"/>
      <c r="AK1346" s="932"/>
      <c r="AL1346" s="932"/>
      <c r="AM1346" s="932"/>
      <c r="AN1346" s="932"/>
      <c r="AO1346" s="932"/>
      <c r="AP1346" s="932"/>
      <c r="AQ1346" s="932"/>
      <c r="AR1346" s="932"/>
      <c r="AS1346" s="932"/>
      <c r="AT1346" s="932"/>
      <c r="AU1346" s="932"/>
      <c r="AV1346" s="932"/>
      <c r="AW1346" s="932"/>
      <c r="AX1346" s="932"/>
      <c r="AY1346" s="932"/>
      <c r="AZ1346" s="932"/>
      <c r="BA1346" s="932"/>
      <c r="BB1346" s="932"/>
      <c r="BC1346" s="932"/>
      <c r="BD1346" s="932"/>
      <c r="BE1346" s="932"/>
      <c r="BF1346" s="932"/>
    </row>
    <row r="1347" spans="2:58" ht="15" x14ac:dyDescent="0.25">
      <c r="B1347" s="932"/>
      <c r="C1347" s="932"/>
      <c r="D1347" s="932"/>
      <c r="E1347" s="932"/>
      <c r="F1347" s="932"/>
      <c r="G1347" s="932"/>
      <c r="H1347" s="932"/>
      <c r="I1347" s="932"/>
      <c r="J1347" s="932"/>
      <c r="K1347" s="932"/>
      <c r="L1347" s="932"/>
      <c r="M1347" s="932"/>
      <c r="N1347" s="932"/>
      <c r="O1347" s="932"/>
      <c r="P1347" s="932"/>
      <c r="Q1347" s="932"/>
      <c r="R1347" s="932"/>
      <c r="S1347" s="932"/>
      <c r="T1347" s="932"/>
      <c r="U1347" s="932"/>
      <c r="V1347" s="932"/>
      <c r="W1347" s="932"/>
      <c r="X1347" s="932"/>
      <c r="Y1347" s="932"/>
      <c r="Z1347" s="932"/>
      <c r="AA1347" s="932"/>
      <c r="AB1347" s="932"/>
      <c r="AC1347" s="932"/>
      <c r="AD1347" s="932"/>
      <c r="AE1347" s="932"/>
      <c r="AF1347" s="932"/>
      <c r="AG1347" s="932"/>
      <c r="AH1347" s="932"/>
      <c r="AI1347" s="932"/>
      <c r="AJ1347" s="932"/>
      <c r="AK1347" s="932"/>
      <c r="AL1347" s="932"/>
      <c r="AM1347" s="932"/>
      <c r="AN1347" s="932"/>
      <c r="AO1347" s="932"/>
      <c r="AP1347" s="932"/>
      <c r="AQ1347" s="932"/>
      <c r="AR1347" s="932"/>
      <c r="AS1347" s="932"/>
      <c r="AT1347" s="932"/>
      <c r="AU1347" s="932"/>
      <c r="AV1347" s="932"/>
      <c r="AW1347" s="932"/>
      <c r="AX1347" s="932"/>
      <c r="AY1347" s="932"/>
      <c r="AZ1347" s="932"/>
      <c r="BA1347" s="932"/>
      <c r="BB1347" s="932"/>
      <c r="BC1347" s="932"/>
      <c r="BD1347" s="932"/>
      <c r="BE1347" s="932"/>
      <c r="BF1347" s="932"/>
    </row>
    <row r="1348" spans="2:58" ht="15" x14ac:dyDescent="0.25">
      <c r="B1348" s="932"/>
      <c r="C1348" s="932"/>
      <c r="D1348" s="932"/>
      <c r="E1348" s="932"/>
      <c r="F1348" s="932"/>
      <c r="G1348" s="932"/>
      <c r="H1348" s="932"/>
      <c r="I1348" s="932"/>
      <c r="J1348" s="932"/>
      <c r="K1348" s="932"/>
      <c r="L1348" s="932"/>
      <c r="M1348" s="932"/>
      <c r="N1348" s="932"/>
      <c r="O1348" s="932"/>
      <c r="P1348" s="932"/>
      <c r="Q1348" s="932"/>
      <c r="R1348" s="932"/>
      <c r="S1348" s="932"/>
      <c r="T1348" s="932"/>
      <c r="U1348" s="932"/>
      <c r="V1348" s="932"/>
      <c r="W1348" s="932"/>
      <c r="X1348" s="932"/>
      <c r="Y1348" s="932"/>
      <c r="Z1348" s="932"/>
      <c r="AA1348" s="932"/>
      <c r="AB1348" s="932"/>
      <c r="AC1348" s="932"/>
      <c r="AD1348" s="932"/>
      <c r="AE1348" s="932"/>
      <c r="AF1348" s="932"/>
      <c r="AG1348" s="932"/>
      <c r="AH1348" s="932"/>
      <c r="AI1348" s="932"/>
      <c r="AJ1348" s="932"/>
      <c r="AK1348" s="932"/>
      <c r="AL1348" s="932"/>
      <c r="AM1348" s="932"/>
      <c r="AN1348" s="932"/>
      <c r="AO1348" s="932"/>
      <c r="AP1348" s="932"/>
      <c r="AQ1348" s="932"/>
      <c r="AR1348" s="932"/>
      <c r="AS1348" s="932"/>
      <c r="AT1348" s="932"/>
      <c r="AU1348" s="932"/>
      <c r="AV1348" s="932"/>
      <c r="AW1348" s="932"/>
      <c r="AX1348" s="932"/>
      <c r="AY1348" s="932"/>
      <c r="AZ1348" s="932"/>
      <c r="BA1348" s="932"/>
      <c r="BB1348" s="932"/>
      <c r="BC1348" s="932"/>
      <c r="BD1348" s="932"/>
      <c r="BE1348" s="932"/>
      <c r="BF1348" s="932"/>
    </row>
    <row r="1349" spans="2:58" ht="15" x14ac:dyDescent="0.25">
      <c r="B1349" s="932"/>
      <c r="C1349" s="932"/>
      <c r="D1349" s="932"/>
      <c r="E1349" s="932"/>
      <c r="F1349" s="932"/>
      <c r="G1349" s="932"/>
      <c r="H1349" s="932"/>
      <c r="I1349" s="932"/>
      <c r="J1349" s="932"/>
      <c r="K1349" s="932"/>
      <c r="L1349" s="932"/>
      <c r="M1349" s="932"/>
      <c r="N1349" s="932"/>
      <c r="O1349" s="932"/>
      <c r="P1349" s="932"/>
      <c r="Q1349" s="932"/>
      <c r="R1349" s="932"/>
      <c r="S1349" s="932"/>
      <c r="T1349" s="932"/>
      <c r="U1349" s="932"/>
      <c r="V1349" s="932"/>
      <c r="W1349" s="932"/>
      <c r="X1349" s="932"/>
      <c r="Y1349" s="932"/>
      <c r="Z1349" s="932"/>
      <c r="AA1349" s="932"/>
      <c r="AB1349" s="932"/>
      <c r="AC1349" s="932"/>
      <c r="AD1349" s="932"/>
      <c r="AE1349" s="932"/>
      <c r="AF1349" s="932"/>
      <c r="AG1349" s="932"/>
      <c r="AH1349" s="932"/>
      <c r="AI1349" s="932"/>
      <c r="AJ1349" s="932"/>
      <c r="AK1349" s="932"/>
      <c r="AL1349" s="932"/>
      <c r="AM1349" s="932"/>
      <c r="AN1349" s="932"/>
      <c r="AO1349" s="932"/>
      <c r="AP1349" s="932"/>
      <c r="AQ1349" s="932"/>
      <c r="AR1349" s="932"/>
      <c r="AS1349" s="932"/>
      <c r="AT1349" s="932"/>
      <c r="AU1349" s="932"/>
      <c r="AV1349" s="932"/>
      <c r="AW1349" s="932"/>
      <c r="AX1349" s="932"/>
      <c r="AY1349" s="932"/>
      <c r="AZ1349" s="932"/>
      <c r="BA1349" s="932"/>
      <c r="BB1349" s="932"/>
      <c r="BC1349" s="932"/>
      <c r="BD1349" s="932"/>
      <c r="BE1349" s="932"/>
      <c r="BF1349" s="932"/>
    </row>
    <row r="1350" spans="2:58" ht="15" x14ac:dyDescent="0.25">
      <c r="B1350" s="932"/>
      <c r="C1350" s="932"/>
      <c r="D1350" s="932"/>
      <c r="E1350" s="932"/>
      <c r="F1350" s="932"/>
      <c r="G1350" s="932"/>
      <c r="H1350" s="932"/>
      <c r="I1350" s="932"/>
      <c r="J1350" s="932"/>
      <c r="K1350" s="932"/>
      <c r="L1350" s="932"/>
      <c r="M1350" s="932"/>
      <c r="N1350" s="932"/>
      <c r="O1350" s="932"/>
      <c r="P1350" s="932"/>
      <c r="Q1350" s="932"/>
      <c r="R1350" s="932"/>
      <c r="S1350" s="932"/>
      <c r="T1350" s="932"/>
      <c r="U1350" s="932"/>
      <c r="V1350" s="932"/>
      <c r="W1350" s="932"/>
      <c r="X1350" s="932"/>
      <c r="Y1350" s="932"/>
      <c r="Z1350" s="932"/>
      <c r="AA1350" s="932"/>
      <c r="AB1350" s="932"/>
      <c r="AC1350" s="932"/>
      <c r="AD1350" s="932"/>
      <c r="AE1350" s="932"/>
      <c r="AF1350" s="932"/>
      <c r="AG1350" s="932"/>
      <c r="AH1350" s="932"/>
      <c r="AI1350" s="932"/>
      <c r="AJ1350" s="932"/>
      <c r="AK1350" s="932"/>
      <c r="AL1350" s="932"/>
      <c r="AM1350" s="932"/>
      <c r="AN1350" s="932"/>
      <c r="AO1350" s="932"/>
      <c r="AP1350" s="932"/>
      <c r="AQ1350" s="932"/>
      <c r="AR1350" s="932"/>
      <c r="AS1350" s="932"/>
      <c r="AT1350" s="932"/>
      <c r="AU1350" s="932"/>
      <c r="AV1350" s="932"/>
      <c r="AW1350" s="932"/>
      <c r="AX1350" s="932"/>
      <c r="AY1350" s="932"/>
      <c r="AZ1350" s="932"/>
      <c r="BA1350" s="932"/>
      <c r="BB1350" s="932"/>
      <c r="BC1350" s="932"/>
      <c r="BD1350" s="932"/>
      <c r="BE1350" s="932"/>
      <c r="BF1350" s="932"/>
    </row>
    <row r="1351" spans="2:58" ht="15" x14ac:dyDescent="0.25">
      <c r="B1351" s="932"/>
      <c r="C1351" s="932"/>
      <c r="D1351" s="932"/>
      <c r="E1351" s="932"/>
      <c r="F1351" s="932"/>
      <c r="G1351" s="932"/>
      <c r="H1351" s="932"/>
      <c r="I1351" s="932"/>
      <c r="J1351" s="932"/>
      <c r="K1351" s="932"/>
      <c r="L1351" s="932"/>
      <c r="M1351" s="932"/>
      <c r="N1351" s="932"/>
      <c r="O1351" s="932"/>
      <c r="P1351" s="932"/>
      <c r="Q1351" s="932"/>
      <c r="R1351" s="932"/>
      <c r="S1351" s="932"/>
      <c r="T1351" s="932"/>
      <c r="U1351" s="932"/>
      <c r="V1351" s="932"/>
      <c r="W1351" s="932"/>
      <c r="X1351" s="932"/>
      <c r="Y1351" s="932"/>
      <c r="Z1351" s="932"/>
      <c r="AA1351" s="932"/>
      <c r="AB1351" s="932"/>
      <c r="AC1351" s="932"/>
      <c r="AD1351" s="932"/>
      <c r="AE1351" s="932"/>
      <c r="AF1351" s="932"/>
      <c r="AG1351" s="932"/>
      <c r="AH1351" s="932"/>
      <c r="AI1351" s="932"/>
      <c r="AJ1351" s="932"/>
      <c r="AK1351" s="932"/>
      <c r="AL1351" s="932"/>
      <c r="AM1351" s="932"/>
      <c r="AN1351" s="932"/>
      <c r="AO1351" s="932"/>
      <c r="AP1351" s="932"/>
      <c r="AQ1351" s="932"/>
      <c r="AR1351" s="932"/>
      <c r="AS1351" s="932"/>
      <c r="AT1351" s="932"/>
      <c r="AU1351" s="932"/>
      <c r="AV1351" s="932"/>
      <c r="AW1351" s="932"/>
      <c r="AX1351" s="932"/>
      <c r="AY1351" s="932"/>
      <c r="AZ1351" s="932"/>
      <c r="BA1351" s="932"/>
      <c r="BB1351" s="932"/>
      <c r="BC1351" s="932"/>
      <c r="BD1351" s="932"/>
      <c r="BE1351" s="932"/>
      <c r="BF1351" s="932"/>
    </row>
    <row r="1352" spans="2:58" ht="15" x14ac:dyDescent="0.25">
      <c r="B1352" s="932"/>
      <c r="C1352" s="932"/>
      <c r="D1352" s="932"/>
      <c r="E1352" s="932"/>
      <c r="F1352" s="932"/>
      <c r="G1352" s="932"/>
      <c r="H1352" s="932"/>
      <c r="I1352" s="932"/>
      <c r="J1352" s="932"/>
      <c r="K1352" s="932"/>
      <c r="L1352" s="932"/>
      <c r="M1352" s="932"/>
      <c r="N1352" s="932"/>
      <c r="O1352" s="932"/>
      <c r="P1352" s="932"/>
      <c r="Q1352" s="932"/>
      <c r="R1352" s="932"/>
      <c r="S1352" s="932"/>
      <c r="T1352" s="932"/>
      <c r="U1352" s="932"/>
      <c r="V1352" s="932"/>
      <c r="W1352" s="932"/>
      <c r="X1352" s="932"/>
      <c r="Y1352" s="932"/>
      <c r="Z1352" s="932"/>
      <c r="AA1352" s="932"/>
      <c r="AB1352" s="932"/>
      <c r="AC1352" s="932"/>
      <c r="AD1352" s="932"/>
      <c r="AE1352" s="932"/>
      <c r="AF1352" s="932"/>
      <c r="AG1352" s="932"/>
      <c r="AH1352" s="932"/>
      <c r="AI1352" s="932"/>
      <c r="AJ1352" s="932"/>
      <c r="AK1352" s="932"/>
      <c r="AL1352" s="932"/>
      <c r="AM1352" s="932"/>
      <c r="AN1352" s="932"/>
      <c r="AO1352" s="932"/>
      <c r="AP1352" s="932"/>
      <c r="AQ1352" s="932"/>
      <c r="AR1352" s="932"/>
      <c r="AS1352" s="932"/>
      <c r="AT1352" s="932"/>
      <c r="AU1352" s="932"/>
      <c r="AV1352" s="932"/>
      <c r="AW1352" s="932"/>
      <c r="AX1352" s="932"/>
      <c r="AY1352" s="932"/>
      <c r="AZ1352" s="932"/>
      <c r="BA1352" s="932"/>
      <c r="BB1352" s="932"/>
      <c r="BC1352" s="932"/>
      <c r="BD1352" s="932"/>
      <c r="BE1352" s="932"/>
      <c r="BF1352" s="932"/>
    </row>
    <row r="1353" spans="2:58" ht="15" x14ac:dyDescent="0.25">
      <c r="B1353" s="932"/>
      <c r="C1353" s="932"/>
      <c r="D1353" s="932"/>
      <c r="E1353" s="932"/>
      <c r="F1353" s="932"/>
      <c r="G1353" s="932"/>
      <c r="H1353" s="932"/>
      <c r="I1353" s="932"/>
      <c r="J1353" s="932"/>
      <c r="K1353" s="932"/>
      <c r="L1353" s="932"/>
      <c r="M1353" s="932"/>
      <c r="N1353" s="932"/>
      <c r="O1353" s="932"/>
      <c r="P1353" s="932"/>
      <c r="Q1353" s="932"/>
      <c r="R1353" s="932"/>
      <c r="S1353" s="932"/>
      <c r="T1353" s="932"/>
      <c r="U1353" s="932"/>
      <c r="V1353" s="932"/>
      <c r="W1353" s="932"/>
      <c r="X1353" s="932"/>
      <c r="Y1353" s="932"/>
      <c r="Z1353" s="932"/>
      <c r="AA1353" s="932"/>
      <c r="AB1353" s="932"/>
      <c r="AC1353" s="932"/>
      <c r="AD1353" s="932"/>
      <c r="AE1353" s="932"/>
      <c r="AF1353" s="932"/>
      <c r="AG1353" s="932"/>
      <c r="AH1353" s="932"/>
      <c r="AI1353" s="932"/>
      <c r="AJ1353" s="932"/>
      <c r="AK1353" s="932"/>
      <c r="AL1353" s="932"/>
      <c r="AM1353" s="932"/>
      <c r="AN1353" s="932"/>
      <c r="AO1353" s="932"/>
      <c r="AP1353" s="932"/>
      <c r="AQ1353" s="932"/>
      <c r="AR1353" s="932"/>
      <c r="AS1353" s="932"/>
      <c r="AT1353" s="932"/>
      <c r="AU1353" s="932"/>
      <c r="AV1353" s="932"/>
      <c r="AW1353" s="932"/>
      <c r="AX1353" s="932"/>
      <c r="AY1353" s="932"/>
      <c r="AZ1353" s="932"/>
      <c r="BA1353" s="932"/>
      <c r="BB1353" s="932"/>
      <c r="BC1353" s="932"/>
      <c r="BD1353" s="932"/>
      <c r="BE1353" s="932"/>
      <c r="BF1353" s="932"/>
    </row>
    <row r="1354" spans="2:58" ht="15" x14ac:dyDescent="0.25">
      <c r="B1354" s="932"/>
      <c r="C1354" s="932"/>
      <c r="D1354" s="932"/>
      <c r="E1354" s="932"/>
      <c r="F1354" s="932"/>
      <c r="G1354" s="932"/>
      <c r="H1354" s="932"/>
      <c r="I1354" s="932"/>
      <c r="J1354" s="932"/>
      <c r="K1354" s="932"/>
      <c r="L1354" s="932"/>
      <c r="M1354" s="932"/>
      <c r="N1354" s="932"/>
      <c r="O1354" s="932"/>
      <c r="P1354" s="932"/>
      <c r="Q1354" s="932"/>
      <c r="R1354" s="932"/>
      <c r="S1354" s="932"/>
      <c r="T1354" s="932"/>
      <c r="U1354" s="932"/>
      <c r="V1354" s="932"/>
      <c r="W1354" s="932"/>
      <c r="X1354" s="932"/>
      <c r="Y1354" s="932"/>
      <c r="Z1354" s="932"/>
      <c r="AA1354" s="932"/>
      <c r="AB1354" s="932"/>
      <c r="AC1354" s="932"/>
      <c r="AD1354" s="932"/>
      <c r="AE1354" s="932"/>
      <c r="AF1354" s="932"/>
      <c r="AG1354" s="932"/>
      <c r="AH1354" s="932"/>
      <c r="AI1354" s="932"/>
      <c r="AJ1354" s="932"/>
      <c r="AK1354" s="932"/>
      <c r="AL1354" s="932"/>
      <c r="AM1354" s="932"/>
      <c r="AN1354" s="932"/>
      <c r="AO1354" s="932"/>
      <c r="AP1354" s="932"/>
      <c r="AQ1354" s="932"/>
      <c r="AR1354" s="932"/>
      <c r="AS1354" s="932"/>
      <c r="AT1354" s="932"/>
      <c r="AU1354" s="932"/>
      <c r="AV1354" s="932"/>
      <c r="AW1354" s="932"/>
      <c r="AX1354" s="932"/>
      <c r="AY1354" s="932"/>
      <c r="AZ1354" s="932"/>
      <c r="BA1354" s="932"/>
      <c r="BB1354" s="932"/>
      <c r="BC1354" s="932"/>
      <c r="BD1354" s="932"/>
      <c r="BE1354" s="932"/>
      <c r="BF1354" s="932"/>
    </row>
    <row r="1355" spans="2:58" ht="15" x14ac:dyDescent="0.25">
      <c r="B1355" s="932"/>
      <c r="C1355" s="932"/>
      <c r="D1355" s="932"/>
      <c r="E1355" s="932"/>
      <c r="F1355" s="932"/>
      <c r="G1355" s="932"/>
      <c r="H1355" s="932"/>
      <c r="I1355" s="932"/>
      <c r="J1355" s="932"/>
      <c r="K1355" s="932"/>
      <c r="L1355" s="932"/>
      <c r="M1355" s="932"/>
      <c r="N1355" s="932"/>
      <c r="O1355" s="932"/>
      <c r="P1355" s="932"/>
      <c r="Q1355" s="932"/>
      <c r="R1355" s="932"/>
      <c r="S1355" s="932"/>
      <c r="T1355" s="932"/>
      <c r="U1355" s="932"/>
      <c r="V1355" s="932"/>
      <c r="W1355" s="932"/>
      <c r="X1355" s="932"/>
      <c r="Y1355" s="932"/>
      <c r="Z1355" s="932"/>
      <c r="AA1355" s="932"/>
      <c r="AB1355" s="932"/>
      <c r="AC1355" s="932"/>
      <c r="AD1355" s="932"/>
      <c r="AE1355" s="932"/>
      <c r="AF1355" s="932"/>
      <c r="AG1355" s="932"/>
      <c r="AH1355" s="932"/>
      <c r="AI1355" s="932"/>
      <c r="AJ1355" s="932"/>
      <c r="AK1355" s="932"/>
      <c r="AL1355" s="932"/>
      <c r="AM1355" s="932"/>
      <c r="AN1355" s="932"/>
      <c r="AO1355" s="932"/>
      <c r="AP1355" s="932"/>
      <c r="AQ1355" s="932"/>
      <c r="AR1355" s="932"/>
      <c r="AS1355" s="932"/>
      <c r="AT1355" s="932"/>
      <c r="AU1355" s="932"/>
      <c r="AV1355" s="932"/>
      <c r="AW1355" s="932"/>
      <c r="AX1355" s="932"/>
      <c r="AY1355" s="932"/>
      <c r="AZ1355" s="932"/>
      <c r="BA1355" s="932"/>
      <c r="BB1355" s="932"/>
      <c r="BC1355" s="932"/>
      <c r="BD1355" s="932"/>
      <c r="BE1355" s="932"/>
      <c r="BF1355" s="932"/>
    </row>
    <row r="1356" spans="2:58" ht="15" x14ac:dyDescent="0.25">
      <c r="B1356" s="932"/>
      <c r="C1356" s="932"/>
      <c r="D1356" s="932"/>
      <c r="E1356" s="932"/>
      <c r="F1356" s="932"/>
      <c r="G1356" s="932"/>
      <c r="H1356" s="932"/>
      <c r="I1356" s="932"/>
      <c r="J1356" s="932"/>
      <c r="K1356" s="932"/>
      <c r="L1356" s="932"/>
      <c r="M1356" s="932"/>
      <c r="N1356" s="932"/>
      <c r="O1356" s="932"/>
      <c r="P1356" s="932"/>
      <c r="Q1356" s="932"/>
      <c r="R1356" s="932"/>
      <c r="S1356" s="932"/>
      <c r="T1356" s="932"/>
      <c r="U1356" s="932"/>
      <c r="V1356" s="932"/>
      <c r="W1356" s="932"/>
      <c r="X1356" s="932"/>
      <c r="Y1356" s="932"/>
      <c r="Z1356" s="932"/>
      <c r="AA1356" s="932"/>
      <c r="AB1356" s="932"/>
      <c r="AC1356" s="932"/>
      <c r="AD1356" s="932"/>
      <c r="AE1356" s="932"/>
      <c r="AF1356" s="932"/>
      <c r="AG1356" s="932"/>
      <c r="AH1356" s="932"/>
      <c r="AI1356" s="932"/>
      <c r="AJ1356" s="932"/>
      <c r="AK1356" s="932"/>
      <c r="AL1356" s="932"/>
      <c r="AM1356" s="932"/>
      <c r="AN1356" s="932"/>
      <c r="AO1356" s="932"/>
      <c r="AP1356" s="932"/>
      <c r="AQ1356" s="932"/>
      <c r="AR1356" s="932"/>
      <c r="AS1356" s="932"/>
      <c r="AT1356" s="932"/>
      <c r="AU1356" s="932"/>
      <c r="AV1356" s="932"/>
      <c r="AW1356" s="932"/>
      <c r="AX1356" s="932"/>
      <c r="AY1356" s="932"/>
      <c r="AZ1356" s="932"/>
      <c r="BA1356" s="932"/>
      <c r="BB1356" s="932"/>
      <c r="BC1356" s="932"/>
      <c r="BD1356" s="932"/>
      <c r="BE1356" s="932"/>
      <c r="BF1356" s="932"/>
    </row>
    <row r="1357" spans="2:58" ht="15" x14ac:dyDescent="0.25">
      <c r="B1357" s="932"/>
      <c r="C1357" s="932"/>
      <c r="D1357" s="932"/>
      <c r="E1357" s="932"/>
      <c r="F1357" s="932"/>
      <c r="G1357" s="932"/>
      <c r="H1357" s="932"/>
      <c r="I1357" s="932"/>
      <c r="J1357" s="932"/>
      <c r="K1357" s="932"/>
      <c r="L1357" s="932"/>
      <c r="M1357" s="932"/>
      <c r="N1357" s="932"/>
      <c r="O1357" s="932"/>
      <c r="P1357" s="932"/>
      <c r="Q1357" s="932"/>
      <c r="R1357" s="932"/>
      <c r="S1357" s="932"/>
      <c r="T1357" s="932"/>
      <c r="U1357" s="932"/>
      <c r="V1357" s="932"/>
      <c r="W1357" s="932"/>
      <c r="X1357" s="932"/>
      <c r="Y1357" s="932"/>
      <c r="Z1357" s="932"/>
      <c r="AA1357" s="932"/>
      <c r="AB1357" s="932"/>
      <c r="AC1357" s="932"/>
      <c r="AD1357" s="932"/>
      <c r="AE1357" s="932"/>
      <c r="AF1357" s="932"/>
      <c r="AG1357" s="932"/>
      <c r="AH1357" s="932"/>
      <c r="AI1357" s="932"/>
      <c r="AJ1357" s="932"/>
      <c r="AK1357" s="932"/>
      <c r="AL1357" s="932"/>
      <c r="AM1357" s="932"/>
      <c r="AN1357" s="932"/>
      <c r="AO1357" s="932"/>
      <c r="AP1357" s="932"/>
      <c r="AQ1357" s="932"/>
      <c r="AR1357" s="932"/>
      <c r="AS1357" s="932"/>
      <c r="AT1357" s="932"/>
      <c r="AU1357" s="932"/>
      <c r="AV1357" s="932"/>
      <c r="AW1357" s="932"/>
      <c r="AX1357" s="932"/>
      <c r="AY1357" s="932"/>
      <c r="AZ1357" s="932"/>
      <c r="BA1357" s="932"/>
      <c r="BB1357" s="932"/>
      <c r="BC1357" s="932"/>
      <c r="BD1357" s="932"/>
      <c r="BE1357" s="932"/>
      <c r="BF1357" s="932"/>
    </row>
    <row r="1358" spans="2:58" ht="15" x14ac:dyDescent="0.25">
      <c r="B1358" s="932"/>
      <c r="C1358" s="932"/>
      <c r="D1358" s="932"/>
      <c r="E1358" s="932"/>
      <c r="F1358" s="932"/>
      <c r="G1358" s="932"/>
      <c r="H1358" s="932"/>
      <c r="I1358" s="932"/>
      <c r="J1358" s="932"/>
      <c r="K1358" s="932"/>
      <c r="L1358" s="932"/>
      <c r="M1358" s="932"/>
      <c r="N1358" s="932"/>
      <c r="O1358" s="932"/>
      <c r="P1358" s="932"/>
      <c r="Q1358" s="932"/>
      <c r="R1358" s="932"/>
      <c r="S1358" s="932"/>
      <c r="T1358" s="932"/>
      <c r="U1358" s="932"/>
      <c r="V1358" s="932"/>
      <c r="W1358" s="932"/>
      <c r="X1358" s="932"/>
      <c r="Y1358" s="932"/>
      <c r="Z1358" s="932"/>
      <c r="AA1358" s="932"/>
      <c r="AB1358" s="932"/>
      <c r="AC1358" s="932"/>
      <c r="AD1358" s="932"/>
      <c r="AE1358" s="932"/>
      <c r="AF1358" s="932"/>
      <c r="AG1358" s="932"/>
      <c r="AH1358" s="932"/>
      <c r="AI1358" s="932"/>
      <c r="AJ1358" s="932"/>
      <c r="AK1358" s="932"/>
      <c r="AL1358" s="932"/>
      <c r="AM1358" s="932"/>
      <c r="AN1358" s="932"/>
      <c r="AO1358" s="932"/>
      <c r="AP1358" s="932"/>
      <c r="AQ1358" s="932"/>
      <c r="AR1358" s="932"/>
      <c r="AS1358" s="932"/>
      <c r="AT1358" s="932"/>
      <c r="AU1358" s="932"/>
      <c r="AV1358" s="932"/>
      <c r="AW1358" s="932"/>
      <c r="AX1358" s="932"/>
      <c r="AY1358" s="932"/>
      <c r="AZ1358" s="932"/>
      <c r="BA1358" s="932"/>
      <c r="BB1358" s="932"/>
      <c r="BC1358" s="932"/>
      <c r="BD1358" s="932"/>
      <c r="BE1358" s="932"/>
      <c r="BF1358" s="932"/>
    </row>
    <row r="1359" spans="2:58" ht="15" x14ac:dyDescent="0.25">
      <c r="B1359" s="932"/>
      <c r="C1359" s="932"/>
      <c r="D1359" s="932"/>
      <c r="E1359" s="932"/>
      <c r="F1359" s="932"/>
      <c r="G1359" s="932"/>
      <c r="H1359" s="932"/>
      <c r="I1359" s="932"/>
      <c r="J1359" s="932"/>
      <c r="K1359" s="932"/>
      <c r="L1359" s="932"/>
      <c r="M1359" s="932"/>
      <c r="N1359" s="932"/>
      <c r="O1359" s="932"/>
      <c r="P1359" s="932"/>
      <c r="Q1359" s="932"/>
      <c r="R1359" s="932"/>
      <c r="S1359" s="932"/>
      <c r="T1359" s="932"/>
      <c r="U1359" s="932"/>
      <c r="V1359" s="932"/>
      <c r="W1359" s="932"/>
      <c r="X1359" s="932"/>
      <c r="Y1359" s="932"/>
      <c r="Z1359" s="932"/>
      <c r="AA1359" s="932"/>
      <c r="AB1359" s="932"/>
      <c r="AC1359" s="932"/>
      <c r="AD1359" s="932"/>
      <c r="AE1359" s="932"/>
      <c r="AF1359" s="932"/>
      <c r="AG1359" s="932"/>
      <c r="AH1359" s="932"/>
      <c r="AI1359" s="932"/>
      <c r="AJ1359" s="932"/>
      <c r="AK1359" s="932"/>
      <c r="AL1359" s="932"/>
      <c r="AM1359" s="932"/>
      <c r="AN1359" s="932"/>
      <c r="AO1359" s="932"/>
      <c r="AP1359" s="932"/>
      <c r="AQ1359" s="932"/>
      <c r="AR1359" s="932"/>
      <c r="AS1359" s="932"/>
      <c r="AT1359" s="932"/>
      <c r="AU1359" s="932"/>
      <c r="AV1359" s="932"/>
      <c r="AW1359" s="932"/>
      <c r="AX1359" s="932"/>
      <c r="AY1359" s="932"/>
      <c r="AZ1359" s="932"/>
      <c r="BA1359" s="932"/>
      <c r="BB1359" s="932"/>
      <c r="BC1359" s="932"/>
      <c r="BD1359" s="932"/>
      <c r="BE1359" s="932"/>
      <c r="BF1359" s="932"/>
    </row>
    <row r="1360" spans="2:58" ht="15" x14ac:dyDescent="0.25">
      <c r="B1360" s="932"/>
      <c r="C1360" s="932"/>
      <c r="D1360" s="932"/>
      <c r="E1360" s="932"/>
      <c r="F1360" s="932"/>
      <c r="G1360" s="932"/>
      <c r="H1360" s="932"/>
      <c r="I1360" s="932"/>
      <c r="J1360" s="932"/>
      <c r="K1360" s="932"/>
      <c r="L1360" s="932"/>
      <c r="M1360" s="932"/>
      <c r="N1360" s="932"/>
      <c r="O1360" s="932"/>
      <c r="P1360" s="932"/>
      <c r="Q1360" s="932"/>
      <c r="R1360" s="932"/>
      <c r="S1360" s="932"/>
      <c r="T1360" s="932"/>
      <c r="U1360" s="932"/>
      <c r="V1360" s="932"/>
      <c r="W1360" s="932"/>
      <c r="X1360" s="932"/>
      <c r="Y1360" s="932"/>
      <c r="Z1360" s="932"/>
      <c r="AA1360" s="932"/>
      <c r="AB1360" s="932"/>
      <c r="AC1360" s="932"/>
      <c r="AD1360" s="932"/>
      <c r="AE1360" s="932"/>
      <c r="AF1360" s="932"/>
      <c r="AG1360" s="932"/>
      <c r="AH1360" s="932"/>
      <c r="AI1360" s="932"/>
      <c r="AJ1360" s="932"/>
      <c r="AK1360" s="932"/>
      <c r="AL1360" s="932"/>
      <c r="AM1360" s="932"/>
      <c r="AN1360" s="932"/>
      <c r="AO1360" s="932"/>
      <c r="AP1360" s="932"/>
      <c r="AQ1360" s="932"/>
      <c r="AR1360" s="932"/>
      <c r="AS1360" s="932"/>
      <c r="AT1360" s="932"/>
      <c r="AU1360" s="932"/>
      <c r="AV1360" s="932"/>
      <c r="AW1360" s="932"/>
      <c r="AX1360" s="932"/>
      <c r="AY1360" s="932"/>
      <c r="AZ1360" s="932"/>
      <c r="BA1360" s="932"/>
      <c r="BB1360" s="932"/>
      <c r="BC1360" s="932"/>
      <c r="BD1360" s="932"/>
      <c r="BE1360" s="932"/>
      <c r="BF1360" s="932"/>
    </row>
    <row r="1361" spans="2:58" ht="15" x14ac:dyDescent="0.25">
      <c r="B1361" s="932"/>
      <c r="C1361" s="932"/>
      <c r="D1361" s="932"/>
      <c r="E1361" s="932"/>
      <c r="F1361" s="932"/>
      <c r="G1361" s="932"/>
      <c r="H1361" s="932"/>
      <c r="I1361" s="932"/>
      <c r="J1361" s="932"/>
      <c r="K1361" s="932"/>
      <c r="L1361" s="932"/>
      <c r="M1361" s="932"/>
      <c r="N1361" s="932"/>
      <c r="O1361" s="932"/>
      <c r="P1361" s="932"/>
      <c r="Q1361" s="932"/>
      <c r="R1361" s="932"/>
      <c r="S1361" s="932"/>
      <c r="T1361" s="932"/>
      <c r="U1361" s="932"/>
      <c r="V1361" s="932"/>
      <c r="W1361" s="932"/>
      <c r="X1361" s="932"/>
      <c r="Y1361" s="932"/>
      <c r="Z1361" s="932"/>
      <c r="AA1361" s="932"/>
      <c r="AB1361" s="932"/>
      <c r="AC1361" s="932"/>
      <c r="AD1361" s="932"/>
      <c r="AE1361" s="932"/>
      <c r="AF1361" s="932"/>
      <c r="AG1361" s="932"/>
      <c r="AH1361" s="932"/>
      <c r="AI1361" s="932"/>
      <c r="AJ1361" s="932"/>
      <c r="AK1361" s="932"/>
      <c r="AL1361" s="932"/>
      <c r="AM1361" s="932"/>
      <c r="AN1361" s="932"/>
      <c r="AO1361" s="932"/>
      <c r="AP1361" s="932"/>
      <c r="AQ1361" s="932"/>
      <c r="AR1361" s="932"/>
      <c r="AS1361" s="932"/>
      <c r="AT1361" s="932"/>
      <c r="AU1361" s="932"/>
      <c r="AV1361" s="932"/>
      <c r="AW1361" s="932"/>
      <c r="AX1361" s="932"/>
      <c r="AY1361" s="932"/>
      <c r="AZ1361" s="932"/>
      <c r="BA1361" s="932"/>
      <c r="BB1361" s="932"/>
      <c r="BC1361" s="932"/>
      <c r="BD1361" s="932"/>
      <c r="BE1361" s="932"/>
      <c r="BF1361" s="932"/>
    </row>
    <row r="1362" spans="2:58" ht="15" x14ac:dyDescent="0.25">
      <c r="B1362" s="932"/>
      <c r="C1362" s="932"/>
      <c r="D1362" s="932"/>
      <c r="E1362" s="932"/>
      <c r="F1362" s="932"/>
      <c r="G1362" s="932"/>
      <c r="H1362" s="932"/>
      <c r="I1362" s="932"/>
      <c r="J1362" s="932"/>
      <c r="K1362" s="932"/>
      <c r="L1362" s="932"/>
      <c r="M1362" s="932"/>
      <c r="N1362" s="932"/>
      <c r="O1362" s="932"/>
      <c r="P1362" s="932"/>
      <c r="Q1362" s="932"/>
      <c r="R1362" s="932"/>
      <c r="S1362" s="932"/>
      <c r="T1362" s="932"/>
      <c r="U1362" s="932"/>
      <c r="V1362" s="932"/>
      <c r="W1362" s="932"/>
      <c r="X1362" s="932"/>
      <c r="Y1362" s="932"/>
      <c r="Z1362" s="932"/>
      <c r="AA1362" s="932"/>
      <c r="AB1362" s="932"/>
      <c r="AC1362" s="932"/>
      <c r="AD1362" s="932"/>
      <c r="AE1362" s="932"/>
      <c r="AF1362" s="932"/>
      <c r="AG1362" s="932"/>
      <c r="AH1362" s="932"/>
      <c r="AI1362" s="932"/>
      <c r="AJ1362" s="932"/>
      <c r="AK1362" s="932"/>
      <c r="AL1362" s="932"/>
      <c r="AM1362" s="932"/>
      <c r="AN1362" s="932"/>
      <c r="AO1362" s="932"/>
      <c r="AP1362" s="932"/>
      <c r="AQ1362" s="932"/>
      <c r="AR1362" s="932"/>
      <c r="AS1362" s="932"/>
      <c r="AT1362" s="932"/>
      <c r="AU1362" s="932"/>
      <c r="AV1362" s="932"/>
      <c r="AW1362" s="932"/>
      <c r="AX1362" s="932"/>
      <c r="AY1362" s="932"/>
      <c r="AZ1362" s="932"/>
      <c r="BA1362" s="932"/>
      <c r="BB1362" s="932"/>
      <c r="BC1362" s="932"/>
      <c r="BD1362" s="932"/>
      <c r="BE1362" s="932"/>
      <c r="BF1362" s="932"/>
    </row>
    <row r="1363" spans="2:58" ht="15" x14ac:dyDescent="0.25">
      <c r="B1363" s="932"/>
      <c r="C1363" s="932"/>
      <c r="D1363" s="932"/>
      <c r="E1363" s="932"/>
      <c r="F1363" s="932"/>
      <c r="G1363" s="932"/>
      <c r="H1363" s="932"/>
      <c r="I1363" s="932"/>
      <c r="J1363" s="932"/>
      <c r="K1363" s="932"/>
      <c r="L1363" s="932"/>
      <c r="M1363" s="932"/>
      <c r="N1363" s="932"/>
      <c r="O1363" s="932"/>
      <c r="P1363" s="932"/>
      <c r="Q1363" s="932"/>
      <c r="R1363" s="932"/>
      <c r="S1363" s="932"/>
      <c r="T1363" s="932"/>
      <c r="U1363" s="932"/>
      <c r="V1363" s="932"/>
      <c r="W1363" s="932"/>
      <c r="X1363" s="932"/>
      <c r="Y1363" s="932"/>
      <c r="Z1363" s="932"/>
      <c r="AA1363" s="932"/>
      <c r="AB1363" s="932"/>
      <c r="AC1363" s="932"/>
      <c r="AD1363" s="932"/>
      <c r="AE1363" s="932"/>
      <c r="AF1363" s="932"/>
      <c r="AG1363" s="932"/>
      <c r="AH1363" s="932"/>
      <c r="AI1363" s="932"/>
      <c r="AJ1363" s="932"/>
      <c r="AK1363" s="932"/>
      <c r="AL1363" s="932"/>
      <c r="AM1363" s="932"/>
      <c r="AN1363" s="932"/>
      <c r="AO1363" s="932"/>
      <c r="AP1363" s="932"/>
      <c r="AQ1363" s="932"/>
      <c r="AR1363" s="932"/>
      <c r="AS1363" s="932"/>
      <c r="AT1363" s="932"/>
      <c r="AU1363" s="932"/>
      <c r="AV1363" s="932"/>
      <c r="AW1363" s="932"/>
      <c r="AX1363" s="932"/>
      <c r="AY1363" s="932"/>
      <c r="AZ1363" s="932"/>
      <c r="BA1363" s="932"/>
      <c r="BB1363" s="932"/>
      <c r="BC1363" s="932"/>
      <c r="BD1363" s="932"/>
      <c r="BE1363" s="932"/>
      <c r="BF1363" s="932"/>
    </row>
    <row r="1364" spans="2:58" ht="15" x14ac:dyDescent="0.25">
      <c r="B1364" s="932"/>
      <c r="C1364" s="932"/>
      <c r="D1364" s="932"/>
      <c r="E1364" s="932"/>
      <c r="F1364" s="932"/>
      <c r="G1364" s="932"/>
      <c r="H1364" s="932"/>
      <c r="I1364" s="932"/>
      <c r="J1364" s="932"/>
      <c r="K1364" s="932"/>
      <c r="L1364" s="932"/>
      <c r="M1364" s="932"/>
      <c r="N1364" s="932"/>
      <c r="O1364" s="932"/>
      <c r="P1364" s="932"/>
      <c r="Q1364" s="932"/>
      <c r="R1364" s="932"/>
      <c r="S1364" s="932"/>
      <c r="T1364" s="932"/>
      <c r="U1364" s="932"/>
      <c r="V1364" s="932"/>
      <c r="W1364" s="932"/>
      <c r="X1364" s="932"/>
      <c r="Y1364" s="932"/>
      <c r="Z1364" s="932"/>
      <c r="AA1364" s="932"/>
      <c r="AB1364" s="932"/>
      <c r="AC1364" s="932"/>
      <c r="AD1364" s="932"/>
      <c r="AE1364" s="932"/>
      <c r="AF1364" s="932"/>
      <c r="AG1364" s="932"/>
      <c r="AH1364" s="932"/>
      <c r="AI1364" s="932"/>
      <c r="AJ1364" s="932"/>
      <c r="AK1364" s="932"/>
      <c r="AL1364" s="932"/>
      <c r="AM1364" s="932"/>
      <c r="AN1364" s="932"/>
      <c r="AO1364" s="932"/>
      <c r="AP1364" s="932"/>
      <c r="AQ1364" s="932"/>
      <c r="AR1364" s="932"/>
      <c r="AS1364" s="932"/>
      <c r="AT1364" s="932"/>
      <c r="AU1364" s="932"/>
      <c r="AV1364" s="932"/>
      <c r="AW1364" s="932"/>
      <c r="AX1364" s="932"/>
      <c r="AY1364" s="932"/>
      <c r="AZ1364" s="932"/>
      <c r="BA1364" s="932"/>
      <c r="BB1364" s="932"/>
      <c r="BC1364" s="932"/>
      <c r="BD1364" s="932"/>
      <c r="BE1364" s="932"/>
      <c r="BF1364" s="932"/>
    </row>
    <row r="1365" spans="2:58" ht="15" x14ac:dyDescent="0.25">
      <c r="B1365" s="932"/>
      <c r="C1365" s="932"/>
      <c r="D1365" s="932"/>
      <c r="E1365" s="932"/>
      <c r="F1365" s="932"/>
      <c r="G1365" s="932"/>
      <c r="H1365" s="932"/>
      <c r="I1365" s="932"/>
      <c r="J1365" s="932"/>
      <c r="K1365" s="932"/>
      <c r="L1365" s="932"/>
      <c r="M1365" s="932"/>
      <c r="N1365" s="932"/>
      <c r="O1365" s="932"/>
      <c r="P1365" s="932"/>
      <c r="Q1365" s="932"/>
      <c r="R1365" s="932"/>
      <c r="S1365" s="932"/>
      <c r="T1365" s="932"/>
      <c r="U1365" s="932"/>
      <c r="V1365" s="932"/>
      <c r="W1365" s="932"/>
      <c r="X1365" s="932"/>
      <c r="Y1365" s="932"/>
      <c r="Z1365" s="932"/>
      <c r="AA1365" s="932"/>
      <c r="AB1365" s="932"/>
      <c r="AC1365" s="932"/>
      <c r="AD1365" s="932"/>
      <c r="AE1365" s="932"/>
      <c r="AF1365" s="932"/>
      <c r="AG1365" s="932"/>
      <c r="AH1365" s="932"/>
      <c r="AI1365" s="932"/>
      <c r="AJ1365" s="932"/>
      <c r="AK1365" s="932"/>
      <c r="AL1365" s="932"/>
      <c r="AM1365" s="932"/>
      <c r="AN1365" s="932"/>
      <c r="AO1365" s="932"/>
      <c r="AP1365" s="932"/>
      <c r="AQ1365" s="932"/>
      <c r="AR1365" s="932"/>
      <c r="AS1365" s="932"/>
      <c r="AT1365" s="932"/>
      <c r="AU1365" s="932"/>
      <c r="AV1365" s="932"/>
      <c r="AW1365" s="932"/>
      <c r="AX1365" s="932"/>
      <c r="AY1365" s="932"/>
      <c r="AZ1365" s="932"/>
      <c r="BA1365" s="932"/>
      <c r="BB1365" s="932"/>
      <c r="BC1365" s="932"/>
      <c r="BD1365" s="932"/>
      <c r="BE1365" s="932"/>
      <c r="BF1365" s="932"/>
    </row>
    <row r="1366" spans="2:58" ht="15" x14ac:dyDescent="0.25">
      <c r="B1366" s="932"/>
      <c r="C1366" s="932"/>
      <c r="D1366" s="932"/>
      <c r="E1366" s="932"/>
      <c r="F1366" s="932"/>
      <c r="G1366" s="932"/>
      <c r="H1366" s="932"/>
      <c r="I1366" s="932"/>
      <c r="J1366" s="932"/>
      <c r="K1366" s="932"/>
      <c r="L1366" s="932"/>
      <c r="M1366" s="932"/>
      <c r="N1366" s="932"/>
      <c r="O1366" s="932"/>
      <c r="P1366" s="932"/>
      <c r="Q1366" s="932"/>
      <c r="R1366" s="932"/>
      <c r="S1366" s="932"/>
      <c r="T1366" s="932"/>
      <c r="U1366" s="932"/>
      <c r="V1366" s="932"/>
      <c r="W1366" s="932"/>
      <c r="X1366" s="932"/>
      <c r="Y1366" s="932"/>
      <c r="Z1366" s="932"/>
      <c r="AA1366" s="932"/>
      <c r="AB1366" s="932"/>
      <c r="AC1366" s="932"/>
      <c r="AD1366" s="932"/>
      <c r="AE1366" s="932"/>
      <c r="AF1366" s="932"/>
      <c r="AG1366" s="932"/>
      <c r="AH1366" s="932"/>
      <c r="AI1366" s="932"/>
      <c r="AJ1366" s="932"/>
      <c r="AK1366" s="932"/>
      <c r="AL1366" s="932"/>
      <c r="AM1366" s="932"/>
      <c r="AN1366" s="932"/>
      <c r="AO1366" s="932"/>
      <c r="AP1366" s="932"/>
      <c r="AQ1366" s="932"/>
      <c r="AR1366" s="932"/>
      <c r="AS1366" s="932"/>
      <c r="AT1366" s="932"/>
      <c r="AU1366" s="932"/>
      <c r="AV1366" s="932"/>
      <c r="AW1366" s="932"/>
      <c r="AX1366" s="932"/>
      <c r="AY1366" s="932"/>
      <c r="AZ1366" s="932"/>
      <c r="BA1366" s="932"/>
      <c r="BB1366" s="932"/>
      <c r="BC1366" s="932"/>
      <c r="BD1366" s="932"/>
      <c r="BE1366" s="932"/>
      <c r="BF1366" s="932"/>
    </row>
    <row r="1367" spans="2:58" ht="15" x14ac:dyDescent="0.25">
      <c r="B1367" s="932"/>
      <c r="C1367" s="932"/>
      <c r="D1367" s="932"/>
      <c r="E1367" s="932"/>
      <c r="F1367" s="932"/>
      <c r="G1367" s="932"/>
      <c r="H1367" s="932"/>
      <c r="I1367" s="932"/>
      <c r="J1367" s="932"/>
      <c r="K1367" s="932"/>
      <c r="L1367" s="932"/>
      <c r="M1367" s="932"/>
      <c r="N1367" s="932"/>
      <c r="O1367" s="932"/>
      <c r="P1367" s="932"/>
      <c r="Q1367" s="932"/>
      <c r="R1367" s="932"/>
      <c r="S1367" s="932"/>
      <c r="T1367" s="932"/>
      <c r="U1367" s="932"/>
      <c r="V1367" s="932"/>
      <c r="W1367" s="932"/>
      <c r="X1367" s="932"/>
      <c r="Y1367" s="932"/>
      <c r="Z1367" s="932"/>
      <c r="AA1367" s="932"/>
      <c r="AB1367" s="932"/>
      <c r="AC1367" s="932"/>
      <c r="AD1367" s="932"/>
      <c r="AE1367" s="932"/>
      <c r="AF1367" s="932"/>
      <c r="AG1367" s="932"/>
      <c r="AH1367" s="932"/>
      <c r="AI1367" s="932"/>
      <c r="AJ1367" s="932"/>
      <c r="AK1367" s="932"/>
      <c r="AL1367" s="932"/>
      <c r="AM1367" s="932"/>
      <c r="AN1367" s="932"/>
      <c r="AO1367" s="932"/>
      <c r="AP1367" s="932"/>
      <c r="AQ1367" s="932"/>
      <c r="AR1367" s="932"/>
      <c r="AS1367" s="932"/>
      <c r="AT1367" s="932"/>
      <c r="AU1367" s="932"/>
      <c r="AV1367" s="932"/>
      <c r="AW1367" s="932"/>
      <c r="AX1367" s="932"/>
      <c r="AY1367" s="932"/>
      <c r="AZ1367" s="932"/>
      <c r="BA1367" s="932"/>
      <c r="BB1367" s="932"/>
      <c r="BC1367" s="932"/>
      <c r="BD1367" s="932"/>
      <c r="BE1367" s="932"/>
      <c r="BF1367" s="932"/>
    </row>
    <row r="1368" spans="2:58" ht="15" x14ac:dyDescent="0.25">
      <c r="B1368" s="932"/>
      <c r="C1368" s="932"/>
      <c r="D1368" s="932"/>
      <c r="E1368" s="932"/>
      <c r="F1368" s="932"/>
      <c r="G1368" s="932"/>
      <c r="H1368" s="932"/>
      <c r="I1368" s="932"/>
      <c r="J1368" s="932"/>
      <c r="K1368" s="932"/>
      <c r="L1368" s="932"/>
      <c r="M1368" s="932"/>
      <c r="N1368" s="932"/>
      <c r="O1368" s="932"/>
      <c r="P1368" s="932"/>
      <c r="Q1368" s="932"/>
      <c r="R1368" s="932"/>
      <c r="S1368" s="932"/>
      <c r="T1368" s="932"/>
      <c r="U1368" s="932"/>
      <c r="V1368" s="932"/>
      <c r="W1368" s="932"/>
      <c r="X1368" s="932"/>
      <c r="Y1368" s="932"/>
      <c r="Z1368" s="932"/>
      <c r="AA1368" s="932"/>
      <c r="AB1368" s="932"/>
      <c r="AC1368" s="932"/>
      <c r="AD1368" s="932"/>
      <c r="AE1368" s="932"/>
      <c r="AF1368" s="932"/>
      <c r="AG1368" s="932"/>
      <c r="AH1368" s="932"/>
      <c r="AI1368" s="932"/>
      <c r="AJ1368" s="932"/>
      <c r="AK1368" s="932"/>
      <c r="AL1368" s="932"/>
      <c r="AM1368" s="932"/>
      <c r="AN1368" s="932"/>
      <c r="AO1368" s="932"/>
      <c r="AP1368" s="932"/>
      <c r="AQ1368" s="932"/>
      <c r="AR1368" s="932"/>
      <c r="AS1368" s="932"/>
      <c r="AT1368" s="932"/>
      <c r="AU1368" s="932"/>
      <c r="AV1368" s="932"/>
      <c r="AW1368" s="932"/>
      <c r="AX1368" s="932"/>
      <c r="AY1368" s="932"/>
      <c r="AZ1368" s="932"/>
      <c r="BA1368" s="932"/>
      <c r="BB1368" s="932"/>
      <c r="BC1368" s="932"/>
      <c r="BD1368" s="932"/>
      <c r="BE1368" s="932"/>
      <c r="BF1368" s="932"/>
    </row>
    <row r="1369" spans="2:58" ht="15" x14ac:dyDescent="0.25">
      <c r="B1369" s="932"/>
      <c r="C1369" s="932"/>
      <c r="D1369" s="932"/>
      <c r="E1369" s="932"/>
      <c r="F1369" s="932"/>
      <c r="G1369" s="932"/>
      <c r="H1369" s="932"/>
      <c r="I1369" s="932"/>
      <c r="J1369" s="932"/>
      <c r="K1369" s="932"/>
      <c r="L1369" s="932"/>
      <c r="M1369" s="932"/>
      <c r="N1369" s="932"/>
      <c r="O1369" s="932"/>
      <c r="P1369" s="932"/>
      <c r="Q1369" s="932"/>
      <c r="R1369" s="932"/>
      <c r="S1369" s="932"/>
      <c r="T1369" s="932"/>
      <c r="U1369" s="932"/>
      <c r="V1369" s="932"/>
      <c r="W1369" s="932"/>
      <c r="X1369" s="932"/>
      <c r="Y1369" s="932"/>
      <c r="Z1369" s="932"/>
      <c r="AA1369" s="932"/>
      <c r="AB1369" s="932"/>
      <c r="AC1369" s="932"/>
      <c r="AD1369" s="932"/>
      <c r="AE1369" s="932"/>
      <c r="AF1369" s="932"/>
      <c r="AG1369" s="932"/>
      <c r="AH1369" s="932"/>
      <c r="AI1369" s="932"/>
      <c r="AJ1369" s="932"/>
      <c r="AK1369" s="932"/>
      <c r="AL1369" s="932"/>
      <c r="AM1369" s="932"/>
      <c r="AN1369" s="932"/>
      <c r="AO1369" s="932"/>
      <c r="AP1369" s="932"/>
      <c r="AQ1369" s="932"/>
      <c r="AR1369" s="932"/>
      <c r="AS1369" s="932"/>
      <c r="AT1369" s="932"/>
      <c r="AU1369" s="932"/>
      <c r="AV1369" s="932"/>
      <c r="AW1369" s="932"/>
      <c r="AX1369" s="932"/>
      <c r="AY1369" s="932"/>
      <c r="AZ1369" s="932"/>
      <c r="BA1369" s="932"/>
      <c r="BB1369" s="932"/>
      <c r="BC1369" s="932"/>
      <c r="BD1369" s="932"/>
      <c r="BE1369" s="932"/>
      <c r="BF1369" s="932"/>
    </row>
    <row r="1370" spans="2:58" ht="15" x14ac:dyDescent="0.25">
      <c r="B1370" s="932"/>
      <c r="C1370" s="932"/>
      <c r="D1370" s="932"/>
      <c r="E1370" s="932"/>
      <c r="F1370" s="932"/>
      <c r="G1370" s="932"/>
      <c r="H1370" s="932"/>
      <c r="I1370" s="932"/>
      <c r="J1370" s="932"/>
      <c r="K1370" s="932"/>
      <c r="L1370" s="932"/>
      <c r="M1370" s="932"/>
      <c r="N1370" s="932"/>
      <c r="O1370" s="932"/>
      <c r="P1370" s="932"/>
      <c r="Q1370" s="932"/>
      <c r="R1370" s="932"/>
      <c r="S1370" s="932"/>
      <c r="T1370" s="932"/>
      <c r="U1370" s="932"/>
      <c r="V1370" s="932"/>
      <c r="W1370" s="932"/>
      <c r="X1370" s="932"/>
      <c r="Y1370" s="932"/>
      <c r="Z1370" s="932"/>
      <c r="AA1370" s="932"/>
      <c r="AB1370" s="932"/>
      <c r="AC1370" s="932"/>
      <c r="AD1370" s="932"/>
      <c r="AE1370" s="932"/>
      <c r="AF1370" s="932"/>
      <c r="AG1370" s="932"/>
      <c r="AH1370" s="932"/>
      <c r="AI1370" s="932"/>
      <c r="AJ1370" s="932"/>
      <c r="AK1370" s="932"/>
      <c r="AL1370" s="932"/>
      <c r="AM1370" s="932"/>
      <c r="AN1370" s="932"/>
      <c r="AO1370" s="932"/>
      <c r="AP1370" s="932"/>
      <c r="AQ1370" s="932"/>
      <c r="AR1370" s="932"/>
      <c r="AS1370" s="932"/>
      <c r="AT1370" s="932"/>
      <c r="AU1370" s="932"/>
      <c r="AV1370" s="932"/>
      <c r="AW1370" s="932"/>
      <c r="AX1370" s="932"/>
      <c r="AY1370" s="932"/>
      <c r="AZ1370" s="932"/>
      <c r="BA1370" s="932"/>
      <c r="BB1370" s="932"/>
      <c r="BC1370" s="932"/>
      <c r="BD1370" s="932"/>
      <c r="BE1370" s="932"/>
      <c r="BF1370" s="932"/>
    </row>
    <row r="1371" spans="2:58" ht="15" x14ac:dyDescent="0.25">
      <c r="B1371" s="932"/>
      <c r="C1371" s="932"/>
      <c r="D1371" s="932"/>
      <c r="E1371" s="932"/>
      <c r="F1371" s="932"/>
      <c r="G1371" s="932"/>
      <c r="H1371" s="932"/>
      <c r="I1371" s="932"/>
      <c r="J1371" s="932"/>
      <c r="K1371" s="932"/>
      <c r="L1371" s="932"/>
      <c r="M1371" s="932"/>
      <c r="N1371" s="932"/>
      <c r="O1371" s="932"/>
      <c r="P1371" s="932"/>
      <c r="Q1371" s="932"/>
      <c r="R1371" s="932"/>
      <c r="S1371" s="932"/>
      <c r="T1371" s="932"/>
      <c r="U1371" s="932"/>
      <c r="V1371" s="932"/>
      <c r="W1371" s="932"/>
      <c r="X1371" s="932"/>
      <c r="Y1371" s="932"/>
      <c r="Z1371" s="932"/>
      <c r="AA1371" s="932"/>
      <c r="AB1371" s="932"/>
      <c r="AC1371" s="932"/>
      <c r="AD1371" s="932"/>
      <c r="AE1371" s="932"/>
      <c r="AF1371" s="932"/>
      <c r="AG1371" s="932"/>
      <c r="AH1371" s="932"/>
      <c r="AI1371" s="932"/>
      <c r="AJ1371" s="932"/>
      <c r="AK1371" s="932"/>
      <c r="AL1371" s="932"/>
      <c r="AM1371" s="932"/>
      <c r="AN1371" s="932"/>
      <c r="AO1371" s="932"/>
      <c r="AP1371" s="932"/>
      <c r="AQ1371" s="932"/>
      <c r="AR1371" s="932"/>
      <c r="AS1371" s="932"/>
      <c r="AT1371" s="932"/>
      <c r="AU1371" s="932"/>
      <c r="AV1371" s="932"/>
      <c r="AW1371" s="932"/>
      <c r="AX1371" s="932"/>
      <c r="AY1371" s="932"/>
      <c r="AZ1371" s="932"/>
      <c r="BA1371" s="932"/>
      <c r="BB1371" s="932"/>
      <c r="BC1371" s="932"/>
      <c r="BD1371" s="932"/>
      <c r="BE1371" s="932"/>
      <c r="BF1371" s="932"/>
    </row>
    <row r="1372" spans="2:58" ht="15" x14ac:dyDescent="0.25">
      <c r="B1372" s="932"/>
      <c r="C1372" s="932"/>
      <c r="D1372" s="932"/>
      <c r="E1372" s="932"/>
      <c r="F1372" s="932"/>
      <c r="G1372" s="932"/>
      <c r="H1372" s="932"/>
      <c r="I1372" s="932"/>
      <c r="J1372" s="932"/>
      <c r="K1372" s="932"/>
      <c r="L1372" s="932"/>
      <c r="M1372" s="932"/>
      <c r="N1372" s="932"/>
      <c r="O1372" s="932"/>
      <c r="P1372" s="932"/>
      <c r="Q1372" s="932"/>
      <c r="R1372" s="932"/>
      <c r="S1372" s="932"/>
      <c r="T1372" s="932"/>
      <c r="U1372" s="932"/>
      <c r="V1372" s="932"/>
      <c r="W1372" s="932"/>
      <c r="X1372" s="932"/>
      <c r="Y1372" s="932"/>
      <c r="Z1372" s="932"/>
      <c r="AA1372" s="932"/>
      <c r="AB1372" s="932"/>
      <c r="AC1372" s="932"/>
      <c r="AD1372" s="932"/>
      <c r="AE1372" s="932"/>
      <c r="AF1372" s="932"/>
      <c r="AG1372" s="932"/>
      <c r="AH1372" s="932"/>
      <c r="AI1372" s="932"/>
      <c r="AJ1372" s="932"/>
      <c r="AK1372" s="932"/>
      <c r="AL1372" s="932"/>
      <c r="AM1372" s="932"/>
      <c r="AN1372" s="932"/>
      <c r="AO1372" s="932"/>
      <c r="AP1372" s="932"/>
      <c r="AQ1372" s="932"/>
      <c r="AR1372" s="932"/>
      <c r="AS1372" s="932"/>
      <c r="AT1372" s="932"/>
      <c r="AU1372" s="932"/>
      <c r="AV1372" s="932"/>
      <c r="AW1372" s="932"/>
      <c r="AX1372" s="932"/>
      <c r="AY1372" s="932"/>
      <c r="AZ1372" s="932"/>
      <c r="BA1372" s="932"/>
      <c r="BB1372" s="932"/>
      <c r="BC1372" s="932"/>
      <c r="BD1372" s="932"/>
      <c r="BE1372" s="932"/>
      <c r="BF1372" s="932"/>
    </row>
    <row r="1373" spans="2:58" ht="15" x14ac:dyDescent="0.25">
      <c r="B1373" s="932"/>
      <c r="C1373" s="932"/>
      <c r="D1373" s="932"/>
      <c r="E1373" s="932"/>
      <c r="F1373" s="932"/>
      <c r="G1373" s="932"/>
      <c r="H1373" s="932"/>
      <c r="I1373" s="932"/>
      <c r="J1373" s="932"/>
      <c r="K1373" s="932"/>
      <c r="L1373" s="932"/>
      <c r="M1373" s="932"/>
      <c r="N1373" s="932"/>
      <c r="O1373" s="932"/>
      <c r="P1373" s="932"/>
      <c r="Q1373" s="932"/>
      <c r="R1373" s="932"/>
      <c r="S1373" s="932"/>
      <c r="T1373" s="932"/>
      <c r="U1373" s="932"/>
      <c r="V1373" s="932"/>
      <c r="W1373" s="932"/>
      <c r="X1373" s="932"/>
      <c r="Y1373" s="932"/>
      <c r="Z1373" s="932"/>
      <c r="AA1373" s="932"/>
      <c r="AB1373" s="932"/>
      <c r="AC1373" s="932"/>
      <c r="AD1373" s="932"/>
      <c r="AE1373" s="932"/>
      <c r="AF1373" s="932"/>
      <c r="AG1373" s="932"/>
      <c r="AH1373" s="932"/>
      <c r="AI1373" s="932"/>
      <c r="AJ1373" s="932"/>
      <c r="AK1373" s="932"/>
      <c r="AL1373" s="932"/>
      <c r="AM1373" s="932"/>
      <c r="AN1373" s="932"/>
      <c r="AO1373" s="932"/>
      <c r="AP1373" s="932"/>
      <c r="AQ1373" s="932"/>
      <c r="AR1373" s="932"/>
      <c r="AS1373" s="932"/>
      <c r="AT1373" s="932"/>
      <c r="AU1373" s="932"/>
      <c r="AV1373" s="932"/>
      <c r="AW1373" s="932"/>
      <c r="AX1373" s="932"/>
      <c r="AY1373" s="932"/>
      <c r="AZ1373" s="932"/>
      <c r="BA1373" s="932"/>
      <c r="BB1373" s="932"/>
      <c r="BC1373" s="932"/>
      <c r="BD1373" s="932"/>
      <c r="BE1373" s="932"/>
      <c r="BF1373" s="932"/>
    </row>
    <row r="1374" spans="2:58" ht="15" x14ac:dyDescent="0.25">
      <c r="B1374" s="932"/>
      <c r="C1374" s="932"/>
      <c r="D1374" s="932"/>
      <c r="E1374" s="932"/>
      <c r="F1374" s="932"/>
      <c r="G1374" s="932"/>
      <c r="H1374" s="932"/>
      <c r="I1374" s="932"/>
      <c r="J1374" s="932"/>
      <c r="K1374" s="932"/>
      <c r="L1374" s="932"/>
      <c r="M1374" s="932"/>
      <c r="N1374" s="932"/>
      <c r="O1374" s="932"/>
      <c r="P1374" s="932"/>
      <c r="Q1374" s="932"/>
      <c r="R1374" s="932"/>
      <c r="S1374" s="932"/>
      <c r="T1374" s="932"/>
      <c r="U1374" s="932"/>
      <c r="V1374" s="932"/>
      <c r="W1374" s="932"/>
      <c r="X1374" s="932"/>
      <c r="Y1374" s="932"/>
      <c r="Z1374" s="932"/>
      <c r="AA1374" s="932"/>
      <c r="AB1374" s="932"/>
      <c r="AC1374" s="932"/>
      <c r="AD1374" s="932"/>
      <c r="AE1374" s="932"/>
      <c r="AF1374" s="932"/>
      <c r="AG1374" s="932"/>
      <c r="AH1374" s="932"/>
      <c r="AI1374" s="932"/>
      <c r="AJ1374" s="932"/>
      <c r="AK1374" s="932"/>
      <c r="AL1374" s="932"/>
      <c r="AM1374" s="932"/>
      <c r="AN1374" s="932"/>
      <c r="AO1374" s="932"/>
      <c r="AP1374" s="932"/>
      <c r="AQ1374" s="932"/>
      <c r="AR1374" s="932"/>
      <c r="AS1374" s="932"/>
      <c r="AT1374" s="932"/>
      <c r="AU1374" s="932"/>
      <c r="AV1374" s="932"/>
      <c r="AW1374" s="932"/>
      <c r="AX1374" s="932"/>
      <c r="AY1374" s="932"/>
      <c r="AZ1374" s="932"/>
      <c r="BA1374" s="932"/>
      <c r="BB1374" s="932"/>
      <c r="BC1374" s="932"/>
      <c r="BD1374" s="932"/>
      <c r="BE1374" s="932"/>
      <c r="BF1374" s="932"/>
    </row>
    <row r="1375" spans="2:58" ht="15" x14ac:dyDescent="0.25">
      <c r="B1375" s="932"/>
      <c r="C1375" s="932"/>
      <c r="D1375" s="932"/>
      <c r="E1375" s="932"/>
      <c r="F1375" s="932"/>
      <c r="G1375" s="932"/>
      <c r="H1375" s="932"/>
      <c r="I1375" s="932"/>
      <c r="J1375" s="932"/>
      <c r="K1375" s="932"/>
      <c r="L1375" s="932"/>
      <c r="M1375" s="932"/>
      <c r="N1375" s="932"/>
      <c r="O1375" s="932"/>
      <c r="P1375" s="932"/>
      <c r="Q1375" s="932"/>
      <c r="R1375" s="932"/>
      <c r="S1375" s="932"/>
      <c r="T1375" s="932"/>
      <c r="U1375" s="932"/>
      <c r="V1375" s="932"/>
      <c r="W1375" s="932"/>
      <c r="X1375" s="932"/>
      <c r="Y1375" s="932"/>
      <c r="Z1375" s="932"/>
      <c r="AA1375" s="932"/>
      <c r="AB1375" s="932"/>
      <c r="AC1375" s="932"/>
      <c r="AD1375" s="932"/>
      <c r="AE1375" s="932"/>
      <c r="AF1375" s="932"/>
      <c r="AG1375" s="932"/>
      <c r="AH1375" s="932"/>
      <c r="AI1375" s="932"/>
      <c r="AJ1375" s="932"/>
      <c r="AK1375" s="932"/>
      <c r="AL1375" s="932"/>
      <c r="AM1375" s="932"/>
      <c r="AN1375" s="932"/>
      <c r="AO1375" s="932"/>
      <c r="AP1375" s="932"/>
      <c r="AQ1375" s="932"/>
      <c r="AR1375" s="932"/>
      <c r="AS1375" s="932"/>
      <c r="AT1375" s="932"/>
      <c r="AU1375" s="932"/>
      <c r="AV1375" s="932"/>
      <c r="AW1375" s="932"/>
      <c r="AX1375" s="932"/>
      <c r="AY1375" s="932"/>
      <c r="AZ1375" s="932"/>
      <c r="BA1375" s="932"/>
      <c r="BB1375" s="932"/>
      <c r="BC1375" s="932"/>
      <c r="BD1375" s="932"/>
      <c r="BE1375" s="932"/>
      <c r="BF1375" s="932"/>
    </row>
    <row r="1376" spans="2:58" ht="15" x14ac:dyDescent="0.25">
      <c r="B1376" s="932"/>
      <c r="C1376" s="932"/>
      <c r="D1376" s="932"/>
      <c r="E1376" s="932"/>
      <c r="F1376" s="932"/>
      <c r="G1376" s="932"/>
      <c r="H1376" s="932"/>
      <c r="I1376" s="932"/>
      <c r="J1376" s="932"/>
      <c r="K1376" s="932"/>
      <c r="L1376" s="932"/>
      <c r="M1376" s="932"/>
      <c r="N1376" s="932"/>
      <c r="O1376" s="932"/>
      <c r="P1376" s="932"/>
      <c r="Q1376" s="932"/>
      <c r="R1376" s="932"/>
      <c r="S1376" s="932"/>
      <c r="T1376" s="932"/>
      <c r="U1376" s="932"/>
      <c r="V1376" s="932"/>
      <c r="W1376" s="932"/>
      <c r="X1376" s="932"/>
      <c r="Y1376" s="932"/>
      <c r="Z1376" s="932"/>
      <c r="AA1376" s="932"/>
      <c r="AB1376" s="932"/>
      <c r="AC1376" s="932"/>
      <c r="AD1376" s="932"/>
      <c r="AE1376" s="932"/>
      <c r="AF1376" s="932"/>
      <c r="AG1376" s="932"/>
      <c r="AH1376" s="932"/>
      <c r="AI1376" s="932"/>
      <c r="AJ1376" s="932"/>
      <c r="AK1376" s="932"/>
      <c r="AL1376" s="932"/>
      <c r="AM1376" s="932"/>
      <c r="AN1376" s="932"/>
      <c r="AO1376" s="932"/>
      <c r="AP1376" s="932"/>
      <c r="AQ1376" s="932"/>
      <c r="AR1376" s="932"/>
      <c r="AS1376" s="932"/>
      <c r="AT1376" s="932"/>
      <c r="AU1376" s="932"/>
      <c r="AV1376" s="932"/>
      <c r="AW1376" s="932"/>
      <c r="AX1376" s="932"/>
      <c r="AY1376" s="932"/>
      <c r="AZ1376" s="932"/>
      <c r="BA1376" s="932"/>
      <c r="BB1376" s="932"/>
      <c r="BC1376" s="932"/>
      <c r="BD1376" s="932"/>
      <c r="BE1376" s="932"/>
      <c r="BF1376" s="932"/>
    </row>
    <row r="1377" spans="2:58" ht="15" x14ac:dyDescent="0.25">
      <c r="B1377" s="932"/>
      <c r="C1377" s="932"/>
      <c r="D1377" s="932"/>
      <c r="E1377" s="932"/>
      <c r="F1377" s="932"/>
      <c r="G1377" s="932"/>
      <c r="H1377" s="932"/>
      <c r="I1377" s="932"/>
      <c r="J1377" s="932"/>
      <c r="K1377" s="932"/>
      <c r="L1377" s="932"/>
      <c r="M1377" s="932"/>
      <c r="N1377" s="932"/>
      <c r="O1377" s="932"/>
      <c r="P1377" s="932"/>
      <c r="Q1377" s="932"/>
      <c r="R1377" s="932"/>
      <c r="S1377" s="932"/>
      <c r="T1377" s="932"/>
      <c r="U1377" s="932"/>
      <c r="V1377" s="932"/>
      <c r="W1377" s="932"/>
      <c r="X1377" s="932"/>
      <c r="Y1377" s="932"/>
      <c r="Z1377" s="932"/>
      <c r="AA1377" s="932"/>
      <c r="AB1377" s="932"/>
      <c r="AC1377" s="932"/>
      <c r="AD1377" s="932"/>
      <c r="AE1377" s="932"/>
      <c r="AF1377" s="932"/>
      <c r="AG1377" s="932"/>
      <c r="AH1377" s="932"/>
      <c r="AI1377" s="932"/>
      <c r="AJ1377" s="932"/>
      <c r="AK1377" s="932"/>
      <c r="AL1377" s="932"/>
      <c r="AM1377" s="932"/>
      <c r="AN1377" s="932"/>
      <c r="AO1377" s="932"/>
      <c r="AP1377" s="932"/>
      <c r="AQ1377" s="932"/>
      <c r="AR1377" s="932"/>
      <c r="AS1377" s="932"/>
      <c r="AT1377" s="932"/>
      <c r="AU1377" s="932"/>
      <c r="AV1377" s="932"/>
      <c r="AW1377" s="932"/>
      <c r="AX1377" s="932"/>
      <c r="AY1377" s="932"/>
      <c r="AZ1377" s="932"/>
      <c r="BA1377" s="932"/>
      <c r="BB1377" s="932"/>
      <c r="BC1377" s="932"/>
      <c r="BD1377" s="932"/>
      <c r="BE1377" s="932"/>
      <c r="BF1377" s="932"/>
    </row>
    <row r="1378" spans="2:58" ht="15" x14ac:dyDescent="0.25">
      <c r="B1378" s="932"/>
      <c r="C1378" s="932"/>
      <c r="D1378" s="932"/>
      <c r="E1378" s="932"/>
      <c r="F1378" s="932"/>
      <c r="G1378" s="932"/>
      <c r="H1378" s="932"/>
      <c r="I1378" s="932"/>
      <c r="J1378" s="932"/>
      <c r="K1378" s="932"/>
      <c r="L1378" s="932"/>
      <c r="M1378" s="932"/>
      <c r="N1378" s="932"/>
      <c r="O1378" s="932"/>
      <c r="P1378" s="932"/>
      <c r="Q1378" s="932"/>
      <c r="R1378" s="932"/>
      <c r="S1378" s="932"/>
      <c r="T1378" s="932"/>
      <c r="U1378" s="932"/>
      <c r="V1378" s="932"/>
      <c r="W1378" s="932"/>
      <c r="X1378" s="932"/>
      <c r="Y1378" s="932"/>
      <c r="Z1378" s="932"/>
      <c r="AA1378" s="932"/>
      <c r="AB1378" s="932"/>
      <c r="AC1378" s="932"/>
      <c r="AD1378" s="932"/>
      <c r="AE1378" s="932"/>
      <c r="AF1378" s="932"/>
      <c r="AG1378" s="932"/>
      <c r="AH1378" s="932"/>
      <c r="AI1378" s="932"/>
      <c r="AJ1378" s="932"/>
      <c r="AK1378" s="932"/>
      <c r="AL1378" s="932"/>
      <c r="AM1378" s="932"/>
      <c r="AN1378" s="932"/>
      <c r="AO1378" s="932"/>
      <c r="AP1378" s="932"/>
      <c r="AQ1378" s="932"/>
      <c r="AR1378" s="932"/>
      <c r="AS1378" s="932"/>
      <c r="AT1378" s="932"/>
      <c r="AU1378" s="932"/>
      <c r="AV1378" s="932"/>
      <c r="AW1378" s="932"/>
      <c r="AX1378" s="932"/>
      <c r="AY1378" s="932"/>
      <c r="AZ1378" s="932"/>
      <c r="BA1378" s="932"/>
      <c r="BB1378" s="932"/>
      <c r="BC1378" s="932"/>
      <c r="BD1378" s="932"/>
      <c r="BE1378" s="932"/>
      <c r="BF1378" s="932"/>
    </row>
    <row r="1379" spans="2:58" ht="15" x14ac:dyDescent="0.25">
      <c r="B1379" s="932"/>
      <c r="C1379" s="932"/>
      <c r="D1379" s="932"/>
      <c r="E1379" s="932"/>
      <c r="F1379" s="932"/>
      <c r="G1379" s="932"/>
      <c r="H1379" s="932"/>
      <c r="I1379" s="932"/>
      <c r="J1379" s="932"/>
      <c r="K1379" s="932"/>
      <c r="L1379" s="932"/>
      <c r="M1379" s="932"/>
      <c r="N1379" s="932"/>
      <c r="O1379" s="932"/>
      <c r="P1379" s="932"/>
      <c r="Q1379" s="932"/>
      <c r="R1379" s="932"/>
      <c r="S1379" s="932"/>
      <c r="T1379" s="932"/>
      <c r="U1379" s="932"/>
      <c r="V1379" s="932"/>
      <c r="W1379" s="932"/>
      <c r="X1379" s="932"/>
      <c r="Y1379" s="932"/>
      <c r="Z1379" s="932"/>
      <c r="AA1379" s="932"/>
      <c r="AB1379" s="932"/>
      <c r="AC1379" s="932"/>
      <c r="AD1379" s="932"/>
      <c r="AE1379" s="932"/>
      <c r="AF1379" s="932"/>
      <c r="AG1379" s="932"/>
      <c r="AH1379" s="932"/>
      <c r="AI1379" s="932"/>
      <c r="AJ1379" s="932"/>
      <c r="AK1379" s="932"/>
      <c r="AL1379" s="932"/>
      <c r="AM1379" s="932"/>
      <c r="AN1379" s="932"/>
      <c r="AO1379" s="932"/>
      <c r="AP1379" s="932"/>
      <c r="AQ1379" s="932"/>
      <c r="AR1379" s="932"/>
      <c r="AS1379" s="932"/>
      <c r="AT1379" s="932"/>
      <c r="AU1379" s="932"/>
      <c r="AV1379" s="932"/>
      <c r="AW1379" s="932"/>
      <c r="AX1379" s="932"/>
      <c r="AY1379" s="932"/>
      <c r="AZ1379" s="932"/>
      <c r="BA1379" s="932"/>
      <c r="BB1379" s="932"/>
      <c r="BC1379" s="932"/>
      <c r="BD1379" s="932"/>
      <c r="BE1379" s="932"/>
      <c r="BF1379" s="932"/>
    </row>
    <row r="1380" spans="2:58" ht="15" x14ac:dyDescent="0.25">
      <c r="B1380" s="932"/>
      <c r="C1380" s="932"/>
      <c r="D1380" s="932"/>
      <c r="E1380" s="932"/>
      <c r="F1380" s="932"/>
      <c r="G1380" s="932"/>
      <c r="H1380" s="932"/>
      <c r="I1380" s="932"/>
      <c r="J1380" s="932"/>
      <c r="K1380" s="932"/>
      <c r="L1380" s="932"/>
      <c r="M1380" s="932"/>
      <c r="N1380" s="932"/>
      <c r="O1380" s="932"/>
      <c r="P1380" s="932"/>
      <c r="Q1380" s="932"/>
      <c r="R1380" s="932"/>
      <c r="S1380" s="932"/>
      <c r="T1380" s="932"/>
      <c r="U1380" s="932"/>
      <c r="V1380" s="932"/>
      <c r="W1380" s="932"/>
      <c r="X1380" s="932"/>
      <c r="Y1380" s="932"/>
      <c r="Z1380" s="932"/>
      <c r="AA1380" s="932"/>
      <c r="AB1380" s="932"/>
      <c r="AC1380" s="932"/>
      <c r="AD1380" s="932"/>
      <c r="AE1380" s="932"/>
      <c r="AF1380" s="932"/>
      <c r="AG1380" s="932"/>
      <c r="AH1380" s="932"/>
      <c r="AI1380" s="932"/>
      <c r="AJ1380" s="932"/>
      <c r="AK1380" s="932"/>
      <c r="AL1380" s="932"/>
      <c r="AM1380" s="932"/>
      <c r="AN1380" s="932"/>
      <c r="AO1380" s="932"/>
      <c r="AP1380" s="932"/>
      <c r="AQ1380" s="932"/>
      <c r="AR1380" s="932"/>
      <c r="AS1380" s="932"/>
      <c r="AT1380" s="932"/>
      <c r="AU1380" s="932"/>
      <c r="AV1380" s="932"/>
      <c r="AW1380" s="932"/>
      <c r="AX1380" s="932"/>
      <c r="AY1380" s="932"/>
      <c r="AZ1380" s="932"/>
      <c r="BA1380" s="932"/>
      <c r="BB1380" s="932"/>
      <c r="BC1380" s="932"/>
      <c r="BD1380" s="932"/>
      <c r="BE1380" s="932"/>
      <c r="BF1380" s="932"/>
    </row>
    <row r="1381" spans="2:58" ht="15" x14ac:dyDescent="0.25">
      <c r="B1381" s="932"/>
      <c r="C1381" s="932"/>
      <c r="D1381" s="932"/>
      <c r="E1381" s="932"/>
      <c r="F1381" s="932"/>
      <c r="G1381" s="932"/>
      <c r="H1381" s="932"/>
      <c r="I1381" s="932"/>
      <c r="J1381" s="932"/>
      <c r="K1381" s="932"/>
      <c r="L1381" s="932"/>
      <c r="M1381" s="932"/>
      <c r="N1381" s="932"/>
      <c r="O1381" s="932"/>
      <c r="P1381" s="932"/>
      <c r="Q1381" s="932"/>
      <c r="R1381" s="932"/>
      <c r="S1381" s="932"/>
      <c r="T1381" s="932"/>
      <c r="U1381" s="932"/>
      <c r="V1381" s="932"/>
      <c r="W1381" s="932"/>
      <c r="X1381" s="932"/>
      <c r="Y1381" s="932"/>
      <c r="Z1381" s="932"/>
      <c r="AA1381" s="932"/>
      <c r="AB1381" s="932"/>
      <c r="AC1381" s="932"/>
      <c r="AD1381" s="932"/>
      <c r="AE1381" s="932"/>
      <c r="AF1381" s="932"/>
      <c r="AG1381" s="932"/>
      <c r="AH1381" s="932"/>
      <c r="AI1381" s="932"/>
      <c r="AJ1381" s="932"/>
      <c r="AK1381" s="932"/>
      <c r="AL1381" s="932"/>
      <c r="AM1381" s="932"/>
      <c r="AN1381" s="932"/>
      <c r="AO1381" s="932"/>
      <c r="AP1381" s="932"/>
      <c r="AQ1381" s="932"/>
      <c r="AR1381" s="932"/>
      <c r="AS1381" s="932"/>
      <c r="AT1381" s="932"/>
      <c r="AU1381" s="932"/>
      <c r="AV1381" s="932"/>
      <c r="AW1381" s="932"/>
      <c r="AX1381" s="932"/>
      <c r="AY1381" s="932"/>
      <c r="AZ1381" s="932"/>
      <c r="BA1381" s="932"/>
      <c r="BB1381" s="932"/>
      <c r="BC1381" s="932"/>
      <c r="BD1381" s="932"/>
      <c r="BE1381" s="932"/>
      <c r="BF1381" s="932"/>
    </row>
    <row r="1382" spans="2:58" ht="15" x14ac:dyDescent="0.25">
      <c r="B1382" s="932"/>
      <c r="C1382" s="932"/>
      <c r="D1382" s="932"/>
      <c r="E1382" s="932"/>
      <c r="F1382" s="932"/>
      <c r="G1382" s="932"/>
      <c r="H1382" s="932"/>
      <c r="I1382" s="932"/>
      <c r="J1382" s="932"/>
      <c r="K1382" s="932"/>
      <c r="L1382" s="932"/>
      <c r="M1382" s="932"/>
      <c r="N1382" s="932"/>
      <c r="O1382" s="932"/>
      <c r="P1382" s="932"/>
      <c r="Q1382" s="932"/>
      <c r="R1382" s="932"/>
      <c r="S1382" s="932"/>
      <c r="T1382" s="932"/>
      <c r="U1382" s="932"/>
      <c r="V1382" s="932"/>
      <c r="W1382" s="932"/>
      <c r="X1382" s="932"/>
      <c r="Y1382" s="932"/>
      <c r="Z1382" s="932"/>
      <c r="AA1382" s="932"/>
      <c r="AB1382" s="932"/>
      <c r="AC1382" s="932"/>
      <c r="AD1382" s="932"/>
      <c r="AE1382" s="932"/>
      <c r="AF1382" s="932"/>
      <c r="AG1382" s="932"/>
      <c r="AH1382" s="932"/>
      <c r="AI1382" s="932"/>
      <c r="AJ1382" s="932"/>
      <c r="AK1382" s="932"/>
      <c r="AL1382" s="932"/>
      <c r="AM1382" s="932"/>
      <c r="AN1382" s="932"/>
      <c r="AO1382" s="932"/>
      <c r="AP1382" s="932"/>
      <c r="AQ1382" s="932"/>
      <c r="AR1382" s="932"/>
      <c r="AS1382" s="932"/>
      <c r="AT1382" s="932"/>
      <c r="AU1382" s="932"/>
      <c r="AV1382" s="932"/>
      <c r="AW1382" s="932"/>
      <c r="AX1382" s="932"/>
      <c r="AY1382" s="932"/>
      <c r="AZ1382" s="932"/>
      <c r="BA1382" s="932"/>
      <c r="BB1382" s="932"/>
      <c r="BC1382" s="932"/>
      <c r="BD1382" s="932"/>
      <c r="BE1382" s="932"/>
      <c r="BF1382" s="932"/>
    </row>
    <row r="1383" spans="2:58" ht="15" x14ac:dyDescent="0.25">
      <c r="B1383" s="932"/>
      <c r="C1383" s="932"/>
      <c r="D1383" s="932"/>
      <c r="E1383" s="932"/>
      <c r="F1383" s="932"/>
      <c r="G1383" s="932"/>
      <c r="H1383" s="932"/>
      <c r="I1383" s="932"/>
      <c r="J1383" s="932"/>
      <c r="K1383" s="932"/>
      <c r="L1383" s="932"/>
      <c r="M1383" s="932"/>
      <c r="N1383" s="932"/>
      <c r="O1383" s="932"/>
      <c r="P1383" s="932"/>
      <c r="Q1383" s="932"/>
      <c r="R1383" s="932"/>
      <c r="S1383" s="932"/>
      <c r="T1383" s="932"/>
      <c r="U1383" s="932"/>
      <c r="V1383" s="932"/>
      <c r="W1383" s="932"/>
      <c r="X1383" s="932"/>
      <c r="Y1383" s="932"/>
      <c r="Z1383" s="932"/>
      <c r="AA1383" s="932"/>
      <c r="AB1383" s="932"/>
      <c r="AC1383" s="932"/>
      <c r="AD1383" s="932"/>
      <c r="AE1383" s="932"/>
      <c r="AF1383" s="932"/>
      <c r="AG1383" s="932"/>
      <c r="AH1383" s="932"/>
      <c r="AI1383" s="932"/>
      <c r="AJ1383" s="932"/>
      <c r="AK1383" s="932"/>
      <c r="AL1383" s="932"/>
      <c r="AM1383" s="932"/>
      <c r="AN1383" s="932"/>
      <c r="AO1383" s="932"/>
      <c r="AP1383" s="932"/>
      <c r="AQ1383" s="932"/>
      <c r="AR1383" s="932"/>
      <c r="AS1383" s="932"/>
      <c r="AT1383" s="932"/>
      <c r="AU1383" s="932"/>
      <c r="AV1383" s="932"/>
      <c r="AW1383" s="932"/>
      <c r="AX1383" s="932"/>
      <c r="AY1383" s="932"/>
      <c r="AZ1383" s="932"/>
      <c r="BA1383" s="932"/>
      <c r="BB1383" s="932"/>
      <c r="BC1383" s="932"/>
      <c r="BD1383" s="932"/>
      <c r="BE1383" s="932"/>
      <c r="BF1383" s="932"/>
    </row>
    <row r="1384" spans="2:58" ht="15" x14ac:dyDescent="0.25">
      <c r="B1384" s="932"/>
      <c r="C1384" s="932"/>
      <c r="D1384" s="932"/>
      <c r="E1384" s="932"/>
      <c r="F1384" s="932"/>
      <c r="G1384" s="932"/>
      <c r="H1384" s="932"/>
      <c r="I1384" s="932"/>
      <c r="J1384" s="932"/>
      <c r="K1384" s="932"/>
      <c r="L1384" s="932"/>
      <c r="M1384" s="932"/>
      <c r="N1384" s="932"/>
      <c r="O1384" s="932"/>
      <c r="P1384" s="932"/>
      <c r="Q1384" s="932"/>
      <c r="R1384" s="932"/>
      <c r="S1384" s="932"/>
      <c r="T1384" s="932"/>
      <c r="U1384" s="932"/>
      <c r="V1384" s="932"/>
      <c r="W1384" s="932"/>
      <c r="X1384" s="932"/>
      <c r="Y1384" s="932"/>
      <c r="Z1384" s="932"/>
      <c r="AA1384" s="932"/>
      <c r="AB1384" s="932"/>
      <c r="AC1384" s="932"/>
      <c r="AD1384" s="932"/>
      <c r="AE1384" s="932"/>
      <c r="AF1384" s="932"/>
      <c r="AG1384" s="932"/>
      <c r="AH1384" s="932"/>
      <c r="AI1384" s="932"/>
      <c r="AJ1384" s="932"/>
      <c r="AK1384" s="932"/>
      <c r="AL1384" s="932"/>
      <c r="AM1384" s="932"/>
      <c r="AN1384" s="932"/>
      <c r="AO1384" s="932"/>
      <c r="AP1384" s="932"/>
      <c r="AQ1384" s="932"/>
      <c r="AR1384" s="932"/>
      <c r="AS1384" s="932"/>
      <c r="AT1384" s="932"/>
      <c r="AU1384" s="932"/>
      <c r="AV1384" s="932"/>
      <c r="AW1384" s="932"/>
      <c r="AX1384" s="932"/>
      <c r="AY1384" s="932"/>
      <c r="AZ1384" s="932"/>
      <c r="BA1384" s="932"/>
      <c r="BB1384" s="932"/>
      <c r="BC1384" s="932"/>
      <c r="BD1384" s="932"/>
      <c r="BE1384" s="932"/>
      <c r="BF1384" s="932"/>
    </row>
    <row r="1385" spans="2:58" ht="15" x14ac:dyDescent="0.25">
      <c r="B1385" s="932"/>
      <c r="C1385" s="932"/>
      <c r="D1385" s="932"/>
      <c r="E1385" s="932"/>
      <c r="F1385" s="932"/>
      <c r="G1385" s="932"/>
      <c r="H1385" s="932"/>
      <c r="I1385" s="932"/>
      <c r="J1385" s="932"/>
      <c r="K1385" s="932"/>
      <c r="L1385" s="932"/>
      <c r="M1385" s="932"/>
      <c r="N1385" s="932"/>
      <c r="O1385" s="932"/>
      <c r="P1385" s="932"/>
      <c r="Q1385" s="932"/>
      <c r="R1385" s="932"/>
      <c r="S1385" s="932"/>
      <c r="T1385" s="932"/>
      <c r="U1385" s="932"/>
      <c r="V1385" s="932"/>
      <c r="W1385" s="932"/>
      <c r="X1385" s="932"/>
      <c r="Y1385" s="932"/>
      <c r="Z1385" s="932"/>
      <c r="AA1385" s="932"/>
      <c r="AB1385" s="932"/>
      <c r="AC1385" s="932"/>
      <c r="AD1385" s="932"/>
      <c r="AE1385" s="932"/>
      <c r="AF1385" s="932"/>
      <c r="AG1385" s="932"/>
      <c r="AH1385" s="932"/>
      <c r="AI1385" s="932"/>
      <c r="AJ1385" s="932"/>
      <c r="AK1385" s="932"/>
      <c r="AL1385" s="932"/>
      <c r="AM1385" s="932"/>
      <c r="AN1385" s="932"/>
      <c r="AO1385" s="932"/>
      <c r="AP1385" s="932"/>
      <c r="AQ1385" s="932"/>
      <c r="AR1385" s="932"/>
      <c r="AS1385" s="932"/>
      <c r="AT1385" s="932"/>
      <c r="AU1385" s="932"/>
      <c r="AV1385" s="932"/>
      <c r="AW1385" s="932"/>
      <c r="AX1385" s="932"/>
      <c r="AY1385" s="932"/>
      <c r="AZ1385" s="932"/>
      <c r="BA1385" s="932"/>
      <c r="BB1385" s="932"/>
      <c r="BC1385" s="932"/>
      <c r="BD1385" s="932"/>
      <c r="BE1385" s="932"/>
      <c r="BF1385" s="932"/>
    </row>
    <row r="1386" spans="2:58" ht="15" x14ac:dyDescent="0.25">
      <c r="B1386" s="932"/>
      <c r="C1386" s="932"/>
      <c r="D1386" s="932"/>
      <c r="E1386" s="932"/>
      <c r="F1386" s="932"/>
      <c r="G1386" s="932"/>
      <c r="H1386" s="932"/>
      <c r="I1386" s="932"/>
      <c r="J1386" s="932"/>
      <c r="K1386" s="932"/>
      <c r="L1386" s="932"/>
      <c r="M1386" s="932"/>
      <c r="N1386" s="932"/>
      <c r="O1386" s="932"/>
      <c r="P1386" s="932"/>
      <c r="Q1386" s="932"/>
      <c r="R1386" s="932"/>
      <c r="S1386" s="932"/>
      <c r="T1386" s="932"/>
      <c r="U1386" s="932"/>
      <c r="V1386" s="932"/>
      <c r="W1386" s="932"/>
      <c r="X1386" s="932"/>
      <c r="Y1386" s="932"/>
      <c r="Z1386" s="932"/>
      <c r="AA1386" s="932"/>
      <c r="AB1386" s="932"/>
      <c r="AC1386" s="932"/>
      <c r="AD1386" s="932"/>
      <c r="AE1386" s="932"/>
      <c r="AF1386" s="932"/>
      <c r="AG1386" s="932"/>
      <c r="AH1386" s="932"/>
      <c r="AI1386" s="932"/>
      <c r="AJ1386" s="932"/>
      <c r="AK1386" s="932"/>
      <c r="AL1386" s="932"/>
      <c r="AM1386" s="932"/>
      <c r="AN1386" s="932"/>
      <c r="AO1386" s="932"/>
      <c r="AP1386" s="932"/>
      <c r="AQ1386" s="932"/>
      <c r="AR1386" s="932"/>
      <c r="AS1386" s="932"/>
      <c r="AT1386" s="932"/>
      <c r="AU1386" s="932"/>
      <c r="AV1386" s="932"/>
      <c r="AW1386" s="932"/>
      <c r="AX1386" s="932"/>
      <c r="AY1386" s="932"/>
      <c r="AZ1386" s="932"/>
      <c r="BA1386" s="932"/>
      <c r="BB1386" s="932"/>
      <c r="BC1386" s="932"/>
      <c r="BD1386" s="932"/>
      <c r="BE1386" s="932"/>
      <c r="BF1386" s="932"/>
    </row>
    <row r="1387" spans="2:58" ht="15" x14ac:dyDescent="0.25">
      <c r="B1387" s="932"/>
      <c r="C1387" s="932"/>
      <c r="D1387" s="932"/>
      <c r="E1387" s="932"/>
      <c r="F1387" s="932"/>
      <c r="G1387" s="932"/>
      <c r="H1387" s="932"/>
      <c r="I1387" s="932"/>
      <c r="J1387" s="932"/>
      <c r="K1387" s="932"/>
      <c r="L1387" s="932"/>
      <c r="M1387" s="932"/>
      <c r="N1387" s="932"/>
      <c r="O1387" s="932"/>
      <c r="P1387" s="932"/>
      <c r="Q1387" s="932"/>
      <c r="R1387" s="932"/>
      <c r="S1387" s="932"/>
      <c r="T1387" s="932"/>
      <c r="U1387" s="932"/>
      <c r="V1387" s="932"/>
      <c r="W1387" s="932"/>
      <c r="X1387" s="932"/>
      <c r="Y1387" s="932"/>
      <c r="Z1387" s="932"/>
      <c r="AA1387" s="932"/>
      <c r="AB1387" s="932"/>
      <c r="AC1387" s="932"/>
      <c r="AD1387" s="932"/>
      <c r="AE1387" s="932"/>
      <c r="AF1387" s="932"/>
      <c r="AG1387" s="932"/>
      <c r="AH1387" s="932"/>
      <c r="AI1387" s="932"/>
      <c r="AJ1387" s="932"/>
      <c r="AK1387" s="932"/>
      <c r="AL1387" s="932"/>
      <c r="AM1387" s="932"/>
      <c r="AN1387" s="932"/>
      <c r="AO1387" s="932"/>
      <c r="AP1387" s="932"/>
      <c r="AQ1387" s="932"/>
      <c r="AR1387" s="932"/>
      <c r="AS1387" s="932"/>
      <c r="AT1387" s="932"/>
      <c r="AU1387" s="932"/>
      <c r="AV1387" s="932"/>
      <c r="AW1387" s="932"/>
      <c r="AX1387" s="932"/>
      <c r="AY1387" s="932"/>
      <c r="AZ1387" s="932"/>
      <c r="BA1387" s="932"/>
      <c r="BB1387" s="932"/>
      <c r="BC1387" s="932"/>
      <c r="BD1387" s="932"/>
      <c r="BE1387" s="932"/>
      <c r="BF1387" s="932"/>
    </row>
    <row r="1388" spans="2:58" ht="15" x14ac:dyDescent="0.25">
      <c r="B1388" s="932"/>
      <c r="C1388" s="932"/>
      <c r="D1388" s="932"/>
      <c r="E1388" s="932"/>
      <c r="F1388" s="932"/>
      <c r="G1388" s="932"/>
      <c r="H1388" s="932"/>
      <c r="I1388" s="932"/>
      <c r="J1388" s="932"/>
      <c r="K1388" s="932"/>
      <c r="L1388" s="932"/>
      <c r="M1388" s="932"/>
      <c r="N1388" s="932"/>
      <c r="O1388" s="932"/>
      <c r="P1388" s="932"/>
      <c r="Q1388" s="932"/>
      <c r="R1388" s="932"/>
      <c r="S1388" s="932"/>
      <c r="T1388" s="932"/>
      <c r="U1388" s="932"/>
      <c r="V1388" s="932"/>
      <c r="W1388" s="932"/>
      <c r="X1388" s="932"/>
      <c r="Y1388" s="932"/>
      <c r="Z1388" s="932"/>
      <c r="AA1388" s="932"/>
      <c r="AB1388" s="932"/>
      <c r="AC1388" s="932"/>
      <c r="AD1388" s="932"/>
      <c r="AE1388" s="932"/>
      <c r="AF1388" s="932"/>
      <c r="AG1388" s="932"/>
      <c r="AH1388" s="932"/>
      <c r="AI1388" s="932"/>
      <c r="AJ1388" s="932"/>
      <c r="AK1388" s="932"/>
      <c r="AL1388" s="932"/>
      <c r="AM1388" s="932"/>
      <c r="AN1388" s="932"/>
      <c r="AO1388" s="932"/>
      <c r="AP1388" s="932"/>
      <c r="AQ1388" s="932"/>
      <c r="AR1388" s="932"/>
      <c r="AS1388" s="932"/>
      <c r="AT1388" s="932"/>
      <c r="AU1388" s="932"/>
      <c r="AV1388" s="932"/>
      <c r="AW1388" s="932"/>
      <c r="AX1388" s="932"/>
      <c r="AY1388" s="932"/>
      <c r="AZ1388" s="932"/>
      <c r="BA1388" s="932"/>
      <c r="BB1388" s="932"/>
      <c r="BC1388" s="932"/>
      <c r="BD1388" s="932"/>
      <c r="BE1388" s="932"/>
      <c r="BF1388" s="932"/>
    </row>
    <row r="1389" spans="2:58" ht="15" x14ac:dyDescent="0.25">
      <c r="B1389" s="932"/>
      <c r="C1389" s="932"/>
      <c r="D1389" s="932"/>
      <c r="E1389" s="932"/>
      <c r="F1389" s="932"/>
      <c r="G1389" s="932"/>
      <c r="H1389" s="932"/>
      <c r="I1389" s="932"/>
      <c r="J1389" s="932"/>
      <c r="K1389" s="932"/>
      <c r="L1389" s="932"/>
      <c r="M1389" s="932"/>
      <c r="N1389" s="932"/>
      <c r="O1389" s="932"/>
      <c r="P1389" s="932"/>
      <c r="Q1389" s="932"/>
      <c r="R1389" s="932"/>
      <c r="S1389" s="932"/>
      <c r="T1389" s="932"/>
      <c r="U1389" s="932"/>
      <c r="V1389" s="932"/>
      <c r="W1389" s="932"/>
      <c r="X1389" s="932"/>
      <c r="Y1389" s="932"/>
      <c r="Z1389" s="932"/>
      <c r="AA1389" s="932"/>
      <c r="AB1389" s="932"/>
      <c r="AC1389" s="932"/>
      <c r="AD1389" s="932"/>
      <c r="AE1389" s="932"/>
      <c r="AF1389" s="932"/>
      <c r="AG1389" s="932"/>
      <c r="AH1389" s="932"/>
      <c r="AI1389" s="932"/>
      <c r="AJ1389" s="932"/>
      <c r="AK1389" s="932"/>
      <c r="AL1389" s="932"/>
      <c r="AM1389" s="932"/>
      <c r="AN1389" s="932"/>
      <c r="AO1389" s="932"/>
      <c r="AP1389" s="932"/>
      <c r="AQ1389" s="932"/>
      <c r="AR1389" s="932"/>
      <c r="AS1389" s="932"/>
      <c r="AT1389" s="932"/>
      <c r="AU1389" s="932"/>
      <c r="AV1389" s="932"/>
      <c r="AW1389" s="932"/>
      <c r="AX1389" s="932"/>
      <c r="AY1389" s="932"/>
      <c r="AZ1389" s="932"/>
      <c r="BA1389" s="932"/>
      <c r="BB1389" s="932"/>
      <c r="BC1389" s="932"/>
      <c r="BD1389" s="932"/>
      <c r="BE1389" s="932"/>
      <c r="BF1389" s="932"/>
    </row>
    <row r="1390" spans="2:58" ht="15" x14ac:dyDescent="0.25">
      <c r="B1390" s="932"/>
      <c r="C1390" s="932"/>
      <c r="D1390" s="932"/>
      <c r="E1390" s="932"/>
      <c r="F1390" s="932"/>
      <c r="G1390" s="932"/>
      <c r="H1390" s="932"/>
      <c r="I1390" s="932"/>
      <c r="J1390" s="932"/>
      <c r="K1390" s="932"/>
      <c r="L1390" s="932"/>
      <c r="M1390" s="932"/>
      <c r="N1390" s="932"/>
      <c r="O1390" s="932"/>
      <c r="P1390" s="932"/>
      <c r="Q1390" s="932"/>
      <c r="R1390" s="932"/>
      <c r="S1390" s="932"/>
      <c r="T1390" s="932"/>
      <c r="U1390" s="932"/>
      <c r="V1390" s="932"/>
      <c r="W1390" s="932"/>
      <c r="X1390" s="932"/>
      <c r="Y1390" s="932"/>
      <c r="Z1390" s="932"/>
      <c r="AA1390" s="932"/>
      <c r="AB1390" s="932"/>
      <c r="AC1390" s="932"/>
      <c r="AD1390" s="932"/>
      <c r="AE1390" s="932"/>
      <c r="AF1390" s="932"/>
      <c r="AG1390" s="932"/>
      <c r="AH1390" s="932"/>
      <c r="AI1390" s="932"/>
      <c r="AJ1390" s="932"/>
      <c r="AK1390" s="932"/>
      <c r="AL1390" s="932"/>
      <c r="AM1390" s="932"/>
      <c r="AN1390" s="932"/>
      <c r="AO1390" s="932"/>
      <c r="AP1390" s="932"/>
      <c r="AQ1390" s="932"/>
      <c r="AR1390" s="932"/>
      <c r="AS1390" s="932"/>
      <c r="AT1390" s="932"/>
      <c r="AU1390" s="932"/>
      <c r="AV1390" s="932"/>
      <c r="AW1390" s="932"/>
      <c r="AX1390" s="932"/>
      <c r="AY1390" s="932"/>
      <c r="AZ1390" s="932"/>
      <c r="BA1390" s="932"/>
      <c r="BB1390" s="932"/>
      <c r="BC1390" s="932"/>
      <c r="BD1390" s="932"/>
      <c r="BE1390" s="932"/>
      <c r="BF1390" s="932"/>
    </row>
    <row r="1391" spans="2:58" ht="15" x14ac:dyDescent="0.25">
      <c r="B1391" s="932"/>
      <c r="C1391" s="932"/>
      <c r="D1391" s="932"/>
      <c r="E1391" s="932"/>
      <c r="F1391" s="932"/>
      <c r="G1391" s="932"/>
      <c r="H1391" s="932"/>
      <c r="I1391" s="932"/>
      <c r="J1391" s="932"/>
      <c r="K1391" s="932"/>
      <c r="L1391" s="932"/>
      <c r="M1391" s="932"/>
      <c r="N1391" s="932"/>
      <c r="O1391" s="932"/>
      <c r="P1391" s="932"/>
      <c r="Q1391" s="932"/>
      <c r="R1391" s="932"/>
      <c r="S1391" s="932"/>
      <c r="T1391" s="932"/>
      <c r="U1391" s="932"/>
      <c r="V1391" s="932"/>
      <c r="W1391" s="932"/>
      <c r="X1391" s="932"/>
      <c r="Y1391" s="932"/>
      <c r="Z1391" s="932"/>
      <c r="AA1391" s="932"/>
      <c r="AB1391" s="932"/>
      <c r="AC1391" s="932"/>
      <c r="AD1391" s="932"/>
      <c r="AE1391" s="932"/>
      <c r="AF1391" s="932"/>
      <c r="AG1391" s="932"/>
      <c r="AH1391" s="932"/>
      <c r="AI1391" s="932"/>
      <c r="AJ1391" s="932"/>
      <c r="AK1391" s="932"/>
      <c r="AL1391" s="932"/>
      <c r="AM1391" s="932"/>
      <c r="AN1391" s="932"/>
      <c r="AO1391" s="932"/>
      <c r="AP1391" s="932"/>
      <c r="AQ1391" s="932"/>
      <c r="AR1391" s="932"/>
      <c r="AS1391" s="932"/>
      <c r="AT1391" s="932"/>
      <c r="AU1391" s="932"/>
      <c r="AV1391" s="932"/>
      <c r="AW1391" s="932"/>
      <c r="AX1391" s="932"/>
      <c r="AY1391" s="932"/>
      <c r="AZ1391" s="932"/>
      <c r="BA1391" s="932"/>
      <c r="BB1391" s="932"/>
      <c r="BC1391" s="932"/>
      <c r="BD1391" s="932"/>
      <c r="BE1391" s="932"/>
      <c r="BF1391" s="932"/>
    </row>
    <row r="1392" spans="2:58" ht="15" x14ac:dyDescent="0.25">
      <c r="B1392" s="932"/>
      <c r="C1392" s="932"/>
      <c r="D1392" s="932"/>
      <c r="E1392" s="932"/>
      <c r="F1392" s="932"/>
      <c r="G1392" s="932"/>
      <c r="H1392" s="932"/>
      <c r="I1392" s="932"/>
      <c r="J1392" s="932"/>
      <c r="K1392" s="932"/>
      <c r="L1392" s="932"/>
      <c r="M1392" s="932"/>
      <c r="N1392" s="932"/>
      <c r="O1392" s="932"/>
      <c r="P1392" s="932"/>
      <c r="Q1392" s="932"/>
      <c r="R1392" s="932"/>
      <c r="S1392" s="932"/>
      <c r="T1392" s="932"/>
      <c r="U1392" s="932"/>
      <c r="V1392" s="932"/>
      <c r="W1392" s="932"/>
      <c r="X1392" s="932"/>
      <c r="Y1392" s="932"/>
      <c r="Z1392" s="932"/>
      <c r="AA1392" s="932"/>
      <c r="AB1392" s="932"/>
      <c r="AC1392" s="932"/>
      <c r="AD1392" s="932"/>
      <c r="AE1392" s="932"/>
      <c r="AF1392" s="932"/>
      <c r="AG1392" s="932"/>
      <c r="AH1392" s="932"/>
      <c r="AI1392" s="932"/>
      <c r="AJ1392" s="932"/>
      <c r="AK1392" s="932"/>
      <c r="AL1392" s="932"/>
      <c r="AM1392" s="932"/>
      <c r="AN1392" s="932"/>
      <c r="AO1392" s="932"/>
      <c r="AP1392" s="932"/>
      <c r="AQ1392" s="932"/>
      <c r="AR1392" s="932"/>
      <c r="AS1392" s="932"/>
      <c r="AT1392" s="932"/>
      <c r="AU1392" s="932"/>
      <c r="AV1392" s="932"/>
      <c r="AW1392" s="932"/>
      <c r="AX1392" s="932"/>
      <c r="AY1392" s="932"/>
      <c r="AZ1392" s="932"/>
      <c r="BA1392" s="932"/>
      <c r="BB1392" s="932"/>
      <c r="BC1392" s="932"/>
      <c r="BD1392" s="932"/>
      <c r="BE1392" s="932"/>
      <c r="BF1392" s="932"/>
    </row>
    <row r="1393" spans="2:58" ht="15" x14ac:dyDescent="0.25">
      <c r="B1393" s="932"/>
      <c r="C1393" s="932"/>
      <c r="D1393" s="932"/>
      <c r="E1393" s="932"/>
      <c r="F1393" s="932"/>
      <c r="G1393" s="932"/>
      <c r="H1393" s="932"/>
      <c r="I1393" s="932"/>
      <c r="J1393" s="932"/>
      <c r="K1393" s="932"/>
      <c r="L1393" s="932"/>
      <c r="M1393" s="932"/>
      <c r="N1393" s="932"/>
      <c r="O1393" s="932"/>
      <c r="P1393" s="932"/>
      <c r="Q1393" s="932"/>
      <c r="R1393" s="932"/>
      <c r="S1393" s="932"/>
      <c r="T1393" s="932"/>
      <c r="U1393" s="932"/>
      <c r="V1393" s="932"/>
      <c r="W1393" s="932"/>
      <c r="X1393" s="932"/>
      <c r="Y1393" s="932"/>
      <c r="Z1393" s="932"/>
      <c r="AA1393" s="932"/>
      <c r="AB1393" s="932"/>
      <c r="AC1393" s="932"/>
      <c r="AD1393" s="932"/>
      <c r="AE1393" s="932"/>
      <c r="AF1393" s="932"/>
      <c r="AG1393" s="932"/>
      <c r="AH1393" s="932"/>
      <c r="AI1393" s="932"/>
      <c r="AJ1393" s="932"/>
      <c r="AK1393" s="932"/>
      <c r="AL1393" s="932"/>
      <c r="AM1393" s="932"/>
      <c r="AN1393" s="932"/>
      <c r="AO1393" s="932"/>
      <c r="AP1393" s="932"/>
      <c r="AQ1393" s="932"/>
      <c r="AR1393" s="932"/>
      <c r="AS1393" s="932"/>
      <c r="AT1393" s="932"/>
      <c r="AU1393" s="932"/>
      <c r="AV1393" s="932"/>
      <c r="AW1393" s="932"/>
      <c r="AX1393" s="932"/>
      <c r="AY1393" s="932"/>
      <c r="AZ1393" s="932"/>
      <c r="BA1393" s="932"/>
      <c r="BB1393" s="932"/>
      <c r="BC1393" s="932"/>
      <c r="BD1393" s="932"/>
      <c r="BE1393" s="932"/>
      <c r="BF1393" s="932"/>
    </row>
    <row r="1394" spans="2:58" ht="15" x14ac:dyDescent="0.25">
      <c r="B1394" s="932"/>
      <c r="C1394" s="932"/>
      <c r="D1394" s="932"/>
      <c r="E1394" s="932"/>
      <c r="F1394" s="932"/>
      <c r="G1394" s="932"/>
      <c r="H1394" s="932"/>
      <c r="I1394" s="932"/>
      <c r="J1394" s="932"/>
      <c r="K1394" s="932"/>
      <c r="L1394" s="932"/>
      <c r="M1394" s="932"/>
      <c r="N1394" s="932"/>
      <c r="O1394" s="932"/>
      <c r="P1394" s="932"/>
      <c r="Q1394" s="932"/>
      <c r="R1394" s="932"/>
      <c r="S1394" s="932"/>
      <c r="T1394" s="932"/>
      <c r="U1394" s="932"/>
      <c r="V1394" s="932"/>
      <c r="W1394" s="932"/>
      <c r="X1394" s="932"/>
      <c r="Y1394" s="932"/>
      <c r="Z1394" s="932"/>
      <c r="AA1394" s="932"/>
      <c r="AB1394" s="932"/>
      <c r="AC1394" s="932"/>
      <c r="AD1394" s="932"/>
      <c r="AE1394" s="932"/>
      <c r="AF1394" s="932"/>
      <c r="AG1394" s="932"/>
      <c r="AH1394" s="932"/>
      <c r="AI1394" s="932"/>
      <c r="AJ1394" s="932"/>
      <c r="AK1394" s="932"/>
      <c r="AL1394" s="932"/>
      <c r="AM1394" s="932"/>
      <c r="AN1394" s="932"/>
      <c r="AO1394" s="932"/>
      <c r="AP1394" s="932"/>
      <c r="AQ1394" s="932"/>
      <c r="AR1394" s="932"/>
      <c r="AS1394" s="932"/>
      <c r="AT1394" s="932"/>
      <c r="AU1394" s="932"/>
      <c r="AV1394" s="932"/>
      <c r="AW1394" s="932"/>
      <c r="AX1394" s="932"/>
      <c r="AY1394" s="932"/>
      <c r="AZ1394" s="932"/>
      <c r="BA1394" s="932"/>
      <c r="BB1394" s="932"/>
      <c r="BC1394" s="932"/>
      <c r="BD1394" s="932"/>
      <c r="BE1394" s="932"/>
      <c r="BF1394" s="932"/>
    </row>
    <row r="1395" spans="2:58" ht="15" x14ac:dyDescent="0.25">
      <c r="B1395" s="932"/>
      <c r="C1395" s="932"/>
      <c r="D1395" s="932"/>
      <c r="E1395" s="932"/>
      <c r="F1395" s="932"/>
      <c r="G1395" s="932"/>
      <c r="H1395" s="932"/>
      <c r="I1395" s="932"/>
      <c r="J1395" s="932"/>
      <c r="K1395" s="932"/>
      <c r="L1395" s="932"/>
      <c r="M1395" s="932"/>
      <c r="N1395" s="932"/>
      <c r="O1395" s="932"/>
      <c r="P1395" s="932"/>
      <c r="Q1395" s="932"/>
      <c r="R1395" s="932"/>
      <c r="S1395" s="932"/>
      <c r="T1395" s="932"/>
      <c r="U1395" s="932"/>
      <c r="V1395" s="932"/>
      <c r="W1395" s="932"/>
      <c r="X1395" s="932"/>
      <c r="Y1395" s="932"/>
      <c r="Z1395" s="932"/>
      <c r="AA1395" s="932"/>
      <c r="AB1395" s="932"/>
      <c r="AC1395" s="932"/>
      <c r="AD1395" s="932"/>
      <c r="AE1395" s="932"/>
      <c r="AF1395" s="932"/>
      <c r="AG1395" s="932"/>
      <c r="AH1395" s="932"/>
      <c r="AI1395" s="932"/>
      <c r="AJ1395" s="932"/>
      <c r="AK1395" s="932"/>
      <c r="AL1395" s="932"/>
      <c r="AM1395" s="932"/>
      <c r="AN1395" s="932"/>
      <c r="AO1395" s="932"/>
      <c r="AP1395" s="932"/>
      <c r="AQ1395" s="932"/>
      <c r="AR1395" s="932"/>
      <c r="AS1395" s="932"/>
      <c r="AT1395" s="932"/>
      <c r="AU1395" s="932"/>
      <c r="AV1395" s="932"/>
      <c r="AW1395" s="932"/>
      <c r="AX1395" s="932"/>
      <c r="AY1395" s="932"/>
      <c r="AZ1395" s="932"/>
      <c r="BA1395" s="932"/>
      <c r="BB1395" s="932"/>
      <c r="BC1395" s="932"/>
      <c r="BD1395" s="932"/>
      <c r="BE1395" s="932"/>
      <c r="BF1395" s="932"/>
    </row>
    <row r="1396" spans="2:58" ht="15" x14ac:dyDescent="0.25">
      <c r="B1396" s="932"/>
      <c r="C1396" s="932"/>
      <c r="D1396" s="932"/>
      <c r="E1396" s="932"/>
      <c r="F1396" s="932"/>
      <c r="G1396" s="932"/>
      <c r="H1396" s="932"/>
      <c r="I1396" s="932"/>
      <c r="J1396" s="932"/>
      <c r="K1396" s="932"/>
      <c r="L1396" s="932"/>
      <c r="M1396" s="932"/>
      <c r="N1396" s="932"/>
      <c r="O1396" s="932"/>
      <c r="P1396" s="932"/>
      <c r="Q1396" s="932"/>
      <c r="R1396" s="932"/>
      <c r="S1396" s="932"/>
      <c r="T1396" s="932"/>
      <c r="U1396" s="932"/>
      <c r="V1396" s="932"/>
      <c r="W1396" s="932"/>
      <c r="X1396" s="932"/>
      <c r="Y1396" s="932"/>
      <c r="Z1396" s="932"/>
      <c r="AA1396" s="932"/>
      <c r="AB1396" s="932"/>
      <c r="AC1396" s="932"/>
      <c r="AD1396" s="932"/>
      <c r="AE1396" s="932"/>
      <c r="AF1396" s="932"/>
      <c r="AG1396" s="932"/>
      <c r="AH1396" s="932"/>
      <c r="AI1396" s="932"/>
      <c r="AJ1396" s="932"/>
      <c r="AK1396" s="932"/>
      <c r="AL1396" s="932"/>
      <c r="AM1396" s="932"/>
      <c r="AN1396" s="932"/>
      <c r="AO1396" s="932"/>
      <c r="AP1396" s="932"/>
      <c r="AQ1396" s="932"/>
      <c r="AR1396" s="932"/>
      <c r="AS1396" s="932"/>
      <c r="AT1396" s="932"/>
      <c r="AU1396" s="932"/>
      <c r="AV1396" s="932"/>
      <c r="AW1396" s="932"/>
      <c r="AX1396" s="932"/>
      <c r="AY1396" s="932"/>
      <c r="AZ1396" s="932"/>
      <c r="BA1396" s="932"/>
      <c r="BB1396" s="932"/>
      <c r="BC1396" s="932"/>
      <c r="BD1396" s="932"/>
      <c r="BE1396" s="932"/>
      <c r="BF1396" s="932"/>
    </row>
    <row r="1397" spans="2:58" ht="15" x14ac:dyDescent="0.25">
      <c r="B1397" s="932"/>
      <c r="C1397" s="932"/>
      <c r="D1397" s="932"/>
      <c r="E1397" s="932"/>
      <c r="F1397" s="932"/>
      <c r="G1397" s="932"/>
      <c r="H1397" s="932"/>
      <c r="I1397" s="932"/>
      <c r="J1397" s="932"/>
      <c r="K1397" s="932"/>
      <c r="L1397" s="932"/>
      <c r="M1397" s="932"/>
      <c r="N1397" s="932"/>
      <c r="O1397" s="932"/>
      <c r="P1397" s="932"/>
      <c r="Q1397" s="932"/>
      <c r="R1397" s="932"/>
      <c r="S1397" s="932"/>
      <c r="T1397" s="932"/>
      <c r="U1397" s="932"/>
      <c r="V1397" s="932"/>
      <c r="W1397" s="932"/>
      <c r="X1397" s="932"/>
      <c r="Y1397" s="932"/>
      <c r="Z1397" s="932"/>
      <c r="AA1397" s="932"/>
      <c r="AB1397" s="932"/>
      <c r="AC1397" s="932"/>
      <c r="AD1397" s="932"/>
      <c r="AE1397" s="932"/>
      <c r="AF1397" s="932"/>
      <c r="AG1397" s="932"/>
      <c r="AH1397" s="932"/>
      <c r="AI1397" s="932"/>
      <c r="AJ1397" s="932"/>
      <c r="AK1397" s="932"/>
      <c r="AL1397" s="932"/>
      <c r="AM1397" s="932"/>
      <c r="AN1397" s="932"/>
      <c r="AO1397" s="932"/>
      <c r="AP1397" s="932"/>
      <c r="AQ1397" s="932"/>
      <c r="AR1397" s="932"/>
      <c r="AS1397" s="932"/>
      <c r="AT1397" s="932"/>
      <c r="AU1397" s="932"/>
      <c r="AV1397" s="932"/>
      <c r="AW1397" s="932"/>
      <c r="AX1397" s="932"/>
      <c r="AY1397" s="932"/>
      <c r="AZ1397" s="932"/>
      <c r="BA1397" s="932"/>
      <c r="BB1397" s="932"/>
      <c r="BC1397" s="932"/>
      <c r="BD1397" s="932"/>
      <c r="BE1397" s="932"/>
      <c r="BF1397" s="932"/>
    </row>
    <row r="1398" spans="2:58" ht="15" x14ac:dyDescent="0.25">
      <c r="B1398" s="932"/>
      <c r="C1398" s="932"/>
      <c r="D1398" s="932"/>
      <c r="E1398" s="932"/>
      <c r="F1398" s="932"/>
      <c r="G1398" s="932"/>
      <c r="H1398" s="932"/>
      <c r="I1398" s="932"/>
      <c r="J1398" s="932"/>
      <c r="K1398" s="932"/>
      <c r="L1398" s="932"/>
      <c r="M1398" s="932"/>
      <c r="N1398" s="932"/>
      <c r="O1398" s="932"/>
      <c r="P1398" s="932"/>
      <c r="Q1398" s="932"/>
      <c r="R1398" s="932"/>
      <c r="S1398" s="932"/>
      <c r="T1398" s="932"/>
      <c r="U1398" s="932"/>
      <c r="V1398" s="932"/>
      <c r="W1398" s="932"/>
      <c r="X1398" s="932"/>
      <c r="Y1398" s="932"/>
      <c r="Z1398" s="932"/>
      <c r="AA1398" s="932"/>
      <c r="AB1398" s="932"/>
      <c r="AC1398" s="932"/>
      <c r="AD1398" s="932"/>
      <c r="AE1398" s="932"/>
      <c r="AF1398" s="932"/>
      <c r="AG1398" s="932"/>
      <c r="AH1398" s="932"/>
      <c r="AI1398" s="932"/>
      <c r="AJ1398" s="932"/>
      <c r="AK1398" s="932"/>
      <c r="AL1398" s="932"/>
      <c r="AM1398" s="932"/>
      <c r="AN1398" s="932"/>
      <c r="AO1398" s="932"/>
      <c r="AP1398" s="932"/>
      <c r="AQ1398" s="932"/>
      <c r="AR1398" s="932"/>
      <c r="AS1398" s="932"/>
      <c r="AT1398" s="932"/>
      <c r="AU1398" s="932"/>
      <c r="AV1398" s="932"/>
      <c r="AW1398" s="932"/>
      <c r="AX1398" s="932"/>
      <c r="AY1398" s="932"/>
      <c r="AZ1398" s="932"/>
      <c r="BA1398" s="932"/>
      <c r="BB1398" s="932"/>
      <c r="BC1398" s="932"/>
      <c r="BD1398" s="932"/>
      <c r="BE1398" s="932"/>
      <c r="BF1398" s="932"/>
    </row>
    <row r="1399" spans="2:58" ht="15" x14ac:dyDescent="0.25">
      <c r="B1399" s="932"/>
      <c r="C1399" s="932"/>
      <c r="D1399" s="932"/>
      <c r="E1399" s="932"/>
      <c r="F1399" s="932"/>
      <c r="G1399" s="932"/>
      <c r="H1399" s="932"/>
      <c r="I1399" s="932"/>
      <c r="J1399" s="932"/>
      <c r="K1399" s="932"/>
      <c r="L1399" s="932"/>
      <c r="M1399" s="932"/>
      <c r="N1399" s="932"/>
      <c r="O1399" s="932"/>
      <c r="P1399" s="932"/>
      <c r="Q1399" s="932"/>
      <c r="R1399" s="932"/>
      <c r="S1399" s="932"/>
      <c r="T1399" s="932"/>
      <c r="U1399" s="932"/>
      <c r="V1399" s="932"/>
      <c r="W1399" s="932"/>
      <c r="X1399" s="932"/>
      <c r="Y1399" s="932"/>
      <c r="Z1399" s="932"/>
      <c r="AA1399" s="932"/>
      <c r="AB1399" s="932"/>
      <c r="AC1399" s="932"/>
      <c r="AD1399" s="932"/>
      <c r="AE1399" s="932"/>
      <c r="AF1399" s="932"/>
      <c r="AG1399" s="932"/>
      <c r="AH1399" s="932"/>
      <c r="AI1399" s="932"/>
      <c r="AJ1399" s="932"/>
      <c r="AK1399" s="932"/>
      <c r="AL1399" s="932"/>
      <c r="AM1399" s="932"/>
      <c r="AN1399" s="932"/>
      <c r="AO1399" s="932"/>
      <c r="AP1399" s="932"/>
      <c r="AQ1399" s="932"/>
      <c r="AR1399" s="932"/>
      <c r="AS1399" s="932"/>
      <c r="AT1399" s="932"/>
      <c r="AU1399" s="932"/>
      <c r="AV1399" s="932"/>
      <c r="AW1399" s="932"/>
      <c r="AX1399" s="932"/>
      <c r="AY1399" s="932"/>
      <c r="AZ1399" s="932"/>
      <c r="BA1399" s="932"/>
      <c r="BB1399" s="932"/>
      <c r="BC1399" s="932"/>
      <c r="BD1399" s="932"/>
      <c r="BE1399" s="932"/>
      <c r="BF1399" s="932"/>
    </row>
    <row r="1400" spans="2:58" ht="15" x14ac:dyDescent="0.25">
      <c r="B1400" s="932"/>
      <c r="C1400" s="932"/>
      <c r="D1400" s="932"/>
      <c r="E1400" s="932"/>
      <c r="F1400" s="932"/>
      <c r="G1400" s="932"/>
      <c r="H1400" s="932"/>
      <c r="I1400" s="932"/>
      <c r="J1400" s="932"/>
      <c r="K1400" s="932"/>
      <c r="L1400" s="932"/>
      <c r="M1400" s="932"/>
      <c r="N1400" s="932"/>
      <c r="O1400" s="932"/>
      <c r="P1400" s="932"/>
      <c r="Q1400" s="932"/>
      <c r="R1400" s="932"/>
      <c r="S1400" s="932"/>
      <c r="T1400" s="932"/>
      <c r="U1400" s="932"/>
      <c r="V1400" s="932"/>
      <c r="W1400" s="932"/>
      <c r="X1400" s="932"/>
      <c r="Y1400" s="932"/>
      <c r="Z1400" s="932"/>
      <c r="AA1400" s="932"/>
      <c r="AB1400" s="932"/>
      <c r="AC1400" s="932"/>
      <c r="AD1400" s="932"/>
      <c r="AE1400" s="932"/>
      <c r="AF1400" s="932"/>
      <c r="AG1400" s="932"/>
      <c r="AH1400" s="932"/>
      <c r="AI1400" s="932"/>
      <c r="AJ1400" s="932"/>
      <c r="AK1400" s="932"/>
      <c r="AL1400" s="932"/>
      <c r="AM1400" s="932"/>
      <c r="AN1400" s="932"/>
      <c r="AO1400" s="932"/>
      <c r="AP1400" s="932"/>
      <c r="AQ1400" s="932"/>
      <c r="AR1400" s="932"/>
      <c r="AS1400" s="932"/>
      <c r="AT1400" s="932"/>
      <c r="AU1400" s="932"/>
      <c r="AV1400" s="932"/>
      <c r="AW1400" s="932"/>
      <c r="AX1400" s="932"/>
      <c r="AY1400" s="932"/>
      <c r="AZ1400" s="932"/>
      <c r="BA1400" s="932"/>
      <c r="BB1400" s="932"/>
      <c r="BC1400" s="932"/>
      <c r="BD1400" s="932"/>
      <c r="BE1400" s="932"/>
      <c r="BF1400" s="932"/>
    </row>
    <row r="1401" spans="2:58" ht="15" x14ac:dyDescent="0.25">
      <c r="B1401" s="932"/>
      <c r="C1401" s="932"/>
      <c r="D1401" s="932"/>
      <c r="E1401" s="932"/>
      <c r="F1401" s="932"/>
      <c r="G1401" s="932"/>
      <c r="H1401" s="932"/>
      <c r="I1401" s="932"/>
      <c r="J1401" s="932"/>
      <c r="K1401" s="932"/>
      <c r="L1401" s="932"/>
      <c r="M1401" s="932"/>
      <c r="N1401" s="932"/>
      <c r="O1401" s="932"/>
      <c r="P1401" s="932"/>
      <c r="Q1401" s="932"/>
      <c r="R1401" s="932"/>
      <c r="S1401" s="932"/>
      <c r="T1401" s="932"/>
      <c r="U1401" s="932"/>
      <c r="V1401" s="932"/>
      <c r="W1401" s="932"/>
      <c r="X1401" s="932"/>
      <c r="Y1401" s="932"/>
      <c r="Z1401" s="932"/>
      <c r="AA1401" s="932"/>
      <c r="AB1401" s="932"/>
      <c r="AC1401" s="932"/>
      <c r="AD1401" s="932"/>
      <c r="AE1401" s="932"/>
      <c r="AF1401" s="932"/>
      <c r="AG1401" s="932"/>
      <c r="AH1401" s="932"/>
      <c r="AI1401" s="932"/>
      <c r="AJ1401" s="932"/>
      <c r="AK1401" s="932"/>
      <c r="AL1401" s="932"/>
      <c r="AM1401" s="932"/>
      <c r="AN1401" s="932"/>
      <c r="AO1401" s="932"/>
      <c r="AP1401" s="932"/>
      <c r="AQ1401" s="932"/>
      <c r="AR1401" s="932"/>
      <c r="AS1401" s="932"/>
      <c r="AT1401" s="932"/>
      <c r="AU1401" s="932"/>
      <c r="AV1401" s="932"/>
      <c r="AW1401" s="932"/>
      <c r="AX1401" s="932"/>
      <c r="AY1401" s="932"/>
      <c r="AZ1401" s="932"/>
      <c r="BA1401" s="932"/>
      <c r="BB1401" s="932"/>
      <c r="BC1401" s="932"/>
      <c r="BD1401" s="932"/>
      <c r="BE1401" s="932"/>
      <c r="BF1401" s="932"/>
    </row>
    <row r="1402" spans="2:58" ht="15" x14ac:dyDescent="0.25">
      <c r="B1402" s="932"/>
      <c r="C1402" s="932"/>
      <c r="D1402" s="932"/>
      <c r="E1402" s="932"/>
      <c r="F1402" s="932"/>
      <c r="G1402" s="932"/>
      <c r="H1402" s="932"/>
      <c r="I1402" s="932"/>
      <c r="J1402" s="932"/>
      <c r="K1402" s="932"/>
      <c r="L1402" s="932"/>
      <c r="M1402" s="932"/>
      <c r="N1402" s="932"/>
      <c r="O1402" s="932"/>
      <c r="P1402" s="932"/>
      <c r="Q1402" s="932"/>
      <c r="R1402" s="932"/>
      <c r="S1402" s="932"/>
      <c r="T1402" s="932"/>
      <c r="U1402" s="932"/>
      <c r="V1402" s="932"/>
      <c r="W1402" s="932"/>
      <c r="X1402" s="932"/>
      <c r="Y1402" s="932"/>
      <c r="Z1402" s="932"/>
      <c r="AA1402" s="932"/>
      <c r="AB1402" s="932"/>
      <c r="AC1402" s="932"/>
      <c r="AD1402" s="932"/>
      <c r="AE1402" s="932"/>
      <c r="AF1402" s="932"/>
      <c r="AG1402" s="932"/>
      <c r="AH1402" s="932"/>
      <c r="AI1402" s="932"/>
      <c r="AJ1402" s="932"/>
      <c r="AK1402" s="932"/>
      <c r="AL1402" s="932"/>
      <c r="AM1402" s="932"/>
      <c r="AN1402" s="932"/>
      <c r="AO1402" s="932"/>
      <c r="AP1402" s="932"/>
      <c r="AQ1402" s="932"/>
      <c r="AR1402" s="932"/>
      <c r="AS1402" s="932"/>
      <c r="AT1402" s="932"/>
      <c r="AU1402" s="932"/>
      <c r="AV1402" s="932"/>
      <c r="AW1402" s="932"/>
      <c r="AX1402" s="932"/>
      <c r="AY1402" s="932"/>
      <c r="AZ1402" s="932"/>
      <c r="BA1402" s="932"/>
      <c r="BB1402" s="932"/>
      <c r="BC1402" s="932"/>
      <c r="BD1402" s="932"/>
      <c r="BE1402" s="932"/>
      <c r="BF1402" s="932"/>
    </row>
    <row r="1403" spans="2:58" ht="15" x14ac:dyDescent="0.25">
      <c r="B1403" s="932"/>
      <c r="C1403" s="932"/>
      <c r="D1403" s="932"/>
      <c r="E1403" s="932"/>
      <c r="F1403" s="932"/>
      <c r="G1403" s="932"/>
      <c r="H1403" s="932"/>
      <c r="I1403" s="932"/>
      <c r="J1403" s="932"/>
      <c r="K1403" s="932"/>
      <c r="L1403" s="932"/>
      <c r="M1403" s="932"/>
      <c r="N1403" s="932"/>
      <c r="O1403" s="932"/>
      <c r="P1403" s="932"/>
      <c r="Q1403" s="932"/>
      <c r="R1403" s="932"/>
      <c r="S1403" s="932"/>
      <c r="T1403" s="932"/>
      <c r="U1403" s="932"/>
      <c r="V1403" s="932"/>
      <c r="W1403" s="932"/>
      <c r="X1403" s="932"/>
      <c r="Y1403" s="932"/>
      <c r="Z1403" s="932"/>
      <c r="AA1403" s="932"/>
      <c r="AB1403" s="932"/>
      <c r="AC1403" s="932"/>
      <c r="AD1403" s="932"/>
      <c r="AE1403" s="932"/>
      <c r="AF1403" s="932"/>
      <c r="AG1403" s="932"/>
      <c r="AH1403" s="932"/>
      <c r="AI1403" s="932"/>
      <c r="AJ1403" s="932"/>
      <c r="AK1403" s="932"/>
      <c r="AL1403" s="932"/>
      <c r="AM1403" s="932"/>
      <c r="AN1403" s="932"/>
      <c r="AO1403" s="932"/>
      <c r="AP1403" s="932"/>
      <c r="AQ1403" s="932"/>
      <c r="AR1403" s="932"/>
      <c r="AS1403" s="932"/>
      <c r="AT1403" s="932"/>
      <c r="AU1403" s="932"/>
      <c r="AV1403" s="932"/>
      <c r="AW1403" s="932"/>
      <c r="AX1403" s="932"/>
      <c r="AY1403" s="932"/>
      <c r="AZ1403" s="932"/>
      <c r="BA1403" s="932"/>
      <c r="BB1403" s="932"/>
      <c r="BC1403" s="932"/>
      <c r="BD1403" s="932"/>
      <c r="BE1403" s="932"/>
      <c r="BF1403" s="932"/>
    </row>
    <row r="1404" spans="2:58" ht="15" x14ac:dyDescent="0.25">
      <c r="B1404" s="932"/>
      <c r="C1404" s="932"/>
      <c r="D1404" s="932"/>
      <c r="E1404" s="932"/>
      <c r="F1404" s="932"/>
      <c r="G1404" s="932"/>
      <c r="H1404" s="932"/>
      <c r="I1404" s="932"/>
      <c r="J1404" s="932"/>
      <c r="K1404" s="932"/>
      <c r="L1404" s="932"/>
      <c r="M1404" s="932"/>
      <c r="N1404" s="932"/>
      <c r="O1404" s="932"/>
      <c r="P1404" s="932"/>
      <c r="Q1404" s="932"/>
      <c r="R1404" s="932"/>
      <c r="S1404" s="932"/>
      <c r="T1404" s="932"/>
      <c r="U1404" s="932"/>
      <c r="V1404" s="932"/>
      <c r="W1404" s="932"/>
      <c r="X1404" s="932"/>
      <c r="Y1404" s="932"/>
      <c r="Z1404" s="932"/>
      <c r="AA1404" s="932"/>
      <c r="AB1404" s="932"/>
      <c r="AC1404" s="932"/>
      <c r="AD1404" s="932"/>
      <c r="AE1404" s="932"/>
      <c r="AF1404" s="932"/>
      <c r="AG1404" s="932"/>
      <c r="AH1404" s="932"/>
      <c r="AI1404" s="932"/>
      <c r="AJ1404" s="932"/>
      <c r="AK1404" s="932"/>
      <c r="AL1404" s="932"/>
      <c r="AM1404" s="932"/>
      <c r="AN1404" s="932"/>
      <c r="AO1404" s="932"/>
      <c r="AP1404" s="932"/>
      <c r="AQ1404" s="932"/>
      <c r="AR1404" s="932"/>
      <c r="AS1404" s="932"/>
      <c r="AT1404" s="932"/>
      <c r="AU1404" s="932"/>
      <c r="AV1404" s="932"/>
      <c r="AW1404" s="932"/>
      <c r="AX1404" s="932"/>
      <c r="AY1404" s="932"/>
      <c r="AZ1404" s="932"/>
      <c r="BA1404" s="932"/>
      <c r="BB1404" s="932"/>
      <c r="BC1404" s="932"/>
      <c r="BD1404" s="932"/>
      <c r="BE1404" s="932"/>
      <c r="BF1404" s="932"/>
    </row>
    <row r="1405" spans="2:58" ht="15" x14ac:dyDescent="0.25">
      <c r="B1405" s="932"/>
      <c r="C1405" s="932"/>
      <c r="D1405" s="932"/>
      <c r="E1405" s="932"/>
      <c r="F1405" s="932"/>
      <c r="G1405" s="932"/>
      <c r="H1405" s="932"/>
      <c r="I1405" s="932"/>
      <c r="J1405" s="932"/>
      <c r="K1405" s="932"/>
      <c r="L1405" s="932"/>
      <c r="M1405" s="932"/>
      <c r="N1405" s="932"/>
      <c r="O1405" s="932"/>
      <c r="P1405" s="932"/>
      <c r="Q1405" s="932"/>
      <c r="R1405" s="932"/>
      <c r="S1405" s="932"/>
      <c r="T1405" s="932"/>
      <c r="U1405" s="932"/>
      <c r="V1405" s="932"/>
      <c r="W1405" s="932"/>
      <c r="X1405" s="932"/>
      <c r="Y1405" s="932"/>
      <c r="Z1405" s="932"/>
      <c r="AA1405" s="932"/>
      <c r="AB1405" s="932"/>
      <c r="AC1405" s="932"/>
      <c r="AD1405" s="932"/>
      <c r="AE1405" s="932"/>
      <c r="AF1405" s="932"/>
      <c r="AG1405" s="932"/>
      <c r="AH1405" s="932"/>
      <c r="AI1405" s="932"/>
      <c r="AJ1405" s="932"/>
      <c r="AK1405" s="932"/>
      <c r="AL1405" s="932"/>
      <c r="AM1405" s="932"/>
      <c r="AN1405" s="932"/>
      <c r="AO1405" s="932"/>
      <c r="AP1405" s="932"/>
      <c r="AQ1405" s="932"/>
      <c r="AR1405" s="932"/>
      <c r="AS1405" s="932"/>
      <c r="AT1405" s="932"/>
      <c r="AU1405" s="932"/>
      <c r="AV1405" s="932"/>
      <c r="AW1405" s="932"/>
      <c r="AX1405" s="932"/>
      <c r="AY1405" s="932"/>
      <c r="AZ1405" s="932"/>
      <c r="BA1405" s="932"/>
      <c r="BB1405" s="932"/>
      <c r="BC1405" s="932"/>
      <c r="BD1405" s="932"/>
      <c r="BE1405" s="932"/>
      <c r="BF1405" s="932"/>
    </row>
    <row r="1406" spans="2:58" ht="15" x14ac:dyDescent="0.25">
      <c r="B1406" s="932"/>
      <c r="C1406" s="932"/>
      <c r="D1406" s="932"/>
      <c r="E1406" s="932"/>
      <c r="F1406" s="932"/>
      <c r="G1406" s="932"/>
      <c r="H1406" s="932"/>
      <c r="I1406" s="932"/>
      <c r="J1406" s="932"/>
      <c r="K1406" s="932"/>
      <c r="L1406" s="932"/>
      <c r="M1406" s="932"/>
      <c r="N1406" s="932"/>
      <c r="O1406" s="932"/>
      <c r="P1406" s="932"/>
      <c r="Q1406" s="932"/>
      <c r="R1406" s="932"/>
      <c r="S1406" s="932"/>
      <c r="T1406" s="932"/>
      <c r="U1406" s="932"/>
      <c r="V1406" s="932"/>
      <c r="W1406" s="932"/>
      <c r="X1406" s="932"/>
      <c r="Y1406" s="932"/>
      <c r="Z1406" s="932"/>
      <c r="AA1406" s="932"/>
      <c r="AB1406" s="932"/>
      <c r="AC1406" s="932"/>
      <c r="AD1406" s="932"/>
      <c r="AE1406" s="932"/>
      <c r="AF1406" s="932"/>
      <c r="AG1406" s="932"/>
      <c r="AH1406" s="932"/>
      <c r="AI1406" s="932"/>
      <c r="AJ1406" s="932"/>
      <c r="AK1406" s="932"/>
      <c r="AL1406" s="932"/>
      <c r="AM1406" s="932"/>
      <c r="AN1406" s="932"/>
      <c r="AO1406" s="932"/>
      <c r="AP1406" s="932"/>
      <c r="AQ1406" s="932"/>
      <c r="AR1406" s="932"/>
      <c r="AS1406" s="932"/>
      <c r="AT1406" s="932"/>
      <c r="AU1406" s="932"/>
      <c r="AV1406" s="932"/>
      <c r="AW1406" s="932"/>
      <c r="AX1406" s="932"/>
      <c r="AY1406" s="932"/>
      <c r="AZ1406" s="932"/>
      <c r="BA1406" s="932"/>
      <c r="BB1406" s="932"/>
      <c r="BC1406" s="932"/>
      <c r="BD1406" s="932"/>
      <c r="BE1406" s="932"/>
      <c r="BF1406" s="932"/>
    </row>
    <row r="1407" spans="2:58" ht="15" x14ac:dyDescent="0.25">
      <c r="B1407" s="932"/>
      <c r="C1407" s="932"/>
      <c r="D1407" s="932"/>
      <c r="E1407" s="932"/>
      <c r="F1407" s="932"/>
      <c r="G1407" s="932"/>
      <c r="H1407" s="932"/>
      <c r="I1407" s="932"/>
      <c r="J1407" s="932"/>
      <c r="K1407" s="932"/>
      <c r="L1407" s="932"/>
      <c r="M1407" s="932"/>
      <c r="N1407" s="932"/>
      <c r="O1407" s="932"/>
      <c r="P1407" s="932"/>
      <c r="Q1407" s="932"/>
      <c r="R1407" s="932"/>
      <c r="S1407" s="932"/>
      <c r="T1407" s="932"/>
      <c r="U1407" s="932"/>
      <c r="V1407" s="932"/>
      <c r="W1407" s="932"/>
      <c r="X1407" s="932"/>
      <c r="Y1407" s="932"/>
      <c r="Z1407" s="932"/>
      <c r="AA1407" s="932"/>
      <c r="AB1407" s="932"/>
      <c r="AC1407" s="932"/>
      <c r="AD1407" s="932"/>
      <c r="AE1407" s="932"/>
      <c r="AF1407" s="932"/>
      <c r="AG1407" s="932"/>
      <c r="AH1407" s="932"/>
      <c r="AI1407" s="932"/>
      <c r="AJ1407" s="932"/>
      <c r="AK1407" s="932"/>
      <c r="AL1407" s="932"/>
      <c r="AM1407" s="932"/>
      <c r="AN1407" s="932"/>
      <c r="AO1407" s="932"/>
      <c r="AP1407" s="932"/>
      <c r="AQ1407" s="932"/>
      <c r="AR1407" s="932"/>
      <c r="AS1407" s="932"/>
      <c r="AT1407" s="932"/>
      <c r="AU1407" s="932"/>
      <c r="AV1407" s="932"/>
      <c r="AW1407" s="932"/>
      <c r="AX1407" s="932"/>
      <c r="AY1407" s="932"/>
      <c r="AZ1407" s="932"/>
      <c r="BA1407" s="932"/>
      <c r="BB1407" s="932"/>
      <c r="BC1407" s="932"/>
      <c r="BD1407" s="932"/>
      <c r="BE1407" s="932"/>
      <c r="BF1407" s="932"/>
    </row>
    <row r="1408" spans="2:58" ht="15" x14ac:dyDescent="0.25">
      <c r="B1408" s="932"/>
      <c r="C1408" s="932"/>
      <c r="D1408" s="932"/>
      <c r="E1408" s="932"/>
      <c r="F1408" s="932"/>
      <c r="G1408" s="932"/>
      <c r="H1408" s="932"/>
      <c r="I1408" s="932"/>
      <c r="J1408" s="932"/>
      <c r="K1408" s="932"/>
      <c r="L1408" s="932"/>
      <c r="M1408" s="932"/>
      <c r="N1408" s="932"/>
      <c r="O1408" s="932"/>
      <c r="P1408" s="932"/>
      <c r="Q1408" s="932"/>
      <c r="R1408" s="932"/>
      <c r="S1408" s="932"/>
      <c r="T1408" s="932"/>
      <c r="U1408" s="932"/>
      <c r="V1408" s="932"/>
      <c r="W1408" s="932"/>
      <c r="X1408" s="932"/>
      <c r="Y1408" s="932"/>
      <c r="Z1408" s="932"/>
      <c r="AA1408" s="932"/>
      <c r="AB1408" s="932"/>
      <c r="AC1408" s="932"/>
      <c r="AD1408" s="932"/>
      <c r="AE1408" s="932"/>
      <c r="AF1408" s="932"/>
      <c r="AG1408" s="932"/>
      <c r="AH1408" s="932"/>
      <c r="AI1408" s="932"/>
      <c r="AJ1408" s="932"/>
      <c r="AK1408" s="932"/>
      <c r="AL1408" s="932"/>
      <c r="AM1408" s="932"/>
      <c r="AN1408" s="932"/>
      <c r="AO1408" s="932"/>
      <c r="AP1408" s="932"/>
      <c r="AQ1408" s="932"/>
      <c r="AR1408" s="932"/>
      <c r="AS1408" s="932"/>
      <c r="AT1408" s="932"/>
      <c r="AU1408" s="932"/>
      <c r="AV1408" s="932"/>
      <c r="AW1408" s="932"/>
      <c r="AX1408" s="932"/>
      <c r="AY1408" s="932"/>
      <c r="AZ1408" s="932"/>
      <c r="BA1408" s="932"/>
      <c r="BB1408" s="932"/>
      <c r="BC1408" s="932"/>
      <c r="BD1408" s="932"/>
      <c r="BE1408" s="932"/>
      <c r="BF1408" s="932"/>
    </row>
    <row r="1409" spans="2:58" ht="15" x14ac:dyDescent="0.25">
      <c r="B1409" s="932"/>
      <c r="C1409" s="932"/>
      <c r="D1409" s="932"/>
      <c r="E1409" s="932"/>
      <c r="F1409" s="932"/>
      <c r="G1409" s="932"/>
      <c r="H1409" s="932"/>
      <c r="I1409" s="932"/>
      <c r="J1409" s="932"/>
      <c r="K1409" s="932"/>
      <c r="L1409" s="932"/>
      <c r="M1409" s="932"/>
      <c r="N1409" s="932"/>
      <c r="O1409" s="932"/>
      <c r="P1409" s="932"/>
      <c r="Q1409" s="932"/>
      <c r="R1409" s="932"/>
      <c r="S1409" s="932"/>
      <c r="T1409" s="932"/>
      <c r="U1409" s="932"/>
      <c r="V1409" s="932"/>
      <c r="W1409" s="932"/>
      <c r="X1409" s="932"/>
      <c r="Y1409" s="932"/>
      <c r="Z1409" s="932"/>
      <c r="AA1409" s="932"/>
      <c r="AB1409" s="932"/>
      <c r="AC1409" s="932"/>
      <c r="AD1409" s="932"/>
      <c r="AE1409" s="932"/>
      <c r="AF1409" s="932"/>
      <c r="AG1409" s="932"/>
      <c r="AH1409" s="932"/>
      <c r="AI1409" s="932"/>
      <c r="AJ1409" s="932"/>
      <c r="AK1409" s="932"/>
      <c r="AL1409" s="932"/>
      <c r="AM1409" s="932"/>
      <c r="AN1409" s="932"/>
      <c r="AO1409" s="932"/>
      <c r="AP1409" s="932"/>
      <c r="AQ1409" s="932"/>
      <c r="AR1409" s="932"/>
      <c r="AS1409" s="932"/>
      <c r="AT1409" s="932"/>
      <c r="AU1409" s="932"/>
      <c r="AV1409" s="932"/>
      <c r="AW1409" s="932"/>
      <c r="AX1409" s="932"/>
      <c r="AY1409" s="932"/>
      <c r="AZ1409" s="932"/>
      <c r="BA1409" s="932"/>
      <c r="BB1409" s="932"/>
      <c r="BC1409" s="932"/>
      <c r="BD1409" s="932"/>
      <c r="BE1409" s="932"/>
      <c r="BF1409" s="932"/>
    </row>
    <row r="1410" spans="2:58" ht="15" x14ac:dyDescent="0.25">
      <c r="B1410" s="932"/>
      <c r="C1410" s="932"/>
      <c r="D1410" s="932"/>
      <c r="E1410" s="932"/>
      <c r="F1410" s="932"/>
      <c r="G1410" s="932"/>
      <c r="H1410" s="932"/>
      <c r="I1410" s="932"/>
      <c r="J1410" s="932"/>
      <c r="K1410" s="932"/>
      <c r="L1410" s="932"/>
      <c r="M1410" s="932"/>
      <c r="N1410" s="932"/>
      <c r="O1410" s="932"/>
      <c r="P1410" s="932"/>
      <c r="Q1410" s="932"/>
      <c r="R1410" s="932"/>
      <c r="S1410" s="932"/>
      <c r="T1410" s="932"/>
      <c r="U1410" s="932"/>
      <c r="V1410" s="932"/>
      <c r="W1410" s="932"/>
      <c r="X1410" s="932"/>
      <c r="Y1410" s="932"/>
      <c r="Z1410" s="932"/>
      <c r="AA1410" s="932"/>
      <c r="AB1410" s="932"/>
      <c r="AC1410" s="932"/>
      <c r="AD1410" s="932"/>
      <c r="AE1410" s="932"/>
      <c r="AF1410" s="932"/>
      <c r="AG1410" s="932"/>
      <c r="AH1410" s="932"/>
      <c r="AI1410" s="932"/>
      <c r="AJ1410" s="932"/>
      <c r="AK1410" s="932"/>
      <c r="AL1410" s="932"/>
      <c r="AM1410" s="932"/>
      <c r="AN1410" s="932"/>
      <c r="AO1410" s="932"/>
      <c r="AP1410" s="932"/>
      <c r="AQ1410" s="932"/>
      <c r="AR1410" s="932"/>
      <c r="AS1410" s="932"/>
      <c r="AT1410" s="932"/>
      <c r="AU1410" s="932"/>
      <c r="AV1410" s="932"/>
      <c r="AW1410" s="932"/>
      <c r="AX1410" s="932"/>
      <c r="AY1410" s="932"/>
      <c r="AZ1410" s="932"/>
      <c r="BA1410" s="932"/>
      <c r="BB1410" s="932"/>
      <c r="BC1410" s="932"/>
      <c r="BD1410" s="932"/>
      <c r="BE1410" s="932"/>
      <c r="BF1410" s="932"/>
    </row>
    <row r="1411" spans="2:58" ht="15" x14ac:dyDescent="0.25">
      <c r="B1411" s="932"/>
      <c r="C1411" s="932"/>
      <c r="D1411" s="932"/>
      <c r="E1411" s="932"/>
      <c r="F1411" s="932"/>
      <c r="G1411" s="932"/>
      <c r="H1411" s="932"/>
      <c r="I1411" s="932"/>
      <c r="J1411" s="932"/>
      <c r="K1411" s="932"/>
      <c r="L1411" s="932"/>
      <c r="M1411" s="932"/>
      <c r="N1411" s="932"/>
      <c r="O1411" s="932"/>
      <c r="P1411" s="932"/>
      <c r="Q1411" s="932"/>
      <c r="R1411" s="932"/>
      <c r="S1411" s="932"/>
      <c r="T1411" s="932"/>
      <c r="U1411" s="932"/>
      <c r="V1411" s="932"/>
      <c r="W1411" s="932"/>
      <c r="X1411" s="932"/>
      <c r="Y1411" s="932"/>
      <c r="Z1411" s="932"/>
      <c r="AA1411" s="932"/>
      <c r="AB1411" s="932"/>
      <c r="AC1411" s="932"/>
      <c r="AD1411" s="932"/>
      <c r="AE1411" s="932"/>
      <c r="AF1411" s="932"/>
      <c r="AG1411" s="932"/>
      <c r="AH1411" s="932"/>
      <c r="AI1411" s="932"/>
      <c r="AJ1411" s="932"/>
      <c r="AK1411" s="932"/>
      <c r="AL1411" s="932"/>
      <c r="AM1411" s="932"/>
      <c r="AN1411" s="932"/>
      <c r="AO1411" s="932"/>
      <c r="AP1411" s="932"/>
      <c r="AQ1411" s="932"/>
      <c r="AR1411" s="932"/>
      <c r="AS1411" s="932"/>
      <c r="AT1411" s="932"/>
      <c r="AU1411" s="932"/>
      <c r="AV1411" s="932"/>
      <c r="AW1411" s="932"/>
      <c r="AX1411" s="932"/>
      <c r="AY1411" s="932"/>
      <c r="AZ1411" s="932"/>
      <c r="BA1411" s="932"/>
      <c r="BB1411" s="932"/>
      <c r="BC1411" s="932"/>
      <c r="BD1411" s="932"/>
      <c r="BE1411" s="932"/>
      <c r="BF1411" s="932"/>
    </row>
    <row r="1412" spans="2:58" ht="15" x14ac:dyDescent="0.25">
      <c r="B1412" s="932"/>
      <c r="C1412" s="932"/>
      <c r="D1412" s="932"/>
      <c r="E1412" s="932"/>
      <c r="F1412" s="932"/>
      <c r="G1412" s="932"/>
      <c r="H1412" s="932"/>
      <c r="I1412" s="932"/>
      <c r="J1412" s="932"/>
      <c r="K1412" s="932"/>
      <c r="L1412" s="932"/>
      <c r="M1412" s="932"/>
      <c r="N1412" s="932"/>
      <c r="O1412" s="932"/>
      <c r="P1412" s="932"/>
      <c r="Q1412" s="932"/>
      <c r="R1412" s="932"/>
      <c r="S1412" s="932"/>
      <c r="T1412" s="932"/>
      <c r="U1412" s="932"/>
      <c r="V1412" s="932"/>
      <c r="W1412" s="932"/>
      <c r="X1412" s="932"/>
      <c r="Y1412" s="932"/>
      <c r="Z1412" s="932"/>
      <c r="AA1412" s="932"/>
      <c r="AB1412" s="932"/>
      <c r="AC1412" s="932"/>
      <c r="AD1412" s="932"/>
      <c r="AE1412" s="932"/>
      <c r="AF1412" s="932"/>
      <c r="AG1412" s="932"/>
      <c r="AH1412" s="932"/>
      <c r="AI1412" s="932"/>
      <c r="AJ1412" s="932"/>
      <c r="AK1412" s="932"/>
      <c r="AL1412" s="932"/>
      <c r="AM1412" s="932"/>
      <c r="AN1412" s="932"/>
      <c r="AO1412" s="932"/>
      <c r="AP1412" s="932"/>
      <c r="AQ1412" s="932"/>
      <c r="AR1412" s="932"/>
      <c r="AS1412" s="932"/>
      <c r="AT1412" s="932"/>
      <c r="AU1412" s="932"/>
      <c r="AV1412" s="932"/>
      <c r="AW1412" s="932"/>
      <c r="AX1412" s="932"/>
      <c r="AY1412" s="932"/>
      <c r="AZ1412" s="932"/>
      <c r="BA1412" s="932"/>
      <c r="BB1412" s="932"/>
      <c r="BC1412" s="932"/>
      <c r="BD1412" s="932"/>
      <c r="BE1412" s="932"/>
      <c r="BF1412" s="932"/>
    </row>
    <row r="1413" spans="2:58" ht="15" x14ac:dyDescent="0.25">
      <c r="B1413" s="932"/>
      <c r="C1413" s="932"/>
      <c r="D1413" s="932"/>
      <c r="E1413" s="932"/>
      <c r="F1413" s="932"/>
      <c r="G1413" s="932"/>
      <c r="H1413" s="932"/>
      <c r="I1413" s="932"/>
      <c r="J1413" s="932"/>
      <c r="K1413" s="932"/>
      <c r="L1413" s="932"/>
      <c r="M1413" s="932"/>
      <c r="N1413" s="932"/>
      <c r="O1413" s="932"/>
      <c r="P1413" s="932"/>
      <c r="Q1413" s="932"/>
      <c r="R1413" s="932"/>
      <c r="S1413" s="932"/>
      <c r="T1413" s="932"/>
      <c r="U1413" s="932"/>
      <c r="V1413" s="932"/>
      <c r="W1413" s="932"/>
      <c r="X1413" s="932"/>
      <c r="Y1413" s="932"/>
      <c r="Z1413" s="932"/>
      <c r="AA1413" s="932"/>
      <c r="AB1413" s="932"/>
      <c r="AC1413" s="932"/>
      <c r="AD1413" s="932"/>
      <c r="AE1413" s="932"/>
      <c r="AF1413" s="932"/>
      <c r="AG1413" s="932"/>
      <c r="AH1413" s="932"/>
      <c r="AI1413" s="932"/>
      <c r="AJ1413" s="932"/>
      <c r="AK1413" s="932"/>
      <c r="AL1413" s="932"/>
      <c r="AM1413" s="932"/>
      <c r="AN1413" s="932"/>
      <c r="AO1413" s="932"/>
      <c r="AP1413" s="932"/>
      <c r="AQ1413" s="932"/>
      <c r="AR1413" s="932"/>
      <c r="AS1413" s="932"/>
      <c r="AT1413" s="932"/>
      <c r="AU1413" s="932"/>
      <c r="AV1413" s="932"/>
      <c r="AW1413" s="932"/>
      <c r="AX1413" s="932"/>
      <c r="AY1413" s="932"/>
      <c r="AZ1413" s="932"/>
      <c r="BA1413" s="932"/>
      <c r="BB1413" s="932"/>
      <c r="BC1413" s="932"/>
      <c r="BD1413" s="932"/>
      <c r="BE1413" s="932"/>
      <c r="BF1413" s="932"/>
    </row>
    <row r="1414" spans="2:58" ht="15" x14ac:dyDescent="0.25">
      <c r="B1414" s="932"/>
      <c r="C1414" s="932"/>
      <c r="D1414" s="932"/>
      <c r="E1414" s="932"/>
      <c r="F1414" s="932"/>
      <c r="G1414" s="932"/>
      <c r="H1414" s="932"/>
      <c r="I1414" s="932"/>
      <c r="J1414" s="932"/>
      <c r="K1414" s="932"/>
      <c r="L1414" s="932"/>
      <c r="M1414" s="932"/>
      <c r="N1414" s="932"/>
      <c r="O1414" s="932"/>
      <c r="P1414" s="932"/>
      <c r="Q1414" s="932"/>
      <c r="R1414" s="932"/>
      <c r="S1414" s="932"/>
      <c r="T1414" s="932"/>
      <c r="U1414" s="932"/>
      <c r="V1414" s="932"/>
      <c r="W1414" s="932"/>
      <c r="X1414" s="932"/>
      <c r="Y1414" s="932"/>
      <c r="Z1414" s="932"/>
      <c r="AA1414" s="932"/>
      <c r="AB1414" s="932"/>
      <c r="AC1414" s="932"/>
      <c r="AD1414" s="932"/>
      <c r="AE1414" s="932"/>
      <c r="AF1414" s="932"/>
      <c r="AG1414" s="932"/>
      <c r="AH1414" s="932"/>
      <c r="AI1414" s="932"/>
      <c r="AJ1414" s="932"/>
      <c r="AK1414" s="932"/>
      <c r="AL1414" s="932"/>
      <c r="AM1414" s="932"/>
      <c r="AN1414" s="932"/>
      <c r="AO1414" s="932"/>
      <c r="AP1414" s="932"/>
      <c r="AQ1414" s="932"/>
      <c r="AR1414" s="932"/>
      <c r="AS1414" s="932"/>
      <c r="AT1414" s="932"/>
      <c r="AU1414" s="932"/>
      <c r="AV1414" s="932"/>
      <c r="AW1414" s="932"/>
      <c r="AX1414" s="932"/>
      <c r="AY1414" s="932"/>
      <c r="AZ1414" s="932"/>
      <c r="BA1414" s="932"/>
      <c r="BB1414" s="932"/>
      <c r="BC1414" s="932"/>
      <c r="BD1414" s="932"/>
      <c r="BE1414" s="932"/>
      <c r="BF1414" s="932"/>
    </row>
    <row r="1415" spans="2:58" ht="15" x14ac:dyDescent="0.25">
      <c r="B1415" s="932"/>
      <c r="C1415" s="932"/>
      <c r="D1415" s="932"/>
      <c r="E1415" s="932"/>
      <c r="F1415" s="932"/>
      <c r="G1415" s="932"/>
      <c r="H1415" s="932"/>
      <c r="I1415" s="932"/>
      <c r="J1415" s="932"/>
      <c r="K1415" s="932"/>
      <c r="L1415" s="932"/>
      <c r="M1415" s="932"/>
      <c r="N1415" s="932"/>
      <c r="O1415" s="932"/>
      <c r="P1415" s="932"/>
      <c r="Q1415" s="932"/>
      <c r="R1415" s="932"/>
      <c r="S1415" s="932"/>
      <c r="T1415" s="932"/>
      <c r="U1415" s="932"/>
      <c r="V1415" s="932"/>
      <c r="W1415" s="932"/>
      <c r="X1415" s="932"/>
      <c r="Y1415" s="932"/>
      <c r="Z1415" s="932"/>
      <c r="AA1415" s="932"/>
      <c r="AB1415" s="932"/>
      <c r="AC1415" s="932"/>
      <c r="AD1415" s="932"/>
      <c r="AE1415" s="932"/>
      <c r="AF1415" s="932"/>
      <c r="AG1415" s="932"/>
      <c r="AH1415" s="932"/>
      <c r="AI1415" s="932"/>
      <c r="AJ1415" s="932"/>
      <c r="AK1415" s="932"/>
      <c r="AL1415" s="932"/>
      <c r="AM1415" s="932"/>
      <c r="AN1415" s="932"/>
      <c r="AO1415" s="932"/>
      <c r="AP1415" s="932"/>
      <c r="AQ1415" s="932"/>
      <c r="AR1415" s="932"/>
      <c r="AS1415" s="932"/>
      <c r="AT1415" s="932"/>
      <c r="AU1415" s="932"/>
      <c r="AV1415" s="932"/>
      <c r="AW1415" s="932"/>
      <c r="AX1415" s="932"/>
      <c r="AY1415" s="932"/>
      <c r="AZ1415" s="932"/>
      <c r="BA1415" s="932"/>
      <c r="BB1415" s="932"/>
      <c r="BC1415" s="932"/>
      <c r="BD1415" s="932"/>
      <c r="BE1415" s="932"/>
      <c r="BF1415" s="932"/>
    </row>
    <row r="1416" spans="2:58" ht="15" x14ac:dyDescent="0.25">
      <c r="B1416" s="932"/>
      <c r="C1416" s="932"/>
      <c r="D1416" s="932"/>
      <c r="E1416" s="932"/>
      <c r="F1416" s="932"/>
      <c r="G1416" s="932"/>
      <c r="H1416" s="932"/>
      <c r="I1416" s="932"/>
      <c r="J1416" s="932"/>
      <c r="K1416" s="932"/>
      <c r="L1416" s="932"/>
      <c r="M1416" s="932"/>
      <c r="N1416" s="932"/>
      <c r="O1416" s="932"/>
      <c r="P1416" s="932"/>
      <c r="Q1416" s="932"/>
      <c r="R1416" s="932"/>
      <c r="S1416" s="932"/>
      <c r="T1416" s="932"/>
      <c r="U1416" s="932"/>
      <c r="V1416" s="932"/>
      <c r="W1416" s="932"/>
      <c r="X1416" s="932"/>
      <c r="Y1416" s="932"/>
      <c r="Z1416" s="932"/>
      <c r="AA1416" s="932"/>
      <c r="AB1416" s="932"/>
      <c r="AC1416" s="932"/>
      <c r="AD1416" s="932"/>
      <c r="AE1416" s="932"/>
      <c r="AF1416" s="932"/>
      <c r="AG1416" s="932"/>
      <c r="AH1416" s="932"/>
      <c r="AI1416" s="932"/>
      <c r="AJ1416" s="932"/>
      <c r="AK1416" s="932"/>
      <c r="AL1416" s="932"/>
      <c r="AM1416" s="932"/>
      <c r="AN1416" s="932"/>
      <c r="AO1416" s="932"/>
      <c r="AP1416" s="932"/>
      <c r="AQ1416" s="932"/>
      <c r="AR1416" s="932"/>
      <c r="AS1416" s="932"/>
      <c r="AT1416" s="932"/>
      <c r="AU1416" s="932"/>
      <c r="AV1416" s="932"/>
      <c r="AW1416" s="932"/>
      <c r="AX1416" s="932"/>
      <c r="AY1416" s="932"/>
      <c r="AZ1416" s="932"/>
      <c r="BA1416" s="932"/>
      <c r="BB1416" s="932"/>
      <c r="BC1416" s="932"/>
      <c r="BD1416" s="932"/>
      <c r="BE1416" s="932"/>
      <c r="BF1416" s="932"/>
    </row>
    <row r="1417" spans="2:58" ht="15" x14ac:dyDescent="0.25">
      <c r="B1417" s="932"/>
      <c r="C1417" s="932"/>
      <c r="D1417" s="932"/>
      <c r="E1417" s="932"/>
      <c r="F1417" s="932"/>
      <c r="G1417" s="932"/>
      <c r="H1417" s="932"/>
      <c r="I1417" s="932"/>
      <c r="J1417" s="932"/>
      <c r="K1417" s="932"/>
      <c r="L1417" s="932"/>
      <c r="M1417" s="932"/>
      <c r="N1417" s="932"/>
      <c r="O1417" s="932"/>
      <c r="P1417" s="932"/>
      <c r="Q1417" s="932"/>
      <c r="R1417" s="932"/>
      <c r="S1417" s="932"/>
      <c r="T1417" s="932"/>
      <c r="U1417" s="932"/>
      <c r="V1417" s="932"/>
      <c r="W1417" s="932"/>
      <c r="X1417" s="932"/>
      <c r="Y1417" s="932"/>
      <c r="Z1417" s="932"/>
      <c r="AA1417" s="932"/>
      <c r="AB1417" s="932"/>
      <c r="AC1417" s="932"/>
      <c r="AD1417" s="932"/>
      <c r="AE1417" s="932"/>
      <c r="AF1417" s="932"/>
      <c r="AG1417" s="932"/>
      <c r="AH1417" s="932"/>
      <c r="AI1417" s="932"/>
      <c r="AJ1417" s="932"/>
      <c r="AK1417" s="932"/>
      <c r="AL1417" s="932"/>
      <c r="AM1417" s="932"/>
      <c r="AN1417" s="932"/>
      <c r="AO1417" s="932"/>
      <c r="AP1417" s="932"/>
      <c r="AQ1417" s="932"/>
      <c r="AR1417" s="932"/>
      <c r="AS1417" s="932"/>
      <c r="AT1417" s="932"/>
      <c r="AU1417" s="932"/>
      <c r="AV1417" s="932"/>
      <c r="AW1417" s="932"/>
      <c r="AX1417" s="932"/>
      <c r="AY1417" s="932"/>
      <c r="AZ1417" s="932"/>
      <c r="BA1417" s="932"/>
      <c r="BB1417" s="932"/>
      <c r="BC1417" s="932"/>
      <c r="BD1417" s="932"/>
      <c r="BE1417" s="932"/>
      <c r="BF1417" s="932"/>
    </row>
    <row r="1418" spans="2:58" ht="15" x14ac:dyDescent="0.25">
      <c r="B1418" s="932"/>
      <c r="C1418" s="932"/>
      <c r="D1418" s="932"/>
      <c r="E1418" s="932"/>
      <c r="F1418" s="932"/>
      <c r="G1418" s="932"/>
      <c r="H1418" s="932"/>
      <c r="I1418" s="932"/>
      <c r="J1418" s="932"/>
      <c r="K1418" s="932"/>
      <c r="L1418" s="932"/>
      <c r="M1418" s="932"/>
      <c r="N1418" s="932"/>
      <c r="O1418" s="932"/>
      <c r="P1418" s="932"/>
      <c r="Q1418" s="932"/>
      <c r="R1418" s="932"/>
      <c r="S1418" s="932"/>
      <c r="T1418" s="932"/>
      <c r="U1418" s="932"/>
      <c r="V1418" s="932"/>
      <c r="W1418" s="932"/>
      <c r="X1418" s="932"/>
      <c r="Y1418" s="932"/>
      <c r="Z1418" s="932"/>
      <c r="AA1418" s="932"/>
      <c r="AB1418" s="932"/>
      <c r="AC1418" s="932"/>
      <c r="AD1418" s="932"/>
      <c r="AE1418" s="932"/>
      <c r="AF1418" s="932"/>
      <c r="AG1418" s="932"/>
      <c r="AH1418" s="932"/>
      <c r="AI1418" s="932"/>
      <c r="AJ1418" s="932"/>
      <c r="AK1418" s="932"/>
      <c r="AL1418" s="932"/>
      <c r="AM1418" s="932"/>
      <c r="AN1418" s="932"/>
      <c r="AO1418" s="932"/>
      <c r="AP1418" s="932"/>
      <c r="AQ1418" s="932"/>
      <c r="AR1418" s="932"/>
      <c r="AS1418" s="932"/>
      <c r="AT1418" s="932"/>
      <c r="AU1418" s="932"/>
      <c r="AV1418" s="932"/>
      <c r="AW1418" s="932"/>
      <c r="AX1418" s="932"/>
      <c r="AY1418" s="932"/>
      <c r="AZ1418" s="932"/>
      <c r="BA1418" s="932"/>
      <c r="BB1418" s="932"/>
      <c r="BC1418" s="932"/>
      <c r="BD1418" s="932"/>
      <c r="BE1418" s="932"/>
      <c r="BF1418" s="932"/>
    </row>
    <row r="1419" spans="2:58" ht="15" x14ac:dyDescent="0.25">
      <c r="B1419" s="932"/>
      <c r="C1419" s="932"/>
      <c r="D1419" s="932"/>
      <c r="E1419" s="932"/>
      <c r="F1419" s="932"/>
      <c r="G1419" s="932"/>
      <c r="H1419" s="932"/>
      <c r="I1419" s="932"/>
      <c r="J1419" s="932"/>
      <c r="K1419" s="932"/>
      <c r="L1419" s="932"/>
      <c r="M1419" s="932"/>
      <c r="N1419" s="932"/>
      <c r="O1419" s="932"/>
      <c r="P1419" s="932"/>
      <c r="Q1419" s="932"/>
      <c r="R1419" s="932"/>
      <c r="S1419" s="932"/>
      <c r="T1419" s="932"/>
      <c r="U1419" s="932"/>
      <c r="V1419" s="932"/>
      <c r="W1419" s="932"/>
      <c r="X1419" s="932"/>
      <c r="Y1419" s="932"/>
      <c r="Z1419" s="932"/>
      <c r="AA1419" s="932"/>
      <c r="AB1419" s="932"/>
      <c r="AC1419" s="932"/>
      <c r="AD1419" s="932"/>
      <c r="AE1419" s="932"/>
      <c r="AF1419" s="932"/>
      <c r="AG1419" s="932"/>
      <c r="AH1419" s="932"/>
      <c r="AI1419" s="932"/>
      <c r="AJ1419" s="932"/>
      <c r="AK1419" s="932"/>
      <c r="AL1419" s="932"/>
      <c r="AM1419" s="932"/>
      <c r="AN1419" s="932"/>
      <c r="AO1419" s="932"/>
      <c r="AP1419" s="932"/>
      <c r="AQ1419" s="932"/>
      <c r="AR1419" s="932"/>
      <c r="AS1419" s="932"/>
      <c r="AT1419" s="932"/>
      <c r="AU1419" s="932"/>
      <c r="AV1419" s="932"/>
      <c r="AW1419" s="932"/>
      <c r="AX1419" s="932"/>
      <c r="AY1419" s="932"/>
      <c r="AZ1419" s="932"/>
      <c r="BA1419" s="932"/>
      <c r="BB1419" s="932"/>
      <c r="BC1419" s="932"/>
      <c r="BD1419" s="932"/>
      <c r="BE1419" s="932"/>
      <c r="BF1419" s="932"/>
    </row>
    <row r="1420" spans="2:58" ht="15" x14ac:dyDescent="0.25">
      <c r="B1420" s="932"/>
      <c r="C1420" s="932"/>
      <c r="D1420" s="932"/>
      <c r="E1420" s="932"/>
      <c r="F1420" s="932"/>
      <c r="G1420" s="932"/>
      <c r="H1420" s="932"/>
      <c r="I1420" s="932"/>
      <c r="J1420" s="932"/>
      <c r="K1420" s="932"/>
      <c r="L1420" s="932"/>
      <c r="M1420" s="932"/>
      <c r="N1420" s="932"/>
      <c r="O1420" s="932"/>
      <c r="P1420" s="932"/>
      <c r="Q1420" s="932"/>
      <c r="R1420" s="932"/>
      <c r="S1420" s="932"/>
      <c r="T1420" s="932"/>
      <c r="U1420" s="932"/>
      <c r="V1420" s="932"/>
      <c r="W1420" s="932"/>
      <c r="X1420" s="932"/>
      <c r="Y1420" s="932"/>
      <c r="Z1420" s="932"/>
      <c r="AA1420" s="932"/>
      <c r="AB1420" s="932"/>
      <c r="AC1420" s="932"/>
      <c r="AD1420" s="932"/>
      <c r="AE1420" s="932"/>
      <c r="AF1420" s="932"/>
      <c r="AG1420" s="932"/>
      <c r="AH1420" s="932"/>
      <c r="AI1420" s="932"/>
      <c r="AJ1420" s="932"/>
      <c r="AK1420" s="932"/>
      <c r="AL1420" s="932"/>
      <c r="AM1420" s="932"/>
      <c r="AN1420" s="932"/>
      <c r="AO1420" s="932"/>
      <c r="AP1420" s="932"/>
      <c r="AQ1420" s="932"/>
      <c r="AR1420" s="932"/>
      <c r="AS1420" s="932"/>
      <c r="AT1420" s="932"/>
      <c r="AU1420" s="932"/>
      <c r="AV1420" s="932"/>
      <c r="AW1420" s="932"/>
      <c r="AX1420" s="932"/>
      <c r="AY1420" s="932"/>
      <c r="AZ1420" s="932"/>
      <c r="BA1420" s="932"/>
      <c r="BB1420" s="932"/>
      <c r="BC1420" s="932"/>
      <c r="BD1420" s="932"/>
      <c r="BE1420" s="932"/>
      <c r="BF1420" s="932"/>
    </row>
    <row r="1421" spans="2:58" ht="15" x14ac:dyDescent="0.25">
      <c r="B1421" s="932"/>
      <c r="C1421" s="932"/>
      <c r="D1421" s="932"/>
      <c r="E1421" s="932"/>
      <c r="F1421" s="932"/>
      <c r="G1421" s="932"/>
      <c r="H1421" s="932"/>
      <c r="I1421" s="932"/>
      <c r="J1421" s="932"/>
      <c r="K1421" s="932"/>
      <c r="L1421" s="932"/>
      <c r="M1421" s="932"/>
      <c r="N1421" s="932"/>
      <c r="O1421" s="932"/>
      <c r="P1421" s="932"/>
      <c r="Q1421" s="932"/>
      <c r="R1421" s="932"/>
      <c r="S1421" s="932"/>
      <c r="T1421" s="932"/>
      <c r="U1421" s="932"/>
      <c r="V1421" s="932"/>
      <c r="W1421" s="932"/>
      <c r="X1421" s="932"/>
      <c r="Y1421" s="932"/>
      <c r="Z1421" s="932"/>
      <c r="AA1421" s="932"/>
      <c r="AB1421" s="932"/>
      <c r="AC1421" s="932"/>
      <c r="AD1421" s="932"/>
      <c r="AE1421" s="932"/>
      <c r="AF1421" s="932"/>
      <c r="AG1421" s="932"/>
      <c r="AH1421" s="932"/>
      <c r="AI1421" s="932"/>
      <c r="AJ1421" s="932"/>
      <c r="AK1421" s="932"/>
      <c r="AL1421" s="932"/>
      <c r="AM1421" s="932"/>
      <c r="AN1421" s="932"/>
      <c r="AO1421" s="932"/>
      <c r="AP1421" s="932"/>
      <c r="AQ1421" s="932"/>
      <c r="AR1421" s="932"/>
      <c r="AS1421" s="932"/>
      <c r="AT1421" s="932"/>
      <c r="AU1421" s="932"/>
      <c r="AV1421" s="932"/>
      <c r="AW1421" s="932"/>
      <c r="AX1421" s="932"/>
      <c r="AY1421" s="932"/>
      <c r="AZ1421" s="932"/>
      <c r="BA1421" s="932"/>
      <c r="BB1421" s="932"/>
      <c r="BC1421" s="932"/>
      <c r="BD1421" s="932"/>
      <c r="BE1421" s="932"/>
      <c r="BF1421" s="932"/>
    </row>
    <row r="1422" spans="2:58" ht="15" x14ac:dyDescent="0.25">
      <c r="B1422" s="932"/>
      <c r="C1422" s="932"/>
      <c r="D1422" s="932"/>
      <c r="E1422" s="932"/>
      <c r="F1422" s="932"/>
      <c r="G1422" s="932"/>
      <c r="H1422" s="932"/>
      <c r="I1422" s="932"/>
      <c r="J1422" s="932"/>
      <c r="K1422" s="932"/>
      <c r="L1422" s="932"/>
      <c r="M1422" s="932"/>
      <c r="N1422" s="932"/>
      <c r="O1422" s="932"/>
      <c r="P1422" s="932"/>
      <c r="Q1422" s="932"/>
      <c r="R1422" s="932"/>
      <c r="S1422" s="932"/>
      <c r="T1422" s="932"/>
      <c r="U1422" s="932"/>
      <c r="V1422" s="932"/>
      <c r="W1422" s="932"/>
      <c r="X1422" s="932"/>
      <c r="Y1422" s="932"/>
      <c r="Z1422" s="932"/>
      <c r="AA1422" s="932"/>
      <c r="AB1422" s="932"/>
      <c r="AC1422" s="932"/>
      <c r="AD1422" s="932"/>
      <c r="AE1422" s="932"/>
      <c r="AF1422" s="932"/>
      <c r="AG1422" s="932"/>
      <c r="AH1422" s="932"/>
      <c r="AI1422" s="932"/>
      <c r="AJ1422" s="932"/>
      <c r="AK1422" s="932"/>
      <c r="AL1422" s="932"/>
      <c r="AM1422" s="932"/>
      <c r="AN1422" s="932"/>
      <c r="AO1422" s="932"/>
      <c r="AP1422" s="932"/>
      <c r="AQ1422" s="932"/>
      <c r="AR1422" s="932"/>
      <c r="AS1422" s="932"/>
      <c r="AT1422" s="932"/>
      <c r="AU1422" s="932"/>
      <c r="AV1422" s="932"/>
      <c r="AW1422" s="932"/>
      <c r="AX1422" s="932"/>
      <c r="AY1422" s="932"/>
      <c r="AZ1422" s="932"/>
      <c r="BA1422" s="932"/>
      <c r="BB1422" s="932"/>
      <c r="BC1422" s="932"/>
      <c r="BD1422" s="932"/>
      <c r="BE1422" s="932"/>
      <c r="BF1422" s="932"/>
    </row>
    <row r="1423" spans="2:58" ht="15" x14ac:dyDescent="0.25">
      <c r="B1423" s="932"/>
      <c r="C1423" s="932"/>
      <c r="D1423" s="932"/>
      <c r="E1423" s="932"/>
      <c r="F1423" s="932"/>
      <c r="G1423" s="932"/>
      <c r="H1423" s="932"/>
      <c r="I1423" s="932"/>
      <c r="J1423" s="932"/>
      <c r="K1423" s="932"/>
      <c r="L1423" s="932"/>
      <c r="M1423" s="932"/>
      <c r="N1423" s="932"/>
      <c r="O1423" s="932"/>
      <c r="P1423" s="932"/>
      <c r="Q1423" s="932"/>
      <c r="R1423" s="932"/>
      <c r="S1423" s="932"/>
      <c r="T1423" s="932"/>
      <c r="U1423" s="932"/>
      <c r="V1423" s="932"/>
      <c r="W1423" s="932"/>
      <c r="X1423" s="932"/>
      <c r="Y1423" s="932"/>
      <c r="Z1423" s="932"/>
      <c r="AA1423" s="932"/>
      <c r="AB1423" s="932"/>
      <c r="AC1423" s="932"/>
      <c r="AD1423" s="932"/>
      <c r="AE1423" s="932"/>
      <c r="AF1423" s="932"/>
      <c r="AG1423" s="932"/>
      <c r="AH1423" s="932"/>
      <c r="AI1423" s="932"/>
      <c r="AJ1423" s="932"/>
      <c r="AK1423" s="932"/>
      <c r="AL1423" s="932"/>
      <c r="AM1423" s="932"/>
      <c r="AN1423" s="932"/>
      <c r="AO1423" s="932"/>
      <c r="AP1423" s="932"/>
      <c r="AQ1423" s="932"/>
      <c r="AR1423" s="932"/>
      <c r="AS1423" s="932"/>
      <c r="AT1423" s="932"/>
      <c r="AU1423" s="932"/>
      <c r="AV1423" s="932"/>
      <c r="AW1423" s="932"/>
      <c r="AX1423" s="932"/>
      <c r="AY1423" s="932"/>
      <c r="AZ1423" s="932"/>
      <c r="BA1423" s="932"/>
      <c r="BB1423" s="932"/>
      <c r="BC1423" s="932"/>
      <c r="BD1423" s="932"/>
      <c r="BE1423" s="932"/>
      <c r="BF1423" s="932"/>
    </row>
    <row r="1424" spans="2:58" ht="15" x14ac:dyDescent="0.25">
      <c r="B1424" s="932"/>
      <c r="C1424" s="932"/>
      <c r="D1424" s="932"/>
      <c r="E1424" s="932"/>
      <c r="F1424" s="932"/>
      <c r="G1424" s="932"/>
      <c r="H1424" s="932"/>
      <c r="I1424" s="932"/>
      <c r="J1424" s="932"/>
      <c r="K1424" s="932"/>
      <c r="L1424" s="932"/>
      <c r="M1424" s="932"/>
      <c r="N1424" s="932"/>
      <c r="O1424" s="932"/>
      <c r="P1424" s="932"/>
      <c r="Q1424" s="932"/>
      <c r="R1424" s="932"/>
      <c r="S1424" s="932"/>
      <c r="T1424" s="932"/>
      <c r="U1424" s="932"/>
      <c r="V1424" s="932"/>
      <c r="W1424" s="932"/>
      <c r="X1424" s="932"/>
      <c r="Y1424" s="932"/>
      <c r="Z1424" s="932"/>
      <c r="AA1424" s="932"/>
      <c r="AB1424" s="932"/>
      <c r="AC1424" s="932"/>
      <c r="AD1424" s="932"/>
      <c r="AE1424" s="932"/>
      <c r="AF1424" s="932"/>
      <c r="AG1424" s="932"/>
      <c r="AH1424" s="932"/>
      <c r="AI1424" s="932"/>
      <c r="AJ1424" s="932"/>
      <c r="AK1424" s="932"/>
      <c r="AL1424" s="932"/>
      <c r="AM1424" s="932"/>
      <c r="AN1424" s="932"/>
      <c r="AO1424" s="932"/>
      <c r="AP1424" s="932"/>
      <c r="AQ1424" s="932"/>
      <c r="AR1424" s="932"/>
      <c r="AS1424" s="932"/>
      <c r="AT1424" s="932"/>
      <c r="AU1424" s="932"/>
      <c r="AV1424" s="932"/>
      <c r="AW1424" s="932"/>
      <c r="AX1424" s="932"/>
      <c r="AY1424" s="932"/>
      <c r="AZ1424" s="932"/>
      <c r="BA1424" s="932"/>
      <c r="BB1424" s="932"/>
      <c r="BC1424" s="932"/>
      <c r="BD1424" s="932"/>
      <c r="BE1424" s="932"/>
      <c r="BF1424" s="932"/>
    </row>
    <row r="1425" spans="2:58" ht="15" x14ac:dyDescent="0.25">
      <c r="B1425" s="932"/>
      <c r="C1425" s="932"/>
      <c r="D1425" s="932"/>
      <c r="E1425" s="932"/>
      <c r="F1425" s="932"/>
      <c r="G1425" s="932"/>
      <c r="H1425" s="932"/>
      <c r="I1425" s="932"/>
      <c r="J1425" s="932"/>
      <c r="K1425" s="932"/>
      <c r="L1425" s="932"/>
      <c r="M1425" s="932"/>
      <c r="N1425" s="932"/>
      <c r="O1425" s="932"/>
      <c r="P1425" s="932"/>
      <c r="Q1425" s="932"/>
      <c r="R1425" s="932"/>
      <c r="S1425" s="932"/>
      <c r="T1425" s="932"/>
      <c r="U1425" s="932"/>
      <c r="V1425" s="932"/>
      <c r="W1425" s="932"/>
      <c r="X1425" s="932"/>
      <c r="Y1425" s="932"/>
      <c r="Z1425" s="932"/>
      <c r="AA1425" s="932"/>
      <c r="AB1425" s="932"/>
      <c r="AC1425" s="932"/>
      <c r="AD1425" s="932"/>
      <c r="AE1425" s="932"/>
      <c r="AF1425" s="932"/>
      <c r="AG1425" s="932"/>
      <c r="AH1425" s="932"/>
      <c r="AI1425" s="932"/>
      <c r="AJ1425" s="932"/>
      <c r="AK1425" s="932"/>
      <c r="AL1425" s="932"/>
      <c r="AM1425" s="932"/>
      <c r="AN1425" s="932"/>
      <c r="AO1425" s="932"/>
      <c r="AP1425" s="932"/>
      <c r="AQ1425" s="932"/>
      <c r="AR1425" s="932"/>
      <c r="AS1425" s="932"/>
      <c r="AT1425" s="932"/>
      <c r="AU1425" s="932"/>
      <c r="AV1425" s="932"/>
      <c r="AW1425" s="932"/>
      <c r="AX1425" s="932"/>
      <c r="AY1425" s="932"/>
      <c r="AZ1425" s="932"/>
      <c r="BA1425" s="932"/>
      <c r="BB1425" s="932"/>
      <c r="BC1425" s="932"/>
      <c r="BD1425" s="932"/>
      <c r="BE1425" s="932"/>
      <c r="BF1425" s="932"/>
    </row>
    <row r="1426" spans="2:58" ht="15" x14ac:dyDescent="0.25">
      <c r="B1426" s="932"/>
      <c r="C1426" s="932"/>
      <c r="D1426" s="932"/>
      <c r="E1426" s="932"/>
      <c r="F1426" s="932"/>
      <c r="G1426" s="932"/>
      <c r="H1426" s="932"/>
      <c r="I1426" s="932"/>
      <c r="J1426" s="932"/>
      <c r="K1426" s="932"/>
      <c r="L1426" s="932"/>
      <c r="M1426" s="932"/>
      <c r="N1426" s="932"/>
      <c r="O1426" s="932"/>
      <c r="P1426" s="932"/>
      <c r="Q1426" s="932"/>
      <c r="R1426" s="932"/>
      <c r="S1426" s="932"/>
      <c r="T1426" s="932"/>
      <c r="U1426" s="932"/>
      <c r="V1426" s="932"/>
      <c r="W1426" s="932"/>
      <c r="X1426" s="932"/>
      <c r="Y1426" s="932"/>
      <c r="Z1426" s="932"/>
      <c r="AA1426" s="932"/>
      <c r="AB1426" s="932"/>
      <c r="AC1426" s="932"/>
      <c r="AD1426" s="932"/>
      <c r="AE1426" s="932"/>
      <c r="AF1426" s="932"/>
      <c r="AG1426" s="932"/>
      <c r="AH1426" s="932"/>
      <c r="AI1426" s="932"/>
      <c r="AJ1426" s="932"/>
      <c r="AK1426" s="932"/>
      <c r="AL1426" s="932"/>
      <c r="AM1426" s="932"/>
      <c r="AN1426" s="932"/>
      <c r="AO1426" s="932"/>
      <c r="AP1426" s="932"/>
      <c r="AQ1426" s="932"/>
      <c r="AR1426" s="932"/>
      <c r="AS1426" s="932"/>
      <c r="AT1426" s="932"/>
      <c r="AU1426" s="932"/>
      <c r="AV1426" s="932"/>
      <c r="AW1426" s="932"/>
      <c r="AX1426" s="932"/>
      <c r="AY1426" s="932"/>
      <c r="AZ1426" s="932"/>
      <c r="BA1426" s="932"/>
      <c r="BB1426" s="932"/>
      <c r="BC1426" s="932"/>
      <c r="BD1426" s="932"/>
      <c r="BE1426" s="932"/>
      <c r="BF1426" s="932"/>
    </row>
    <row r="1427" spans="2:58" ht="15" x14ac:dyDescent="0.25">
      <c r="B1427" s="932"/>
      <c r="C1427" s="932"/>
      <c r="D1427" s="932"/>
      <c r="E1427" s="932"/>
      <c r="F1427" s="932"/>
      <c r="G1427" s="932"/>
      <c r="H1427" s="932"/>
      <c r="I1427" s="932"/>
      <c r="J1427" s="932"/>
      <c r="K1427" s="932"/>
      <c r="L1427" s="932"/>
      <c r="M1427" s="932"/>
      <c r="N1427" s="932"/>
      <c r="O1427" s="932"/>
      <c r="P1427" s="932"/>
      <c r="Q1427" s="932"/>
      <c r="R1427" s="932"/>
      <c r="S1427" s="932"/>
      <c r="T1427" s="932"/>
      <c r="U1427" s="932"/>
      <c r="V1427" s="932"/>
      <c r="W1427" s="932"/>
      <c r="X1427" s="932"/>
      <c r="Y1427" s="932"/>
      <c r="Z1427" s="932"/>
      <c r="AA1427" s="932"/>
      <c r="AB1427" s="932"/>
      <c r="AC1427" s="932"/>
      <c r="AD1427" s="932"/>
      <c r="AE1427" s="932"/>
      <c r="AF1427" s="932"/>
      <c r="AG1427" s="932"/>
      <c r="AH1427" s="932"/>
      <c r="AI1427" s="932"/>
      <c r="AJ1427" s="932"/>
      <c r="AK1427" s="932"/>
      <c r="AL1427" s="932"/>
      <c r="AM1427" s="932"/>
      <c r="AN1427" s="932"/>
      <c r="AO1427" s="932"/>
      <c r="AP1427" s="932"/>
      <c r="AQ1427" s="932"/>
      <c r="AR1427" s="932"/>
      <c r="AS1427" s="932"/>
      <c r="AT1427" s="932"/>
      <c r="AU1427" s="932"/>
      <c r="AV1427" s="932"/>
      <c r="AW1427" s="932"/>
      <c r="AX1427" s="932"/>
      <c r="AY1427" s="932"/>
      <c r="AZ1427" s="932"/>
      <c r="BA1427" s="932"/>
      <c r="BB1427" s="932"/>
      <c r="BC1427" s="932"/>
      <c r="BD1427" s="932"/>
      <c r="BE1427" s="932"/>
      <c r="BF1427" s="932"/>
    </row>
    <row r="1428" spans="2:58" ht="15" x14ac:dyDescent="0.25">
      <c r="B1428" s="932"/>
      <c r="C1428" s="932"/>
      <c r="D1428" s="932"/>
      <c r="E1428" s="932"/>
      <c r="F1428" s="932"/>
      <c r="G1428" s="932"/>
      <c r="H1428" s="932"/>
      <c r="I1428" s="932"/>
      <c r="J1428" s="932"/>
      <c r="K1428" s="932"/>
      <c r="L1428" s="932"/>
      <c r="M1428" s="932"/>
      <c r="N1428" s="932"/>
      <c r="O1428" s="932"/>
      <c r="P1428" s="932"/>
      <c r="Q1428" s="932"/>
      <c r="R1428" s="932"/>
      <c r="S1428" s="932"/>
      <c r="T1428" s="932"/>
      <c r="U1428" s="932"/>
      <c r="V1428" s="932"/>
      <c r="W1428" s="932"/>
      <c r="X1428" s="932"/>
      <c r="Y1428" s="932"/>
      <c r="Z1428" s="932"/>
      <c r="AA1428" s="932"/>
      <c r="AB1428" s="932"/>
      <c r="AC1428" s="932"/>
      <c r="AD1428" s="932"/>
      <c r="AE1428" s="932"/>
      <c r="AF1428" s="932"/>
      <c r="AG1428" s="932"/>
      <c r="AH1428" s="932"/>
      <c r="AI1428" s="932"/>
      <c r="AJ1428" s="932"/>
      <c r="AK1428" s="932"/>
      <c r="AL1428" s="932"/>
      <c r="AM1428" s="932"/>
      <c r="AN1428" s="932"/>
      <c r="AO1428" s="932"/>
      <c r="AP1428" s="932"/>
      <c r="AQ1428" s="932"/>
      <c r="AR1428" s="932"/>
      <c r="AS1428" s="932"/>
      <c r="AT1428" s="932"/>
      <c r="AU1428" s="932"/>
      <c r="AV1428" s="932"/>
      <c r="AW1428" s="932"/>
      <c r="AX1428" s="932"/>
      <c r="AY1428" s="932"/>
      <c r="AZ1428" s="932"/>
      <c r="BA1428" s="932"/>
      <c r="BB1428" s="932"/>
      <c r="BC1428" s="932"/>
      <c r="BD1428" s="932"/>
      <c r="BE1428" s="932"/>
      <c r="BF1428" s="932"/>
    </row>
    <row r="1429" spans="2:58" ht="15" x14ac:dyDescent="0.25">
      <c r="B1429" s="932"/>
      <c r="C1429" s="932"/>
      <c r="D1429" s="932"/>
      <c r="E1429" s="932"/>
      <c r="F1429" s="932"/>
      <c r="G1429" s="932"/>
      <c r="H1429" s="932"/>
      <c r="I1429" s="932"/>
      <c r="J1429" s="932"/>
      <c r="K1429" s="932"/>
      <c r="L1429" s="932"/>
      <c r="M1429" s="932"/>
      <c r="N1429" s="932"/>
      <c r="O1429" s="932"/>
      <c r="P1429" s="932"/>
      <c r="Q1429" s="932"/>
      <c r="R1429" s="932"/>
      <c r="S1429" s="932"/>
      <c r="T1429" s="932"/>
      <c r="U1429" s="932"/>
      <c r="V1429" s="932"/>
      <c r="W1429" s="932"/>
      <c r="X1429" s="932"/>
      <c r="Y1429" s="932"/>
      <c r="Z1429" s="932"/>
      <c r="AA1429" s="932"/>
      <c r="AB1429" s="932"/>
      <c r="AC1429" s="932"/>
      <c r="AD1429" s="932"/>
      <c r="AE1429" s="932"/>
      <c r="AF1429" s="932"/>
      <c r="AG1429" s="932"/>
      <c r="AH1429" s="932"/>
      <c r="AI1429" s="932"/>
      <c r="AJ1429" s="932"/>
      <c r="AK1429" s="932"/>
      <c r="AL1429" s="932"/>
      <c r="AM1429" s="932"/>
      <c r="AN1429" s="932"/>
      <c r="AO1429" s="932"/>
      <c r="AP1429" s="932"/>
      <c r="AQ1429" s="932"/>
      <c r="AR1429" s="932"/>
      <c r="AS1429" s="932"/>
      <c r="AT1429" s="932"/>
      <c r="AU1429" s="932"/>
      <c r="AV1429" s="932"/>
      <c r="AW1429" s="932"/>
      <c r="AX1429" s="932"/>
      <c r="AY1429" s="932"/>
      <c r="AZ1429" s="932"/>
      <c r="BA1429" s="932"/>
      <c r="BB1429" s="932"/>
      <c r="BC1429" s="932"/>
      <c r="BD1429" s="932"/>
      <c r="BE1429" s="932"/>
      <c r="BF1429" s="932"/>
    </row>
    <row r="1430" spans="2:58" ht="15" x14ac:dyDescent="0.25">
      <c r="B1430" s="932"/>
      <c r="C1430" s="932"/>
      <c r="D1430" s="932"/>
      <c r="E1430" s="932"/>
      <c r="F1430" s="932"/>
      <c r="G1430" s="932"/>
      <c r="H1430" s="932"/>
      <c r="I1430" s="932"/>
      <c r="J1430" s="932"/>
      <c r="K1430" s="932"/>
      <c r="L1430" s="932"/>
      <c r="M1430" s="932"/>
      <c r="N1430" s="932"/>
      <c r="O1430" s="932"/>
      <c r="P1430" s="932"/>
      <c r="Q1430" s="932"/>
      <c r="R1430" s="932"/>
      <c r="S1430" s="932"/>
      <c r="T1430" s="932"/>
      <c r="U1430" s="932"/>
      <c r="V1430" s="932"/>
      <c r="W1430" s="932"/>
      <c r="X1430" s="932"/>
      <c r="Y1430" s="932"/>
      <c r="Z1430" s="932"/>
      <c r="AA1430" s="932"/>
      <c r="AB1430" s="932"/>
      <c r="AC1430" s="932"/>
      <c r="AD1430" s="932"/>
      <c r="AE1430" s="932"/>
      <c r="AF1430" s="932"/>
      <c r="AG1430" s="932"/>
      <c r="AH1430" s="932"/>
      <c r="AI1430" s="932"/>
      <c r="AJ1430" s="932"/>
      <c r="AK1430" s="932"/>
      <c r="AL1430" s="932"/>
      <c r="AM1430" s="932"/>
      <c r="AN1430" s="932"/>
      <c r="AO1430" s="932"/>
      <c r="AP1430" s="932"/>
      <c r="AQ1430" s="932"/>
      <c r="AR1430" s="932"/>
      <c r="AS1430" s="932"/>
      <c r="AT1430" s="932"/>
      <c r="AU1430" s="932"/>
      <c r="AV1430" s="932"/>
      <c r="AW1430" s="932"/>
      <c r="AX1430" s="932"/>
      <c r="AY1430" s="932"/>
      <c r="AZ1430" s="932"/>
      <c r="BA1430" s="932"/>
      <c r="BB1430" s="932"/>
      <c r="BC1430" s="932"/>
      <c r="BD1430" s="932"/>
      <c r="BE1430" s="932"/>
      <c r="BF1430" s="932"/>
    </row>
    <row r="1431" spans="2:58" ht="15" x14ac:dyDescent="0.25">
      <c r="B1431" s="932"/>
      <c r="C1431" s="932"/>
      <c r="D1431" s="932"/>
      <c r="E1431" s="932"/>
      <c r="F1431" s="932"/>
      <c r="G1431" s="932"/>
      <c r="H1431" s="932"/>
      <c r="I1431" s="932"/>
      <c r="J1431" s="932"/>
      <c r="K1431" s="932"/>
      <c r="L1431" s="932"/>
      <c r="M1431" s="932"/>
      <c r="N1431" s="932"/>
      <c r="O1431" s="932"/>
      <c r="P1431" s="932"/>
      <c r="Q1431" s="932"/>
      <c r="R1431" s="932"/>
      <c r="S1431" s="932"/>
      <c r="T1431" s="932"/>
      <c r="U1431" s="932"/>
      <c r="V1431" s="932"/>
      <c r="W1431" s="932"/>
      <c r="X1431" s="932"/>
      <c r="Y1431" s="932"/>
      <c r="Z1431" s="932"/>
      <c r="AA1431" s="932"/>
      <c r="AB1431" s="932"/>
      <c r="AC1431" s="932"/>
      <c r="AD1431" s="932"/>
      <c r="AE1431" s="932"/>
      <c r="AF1431" s="932"/>
      <c r="AG1431" s="932"/>
      <c r="AH1431" s="932"/>
      <c r="AI1431" s="932"/>
      <c r="AJ1431" s="932"/>
      <c r="AK1431" s="932"/>
      <c r="AL1431" s="932"/>
      <c r="AM1431" s="932"/>
      <c r="AN1431" s="932"/>
      <c r="AO1431" s="932"/>
      <c r="AP1431" s="932"/>
      <c r="AQ1431" s="932"/>
      <c r="AR1431" s="932"/>
      <c r="AS1431" s="932"/>
      <c r="AT1431" s="932"/>
      <c r="AU1431" s="932"/>
      <c r="AV1431" s="932"/>
      <c r="AW1431" s="932"/>
      <c r="AX1431" s="932"/>
      <c r="AY1431" s="932"/>
      <c r="AZ1431" s="932"/>
      <c r="BA1431" s="932"/>
      <c r="BB1431" s="932"/>
      <c r="BC1431" s="932"/>
      <c r="BD1431" s="932"/>
      <c r="BE1431" s="932"/>
      <c r="BF1431" s="932"/>
    </row>
    <row r="1432" spans="2:58" ht="15" x14ac:dyDescent="0.25">
      <c r="B1432" s="932"/>
      <c r="C1432" s="932"/>
      <c r="D1432" s="932"/>
      <c r="E1432" s="932"/>
      <c r="F1432" s="932"/>
      <c r="G1432" s="932"/>
      <c r="H1432" s="932"/>
      <c r="I1432" s="932"/>
      <c r="J1432" s="932"/>
      <c r="K1432" s="932"/>
      <c r="L1432" s="932"/>
      <c r="M1432" s="932"/>
      <c r="N1432" s="932"/>
      <c r="O1432" s="932"/>
      <c r="P1432" s="932"/>
      <c r="Q1432" s="932"/>
      <c r="R1432" s="932"/>
      <c r="S1432" s="932"/>
      <c r="T1432" s="932"/>
      <c r="U1432" s="932"/>
      <c r="V1432" s="932"/>
      <c r="W1432" s="932"/>
      <c r="X1432" s="932"/>
      <c r="Y1432" s="932"/>
      <c r="Z1432" s="932"/>
      <c r="AA1432" s="932"/>
      <c r="AB1432" s="932"/>
      <c r="AC1432" s="932"/>
      <c r="AD1432" s="932"/>
      <c r="AE1432" s="932"/>
      <c r="AF1432" s="932"/>
      <c r="AG1432" s="932"/>
      <c r="AH1432" s="932"/>
      <c r="AI1432" s="932"/>
      <c r="AJ1432" s="932"/>
      <c r="AK1432" s="932"/>
      <c r="AL1432" s="932"/>
      <c r="AM1432" s="932"/>
      <c r="AN1432" s="932"/>
      <c r="AO1432" s="932"/>
      <c r="AP1432" s="932"/>
      <c r="AQ1432" s="932"/>
      <c r="AR1432" s="932"/>
      <c r="AS1432" s="932"/>
      <c r="AT1432" s="932"/>
      <c r="AU1432" s="932"/>
      <c r="AV1432" s="932"/>
      <c r="AW1432" s="932"/>
      <c r="AX1432" s="932"/>
      <c r="AY1432" s="932"/>
      <c r="AZ1432" s="932"/>
      <c r="BA1432" s="932"/>
      <c r="BB1432" s="932"/>
      <c r="BC1432" s="932"/>
      <c r="BD1432" s="932"/>
      <c r="BE1432" s="932"/>
      <c r="BF1432" s="932"/>
    </row>
    <row r="1433" spans="2:58" ht="15" x14ac:dyDescent="0.25">
      <c r="B1433" s="932"/>
      <c r="C1433" s="932"/>
      <c r="D1433" s="932"/>
      <c r="E1433" s="932"/>
      <c r="F1433" s="932"/>
      <c r="G1433" s="932"/>
      <c r="H1433" s="932"/>
      <c r="I1433" s="932"/>
      <c r="J1433" s="932"/>
      <c r="K1433" s="932"/>
      <c r="L1433" s="932"/>
      <c r="M1433" s="932"/>
      <c r="N1433" s="932"/>
      <c r="O1433" s="932"/>
      <c r="P1433" s="932"/>
      <c r="Q1433" s="932"/>
      <c r="R1433" s="932"/>
      <c r="S1433" s="932"/>
      <c r="T1433" s="932"/>
      <c r="U1433" s="932"/>
      <c r="V1433" s="932"/>
      <c r="W1433" s="932"/>
      <c r="X1433" s="932"/>
      <c r="Y1433" s="932"/>
      <c r="Z1433" s="932"/>
      <c r="AA1433" s="932"/>
      <c r="AB1433" s="932"/>
      <c r="AC1433" s="932"/>
      <c r="AD1433" s="932"/>
      <c r="AE1433" s="932"/>
      <c r="AF1433" s="932"/>
      <c r="AG1433" s="932"/>
      <c r="AH1433" s="932"/>
      <c r="AI1433" s="932"/>
      <c r="AJ1433" s="932"/>
      <c r="AK1433" s="932"/>
      <c r="AL1433" s="932"/>
      <c r="AM1433" s="932"/>
      <c r="AN1433" s="932"/>
      <c r="AO1433" s="932"/>
      <c r="AP1433" s="932"/>
      <c r="AQ1433" s="932"/>
      <c r="AR1433" s="932"/>
      <c r="AS1433" s="932"/>
      <c r="AT1433" s="932"/>
      <c r="AU1433" s="932"/>
      <c r="AV1433" s="932"/>
      <c r="AW1433" s="932"/>
      <c r="AX1433" s="932"/>
      <c r="AY1433" s="932"/>
      <c r="AZ1433" s="932"/>
      <c r="BA1433" s="932"/>
      <c r="BB1433" s="932"/>
      <c r="BC1433" s="932"/>
      <c r="BD1433" s="932"/>
      <c r="BE1433" s="932"/>
      <c r="BF1433" s="932"/>
    </row>
    <row r="1434" spans="2:58" ht="15" x14ac:dyDescent="0.25">
      <c r="B1434" s="932"/>
      <c r="C1434" s="932"/>
      <c r="D1434" s="932"/>
      <c r="E1434" s="932"/>
      <c r="F1434" s="932"/>
      <c r="G1434" s="932"/>
      <c r="H1434" s="932"/>
      <c r="I1434" s="932"/>
      <c r="J1434" s="932"/>
      <c r="K1434" s="932"/>
      <c r="L1434" s="932"/>
      <c r="M1434" s="932"/>
      <c r="N1434" s="932"/>
      <c r="O1434" s="932"/>
      <c r="P1434" s="932"/>
      <c r="Q1434" s="932"/>
      <c r="R1434" s="932"/>
      <c r="S1434" s="932"/>
      <c r="T1434" s="932"/>
      <c r="U1434" s="932"/>
      <c r="V1434" s="932"/>
      <c r="W1434" s="932"/>
      <c r="X1434" s="932"/>
      <c r="Y1434" s="932"/>
      <c r="Z1434" s="932"/>
      <c r="AA1434" s="932"/>
      <c r="AB1434" s="932"/>
      <c r="AC1434" s="932"/>
      <c r="AD1434" s="932"/>
      <c r="AE1434" s="932"/>
      <c r="AF1434" s="932"/>
      <c r="AG1434" s="932"/>
      <c r="AH1434" s="932"/>
      <c r="AI1434" s="932"/>
      <c r="AJ1434" s="932"/>
      <c r="AK1434" s="932"/>
      <c r="AL1434" s="932"/>
      <c r="AM1434" s="932"/>
      <c r="AN1434" s="932"/>
      <c r="AO1434" s="932"/>
      <c r="AP1434" s="932"/>
      <c r="AQ1434" s="932"/>
      <c r="AR1434" s="932"/>
      <c r="AS1434" s="932"/>
      <c r="AT1434" s="932"/>
      <c r="AU1434" s="932"/>
      <c r="AV1434" s="932"/>
      <c r="AW1434" s="932"/>
      <c r="AX1434" s="932"/>
      <c r="AY1434" s="932"/>
      <c r="AZ1434" s="932"/>
      <c r="BA1434" s="932"/>
      <c r="BB1434" s="932"/>
      <c r="BC1434" s="932"/>
      <c r="BD1434" s="932"/>
      <c r="BE1434" s="932"/>
      <c r="BF1434" s="932"/>
    </row>
    <row r="1435" spans="2:58" ht="15" x14ac:dyDescent="0.25">
      <c r="B1435" s="932"/>
      <c r="C1435" s="932"/>
      <c r="D1435" s="932"/>
      <c r="E1435" s="932"/>
      <c r="F1435" s="932"/>
      <c r="G1435" s="932"/>
      <c r="H1435" s="932"/>
      <c r="I1435" s="932"/>
      <c r="J1435" s="932"/>
      <c r="K1435" s="932"/>
      <c r="L1435" s="932"/>
      <c r="M1435" s="932"/>
      <c r="N1435" s="932"/>
      <c r="O1435" s="932"/>
      <c r="P1435" s="932"/>
      <c r="Q1435" s="932"/>
      <c r="R1435" s="932"/>
      <c r="S1435" s="932"/>
      <c r="T1435" s="932"/>
      <c r="U1435" s="932"/>
      <c r="V1435" s="932"/>
      <c r="W1435" s="932"/>
      <c r="X1435" s="932"/>
      <c r="Y1435" s="932"/>
      <c r="Z1435" s="932"/>
      <c r="AA1435" s="932"/>
      <c r="AB1435" s="932"/>
      <c r="AC1435" s="932"/>
      <c r="AD1435" s="932"/>
      <c r="AE1435" s="932"/>
      <c r="AF1435" s="932"/>
      <c r="AG1435" s="932"/>
      <c r="AH1435" s="932"/>
      <c r="AI1435" s="932"/>
      <c r="AJ1435" s="932"/>
      <c r="AK1435" s="932"/>
      <c r="AL1435" s="932"/>
      <c r="AM1435" s="932"/>
      <c r="AN1435" s="932"/>
      <c r="AO1435" s="932"/>
      <c r="AP1435" s="932"/>
      <c r="AQ1435" s="932"/>
      <c r="AR1435" s="932"/>
      <c r="AS1435" s="932"/>
      <c r="AT1435" s="932"/>
      <c r="AU1435" s="932"/>
      <c r="AV1435" s="932"/>
      <c r="AW1435" s="932"/>
      <c r="AX1435" s="932"/>
      <c r="AY1435" s="932"/>
      <c r="AZ1435" s="932"/>
      <c r="BA1435" s="932"/>
      <c r="BB1435" s="932"/>
      <c r="BC1435" s="932"/>
      <c r="BD1435" s="932"/>
      <c r="BE1435" s="932"/>
      <c r="BF1435" s="932"/>
    </row>
    <row r="1436" spans="2:58" ht="15" x14ac:dyDescent="0.25">
      <c r="B1436" s="932"/>
      <c r="C1436" s="932"/>
      <c r="D1436" s="932"/>
      <c r="E1436" s="932"/>
      <c r="F1436" s="932"/>
      <c r="G1436" s="932"/>
      <c r="H1436" s="932"/>
      <c r="I1436" s="932"/>
      <c r="J1436" s="932"/>
      <c r="K1436" s="932"/>
      <c r="L1436" s="932"/>
      <c r="M1436" s="932"/>
      <c r="N1436" s="932"/>
      <c r="O1436" s="932"/>
      <c r="P1436" s="932"/>
      <c r="Q1436" s="932"/>
      <c r="R1436" s="932"/>
      <c r="S1436" s="932"/>
      <c r="T1436" s="932"/>
      <c r="U1436" s="932"/>
      <c r="V1436" s="932"/>
      <c r="W1436" s="932"/>
      <c r="X1436" s="932"/>
      <c r="Y1436" s="932"/>
      <c r="Z1436" s="932"/>
      <c r="AA1436" s="932"/>
      <c r="AB1436" s="932"/>
      <c r="AC1436" s="932"/>
      <c r="AD1436" s="932"/>
      <c r="AE1436" s="932"/>
      <c r="AF1436" s="932"/>
      <c r="AG1436" s="932"/>
      <c r="AH1436" s="932"/>
      <c r="AI1436" s="932"/>
      <c r="AJ1436" s="932"/>
      <c r="AK1436" s="932"/>
      <c r="AL1436" s="932"/>
      <c r="AM1436" s="932"/>
      <c r="AN1436" s="932"/>
      <c r="AO1436" s="932"/>
      <c r="AP1436" s="932"/>
      <c r="AQ1436" s="932"/>
      <c r="AR1436" s="932"/>
      <c r="AS1436" s="932"/>
      <c r="AT1436" s="932"/>
      <c r="AU1436" s="932"/>
      <c r="AV1436" s="932"/>
      <c r="AW1436" s="932"/>
      <c r="AX1436" s="932"/>
      <c r="AY1436" s="932"/>
      <c r="AZ1436" s="932"/>
      <c r="BA1436" s="932"/>
      <c r="BB1436" s="932"/>
      <c r="BC1436" s="932"/>
      <c r="BD1436" s="932"/>
      <c r="BE1436" s="932"/>
      <c r="BF1436" s="932"/>
    </row>
    <row r="1437" spans="2:58" ht="15" x14ac:dyDescent="0.25">
      <c r="B1437" s="932"/>
      <c r="C1437" s="932"/>
      <c r="D1437" s="932"/>
      <c r="E1437" s="932"/>
      <c r="F1437" s="932"/>
      <c r="G1437" s="932"/>
      <c r="H1437" s="932"/>
      <c r="I1437" s="932"/>
      <c r="J1437" s="932"/>
      <c r="K1437" s="932"/>
      <c r="L1437" s="932"/>
      <c r="M1437" s="932"/>
      <c r="N1437" s="932"/>
      <c r="O1437" s="932"/>
      <c r="P1437" s="932"/>
      <c r="Q1437" s="932"/>
      <c r="R1437" s="932"/>
      <c r="S1437" s="932"/>
      <c r="T1437" s="932"/>
      <c r="U1437" s="932"/>
      <c r="V1437" s="932"/>
      <c r="W1437" s="932"/>
      <c r="X1437" s="932"/>
      <c r="Y1437" s="932"/>
      <c r="Z1437" s="932"/>
      <c r="AA1437" s="932"/>
      <c r="AB1437" s="932"/>
      <c r="AC1437" s="932"/>
      <c r="AD1437" s="932"/>
      <c r="AE1437" s="932"/>
      <c r="AF1437" s="932"/>
      <c r="AG1437" s="932"/>
      <c r="AH1437" s="932"/>
      <c r="AI1437" s="932"/>
      <c r="AJ1437" s="932"/>
      <c r="AK1437" s="932"/>
      <c r="AL1437" s="932"/>
      <c r="AM1437" s="932"/>
      <c r="AN1437" s="932"/>
      <c r="AO1437" s="932"/>
      <c r="AP1437" s="932"/>
      <c r="AQ1437" s="932"/>
      <c r="AR1437" s="932"/>
      <c r="AS1437" s="932"/>
      <c r="AT1437" s="932"/>
      <c r="AU1437" s="932"/>
      <c r="AV1437" s="932"/>
      <c r="AW1437" s="932"/>
      <c r="AX1437" s="932"/>
      <c r="AY1437" s="932"/>
      <c r="AZ1437" s="932"/>
      <c r="BA1437" s="932"/>
      <c r="BB1437" s="932"/>
      <c r="BC1437" s="932"/>
      <c r="BD1437" s="932"/>
      <c r="BE1437" s="932"/>
      <c r="BF1437" s="932"/>
    </row>
    <row r="1438" spans="2:58" ht="15" x14ac:dyDescent="0.25">
      <c r="B1438" s="932"/>
      <c r="C1438" s="932"/>
      <c r="D1438" s="932"/>
      <c r="E1438" s="932"/>
      <c r="F1438" s="932"/>
      <c r="G1438" s="932"/>
      <c r="H1438" s="932"/>
      <c r="I1438" s="932"/>
      <c r="J1438" s="932"/>
      <c r="K1438" s="932"/>
      <c r="L1438" s="932"/>
      <c r="M1438" s="932"/>
      <c r="N1438" s="932"/>
      <c r="O1438" s="932"/>
      <c r="P1438" s="932"/>
      <c r="Q1438" s="932"/>
      <c r="R1438" s="932"/>
      <c r="S1438" s="932"/>
      <c r="T1438" s="932"/>
      <c r="U1438" s="932"/>
      <c r="V1438" s="932"/>
      <c r="W1438" s="932"/>
      <c r="X1438" s="932"/>
      <c r="Y1438" s="932"/>
      <c r="Z1438" s="932"/>
      <c r="AA1438" s="932"/>
      <c r="AB1438" s="932"/>
      <c r="AC1438" s="932"/>
      <c r="AD1438" s="932"/>
      <c r="AE1438" s="932"/>
      <c r="AF1438" s="932"/>
      <c r="AG1438" s="932"/>
      <c r="AH1438" s="932"/>
      <c r="AI1438" s="932"/>
      <c r="AJ1438" s="932"/>
      <c r="AK1438" s="932"/>
      <c r="AL1438" s="932"/>
      <c r="AM1438" s="932"/>
      <c r="AN1438" s="932"/>
      <c r="AO1438" s="932"/>
      <c r="AP1438" s="932"/>
      <c r="AQ1438" s="932"/>
      <c r="AR1438" s="932"/>
      <c r="AS1438" s="932"/>
      <c r="AT1438" s="932"/>
      <c r="AU1438" s="932"/>
      <c r="AV1438" s="932"/>
      <c r="AW1438" s="932"/>
      <c r="AX1438" s="932"/>
      <c r="AY1438" s="932"/>
      <c r="AZ1438" s="932"/>
      <c r="BA1438" s="932"/>
      <c r="BB1438" s="932"/>
      <c r="BC1438" s="932"/>
      <c r="BD1438" s="932"/>
      <c r="BE1438" s="932"/>
      <c r="BF1438" s="932"/>
    </row>
    <row r="1439" spans="2:58" ht="15" x14ac:dyDescent="0.25">
      <c r="B1439" s="932"/>
      <c r="C1439" s="932"/>
      <c r="D1439" s="932"/>
      <c r="E1439" s="932"/>
      <c r="F1439" s="932"/>
      <c r="G1439" s="932"/>
      <c r="H1439" s="932"/>
      <c r="I1439" s="932"/>
      <c r="J1439" s="932"/>
      <c r="K1439" s="932"/>
      <c r="L1439" s="932"/>
      <c r="M1439" s="932"/>
      <c r="N1439" s="932"/>
      <c r="O1439" s="932"/>
      <c r="P1439" s="932"/>
      <c r="Q1439" s="932"/>
      <c r="R1439" s="932"/>
      <c r="S1439" s="932"/>
      <c r="T1439" s="932"/>
      <c r="U1439" s="932"/>
      <c r="V1439" s="932"/>
      <c r="W1439" s="932"/>
      <c r="X1439" s="932"/>
      <c r="Y1439" s="932"/>
      <c r="Z1439" s="932"/>
      <c r="AA1439" s="932"/>
      <c r="AB1439" s="932"/>
      <c r="AC1439" s="932"/>
      <c r="AD1439" s="932"/>
      <c r="AE1439" s="932"/>
      <c r="AF1439" s="932"/>
      <c r="AG1439" s="932"/>
      <c r="AH1439" s="932"/>
      <c r="AI1439" s="932"/>
      <c r="AJ1439" s="932"/>
      <c r="AK1439" s="932"/>
      <c r="AL1439" s="932"/>
      <c r="AM1439" s="932"/>
      <c r="AN1439" s="932"/>
      <c r="AO1439" s="932"/>
      <c r="AP1439" s="932"/>
      <c r="AQ1439" s="932"/>
      <c r="AR1439" s="932"/>
      <c r="AS1439" s="932"/>
      <c r="AT1439" s="932"/>
      <c r="AU1439" s="932"/>
      <c r="AV1439" s="932"/>
      <c r="AW1439" s="932"/>
      <c r="AX1439" s="932"/>
      <c r="AY1439" s="932"/>
      <c r="AZ1439" s="932"/>
      <c r="BA1439" s="932"/>
      <c r="BB1439" s="932"/>
      <c r="BC1439" s="932"/>
      <c r="BD1439" s="932"/>
      <c r="BE1439" s="932"/>
      <c r="BF1439" s="932"/>
    </row>
    <row r="1440" spans="2:58" ht="15" x14ac:dyDescent="0.25">
      <c r="B1440" s="932"/>
      <c r="C1440" s="932"/>
      <c r="D1440" s="932"/>
      <c r="E1440" s="932"/>
      <c r="F1440" s="932"/>
      <c r="G1440" s="932"/>
      <c r="H1440" s="932"/>
      <c r="I1440" s="932"/>
      <c r="J1440" s="932"/>
      <c r="K1440" s="932"/>
      <c r="L1440" s="932"/>
      <c r="M1440" s="932"/>
      <c r="N1440" s="932"/>
      <c r="O1440" s="932"/>
      <c r="P1440" s="932"/>
      <c r="Q1440" s="932"/>
      <c r="R1440" s="932"/>
      <c r="S1440" s="932"/>
      <c r="T1440" s="932"/>
      <c r="U1440" s="932"/>
      <c r="V1440" s="932"/>
      <c r="W1440" s="932"/>
      <c r="X1440" s="932"/>
      <c r="Y1440" s="932"/>
      <c r="Z1440" s="932"/>
      <c r="AA1440" s="932"/>
      <c r="AB1440" s="932"/>
      <c r="AC1440" s="932"/>
      <c r="AD1440" s="932"/>
      <c r="AE1440" s="932"/>
      <c r="AF1440" s="932"/>
      <c r="AG1440" s="932"/>
      <c r="AH1440" s="932"/>
      <c r="AI1440" s="932"/>
      <c r="AJ1440" s="932"/>
      <c r="AK1440" s="932"/>
      <c r="AL1440" s="932"/>
      <c r="AM1440" s="932"/>
      <c r="AN1440" s="932"/>
      <c r="AO1440" s="932"/>
      <c r="AP1440" s="932"/>
      <c r="AQ1440" s="932"/>
      <c r="AR1440" s="932"/>
      <c r="AS1440" s="932"/>
      <c r="AT1440" s="932"/>
      <c r="AU1440" s="932"/>
      <c r="AV1440" s="932"/>
      <c r="AW1440" s="932"/>
      <c r="AX1440" s="932"/>
      <c r="AY1440" s="932"/>
      <c r="AZ1440" s="932"/>
      <c r="BA1440" s="932"/>
      <c r="BB1440" s="932"/>
      <c r="BC1440" s="932"/>
      <c r="BD1440" s="932"/>
      <c r="BE1440" s="932"/>
      <c r="BF1440" s="932"/>
    </row>
    <row r="1441" spans="2:58" ht="15" x14ac:dyDescent="0.25">
      <c r="B1441" s="932"/>
      <c r="C1441" s="932"/>
      <c r="D1441" s="932"/>
      <c r="E1441" s="932"/>
      <c r="F1441" s="932"/>
      <c r="G1441" s="932"/>
      <c r="H1441" s="932"/>
      <c r="I1441" s="932"/>
      <c r="J1441" s="932"/>
      <c r="K1441" s="932"/>
      <c r="L1441" s="932"/>
      <c r="M1441" s="932"/>
      <c r="N1441" s="932"/>
      <c r="O1441" s="932"/>
      <c r="P1441" s="932"/>
      <c r="Q1441" s="932"/>
      <c r="R1441" s="932"/>
      <c r="S1441" s="932"/>
      <c r="T1441" s="932"/>
      <c r="U1441" s="932"/>
      <c r="V1441" s="932"/>
      <c r="W1441" s="932"/>
      <c r="X1441" s="932"/>
      <c r="Y1441" s="932"/>
      <c r="Z1441" s="932"/>
      <c r="AA1441" s="932"/>
      <c r="AB1441" s="932"/>
      <c r="AC1441" s="932"/>
      <c r="AD1441" s="932"/>
      <c r="AE1441" s="932"/>
      <c r="AF1441" s="932"/>
      <c r="AG1441" s="932"/>
      <c r="AH1441" s="932"/>
      <c r="AI1441" s="932"/>
      <c r="AJ1441" s="932"/>
      <c r="AK1441" s="932"/>
      <c r="AL1441" s="932"/>
      <c r="AM1441" s="932"/>
      <c r="AN1441" s="932"/>
      <c r="AO1441" s="932"/>
      <c r="AP1441" s="932"/>
      <c r="AQ1441" s="932"/>
      <c r="AR1441" s="932"/>
      <c r="AS1441" s="932"/>
      <c r="AT1441" s="932"/>
      <c r="AU1441" s="932"/>
      <c r="AV1441" s="932"/>
      <c r="AW1441" s="932"/>
      <c r="AX1441" s="932"/>
      <c r="AY1441" s="932"/>
      <c r="AZ1441" s="932"/>
      <c r="BA1441" s="932"/>
      <c r="BB1441" s="932"/>
      <c r="BC1441" s="932"/>
      <c r="BD1441" s="932"/>
      <c r="BE1441" s="932"/>
      <c r="BF1441" s="932"/>
    </row>
    <row r="1442" spans="2:58" ht="15" x14ac:dyDescent="0.25">
      <c r="B1442" s="932"/>
      <c r="C1442" s="932"/>
      <c r="D1442" s="932"/>
      <c r="E1442" s="932"/>
      <c r="F1442" s="932"/>
      <c r="G1442" s="932"/>
      <c r="H1442" s="932"/>
      <c r="I1442" s="932"/>
      <c r="J1442" s="932"/>
      <c r="K1442" s="932"/>
      <c r="L1442" s="932"/>
      <c r="M1442" s="932"/>
      <c r="N1442" s="932"/>
      <c r="O1442" s="932"/>
      <c r="P1442" s="932"/>
      <c r="Q1442" s="932"/>
      <c r="R1442" s="932"/>
      <c r="S1442" s="932"/>
      <c r="T1442" s="932"/>
      <c r="U1442" s="932"/>
      <c r="V1442" s="932"/>
      <c r="W1442" s="932"/>
      <c r="X1442" s="932"/>
      <c r="Y1442" s="932"/>
      <c r="Z1442" s="932"/>
      <c r="AA1442" s="932"/>
      <c r="AB1442" s="932"/>
      <c r="AC1442" s="932"/>
      <c r="AD1442" s="932"/>
      <c r="AE1442" s="932"/>
      <c r="AF1442" s="932"/>
      <c r="AG1442" s="932"/>
      <c r="AH1442" s="932"/>
      <c r="AI1442" s="932"/>
      <c r="AJ1442" s="932"/>
      <c r="AK1442" s="932"/>
      <c r="AL1442" s="932"/>
      <c r="AM1442" s="932"/>
      <c r="AN1442" s="932"/>
      <c r="AO1442" s="932"/>
      <c r="AP1442" s="932"/>
      <c r="AQ1442" s="932"/>
      <c r="AR1442" s="932"/>
      <c r="AS1442" s="932"/>
      <c r="AT1442" s="932"/>
      <c r="AU1442" s="932"/>
      <c r="AV1442" s="932"/>
      <c r="AW1442" s="932"/>
      <c r="AX1442" s="932"/>
      <c r="AY1442" s="932"/>
      <c r="AZ1442" s="932"/>
      <c r="BA1442" s="932"/>
      <c r="BB1442" s="932"/>
      <c r="BC1442" s="932"/>
      <c r="BD1442" s="932"/>
      <c r="BE1442" s="932"/>
      <c r="BF1442" s="932"/>
    </row>
    <row r="1443" spans="2:58" ht="15" x14ac:dyDescent="0.25">
      <c r="B1443" s="932"/>
      <c r="C1443" s="932"/>
      <c r="D1443" s="932"/>
      <c r="E1443" s="932"/>
      <c r="F1443" s="932"/>
      <c r="G1443" s="932"/>
      <c r="H1443" s="932"/>
      <c r="I1443" s="932"/>
      <c r="J1443" s="932"/>
      <c r="K1443" s="932"/>
      <c r="L1443" s="932"/>
      <c r="M1443" s="932"/>
      <c r="N1443" s="932"/>
      <c r="O1443" s="932"/>
      <c r="P1443" s="932"/>
      <c r="Q1443" s="932"/>
      <c r="R1443" s="932"/>
      <c r="S1443" s="932"/>
      <c r="T1443" s="932"/>
      <c r="U1443" s="932"/>
      <c r="V1443" s="932"/>
      <c r="W1443" s="932"/>
      <c r="X1443" s="932"/>
      <c r="Y1443" s="932"/>
      <c r="Z1443" s="932"/>
      <c r="AA1443" s="932"/>
      <c r="AB1443" s="932"/>
      <c r="AC1443" s="932"/>
      <c r="AD1443" s="932"/>
      <c r="AE1443" s="932"/>
      <c r="AF1443" s="932"/>
      <c r="AG1443" s="932"/>
      <c r="AH1443" s="932"/>
      <c r="AI1443" s="932"/>
      <c r="AJ1443" s="932"/>
      <c r="AK1443" s="932"/>
      <c r="AL1443" s="932"/>
      <c r="AM1443" s="932"/>
      <c r="AN1443" s="932"/>
      <c r="AO1443" s="932"/>
      <c r="AP1443" s="932"/>
      <c r="AQ1443" s="932"/>
      <c r="AR1443" s="932"/>
      <c r="AS1443" s="932"/>
      <c r="AT1443" s="932"/>
      <c r="AU1443" s="932"/>
      <c r="AV1443" s="932"/>
      <c r="AW1443" s="932"/>
      <c r="AX1443" s="932"/>
      <c r="AY1443" s="932"/>
      <c r="AZ1443" s="932"/>
      <c r="BA1443" s="932"/>
      <c r="BB1443" s="932"/>
      <c r="BC1443" s="932"/>
      <c r="BD1443" s="932"/>
      <c r="BE1443" s="932"/>
      <c r="BF1443" s="932"/>
    </row>
    <row r="1444" spans="2:58" ht="15" x14ac:dyDescent="0.25">
      <c r="B1444" s="932"/>
      <c r="C1444" s="932"/>
      <c r="D1444" s="932"/>
      <c r="E1444" s="932"/>
      <c r="F1444" s="932"/>
      <c r="G1444" s="932"/>
      <c r="H1444" s="932"/>
      <c r="I1444" s="932"/>
      <c r="J1444" s="932"/>
      <c r="K1444" s="932"/>
      <c r="L1444" s="932"/>
      <c r="M1444" s="932"/>
      <c r="N1444" s="932"/>
      <c r="O1444" s="932"/>
      <c r="P1444" s="932"/>
      <c r="Q1444" s="932"/>
      <c r="R1444" s="932"/>
      <c r="S1444" s="932"/>
      <c r="T1444" s="932"/>
      <c r="U1444" s="932"/>
      <c r="V1444" s="932"/>
      <c r="W1444" s="932"/>
      <c r="X1444" s="932"/>
      <c r="Y1444" s="932"/>
      <c r="Z1444" s="932"/>
      <c r="AA1444" s="932"/>
      <c r="AB1444" s="932"/>
      <c r="AC1444" s="932"/>
      <c r="AD1444" s="932"/>
      <c r="AE1444" s="932"/>
      <c r="AF1444" s="932"/>
      <c r="AG1444" s="932"/>
      <c r="AH1444" s="932"/>
      <c r="AI1444" s="932"/>
      <c r="AJ1444" s="932"/>
      <c r="AK1444" s="932"/>
      <c r="AL1444" s="932"/>
      <c r="AM1444" s="932"/>
      <c r="AN1444" s="932"/>
      <c r="AO1444" s="932"/>
      <c r="AP1444" s="932"/>
      <c r="AQ1444" s="932"/>
      <c r="AR1444" s="932"/>
      <c r="AS1444" s="932"/>
      <c r="AT1444" s="932"/>
      <c r="AU1444" s="932"/>
      <c r="AV1444" s="932"/>
      <c r="AW1444" s="932"/>
      <c r="AX1444" s="932"/>
      <c r="AY1444" s="932"/>
      <c r="AZ1444" s="932"/>
      <c r="BA1444" s="932"/>
      <c r="BB1444" s="932"/>
      <c r="BC1444" s="932"/>
      <c r="BD1444" s="932"/>
      <c r="BE1444" s="932"/>
      <c r="BF1444" s="932"/>
    </row>
    <row r="1445" spans="2:58" ht="15" x14ac:dyDescent="0.25">
      <c r="B1445" s="932"/>
      <c r="C1445" s="932"/>
      <c r="D1445" s="932"/>
      <c r="E1445" s="932"/>
      <c r="F1445" s="932"/>
      <c r="G1445" s="932"/>
      <c r="H1445" s="932"/>
      <c r="I1445" s="932"/>
      <c r="J1445" s="932"/>
      <c r="K1445" s="932"/>
      <c r="L1445" s="932"/>
      <c r="M1445" s="932"/>
      <c r="N1445" s="932"/>
      <c r="O1445" s="932"/>
      <c r="P1445" s="932"/>
      <c r="Q1445" s="932"/>
      <c r="R1445" s="932"/>
      <c r="S1445" s="932"/>
      <c r="T1445" s="932"/>
      <c r="U1445" s="932"/>
      <c r="V1445" s="932"/>
      <c r="W1445" s="932"/>
      <c r="X1445" s="932"/>
      <c r="Y1445" s="932"/>
      <c r="Z1445" s="932"/>
      <c r="AA1445" s="932"/>
      <c r="AB1445" s="932"/>
      <c r="AC1445" s="932"/>
      <c r="AD1445" s="932"/>
      <c r="AE1445" s="932"/>
      <c r="AF1445" s="932"/>
      <c r="AG1445" s="932"/>
      <c r="AH1445" s="932"/>
      <c r="AI1445" s="932"/>
      <c r="AJ1445" s="932"/>
      <c r="AK1445" s="932"/>
      <c r="AL1445" s="932"/>
      <c r="AM1445" s="932"/>
      <c r="AN1445" s="932"/>
      <c r="AO1445" s="932"/>
      <c r="AP1445" s="932"/>
      <c r="AQ1445" s="932"/>
      <c r="AR1445" s="932"/>
      <c r="AS1445" s="932"/>
      <c r="AT1445" s="932"/>
      <c r="AU1445" s="932"/>
      <c r="AV1445" s="932"/>
      <c r="AW1445" s="932"/>
      <c r="AX1445" s="932"/>
      <c r="AY1445" s="932"/>
      <c r="AZ1445" s="932"/>
      <c r="BA1445" s="932"/>
      <c r="BB1445" s="932"/>
      <c r="BC1445" s="932"/>
      <c r="BD1445" s="932"/>
      <c r="BE1445" s="932"/>
      <c r="BF1445" s="932"/>
    </row>
    <row r="1446" spans="2:58" ht="15" x14ac:dyDescent="0.25">
      <c r="B1446" s="932"/>
      <c r="C1446" s="932"/>
      <c r="D1446" s="932"/>
      <c r="E1446" s="932"/>
      <c r="F1446" s="932"/>
      <c r="G1446" s="932"/>
      <c r="H1446" s="932"/>
      <c r="I1446" s="932"/>
      <c r="J1446" s="932"/>
      <c r="K1446" s="932"/>
      <c r="L1446" s="932"/>
      <c r="M1446" s="932"/>
      <c r="N1446" s="932"/>
      <c r="O1446" s="932"/>
      <c r="P1446" s="932"/>
      <c r="Q1446" s="932"/>
      <c r="R1446" s="932"/>
      <c r="S1446" s="932"/>
      <c r="T1446" s="932"/>
      <c r="U1446" s="932"/>
      <c r="V1446" s="932"/>
      <c r="W1446" s="932"/>
      <c r="X1446" s="932"/>
      <c r="Y1446" s="932"/>
      <c r="Z1446" s="932"/>
      <c r="AA1446" s="932"/>
      <c r="AB1446" s="932"/>
      <c r="AC1446" s="932"/>
      <c r="AD1446" s="932"/>
      <c r="AE1446" s="932"/>
      <c r="AF1446" s="932"/>
      <c r="AG1446" s="932"/>
      <c r="AH1446" s="932"/>
      <c r="AI1446" s="932"/>
      <c r="AJ1446" s="932"/>
      <c r="AK1446" s="932"/>
      <c r="AL1446" s="932"/>
      <c r="AM1446" s="932"/>
      <c r="AN1446" s="932"/>
      <c r="AO1446" s="932"/>
      <c r="AP1446" s="932"/>
      <c r="AQ1446" s="932"/>
      <c r="AR1446" s="932"/>
      <c r="AS1446" s="932"/>
      <c r="AT1446" s="932"/>
      <c r="AU1446" s="932"/>
      <c r="AV1446" s="932"/>
      <c r="AW1446" s="932"/>
      <c r="AX1446" s="932"/>
      <c r="AY1446" s="932"/>
      <c r="AZ1446" s="932"/>
      <c r="BA1446" s="932"/>
      <c r="BB1446" s="932"/>
      <c r="BC1446" s="932"/>
      <c r="BD1446" s="932"/>
      <c r="BE1446" s="932"/>
      <c r="BF1446" s="932"/>
    </row>
    <row r="1447" spans="2:58" ht="15" x14ac:dyDescent="0.25">
      <c r="B1447" s="932"/>
      <c r="C1447" s="932"/>
      <c r="D1447" s="932"/>
      <c r="E1447" s="932"/>
      <c r="F1447" s="932"/>
      <c r="G1447" s="932"/>
      <c r="H1447" s="932"/>
      <c r="I1447" s="932"/>
      <c r="J1447" s="932"/>
      <c r="K1447" s="932"/>
      <c r="L1447" s="932"/>
      <c r="M1447" s="932"/>
      <c r="N1447" s="932"/>
      <c r="O1447" s="932"/>
      <c r="P1447" s="932"/>
      <c r="Q1447" s="932"/>
      <c r="R1447" s="932"/>
      <c r="S1447" s="932"/>
      <c r="T1447" s="932"/>
      <c r="U1447" s="932"/>
      <c r="V1447" s="932"/>
      <c r="W1447" s="932"/>
      <c r="X1447" s="932"/>
      <c r="Y1447" s="932"/>
      <c r="Z1447" s="932"/>
      <c r="AA1447" s="932"/>
      <c r="AB1447" s="932"/>
      <c r="AC1447" s="932"/>
      <c r="AD1447" s="932"/>
      <c r="AE1447" s="932"/>
      <c r="AF1447" s="932"/>
      <c r="AG1447" s="932"/>
      <c r="AH1447" s="932"/>
      <c r="AI1447" s="932"/>
      <c r="AJ1447" s="932"/>
      <c r="AK1447" s="932"/>
      <c r="AL1447" s="932"/>
      <c r="AM1447" s="932"/>
      <c r="AN1447" s="932"/>
      <c r="AO1447" s="932"/>
      <c r="AP1447" s="932"/>
      <c r="AQ1447" s="932"/>
      <c r="AR1447" s="932"/>
      <c r="AS1447" s="932"/>
      <c r="AT1447" s="932"/>
      <c r="AU1447" s="932"/>
      <c r="AV1447" s="932"/>
      <c r="AW1447" s="932"/>
      <c r="AX1447" s="932"/>
      <c r="AY1447" s="932"/>
      <c r="AZ1447" s="932"/>
      <c r="BA1447" s="932"/>
      <c r="BB1447" s="932"/>
      <c r="BC1447" s="932"/>
      <c r="BD1447" s="932"/>
      <c r="BE1447" s="932"/>
      <c r="BF1447" s="932"/>
    </row>
    <row r="1448" spans="2:58" ht="15" x14ac:dyDescent="0.25">
      <c r="B1448" s="932"/>
      <c r="C1448" s="932"/>
      <c r="D1448" s="932"/>
      <c r="E1448" s="932"/>
      <c r="F1448" s="932"/>
      <c r="G1448" s="932"/>
      <c r="H1448" s="932"/>
      <c r="I1448" s="932"/>
      <c r="J1448" s="932"/>
      <c r="K1448" s="932"/>
      <c r="L1448" s="932"/>
      <c r="M1448" s="932"/>
      <c r="N1448" s="932"/>
      <c r="O1448" s="932"/>
      <c r="P1448" s="932"/>
      <c r="Q1448" s="932"/>
      <c r="R1448" s="932"/>
      <c r="S1448" s="932"/>
      <c r="T1448" s="932"/>
      <c r="U1448" s="932"/>
      <c r="V1448" s="932"/>
      <c r="W1448" s="932"/>
      <c r="X1448" s="932"/>
      <c r="Y1448" s="932"/>
      <c r="Z1448" s="932"/>
      <c r="AA1448" s="932"/>
      <c r="AB1448" s="932"/>
      <c r="AC1448" s="932"/>
      <c r="AD1448" s="932"/>
      <c r="AE1448" s="932"/>
      <c r="AF1448" s="932"/>
      <c r="AG1448" s="932"/>
      <c r="AH1448" s="932"/>
      <c r="AI1448" s="932"/>
      <c r="AJ1448" s="932"/>
      <c r="AK1448" s="932"/>
      <c r="AL1448" s="932"/>
      <c r="AM1448" s="932"/>
      <c r="AN1448" s="932"/>
      <c r="AO1448" s="932"/>
      <c r="AP1448" s="932"/>
      <c r="AQ1448" s="932"/>
      <c r="AR1448" s="932"/>
      <c r="AS1448" s="932"/>
      <c r="AT1448" s="932"/>
      <c r="AU1448" s="932"/>
      <c r="AV1448" s="932"/>
      <c r="AW1448" s="932"/>
      <c r="AX1448" s="932"/>
      <c r="AY1448" s="932"/>
      <c r="AZ1448" s="932"/>
      <c r="BA1448" s="932"/>
      <c r="BB1448" s="932"/>
      <c r="BC1448" s="932"/>
      <c r="BD1448" s="932"/>
      <c r="BE1448" s="932"/>
      <c r="BF1448" s="932"/>
    </row>
    <row r="1449" spans="2:58" ht="15" x14ac:dyDescent="0.25">
      <c r="B1449" s="932"/>
      <c r="C1449" s="932"/>
      <c r="D1449" s="932"/>
      <c r="E1449" s="932"/>
      <c r="F1449" s="932"/>
      <c r="G1449" s="932"/>
      <c r="H1449" s="932"/>
      <c r="I1449" s="932"/>
      <c r="J1449" s="932"/>
      <c r="K1449" s="932"/>
      <c r="L1449" s="932"/>
      <c r="M1449" s="932"/>
      <c r="N1449" s="932"/>
      <c r="O1449" s="932"/>
      <c r="P1449" s="932"/>
      <c r="Q1449" s="932"/>
      <c r="R1449" s="932"/>
      <c r="S1449" s="932"/>
      <c r="T1449" s="932"/>
      <c r="U1449" s="932"/>
      <c r="V1449" s="932"/>
      <c r="W1449" s="932"/>
      <c r="X1449" s="932"/>
      <c r="Y1449" s="932"/>
      <c r="Z1449" s="932"/>
      <c r="AA1449" s="932"/>
      <c r="AB1449" s="932"/>
      <c r="AC1449" s="932"/>
      <c r="AD1449" s="932"/>
      <c r="AE1449" s="932"/>
      <c r="AF1449" s="932"/>
      <c r="AG1449" s="932"/>
      <c r="AH1449" s="932"/>
      <c r="AI1449" s="932"/>
      <c r="AJ1449" s="932"/>
      <c r="AK1449" s="932"/>
      <c r="AL1449" s="932"/>
      <c r="AM1449" s="932"/>
      <c r="AN1449" s="932"/>
      <c r="AO1449" s="932"/>
      <c r="AP1449" s="932"/>
      <c r="AQ1449" s="932"/>
      <c r="AR1449" s="932"/>
      <c r="AS1449" s="932"/>
      <c r="AT1449" s="932"/>
      <c r="AU1449" s="932"/>
      <c r="AV1449" s="932"/>
      <c r="AW1449" s="932"/>
      <c r="AX1449" s="932"/>
      <c r="AY1449" s="932"/>
      <c r="AZ1449" s="932"/>
      <c r="BA1449" s="932"/>
      <c r="BB1449" s="932"/>
      <c r="BC1449" s="932"/>
      <c r="BD1449" s="932"/>
      <c r="BE1449" s="932"/>
      <c r="BF1449" s="932"/>
    </row>
    <row r="1450" spans="2:58" ht="15" x14ac:dyDescent="0.25">
      <c r="B1450" s="932"/>
      <c r="C1450" s="932"/>
      <c r="D1450" s="932"/>
      <c r="E1450" s="932"/>
      <c r="F1450" s="932"/>
      <c r="G1450" s="932"/>
      <c r="H1450" s="932"/>
      <c r="I1450" s="932"/>
      <c r="J1450" s="932"/>
      <c r="K1450" s="932"/>
      <c r="L1450" s="932"/>
      <c r="M1450" s="932"/>
      <c r="N1450" s="932"/>
      <c r="O1450" s="932"/>
      <c r="P1450" s="932"/>
      <c r="Q1450" s="932"/>
      <c r="R1450" s="932"/>
      <c r="S1450" s="932"/>
      <c r="T1450" s="932"/>
      <c r="U1450" s="932"/>
      <c r="V1450" s="932"/>
      <c r="W1450" s="932"/>
      <c r="X1450" s="932"/>
      <c r="Y1450" s="932"/>
      <c r="Z1450" s="932"/>
      <c r="AA1450" s="932"/>
      <c r="AB1450" s="932"/>
      <c r="AC1450" s="932"/>
      <c r="AD1450" s="932"/>
      <c r="AE1450" s="932"/>
      <c r="AF1450" s="932"/>
      <c r="AG1450" s="932"/>
      <c r="AH1450" s="932"/>
      <c r="AI1450" s="932"/>
      <c r="AJ1450" s="932"/>
      <c r="AK1450" s="932"/>
      <c r="AL1450" s="932"/>
      <c r="AM1450" s="932"/>
      <c r="AN1450" s="932"/>
      <c r="AO1450" s="932"/>
      <c r="AP1450" s="932"/>
      <c r="AQ1450" s="932"/>
      <c r="AR1450" s="932"/>
      <c r="AS1450" s="932"/>
      <c r="AT1450" s="932"/>
      <c r="AU1450" s="932"/>
      <c r="AV1450" s="932"/>
      <c r="AW1450" s="932"/>
      <c r="AX1450" s="932"/>
      <c r="AY1450" s="932"/>
      <c r="AZ1450" s="932"/>
      <c r="BA1450" s="932"/>
      <c r="BB1450" s="932"/>
      <c r="BC1450" s="932"/>
      <c r="BD1450" s="932"/>
      <c r="BE1450" s="932"/>
      <c r="BF1450" s="932"/>
    </row>
    <row r="1451" spans="2:58" ht="15" x14ac:dyDescent="0.25">
      <c r="B1451" s="932"/>
      <c r="C1451" s="932"/>
      <c r="D1451" s="932"/>
      <c r="E1451" s="932"/>
      <c r="F1451" s="932"/>
      <c r="G1451" s="932"/>
      <c r="H1451" s="932"/>
      <c r="I1451" s="932"/>
      <c r="J1451" s="932"/>
      <c r="K1451" s="932"/>
      <c r="L1451" s="932"/>
      <c r="M1451" s="932"/>
      <c r="N1451" s="932"/>
      <c r="O1451" s="932"/>
      <c r="P1451" s="932"/>
      <c r="Q1451" s="932"/>
      <c r="R1451" s="932"/>
      <c r="S1451" s="932"/>
      <c r="T1451" s="932"/>
      <c r="U1451" s="932"/>
      <c r="V1451" s="932"/>
      <c r="W1451" s="932"/>
      <c r="X1451" s="932"/>
      <c r="Y1451" s="932"/>
      <c r="Z1451" s="932"/>
      <c r="AA1451" s="932"/>
      <c r="AB1451" s="932"/>
      <c r="AC1451" s="932"/>
      <c r="AD1451" s="932"/>
      <c r="AE1451" s="932"/>
      <c r="AF1451" s="932"/>
      <c r="AG1451" s="932"/>
      <c r="AH1451" s="932"/>
      <c r="AI1451" s="932"/>
      <c r="AJ1451" s="932"/>
      <c r="AK1451" s="932"/>
      <c r="AL1451" s="932"/>
      <c r="AM1451" s="932"/>
      <c r="AN1451" s="932"/>
      <c r="AO1451" s="932"/>
      <c r="AP1451" s="932"/>
      <c r="AQ1451" s="932"/>
      <c r="AR1451" s="932"/>
      <c r="AS1451" s="932"/>
      <c r="AT1451" s="932"/>
      <c r="AU1451" s="932"/>
      <c r="AV1451" s="932"/>
      <c r="AW1451" s="932"/>
      <c r="AX1451" s="932"/>
      <c r="AY1451" s="932"/>
      <c r="AZ1451" s="932"/>
      <c r="BA1451" s="932"/>
      <c r="BB1451" s="932"/>
      <c r="BC1451" s="932"/>
      <c r="BD1451" s="932"/>
      <c r="BE1451" s="932"/>
      <c r="BF1451" s="932"/>
    </row>
    <row r="1452" spans="2:58" ht="15" x14ac:dyDescent="0.25">
      <c r="B1452" s="932"/>
      <c r="C1452" s="932"/>
      <c r="D1452" s="932"/>
      <c r="E1452" s="932"/>
      <c r="F1452" s="932"/>
      <c r="G1452" s="932"/>
      <c r="H1452" s="932"/>
      <c r="I1452" s="932"/>
      <c r="J1452" s="932"/>
      <c r="K1452" s="932"/>
      <c r="L1452" s="932"/>
      <c r="M1452" s="932"/>
      <c r="N1452" s="932"/>
      <c r="O1452" s="932"/>
      <c r="P1452" s="932"/>
      <c r="Q1452" s="932"/>
      <c r="R1452" s="932"/>
      <c r="S1452" s="932"/>
      <c r="T1452" s="932"/>
      <c r="U1452" s="932"/>
      <c r="V1452" s="932"/>
      <c r="W1452" s="932"/>
      <c r="X1452" s="932"/>
      <c r="Y1452" s="932"/>
      <c r="Z1452" s="932"/>
      <c r="AA1452" s="932"/>
      <c r="AB1452" s="932"/>
      <c r="AC1452" s="932"/>
      <c r="AD1452" s="932"/>
      <c r="AE1452" s="932"/>
      <c r="AF1452" s="932"/>
      <c r="AG1452" s="932"/>
      <c r="AH1452" s="932"/>
      <c r="AI1452" s="932"/>
      <c r="AJ1452" s="932"/>
      <c r="AK1452" s="932"/>
      <c r="AL1452" s="932"/>
      <c r="AM1452" s="932"/>
      <c r="AN1452" s="932"/>
      <c r="AO1452" s="932"/>
      <c r="AP1452" s="932"/>
      <c r="AQ1452" s="932"/>
      <c r="AR1452" s="932"/>
      <c r="AS1452" s="932"/>
      <c r="AT1452" s="932"/>
      <c r="AU1452" s="932"/>
      <c r="AV1452" s="932"/>
      <c r="AW1452" s="932"/>
      <c r="AX1452" s="932"/>
      <c r="AY1452" s="932"/>
      <c r="AZ1452" s="932"/>
      <c r="BA1452" s="932"/>
      <c r="BB1452" s="932"/>
      <c r="BC1452" s="932"/>
      <c r="BD1452" s="932"/>
      <c r="BE1452" s="932"/>
      <c r="BF1452" s="932"/>
    </row>
    <row r="1453" spans="2:58" ht="15" x14ac:dyDescent="0.25">
      <c r="B1453" s="932"/>
      <c r="C1453" s="932"/>
      <c r="D1453" s="932"/>
      <c r="E1453" s="932"/>
      <c r="F1453" s="932"/>
      <c r="G1453" s="932"/>
      <c r="H1453" s="932"/>
      <c r="I1453" s="932"/>
      <c r="J1453" s="932"/>
      <c r="K1453" s="932"/>
      <c r="L1453" s="932"/>
      <c r="M1453" s="932"/>
      <c r="N1453" s="932"/>
      <c r="O1453" s="932"/>
      <c r="P1453" s="932"/>
      <c r="Q1453" s="932"/>
      <c r="R1453" s="932"/>
      <c r="S1453" s="932"/>
      <c r="T1453" s="932"/>
      <c r="U1453" s="932"/>
      <c r="V1453" s="932"/>
      <c r="W1453" s="932"/>
      <c r="X1453" s="932"/>
      <c r="Y1453" s="932"/>
      <c r="Z1453" s="932"/>
      <c r="AA1453" s="932"/>
      <c r="AB1453" s="932"/>
      <c r="AC1453" s="932"/>
      <c r="AD1453" s="932"/>
      <c r="AE1453" s="932"/>
      <c r="AF1453" s="932"/>
      <c r="AG1453" s="932"/>
      <c r="AH1453" s="932"/>
      <c r="AI1453" s="932"/>
      <c r="AJ1453" s="932"/>
      <c r="AK1453" s="932"/>
      <c r="AL1453" s="932"/>
      <c r="AM1453" s="932"/>
      <c r="AN1453" s="932"/>
      <c r="AO1453" s="932"/>
      <c r="AP1453" s="932"/>
      <c r="AQ1453" s="932"/>
      <c r="AR1453" s="932"/>
      <c r="AS1453" s="932"/>
      <c r="AT1453" s="932"/>
      <c r="AU1453" s="932"/>
      <c r="AV1453" s="932"/>
      <c r="AW1453" s="932"/>
      <c r="AX1453" s="932"/>
      <c r="AY1453" s="932"/>
      <c r="AZ1453" s="932"/>
      <c r="BA1453" s="932"/>
      <c r="BB1453" s="932"/>
      <c r="BC1453" s="932"/>
      <c r="BD1453" s="932"/>
      <c r="BE1453" s="932"/>
      <c r="BF1453" s="932"/>
    </row>
    <row r="1454" spans="2:58" ht="15" x14ac:dyDescent="0.25">
      <c r="B1454" s="932"/>
      <c r="C1454" s="932"/>
      <c r="D1454" s="932"/>
      <c r="E1454" s="932"/>
      <c r="F1454" s="932"/>
      <c r="G1454" s="932"/>
      <c r="H1454" s="932"/>
      <c r="I1454" s="932"/>
      <c r="J1454" s="932"/>
      <c r="K1454" s="932"/>
      <c r="L1454" s="932"/>
      <c r="M1454" s="932"/>
      <c r="N1454" s="932"/>
      <c r="O1454" s="932"/>
      <c r="P1454" s="932"/>
      <c r="Q1454" s="932"/>
      <c r="R1454" s="932"/>
      <c r="S1454" s="932"/>
      <c r="T1454" s="932"/>
      <c r="U1454" s="932"/>
      <c r="V1454" s="932"/>
      <c r="W1454" s="932"/>
      <c r="X1454" s="932"/>
      <c r="Y1454" s="932"/>
      <c r="Z1454" s="932"/>
      <c r="AA1454" s="932"/>
      <c r="AB1454" s="932"/>
      <c r="AC1454" s="932"/>
      <c r="AD1454" s="932"/>
      <c r="AE1454" s="932"/>
      <c r="AF1454" s="932"/>
      <c r="AG1454" s="932"/>
      <c r="AH1454" s="932"/>
      <c r="AI1454" s="932"/>
      <c r="AJ1454" s="932"/>
      <c r="AK1454" s="932"/>
      <c r="AL1454" s="932"/>
      <c r="AM1454" s="932"/>
      <c r="AN1454" s="932"/>
      <c r="AO1454" s="932"/>
      <c r="AP1454" s="932"/>
      <c r="AQ1454" s="932"/>
      <c r="AR1454" s="932"/>
      <c r="AS1454" s="932"/>
      <c r="AT1454" s="932"/>
      <c r="AU1454" s="932"/>
      <c r="AV1454" s="932"/>
      <c r="AW1454" s="932"/>
      <c r="AX1454" s="932"/>
      <c r="AY1454" s="932"/>
      <c r="AZ1454" s="932"/>
      <c r="BA1454" s="932"/>
      <c r="BB1454" s="932"/>
      <c r="BC1454" s="932"/>
      <c r="BD1454" s="932"/>
      <c r="BE1454" s="932"/>
      <c r="BF1454" s="932"/>
    </row>
    <row r="1455" spans="2:58" ht="15" x14ac:dyDescent="0.25">
      <c r="B1455" s="932"/>
      <c r="C1455" s="932"/>
      <c r="D1455" s="932"/>
      <c r="E1455" s="932"/>
      <c r="F1455" s="932"/>
      <c r="G1455" s="932"/>
      <c r="H1455" s="932"/>
      <c r="I1455" s="932"/>
      <c r="J1455" s="932"/>
      <c r="K1455" s="932"/>
      <c r="L1455" s="932"/>
      <c r="M1455" s="932"/>
      <c r="N1455" s="932"/>
      <c r="O1455" s="932"/>
      <c r="P1455" s="932"/>
      <c r="Q1455" s="932"/>
      <c r="R1455" s="932"/>
      <c r="S1455" s="932"/>
      <c r="T1455" s="932"/>
      <c r="U1455" s="932"/>
      <c r="V1455" s="932"/>
      <c r="W1455" s="932"/>
      <c r="X1455" s="932"/>
      <c r="Y1455" s="932"/>
      <c r="Z1455" s="932"/>
      <c r="AA1455" s="932"/>
      <c r="AB1455" s="932"/>
      <c r="AC1455" s="932"/>
      <c r="AD1455" s="932"/>
      <c r="AE1455" s="932"/>
      <c r="AF1455" s="932"/>
      <c r="AG1455" s="932"/>
      <c r="AH1455" s="932"/>
      <c r="AI1455" s="932"/>
      <c r="AJ1455" s="932"/>
      <c r="AK1455" s="932"/>
      <c r="AL1455" s="932"/>
      <c r="AM1455" s="932"/>
      <c r="AN1455" s="932"/>
      <c r="AO1455" s="932"/>
      <c r="AP1455" s="932"/>
      <c r="AQ1455" s="932"/>
      <c r="AR1455" s="932"/>
      <c r="AS1455" s="932"/>
      <c r="AT1455" s="932"/>
      <c r="AU1455" s="932"/>
      <c r="AV1455" s="932"/>
      <c r="AW1455" s="932"/>
      <c r="AX1455" s="932"/>
      <c r="AY1455" s="932"/>
      <c r="AZ1455" s="932"/>
      <c r="BA1455" s="932"/>
      <c r="BB1455" s="932"/>
      <c r="BC1455" s="932"/>
      <c r="BD1455" s="932"/>
      <c r="BE1455" s="932"/>
      <c r="BF1455" s="932"/>
    </row>
    <row r="1456" spans="2:58" ht="15" x14ac:dyDescent="0.25">
      <c r="B1456" s="932"/>
      <c r="C1456" s="932"/>
      <c r="D1456" s="932"/>
      <c r="E1456" s="932"/>
      <c r="F1456" s="932"/>
      <c r="G1456" s="932"/>
      <c r="H1456" s="932"/>
      <c r="I1456" s="932"/>
      <c r="J1456" s="932"/>
      <c r="K1456" s="932"/>
      <c r="L1456" s="932"/>
      <c r="M1456" s="932"/>
      <c r="N1456" s="932"/>
      <c r="O1456" s="932"/>
      <c r="P1456" s="932"/>
      <c r="Q1456" s="932"/>
      <c r="R1456" s="932"/>
      <c r="S1456" s="932"/>
      <c r="T1456" s="932"/>
      <c r="U1456" s="932"/>
      <c r="V1456" s="932"/>
      <c r="W1456" s="932"/>
      <c r="X1456" s="932"/>
      <c r="Y1456" s="932"/>
      <c r="Z1456" s="932"/>
      <c r="AA1456" s="932"/>
      <c r="AB1456" s="932"/>
      <c r="AC1456" s="932"/>
      <c r="AD1456" s="932"/>
      <c r="AE1456" s="932"/>
      <c r="AF1456" s="932"/>
      <c r="AG1456" s="932"/>
      <c r="AH1456" s="932"/>
      <c r="AI1456" s="932"/>
      <c r="AJ1456" s="932"/>
      <c r="AK1456" s="932"/>
      <c r="AL1456" s="932"/>
      <c r="AM1456" s="932"/>
      <c r="AN1456" s="932"/>
      <c r="AO1456" s="932"/>
      <c r="AP1456" s="932"/>
      <c r="AQ1456" s="932"/>
      <c r="AR1456" s="932"/>
      <c r="AS1456" s="932"/>
      <c r="AT1456" s="932"/>
      <c r="AU1456" s="932"/>
      <c r="AV1456" s="932"/>
      <c r="AW1456" s="932"/>
      <c r="AX1456" s="932"/>
      <c r="AY1456" s="932"/>
      <c r="AZ1456" s="932"/>
      <c r="BA1456" s="932"/>
      <c r="BB1456" s="932"/>
      <c r="BC1456" s="932"/>
      <c r="BD1456" s="932"/>
      <c r="BE1456" s="932"/>
      <c r="BF1456" s="932"/>
    </row>
    <row r="1457" spans="2:58" ht="15" x14ac:dyDescent="0.25">
      <c r="B1457" s="932"/>
      <c r="C1457" s="932"/>
      <c r="D1457" s="932"/>
      <c r="E1457" s="932"/>
      <c r="F1457" s="932"/>
      <c r="G1457" s="932"/>
      <c r="H1457" s="932"/>
      <c r="I1457" s="932"/>
      <c r="J1457" s="932"/>
      <c r="K1457" s="932"/>
      <c r="L1457" s="932"/>
      <c r="M1457" s="932"/>
      <c r="N1457" s="932"/>
      <c r="O1457" s="932"/>
      <c r="P1457" s="932"/>
      <c r="Q1457" s="932"/>
      <c r="R1457" s="932"/>
      <c r="S1457" s="932"/>
      <c r="T1457" s="932"/>
      <c r="U1457" s="932"/>
      <c r="V1457" s="932"/>
      <c r="W1457" s="932"/>
      <c r="X1457" s="932"/>
      <c r="Y1457" s="932"/>
      <c r="Z1457" s="932"/>
      <c r="AA1457" s="932"/>
      <c r="AB1457" s="932"/>
      <c r="AC1457" s="932"/>
      <c r="AD1457" s="932"/>
      <c r="AE1457" s="932"/>
      <c r="AF1457" s="932"/>
      <c r="AG1457" s="932"/>
      <c r="AH1457" s="932"/>
      <c r="AI1457" s="932"/>
      <c r="AJ1457" s="932"/>
      <c r="AK1457" s="932"/>
      <c r="AL1457" s="932"/>
      <c r="AM1457" s="932"/>
      <c r="AN1457" s="932"/>
      <c r="AO1457" s="932"/>
      <c r="AP1457" s="932"/>
      <c r="AQ1457" s="932"/>
      <c r="AR1457" s="932"/>
      <c r="AS1457" s="932"/>
      <c r="AT1457" s="932"/>
      <c r="AU1457" s="932"/>
      <c r="AV1457" s="932"/>
      <c r="AW1457" s="932"/>
      <c r="AX1457" s="932"/>
      <c r="AY1457" s="932"/>
      <c r="AZ1457" s="932"/>
      <c r="BA1457" s="932"/>
      <c r="BB1457" s="932"/>
      <c r="BC1457" s="932"/>
      <c r="BD1457" s="932"/>
      <c r="BE1457" s="932"/>
      <c r="BF1457" s="932"/>
    </row>
    <row r="1458" spans="2:58" ht="15" x14ac:dyDescent="0.25">
      <c r="B1458" s="932"/>
      <c r="C1458" s="932"/>
      <c r="D1458" s="932"/>
      <c r="E1458" s="932"/>
      <c r="F1458" s="932"/>
      <c r="G1458" s="932"/>
      <c r="H1458" s="932"/>
      <c r="I1458" s="932"/>
      <c r="J1458" s="932"/>
      <c r="K1458" s="932"/>
      <c r="L1458" s="932"/>
      <c r="M1458" s="932"/>
      <c r="N1458" s="932"/>
      <c r="O1458" s="932"/>
      <c r="P1458" s="932"/>
      <c r="Q1458" s="932"/>
      <c r="R1458" s="932"/>
      <c r="S1458" s="932"/>
      <c r="T1458" s="932"/>
      <c r="U1458" s="932"/>
      <c r="V1458" s="932"/>
      <c r="W1458" s="932"/>
      <c r="X1458" s="932"/>
      <c r="Y1458" s="932"/>
      <c r="Z1458" s="932"/>
      <c r="AA1458" s="932"/>
      <c r="AB1458" s="932"/>
      <c r="AC1458" s="932"/>
      <c r="AD1458" s="932"/>
      <c r="AE1458" s="932"/>
      <c r="AF1458" s="932"/>
      <c r="AG1458" s="932"/>
      <c r="AH1458" s="932"/>
      <c r="AI1458" s="932"/>
      <c r="AJ1458" s="932"/>
      <c r="AK1458" s="932"/>
      <c r="AL1458" s="932"/>
      <c r="AM1458" s="932"/>
      <c r="AN1458" s="932"/>
      <c r="AO1458" s="932"/>
      <c r="AP1458" s="932"/>
      <c r="AQ1458" s="932"/>
      <c r="AR1458" s="932"/>
      <c r="AS1458" s="932"/>
      <c r="AT1458" s="932"/>
      <c r="AU1458" s="932"/>
      <c r="AV1458" s="932"/>
      <c r="AW1458" s="932"/>
      <c r="AX1458" s="932"/>
      <c r="AY1458" s="932"/>
      <c r="AZ1458" s="932"/>
      <c r="BA1458" s="932"/>
      <c r="BB1458" s="932"/>
      <c r="BC1458" s="932"/>
      <c r="BD1458" s="932"/>
      <c r="BE1458" s="932"/>
      <c r="BF1458" s="932"/>
    </row>
    <row r="1459" spans="2:58" ht="15" x14ac:dyDescent="0.25">
      <c r="B1459" s="932"/>
      <c r="C1459" s="932"/>
      <c r="D1459" s="932"/>
      <c r="E1459" s="932"/>
      <c r="F1459" s="932"/>
      <c r="G1459" s="932"/>
      <c r="H1459" s="932"/>
      <c r="I1459" s="932"/>
      <c r="J1459" s="932"/>
      <c r="K1459" s="932"/>
      <c r="L1459" s="932"/>
      <c r="M1459" s="932"/>
      <c r="N1459" s="932"/>
      <c r="O1459" s="932"/>
      <c r="P1459" s="932"/>
      <c r="Q1459" s="932"/>
      <c r="R1459" s="932"/>
      <c r="S1459" s="932"/>
      <c r="T1459" s="932"/>
      <c r="U1459" s="932"/>
      <c r="V1459" s="932"/>
      <c r="W1459" s="932"/>
      <c r="X1459" s="932"/>
      <c r="Y1459" s="932"/>
      <c r="Z1459" s="932"/>
      <c r="AA1459" s="932"/>
      <c r="AB1459" s="932"/>
      <c r="AC1459" s="932"/>
      <c r="AD1459" s="932"/>
      <c r="AE1459" s="932"/>
      <c r="AF1459" s="932"/>
      <c r="AG1459" s="932"/>
      <c r="AH1459" s="932"/>
      <c r="AI1459" s="932"/>
      <c r="AJ1459" s="932"/>
      <c r="AK1459" s="932"/>
      <c r="AL1459" s="932"/>
      <c r="AM1459" s="932"/>
      <c r="AN1459" s="932"/>
      <c r="AO1459" s="932"/>
      <c r="AP1459" s="932"/>
      <c r="AQ1459" s="932"/>
      <c r="AR1459" s="932"/>
      <c r="AS1459" s="932"/>
      <c r="AT1459" s="932"/>
      <c r="AU1459" s="932"/>
      <c r="AV1459" s="932"/>
      <c r="AW1459" s="932"/>
      <c r="AX1459" s="932"/>
      <c r="AY1459" s="932"/>
      <c r="AZ1459" s="932"/>
      <c r="BA1459" s="932"/>
      <c r="BB1459" s="932"/>
      <c r="BC1459" s="932"/>
      <c r="BD1459" s="932"/>
      <c r="BE1459" s="932"/>
      <c r="BF1459" s="932"/>
    </row>
    <row r="1460" spans="2:58" ht="15" x14ac:dyDescent="0.25">
      <c r="B1460" s="932"/>
      <c r="C1460" s="932"/>
      <c r="D1460" s="932"/>
      <c r="E1460" s="932"/>
      <c r="F1460" s="932"/>
      <c r="G1460" s="932"/>
      <c r="H1460" s="932"/>
      <c r="I1460" s="932"/>
      <c r="J1460" s="932"/>
      <c r="K1460" s="932"/>
      <c r="L1460" s="932"/>
      <c r="M1460" s="932"/>
      <c r="N1460" s="932"/>
      <c r="O1460" s="932"/>
      <c r="P1460" s="932"/>
      <c r="Q1460" s="932"/>
      <c r="R1460" s="932"/>
      <c r="S1460" s="932"/>
      <c r="T1460" s="932"/>
      <c r="U1460" s="932"/>
      <c r="V1460" s="932"/>
      <c r="W1460" s="932"/>
      <c r="X1460" s="932"/>
      <c r="Y1460" s="932"/>
      <c r="Z1460" s="932"/>
      <c r="AA1460" s="932"/>
      <c r="AB1460" s="932"/>
      <c r="AC1460" s="932"/>
      <c r="AD1460" s="932"/>
      <c r="AE1460" s="932"/>
      <c r="AF1460" s="932"/>
      <c r="AG1460" s="932"/>
      <c r="AH1460" s="932"/>
      <c r="AI1460" s="932"/>
      <c r="AJ1460" s="932"/>
      <c r="AK1460" s="932"/>
      <c r="AL1460" s="932"/>
      <c r="AM1460" s="932"/>
      <c r="AN1460" s="932"/>
      <c r="AO1460" s="932"/>
      <c r="AP1460" s="932"/>
      <c r="AQ1460" s="932"/>
      <c r="AR1460" s="932"/>
      <c r="AS1460" s="932"/>
      <c r="AT1460" s="932"/>
      <c r="AU1460" s="932"/>
      <c r="AV1460" s="932"/>
      <c r="AW1460" s="932"/>
      <c r="AX1460" s="932"/>
      <c r="AY1460" s="932"/>
      <c r="AZ1460" s="932"/>
      <c r="BA1460" s="932"/>
      <c r="BB1460" s="932"/>
      <c r="BC1460" s="932"/>
      <c r="BD1460" s="932"/>
      <c r="BE1460" s="932"/>
      <c r="BF1460" s="932"/>
    </row>
    <row r="1461" spans="2:58" ht="15" x14ac:dyDescent="0.25">
      <c r="B1461" s="932"/>
      <c r="C1461" s="932"/>
      <c r="D1461" s="932"/>
      <c r="E1461" s="932"/>
      <c r="F1461" s="932"/>
      <c r="G1461" s="932"/>
      <c r="H1461" s="932"/>
      <c r="I1461" s="932"/>
      <c r="J1461" s="932"/>
      <c r="K1461" s="932"/>
      <c r="L1461" s="932"/>
      <c r="M1461" s="932"/>
      <c r="N1461" s="932"/>
      <c r="O1461" s="932"/>
      <c r="P1461" s="932"/>
      <c r="Q1461" s="932"/>
      <c r="R1461" s="932"/>
      <c r="S1461" s="932"/>
      <c r="T1461" s="932"/>
      <c r="U1461" s="932"/>
      <c r="V1461" s="932"/>
      <c r="W1461" s="932"/>
      <c r="X1461" s="932"/>
      <c r="Y1461" s="932"/>
      <c r="Z1461" s="932"/>
      <c r="AA1461" s="932"/>
      <c r="AB1461" s="932"/>
      <c r="AC1461" s="932"/>
      <c r="AD1461" s="932"/>
      <c r="AE1461" s="932"/>
      <c r="AF1461" s="932"/>
      <c r="AG1461" s="932"/>
      <c r="AH1461" s="932"/>
      <c r="AI1461" s="932"/>
      <c r="AJ1461" s="932"/>
      <c r="AK1461" s="932"/>
      <c r="AL1461" s="932"/>
      <c r="AM1461" s="932"/>
      <c r="AN1461" s="932"/>
      <c r="AO1461" s="932"/>
      <c r="AP1461" s="932"/>
      <c r="AQ1461" s="932"/>
      <c r="AR1461" s="932"/>
      <c r="AS1461" s="932"/>
      <c r="AT1461" s="932"/>
      <c r="AU1461" s="932"/>
      <c r="AV1461" s="932"/>
      <c r="AW1461" s="932"/>
      <c r="AX1461" s="932"/>
      <c r="AY1461" s="932"/>
      <c r="AZ1461" s="932"/>
      <c r="BA1461" s="932"/>
      <c r="BB1461" s="932"/>
      <c r="BC1461" s="932"/>
      <c r="BD1461" s="932"/>
      <c r="BE1461" s="932"/>
      <c r="BF1461" s="932"/>
    </row>
    <row r="1462" spans="2:58" ht="15" x14ac:dyDescent="0.25">
      <c r="B1462" s="932"/>
      <c r="C1462" s="932"/>
      <c r="D1462" s="932"/>
      <c r="E1462" s="932"/>
      <c r="F1462" s="932"/>
      <c r="G1462" s="932"/>
      <c r="H1462" s="932"/>
      <c r="I1462" s="932"/>
      <c r="J1462" s="932"/>
      <c r="K1462" s="932"/>
      <c r="L1462" s="932"/>
      <c r="M1462" s="932"/>
      <c r="N1462" s="932"/>
      <c r="O1462" s="932"/>
      <c r="P1462" s="932"/>
      <c r="Q1462" s="932"/>
      <c r="R1462" s="932"/>
      <c r="S1462" s="932"/>
      <c r="T1462" s="932"/>
      <c r="U1462" s="932"/>
      <c r="V1462" s="932"/>
      <c r="W1462" s="932"/>
      <c r="X1462" s="932"/>
      <c r="Y1462" s="932"/>
      <c r="Z1462" s="932"/>
      <c r="AA1462" s="932"/>
      <c r="AB1462" s="932"/>
      <c r="AC1462" s="932"/>
      <c r="AD1462" s="932"/>
      <c r="AE1462" s="932"/>
      <c r="AF1462" s="932"/>
      <c r="AG1462" s="932"/>
      <c r="AH1462" s="932"/>
      <c r="AI1462" s="932"/>
      <c r="AJ1462" s="932"/>
      <c r="AK1462" s="932"/>
      <c r="AL1462" s="932"/>
      <c r="AM1462" s="932"/>
      <c r="AN1462" s="932"/>
      <c r="AO1462" s="932"/>
      <c r="AP1462" s="932"/>
      <c r="AQ1462" s="932"/>
      <c r="AR1462" s="932"/>
      <c r="AS1462" s="932"/>
      <c r="AT1462" s="932"/>
      <c r="AU1462" s="932"/>
      <c r="AV1462" s="932"/>
      <c r="AW1462" s="932"/>
      <c r="AX1462" s="932"/>
      <c r="AY1462" s="932"/>
      <c r="AZ1462" s="932"/>
      <c r="BA1462" s="932"/>
      <c r="BB1462" s="932"/>
      <c r="BC1462" s="932"/>
      <c r="BD1462" s="932"/>
      <c r="BE1462" s="932"/>
      <c r="BF1462" s="932"/>
    </row>
    <row r="1463" spans="2:58" ht="15" x14ac:dyDescent="0.25">
      <c r="B1463" s="932"/>
      <c r="C1463" s="932"/>
      <c r="D1463" s="932"/>
      <c r="E1463" s="932"/>
      <c r="F1463" s="932"/>
      <c r="G1463" s="932"/>
      <c r="H1463" s="932"/>
      <c r="I1463" s="932"/>
      <c r="J1463" s="932"/>
      <c r="K1463" s="932"/>
      <c r="L1463" s="932"/>
      <c r="M1463" s="932"/>
      <c r="N1463" s="932"/>
      <c r="O1463" s="932"/>
      <c r="P1463" s="932"/>
      <c r="Q1463" s="932"/>
      <c r="R1463" s="932"/>
      <c r="S1463" s="932"/>
      <c r="T1463" s="932"/>
      <c r="U1463" s="932"/>
      <c r="V1463" s="932"/>
      <c r="W1463" s="932"/>
      <c r="X1463" s="932"/>
      <c r="Y1463" s="932"/>
      <c r="Z1463" s="932"/>
      <c r="AA1463" s="932"/>
      <c r="AB1463" s="932"/>
      <c r="AC1463" s="932"/>
      <c r="AD1463" s="932"/>
      <c r="AE1463" s="932"/>
      <c r="AF1463" s="932"/>
      <c r="AG1463" s="932"/>
      <c r="AH1463" s="932"/>
      <c r="AI1463" s="932"/>
      <c r="AJ1463" s="932"/>
      <c r="AK1463" s="932"/>
      <c r="AL1463" s="932"/>
      <c r="AM1463" s="932"/>
      <c r="AN1463" s="932"/>
      <c r="AO1463" s="932"/>
      <c r="AP1463" s="932"/>
      <c r="AQ1463" s="932"/>
      <c r="AR1463" s="932"/>
      <c r="AS1463" s="932"/>
      <c r="AT1463" s="932"/>
      <c r="AU1463" s="932"/>
      <c r="AV1463" s="932"/>
      <c r="AW1463" s="932"/>
      <c r="AX1463" s="932"/>
      <c r="AY1463" s="932"/>
      <c r="AZ1463" s="932"/>
      <c r="BA1463" s="932"/>
      <c r="BB1463" s="932"/>
      <c r="BC1463" s="932"/>
      <c r="BD1463" s="932"/>
      <c r="BE1463" s="932"/>
      <c r="BF1463" s="932"/>
    </row>
    <row r="1464" spans="2:58" ht="15" x14ac:dyDescent="0.25">
      <c r="B1464" s="932"/>
      <c r="C1464" s="932"/>
      <c r="D1464" s="932"/>
      <c r="E1464" s="932"/>
      <c r="F1464" s="932"/>
      <c r="G1464" s="932"/>
      <c r="H1464" s="932"/>
      <c r="I1464" s="932"/>
      <c r="J1464" s="932"/>
      <c r="K1464" s="932"/>
      <c r="L1464" s="932"/>
      <c r="M1464" s="932"/>
      <c r="N1464" s="932"/>
      <c r="O1464" s="932"/>
      <c r="P1464" s="932"/>
      <c r="Q1464" s="932"/>
      <c r="R1464" s="932"/>
      <c r="S1464" s="932"/>
      <c r="T1464" s="932"/>
      <c r="U1464" s="932"/>
      <c r="V1464" s="932"/>
      <c r="W1464" s="932"/>
      <c r="X1464" s="932"/>
      <c r="Y1464" s="932"/>
      <c r="Z1464" s="932"/>
      <c r="AA1464" s="932"/>
      <c r="AB1464" s="932"/>
      <c r="AC1464" s="932"/>
      <c r="AD1464" s="932"/>
      <c r="AE1464" s="932"/>
      <c r="AF1464" s="932"/>
      <c r="AG1464" s="932"/>
      <c r="AH1464" s="932"/>
      <c r="AI1464" s="932"/>
      <c r="AJ1464" s="932"/>
      <c r="AK1464" s="932"/>
      <c r="AL1464" s="932"/>
      <c r="AM1464" s="932"/>
      <c r="AN1464" s="932"/>
      <c r="AO1464" s="932"/>
      <c r="AP1464" s="932"/>
      <c r="AQ1464" s="932"/>
      <c r="AR1464" s="932"/>
      <c r="AS1464" s="932"/>
      <c r="AT1464" s="932"/>
      <c r="AU1464" s="932"/>
      <c r="AV1464" s="932"/>
      <c r="AW1464" s="932"/>
      <c r="AX1464" s="932"/>
      <c r="AY1464" s="932"/>
      <c r="AZ1464" s="932"/>
      <c r="BA1464" s="932"/>
      <c r="BB1464" s="932"/>
      <c r="BC1464" s="932"/>
      <c r="BD1464" s="932"/>
      <c r="BE1464" s="932"/>
      <c r="BF1464" s="932"/>
    </row>
    <row r="1465" spans="2:58" ht="15" x14ac:dyDescent="0.25">
      <c r="B1465" s="932"/>
      <c r="C1465" s="932"/>
      <c r="D1465" s="932"/>
      <c r="E1465" s="932"/>
      <c r="F1465" s="932"/>
      <c r="G1465" s="932"/>
      <c r="H1465" s="932"/>
      <c r="I1465" s="932"/>
      <c r="J1465" s="932"/>
      <c r="K1465" s="932"/>
      <c r="L1465" s="932"/>
      <c r="M1465" s="932"/>
      <c r="N1465" s="932"/>
      <c r="O1465" s="932"/>
      <c r="P1465" s="932"/>
      <c r="Q1465" s="932"/>
      <c r="R1465" s="932"/>
      <c r="S1465" s="932"/>
      <c r="T1465" s="932"/>
      <c r="U1465" s="932"/>
      <c r="V1465" s="932"/>
      <c r="W1465" s="932"/>
      <c r="X1465" s="932"/>
      <c r="Y1465" s="932"/>
      <c r="Z1465" s="932"/>
      <c r="AA1465" s="932"/>
      <c r="AB1465" s="932"/>
      <c r="AC1465" s="932"/>
      <c r="AD1465" s="932"/>
      <c r="AE1465" s="932"/>
      <c r="AF1465" s="932"/>
      <c r="AG1465" s="932"/>
      <c r="AH1465" s="932"/>
      <c r="AI1465" s="932"/>
      <c r="AJ1465" s="932"/>
      <c r="AK1465" s="932"/>
      <c r="AL1465" s="932"/>
      <c r="AM1465" s="932"/>
      <c r="AN1465" s="932"/>
      <c r="AO1465" s="932"/>
      <c r="AP1465" s="932"/>
      <c r="AQ1465" s="932"/>
      <c r="AR1465" s="932"/>
      <c r="AS1465" s="932"/>
      <c r="AT1465" s="932"/>
      <c r="AU1465" s="932"/>
      <c r="AV1465" s="932"/>
      <c r="AW1465" s="932"/>
      <c r="AX1465" s="932"/>
      <c r="AY1465" s="932"/>
      <c r="AZ1465" s="932"/>
      <c r="BA1465" s="932"/>
      <c r="BB1465" s="932"/>
      <c r="BC1465" s="932"/>
      <c r="BD1465" s="932"/>
      <c r="BE1465" s="932"/>
      <c r="BF1465" s="932"/>
    </row>
    <row r="1466" spans="2:58" ht="15" x14ac:dyDescent="0.25">
      <c r="B1466" s="932"/>
      <c r="C1466" s="932"/>
      <c r="D1466" s="932"/>
      <c r="E1466" s="932"/>
      <c r="F1466" s="932"/>
      <c r="G1466" s="932"/>
      <c r="H1466" s="932"/>
      <c r="I1466" s="932"/>
      <c r="J1466" s="932"/>
      <c r="K1466" s="932"/>
      <c r="L1466" s="932"/>
      <c r="M1466" s="932"/>
      <c r="N1466" s="932"/>
      <c r="O1466" s="932"/>
      <c r="P1466" s="932"/>
      <c r="Q1466" s="932"/>
      <c r="R1466" s="932"/>
      <c r="S1466" s="932"/>
      <c r="T1466" s="932"/>
      <c r="U1466" s="932"/>
      <c r="V1466" s="932"/>
      <c r="W1466" s="932"/>
      <c r="X1466" s="932"/>
      <c r="Y1466" s="932"/>
      <c r="Z1466" s="932"/>
      <c r="AA1466" s="932"/>
      <c r="AB1466" s="932"/>
      <c r="AC1466" s="932"/>
      <c r="AD1466" s="932"/>
      <c r="AE1466" s="932"/>
      <c r="AF1466" s="932"/>
      <c r="AG1466" s="932"/>
      <c r="AH1466" s="932"/>
      <c r="AI1466" s="932"/>
      <c r="AJ1466" s="932"/>
      <c r="AK1466" s="932"/>
      <c r="AL1466" s="932"/>
      <c r="AM1466" s="932"/>
      <c r="AN1466" s="932"/>
      <c r="AO1466" s="932"/>
      <c r="AP1466" s="932"/>
      <c r="AQ1466" s="932"/>
      <c r="AR1466" s="932"/>
      <c r="AS1466" s="932"/>
      <c r="AT1466" s="932"/>
      <c r="AU1466" s="932"/>
      <c r="AV1466" s="932"/>
      <c r="AW1466" s="932"/>
      <c r="AX1466" s="932"/>
      <c r="AY1466" s="932"/>
      <c r="AZ1466" s="932"/>
      <c r="BA1466" s="932"/>
      <c r="BB1466" s="932"/>
      <c r="BC1466" s="932"/>
      <c r="BD1466" s="932"/>
      <c r="BE1466" s="932"/>
      <c r="BF1466" s="932"/>
    </row>
    <row r="1467" spans="2:58" ht="15" x14ac:dyDescent="0.25">
      <c r="B1467" s="932"/>
      <c r="C1467" s="932"/>
      <c r="D1467" s="932"/>
      <c r="E1467" s="932"/>
      <c r="F1467" s="932"/>
      <c r="G1467" s="932"/>
      <c r="H1467" s="932"/>
      <c r="I1467" s="932"/>
      <c r="J1467" s="932"/>
      <c r="K1467" s="932"/>
      <c r="L1467" s="932"/>
      <c r="M1467" s="932"/>
      <c r="N1467" s="932"/>
      <c r="O1467" s="932"/>
      <c r="P1467" s="932"/>
      <c r="Q1467" s="932"/>
      <c r="R1467" s="932"/>
      <c r="S1467" s="932"/>
      <c r="T1467" s="932"/>
      <c r="U1467" s="932"/>
      <c r="V1467" s="932"/>
      <c r="W1467" s="932"/>
      <c r="X1467" s="932"/>
      <c r="Y1467" s="932"/>
      <c r="Z1467" s="932"/>
      <c r="AA1467" s="932"/>
      <c r="AB1467" s="932"/>
      <c r="AC1467" s="932"/>
      <c r="AD1467" s="932"/>
      <c r="AE1467" s="932"/>
      <c r="AF1467" s="932"/>
      <c r="AG1467" s="932"/>
      <c r="AH1467" s="932"/>
      <c r="AI1467" s="932"/>
      <c r="AJ1467" s="932"/>
      <c r="AK1467" s="932"/>
      <c r="AL1467" s="932"/>
      <c r="AM1467" s="932"/>
      <c r="AN1467" s="932"/>
      <c r="AO1467" s="932"/>
      <c r="AP1467" s="932"/>
      <c r="AQ1467" s="932"/>
      <c r="AR1467" s="932"/>
      <c r="AS1467" s="932"/>
      <c r="AT1467" s="932"/>
      <c r="AU1467" s="932"/>
      <c r="AV1467" s="932"/>
      <c r="AW1467" s="932"/>
      <c r="AX1467" s="932"/>
      <c r="AY1467" s="932"/>
      <c r="AZ1467" s="932"/>
      <c r="BA1467" s="932"/>
      <c r="BB1467" s="932"/>
      <c r="BC1467" s="932"/>
      <c r="BD1467" s="932"/>
      <c r="BE1467" s="932"/>
      <c r="BF1467" s="932"/>
    </row>
    <row r="1468" spans="2:58" ht="15" x14ac:dyDescent="0.25">
      <c r="B1468" s="932"/>
      <c r="C1468" s="932"/>
      <c r="D1468" s="932"/>
      <c r="E1468" s="932"/>
      <c r="F1468" s="932"/>
      <c r="G1468" s="932"/>
      <c r="H1468" s="932"/>
      <c r="I1468" s="932"/>
      <c r="J1468" s="932"/>
      <c r="K1468" s="932"/>
      <c r="L1468" s="932"/>
      <c r="M1468" s="932"/>
      <c r="N1468" s="932"/>
      <c r="O1468" s="932"/>
      <c r="P1468" s="932"/>
      <c r="Q1468" s="932"/>
      <c r="R1468" s="932"/>
      <c r="S1468" s="932"/>
      <c r="T1468" s="932"/>
      <c r="U1468" s="932"/>
      <c r="V1468" s="932"/>
      <c r="W1468" s="932"/>
      <c r="X1468" s="932"/>
      <c r="Y1468" s="932"/>
      <c r="Z1468" s="932"/>
      <c r="AA1468" s="932"/>
      <c r="AB1468" s="932"/>
      <c r="AC1468" s="932"/>
      <c r="AD1468" s="932"/>
      <c r="AE1468" s="932"/>
      <c r="AF1468" s="932"/>
      <c r="AG1468" s="932"/>
      <c r="AH1468" s="932"/>
      <c r="AI1468" s="932"/>
      <c r="AJ1468" s="932"/>
      <c r="AK1468" s="932"/>
      <c r="AL1468" s="932"/>
      <c r="AM1468" s="932"/>
      <c r="AN1468" s="932"/>
      <c r="AO1468" s="932"/>
      <c r="AP1468" s="932"/>
      <c r="AQ1468" s="932"/>
      <c r="AR1468" s="932"/>
      <c r="AS1468" s="932"/>
      <c r="AT1468" s="932"/>
      <c r="AU1468" s="932"/>
      <c r="AV1468" s="932"/>
      <c r="AW1468" s="932"/>
      <c r="AX1468" s="932"/>
      <c r="AY1468" s="932"/>
      <c r="AZ1468" s="932"/>
      <c r="BA1468" s="932"/>
      <c r="BB1468" s="932"/>
      <c r="BC1468" s="932"/>
      <c r="BD1468" s="932"/>
      <c r="BE1468" s="932"/>
      <c r="BF1468" s="932"/>
    </row>
    <row r="1469" spans="2:58" ht="15" x14ac:dyDescent="0.25">
      <c r="B1469" s="932"/>
      <c r="C1469" s="932"/>
      <c r="D1469" s="932"/>
      <c r="E1469" s="932"/>
      <c r="F1469" s="932"/>
      <c r="G1469" s="932"/>
      <c r="H1469" s="932"/>
      <c r="I1469" s="932"/>
      <c r="J1469" s="932"/>
      <c r="K1469" s="932"/>
      <c r="L1469" s="932"/>
      <c r="M1469" s="932"/>
      <c r="N1469" s="932"/>
      <c r="O1469" s="932"/>
      <c r="P1469" s="932"/>
      <c r="Q1469" s="932"/>
      <c r="R1469" s="932"/>
      <c r="S1469" s="932"/>
      <c r="T1469" s="932"/>
      <c r="U1469" s="932"/>
      <c r="V1469" s="932"/>
      <c r="W1469" s="932"/>
      <c r="X1469" s="932"/>
      <c r="Y1469" s="932"/>
      <c r="Z1469" s="932"/>
      <c r="AA1469" s="932"/>
      <c r="AB1469" s="932"/>
      <c r="AC1469" s="932"/>
      <c r="AD1469" s="932"/>
      <c r="AE1469" s="932"/>
      <c r="AF1469" s="932"/>
      <c r="AG1469" s="932"/>
      <c r="AH1469" s="932"/>
      <c r="AI1469" s="932"/>
      <c r="AJ1469" s="932"/>
      <c r="AK1469" s="932"/>
      <c r="AL1469" s="932"/>
      <c r="AM1469" s="932"/>
      <c r="AN1469" s="932"/>
      <c r="AO1469" s="932"/>
      <c r="AP1469" s="932"/>
      <c r="AQ1469" s="932"/>
      <c r="AR1469" s="932"/>
      <c r="AS1469" s="932"/>
      <c r="AT1469" s="932"/>
      <c r="AU1469" s="932"/>
      <c r="AV1469" s="932"/>
      <c r="AW1469" s="932"/>
      <c r="AX1469" s="932"/>
      <c r="AY1469" s="932"/>
      <c r="AZ1469" s="932"/>
      <c r="BA1469" s="932"/>
      <c r="BB1469" s="932"/>
      <c r="BC1469" s="932"/>
      <c r="BD1469" s="932"/>
      <c r="BE1469" s="932"/>
      <c r="BF1469" s="932"/>
    </row>
    <row r="1470" spans="2:58" ht="15" x14ac:dyDescent="0.25">
      <c r="B1470" s="932"/>
      <c r="C1470" s="932"/>
      <c r="D1470" s="932"/>
      <c r="E1470" s="932"/>
      <c r="F1470" s="932"/>
      <c r="G1470" s="932"/>
      <c r="H1470" s="932"/>
      <c r="I1470" s="932"/>
      <c r="J1470" s="932"/>
      <c r="K1470" s="932"/>
      <c r="L1470" s="932"/>
      <c r="M1470" s="932"/>
      <c r="N1470" s="932"/>
      <c r="O1470" s="932"/>
      <c r="P1470" s="932"/>
      <c r="Q1470" s="932"/>
      <c r="R1470" s="932"/>
      <c r="S1470" s="932"/>
      <c r="T1470" s="932"/>
      <c r="U1470" s="932"/>
      <c r="V1470" s="932"/>
      <c r="W1470" s="932"/>
      <c r="X1470" s="932"/>
      <c r="Y1470" s="932"/>
      <c r="Z1470" s="932"/>
      <c r="AA1470" s="932"/>
      <c r="AB1470" s="932"/>
      <c r="AC1470" s="932"/>
      <c r="AD1470" s="932"/>
      <c r="AE1470" s="932"/>
      <c r="AF1470" s="932"/>
      <c r="AG1470" s="932"/>
      <c r="AH1470" s="932"/>
      <c r="AI1470" s="932"/>
      <c r="AJ1470" s="932"/>
      <c r="AK1470" s="932"/>
      <c r="AL1470" s="932"/>
      <c r="AM1470" s="932"/>
      <c r="AN1470" s="932"/>
      <c r="AO1470" s="932"/>
      <c r="AP1470" s="932"/>
      <c r="AQ1470" s="932"/>
      <c r="AR1470" s="932"/>
      <c r="AS1470" s="932"/>
      <c r="AT1470" s="932"/>
      <c r="AU1470" s="932"/>
      <c r="AV1470" s="932"/>
      <c r="AW1470" s="932"/>
      <c r="AX1470" s="932"/>
      <c r="AY1470" s="932"/>
      <c r="AZ1470" s="932"/>
      <c r="BA1470" s="932"/>
      <c r="BB1470" s="932"/>
      <c r="BC1470" s="932"/>
      <c r="BD1470" s="932"/>
      <c r="BE1470" s="932"/>
      <c r="BF1470" s="932"/>
    </row>
    <row r="1471" spans="2:58" ht="15" x14ac:dyDescent="0.25">
      <c r="B1471" s="932"/>
      <c r="C1471" s="932"/>
      <c r="D1471" s="932"/>
      <c r="E1471" s="932"/>
      <c r="F1471" s="932"/>
      <c r="G1471" s="932"/>
      <c r="H1471" s="932"/>
      <c r="I1471" s="932"/>
      <c r="J1471" s="932"/>
      <c r="K1471" s="932"/>
      <c r="L1471" s="932"/>
      <c r="M1471" s="932"/>
      <c r="N1471" s="932"/>
      <c r="O1471" s="932"/>
      <c r="P1471" s="932"/>
      <c r="Q1471" s="932"/>
      <c r="R1471" s="932"/>
      <c r="S1471" s="932"/>
      <c r="T1471" s="932"/>
      <c r="U1471" s="932"/>
      <c r="V1471" s="932"/>
      <c r="W1471" s="932"/>
      <c r="X1471" s="932"/>
      <c r="Y1471" s="932"/>
      <c r="Z1471" s="932"/>
      <c r="AA1471" s="932"/>
      <c r="AB1471" s="932"/>
      <c r="AC1471" s="932"/>
      <c r="AD1471" s="932"/>
      <c r="AE1471" s="932"/>
      <c r="AF1471" s="932"/>
      <c r="AG1471" s="932"/>
      <c r="AH1471" s="932"/>
      <c r="AI1471" s="932"/>
      <c r="AJ1471" s="932"/>
      <c r="AK1471" s="932"/>
      <c r="AL1471" s="932"/>
      <c r="AM1471" s="932"/>
      <c r="AN1471" s="932"/>
      <c r="AO1471" s="932"/>
      <c r="AP1471" s="932"/>
      <c r="AQ1471" s="932"/>
      <c r="AR1471" s="932"/>
      <c r="AS1471" s="932"/>
      <c r="AT1471" s="932"/>
      <c r="AU1471" s="932"/>
      <c r="AV1471" s="932"/>
      <c r="AW1471" s="932"/>
      <c r="AX1471" s="932"/>
      <c r="AY1471" s="932"/>
      <c r="AZ1471" s="932"/>
      <c r="BA1471" s="932"/>
      <c r="BB1471" s="932"/>
      <c r="BC1471" s="932"/>
      <c r="BD1471" s="932"/>
      <c r="BE1471" s="932"/>
      <c r="BF1471" s="932"/>
    </row>
    <row r="1472" spans="2:58" ht="15" x14ac:dyDescent="0.25">
      <c r="B1472" s="932"/>
      <c r="C1472" s="932"/>
      <c r="D1472" s="932"/>
      <c r="E1472" s="932"/>
      <c r="F1472" s="932"/>
      <c r="G1472" s="932"/>
      <c r="H1472" s="932"/>
      <c r="I1472" s="932"/>
      <c r="J1472" s="932"/>
      <c r="K1472" s="932"/>
      <c r="L1472" s="932"/>
      <c r="M1472" s="932"/>
      <c r="N1472" s="932"/>
      <c r="O1472" s="932"/>
      <c r="P1472" s="932"/>
      <c r="Q1472" s="932"/>
      <c r="R1472" s="932"/>
      <c r="S1472" s="932"/>
      <c r="T1472" s="932"/>
      <c r="U1472" s="932"/>
      <c r="V1472" s="932"/>
      <c r="W1472" s="932"/>
      <c r="X1472" s="932"/>
      <c r="Y1472" s="932"/>
      <c r="Z1472" s="932"/>
      <c r="AA1472" s="932"/>
      <c r="AB1472" s="932"/>
      <c r="AC1472" s="932"/>
      <c r="AD1472" s="932"/>
      <c r="AE1472" s="932"/>
      <c r="AF1472" s="932"/>
      <c r="AG1472" s="932"/>
      <c r="AH1472" s="932"/>
      <c r="AI1472" s="932"/>
      <c r="AJ1472" s="932"/>
      <c r="AK1472" s="932"/>
      <c r="AL1472" s="932"/>
      <c r="AM1472" s="932"/>
      <c r="AN1472" s="932"/>
      <c r="AO1472" s="932"/>
      <c r="AP1472" s="932"/>
      <c r="AQ1472" s="932"/>
      <c r="AR1472" s="932"/>
      <c r="AS1472" s="932"/>
      <c r="AT1472" s="932"/>
      <c r="AU1472" s="932"/>
      <c r="AV1472" s="932"/>
      <c r="AW1472" s="932"/>
      <c r="AX1472" s="932"/>
      <c r="AY1472" s="932"/>
      <c r="AZ1472" s="932"/>
      <c r="BA1472" s="932"/>
      <c r="BB1472" s="932"/>
      <c r="BC1472" s="932"/>
      <c r="BD1472" s="932"/>
      <c r="BE1472" s="932"/>
      <c r="BF1472" s="932"/>
    </row>
    <row r="1473" spans="2:58" ht="15" x14ac:dyDescent="0.25">
      <c r="B1473" s="932"/>
      <c r="C1473" s="932"/>
      <c r="D1473" s="932"/>
      <c r="E1473" s="932"/>
      <c r="F1473" s="932"/>
      <c r="G1473" s="932"/>
      <c r="H1473" s="932"/>
      <c r="I1473" s="932"/>
      <c r="J1473" s="932"/>
      <c r="K1473" s="932"/>
      <c r="L1473" s="932"/>
      <c r="M1473" s="932"/>
      <c r="N1473" s="932"/>
      <c r="O1473" s="932"/>
      <c r="P1473" s="932"/>
      <c r="Q1473" s="932"/>
      <c r="R1473" s="932"/>
      <c r="S1473" s="932"/>
      <c r="T1473" s="932"/>
      <c r="U1473" s="932"/>
      <c r="V1473" s="932"/>
      <c r="W1473" s="932"/>
      <c r="X1473" s="932"/>
      <c r="Y1473" s="932"/>
      <c r="Z1473" s="932"/>
      <c r="AA1473" s="932"/>
      <c r="AB1473" s="932"/>
      <c r="AC1473" s="932"/>
      <c r="AD1473" s="932"/>
      <c r="AE1473" s="932"/>
      <c r="AF1473" s="932"/>
      <c r="AG1473" s="932"/>
      <c r="AH1473" s="932"/>
      <c r="AI1473" s="932"/>
      <c r="AJ1473" s="932"/>
      <c r="AK1473" s="932"/>
      <c r="AL1473" s="932"/>
      <c r="AM1473" s="932"/>
      <c r="AN1473" s="932"/>
      <c r="AO1473" s="932"/>
      <c r="AP1473" s="932"/>
      <c r="AQ1473" s="932"/>
      <c r="AR1473" s="932"/>
      <c r="AS1473" s="932"/>
      <c r="AT1473" s="932"/>
      <c r="AU1473" s="932"/>
      <c r="AV1473" s="932"/>
      <c r="AW1473" s="932"/>
      <c r="AX1473" s="932"/>
      <c r="AY1473" s="932"/>
      <c r="AZ1473" s="932"/>
      <c r="BA1473" s="932"/>
      <c r="BB1473" s="932"/>
      <c r="BC1473" s="932"/>
      <c r="BD1473" s="932"/>
      <c r="BE1473" s="932"/>
      <c r="BF1473" s="932"/>
    </row>
    <row r="1474" spans="2:58" ht="15" x14ac:dyDescent="0.25">
      <c r="B1474" s="932"/>
      <c r="C1474" s="932"/>
      <c r="D1474" s="932"/>
      <c r="E1474" s="932"/>
      <c r="F1474" s="932"/>
      <c r="G1474" s="932"/>
      <c r="H1474" s="932"/>
      <c r="I1474" s="932"/>
      <c r="J1474" s="932"/>
      <c r="K1474" s="932"/>
      <c r="L1474" s="932"/>
      <c r="M1474" s="932"/>
      <c r="N1474" s="932"/>
      <c r="O1474" s="932"/>
      <c r="P1474" s="932"/>
      <c r="Q1474" s="932"/>
      <c r="R1474" s="932"/>
      <c r="S1474" s="932"/>
      <c r="T1474" s="932"/>
      <c r="U1474" s="932"/>
      <c r="V1474" s="932"/>
      <c r="W1474" s="932"/>
      <c r="X1474" s="932"/>
      <c r="Y1474" s="932"/>
      <c r="Z1474" s="932"/>
      <c r="AA1474" s="932"/>
      <c r="AB1474" s="932"/>
      <c r="AC1474" s="932"/>
      <c r="AD1474" s="932"/>
      <c r="AE1474" s="932"/>
      <c r="AF1474" s="932"/>
      <c r="AG1474" s="932"/>
      <c r="AH1474" s="932"/>
      <c r="AI1474" s="932"/>
      <c r="AJ1474" s="932"/>
      <c r="AK1474" s="932"/>
      <c r="AL1474" s="932"/>
      <c r="AM1474" s="932"/>
      <c r="AN1474" s="932"/>
      <c r="AO1474" s="932"/>
      <c r="AP1474" s="932"/>
      <c r="AQ1474" s="932"/>
      <c r="AR1474" s="932"/>
      <c r="AS1474" s="932"/>
      <c r="AT1474" s="932"/>
      <c r="AU1474" s="932"/>
      <c r="AV1474" s="932"/>
      <c r="AW1474" s="932"/>
      <c r="AX1474" s="932"/>
      <c r="AY1474" s="932"/>
      <c r="AZ1474" s="932"/>
      <c r="BA1474" s="932"/>
      <c r="BB1474" s="932"/>
      <c r="BC1474" s="932"/>
      <c r="BD1474" s="932"/>
      <c r="BE1474" s="932"/>
      <c r="BF1474" s="932"/>
    </row>
    <row r="1475" spans="2:58" ht="15" x14ac:dyDescent="0.25">
      <c r="B1475" s="932"/>
      <c r="C1475" s="932"/>
      <c r="D1475" s="932"/>
      <c r="E1475" s="932"/>
      <c r="F1475" s="932"/>
      <c r="G1475" s="932"/>
      <c r="H1475" s="932"/>
      <c r="I1475" s="932"/>
      <c r="J1475" s="932"/>
      <c r="K1475" s="932"/>
      <c r="L1475" s="932"/>
      <c r="M1475" s="932"/>
      <c r="N1475" s="932"/>
      <c r="O1475" s="932"/>
      <c r="P1475" s="932"/>
      <c r="Q1475" s="932"/>
      <c r="R1475" s="932"/>
      <c r="S1475" s="932"/>
      <c r="T1475" s="932"/>
      <c r="U1475" s="932"/>
      <c r="V1475" s="932"/>
      <c r="W1475" s="932"/>
      <c r="X1475" s="932"/>
      <c r="Y1475" s="932"/>
      <c r="Z1475" s="932"/>
      <c r="AA1475" s="932"/>
      <c r="AB1475" s="932"/>
      <c r="AC1475" s="932"/>
      <c r="AD1475" s="932"/>
      <c r="AE1475" s="932"/>
      <c r="AF1475" s="932"/>
      <c r="AG1475" s="932"/>
      <c r="AH1475" s="932"/>
      <c r="AI1475" s="932"/>
      <c r="AJ1475" s="932"/>
      <c r="AK1475" s="932"/>
      <c r="AL1475" s="932"/>
      <c r="AM1475" s="932"/>
      <c r="AN1475" s="932"/>
      <c r="AO1475" s="932"/>
      <c r="AP1475" s="932"/>
      <c r="AQ1475" s="932"/>
      <c r="AR1475" s="932"/>
      <c r="AS1475" s="932"/>
      <c r="AT1475" s="932"/>
      <c r="AU1475" s="932"/>
      <c r="AV1475" s="932"/>
      <c r="AW1475" s="932"/>
      <c r="AX1475" s="932"/>
      <c r="AY1475" s="932"/>
      <c r="AZ1475" s="932"/>
      <c r="BA1475" s="932"/>
      <c r="BB1475" s="932"/>
      <c r="BC1475" s="932"/>
      <c r="BD1475" s="932"/>
      <c r="BE1475" s="932"/>
      <c r="BF1475" s="932"/>
    </row>
    <row r="1476" spans="2:58" ht="15" x14ac:dyDescent="0.25">
      <c r="B1476" s="932"/>
      <c r="C1476" s="932"/>
      <c r="D1476" s="932"/>
      <c r="E1476" s="932"/>
      <c r="F1476" s="932"/>
      <c r="G1476" s="932"/>
      <c r="H1476" s="932"/>
      <c r="I1476" s="932"/>
      <c r="J1476" s="932"/>
      <c r="K1476" s="932"/>
      <c r="L1476" s="932"/>
      <c r="M1476" s="932"/>
      <c r="N1476" s="932"/>
      <c r="O1476" s="932"/>
      <c r="P1476" s="932"/>
      <c r="Q1476" s="932"/>
      <c r="R1476" s="932"/>
      <c r="S1476" s="932"/>
      <c r="T1476" s="932"/>
      <c r="U1476" s="932"/>
      <c r="V1476" s="932"/>
      <c r="W1476" s="932"/>
      <c r="X1476" s="932"/>
      <c r="Y1476" s="932"/>
      <c r="Z1476" s="932"/>
      <c r="AA1476" s="932"/>
      <c r="AB1476" s="932"/>
      <c r="AC1476" s="932"/>
      <c r="AD1476" s="932"/>
      <c r="AE1476" s="932"/>
      <c r="AF1476" s="932"/>
      <c r="AG1476" s="932"/>
      <c r="AH1476" s="932"/>
      <c r="AI1476" s="932"/>
      <c r="AJ1476" s="932"/>
      <c r="AK1476" s="932"/>
      <c r="AL1476" s="932"/>
      <c r="AM1476" s="932"/>
      <c r="AN1476" s="932"/>
      <c r="AO1476" s="932"/>
      <c r="AP1476" s="932"/>
      <c r="AQ1476" s="932"/>
      <c r="AR1476" s="932"/>
      <c r="AS1476" s="932"/>
      <c r="AT1476" s="932"/>
      <c r="AU1476" s="932"/>
      <c r="AV1476" s="932"/>
      <c r="AW1476" s="932"/>
      <c r="AX1476" s="932"/>
      <c r="AY1476" s="932"/>
      <c r="AZ1476" s="932"/>
      <c r="BA1476" s="932"/>
      <c r="BB1476" s="932"/>
      <c r="BC1476" s="932"/>
      <c r="BD1476" s="932"/>
      <c r="BE1476" s="932"/>
      <c r="BF1476" s="932"/>
    </row>
    <row r="1477" spans="2:58" ht="15" x14ac:dyDescent="0.25">
      <c r="B1477" s="932"/>
      <c r="C1477" s="932"/>
      <c r="D1477" s="932"/>
      <c r="E1477" s="932"/>
      <c r="F1477" s="932"/>
      <c r="G1477" s="932"/>
      <c r="H1477" s="932"/>
      <c r="I1477" s="932"/>
      <c r="J1477" s="932"/>
      <c r="K1477" s="932"/>
      <c r="L1477" s="932"/>
      <c r="M1477" s="932"/>
      <c r="N1477" s="932"/>
      <c r="O1477" s="932"/>
      <c r="P1477" s="932"/>
      <c r="Q1477" s="932"/>
      <c r="R1477" s="932"/>
      <c r="S1477" s="932"/>
      <c r="T1477" s="932"/>
      <c r="U1477" s="932"/>
      <c r="V1477" s="932"/>
      <c r="W1477" s="932"/>
      <c r="X1477" s="932"/>
      <c r="Y1477" s="932"/>
      <c r="Z1477" s="932"/>
      <c r="AA1477" s="932"/>
      <c r="AB1477" s="932"/>
      <c r="AC1477" s="932"/>
      <c r="AD1477" s="932"/>
      <c r="AE1477" s="932"/>
      <c r="AF1477" s="932"/>
      <c r="AG1477" s="932"/>
      <c r="AH1477" s="932"/>
      <c r="AI1477" s="932"/>
      <c r="AJ1477" s="932"/>
      <c r="AK1477" s="932"/>
      <c r="AL1477" s="932"/>
      <c r="AM1477" s="932"/>
      <c r="AN1477" s="932"/>
      <c r="AO1477" s="932"/>
      <c r="AP1477" s="932"/>
      <c r="AQ1477" s="932"/>
      <c r="AR1477" s="932"/>
      <c r="AS1477" s="932"/>
      <c r="AT1477" s="932"/>
      <c r="AU1477" s="932"/>
      <c r="AV1477" s="932"/>
      <c r="AW1477" s="932"/>
      <c r="AX1477" s="932"/>
      <c r="AY1477" s="932"/>
      <c r="AZ1477" s="932"/>
      <c r="BA1477" s="932"/>
      <c r="BB1477" s="932"/>
      <c r="BC1477" s="932"/>
      <c r="BD1477" s="932"/>
      <c r="BE1477" s="932"/>
      <c r="BF1477" s="932"/>
    </row>
    <row r="1478" spans="2:58" ht="15" x14ac:dyDescent="0.25">
      <c r="B1478" s="932"/>
      <c r="C1478" s="932"/>
      <c r="D1478" s="932"/>
      <c r="E1478" s="932"/>
      <c r="F1478" s="932"/>
      <c r="G1478" s="932"/>
      <c r="H1478" s="932"/>
      <c r="I1478" s="932"/>
      <c r="J1478" s="932"/>
      <c r="K1478" s="932"/>
      <c r="L1478" s="932"/>
      <c r="M1478" s="932"/>
      <c r="N1478" s="932"/>
      <c r="O1478" s="932"/>
      <c r="P1478" s="932"/>
      <c r="Q1478" s="932"/>
      <c r="R1478" s="932"/>
      <c r="S1478" s="932"/>
      <c r="T1478" s="932"/>
      <c r="U1478" s="932"/>
      <c r="V1478" s="932"/>
      <c r="W1478" s="932"/>
      <c r="X1478" s="932"/>
      <c r="Y1478" s="932"/>
      <c r="Z1478" s="932"/>
      <c r="AA1478" s="932"/>
      <c r="AB1478" s="932"/>
      <c r="AC1478" s="932"/>
      <c r="AD1478" s="932"/>
      <c r="AE1478" s="932"/>
      <c r="AF1478" s="932"/>
      <c r="AG1478" s="932"/>
      <c r="AH1478" s="932"/>
      <c r="AI1478" s="932"/>
      <c r="AJ1478" s="932"/>
      <c r="AK1478" s="932"/>
      <c r="AL1478" s="932"/>
      <c r="AM1478" s="932"/>
      <c r="AN1478" s="932"/>
      <c r="AO1478" s="932"/>
      <c r="AP1478" s="932"/>
      <c r="AQ1478" s="932"/>
      <c r="AR1478" s="932"/>
      <c r="AS1478" s="932"/>
      <c r="AT1478" s="932"/>
      <c r="AU1478" s="932"/>
      <c r="AV1478" s="932"/>
      <c r="AW1478" s="932"/>
      <c r="AX1478" s="932"/>
      <c r="AY1478" s="932"/>
      <c r="AZ1478" s="932"/>
      <c r="BA1478" s="932"/>
      <c r="BB1478" s="932"/>
      <c r="BC1478" s="932"/>
      <c r="BD1478" s="932"/>
      <c r="BE1478" s="932"/>
      <c r="BF1478" s="932"/>
    </row>
    <row r="1479" spans="2:58" ht="15" x14ac:dyDescent="0.25">
      <c r="B1479" s="932"/>
      <c r="C1479" s="932"/>
      <c r="D1479" s="932"/>
      <c r="E1479" s="932"/>
      <c r="F1479" s="932"/>
      <c r="G1479" s="932"/>
      <c r="H1479" s="932"/>
      <c r="I1479" s="932"/>
      <c r="J1479" s="932"/>
      <c r="K1479" s="932"/>
      <c r="L1479" s="932"/>
      <c r="M1479" s="932"/>
      <c r="N1479" s="932"/>
      <c r="O1479" s="932"/>
      <c r="P1479" s="932"/>
      <c r="Q1479" s="932"/>
      <c r="R1479" s="932"/>
      <c r="S1479" s="932"/>
      <c r="T1479" s="932"/>
      <c r="U1479" s="932"/>
      <c r="V1479" s="932"/>
      <c r="W1479" s="932"/>
      <c r="X1479" s="932"/>
      <c r="Y1479" s="932"/>
      <c r="Z1479" s="932"/>
      <c r="AA1479" s="932"/>
      <c r="AB1479" s="932"/>
      <c r="AC1479" s="932"/>
      <c r="AD1479" s="932"/>
      <c r="AE1479" s="932"/>
      <c r="AF1479" s="932"/>
      <c r="AG1479" s="932"/>
      <c r="AH1479" s="932"/>
      <c r="AI1479" s="932"/>
      <c r="AJ1479" s="932"/>
      <c r="AK1479" s="932"/>
      <c r="AL1479" s="932"/>
      <c r="AM1479" s="932"/>
      <c r="AN1479" s="932"/>
      <c r="AO1479" s="932"/>
      <c r="AP1479" s="932"/>
      <c r="AQ1479" s="932"/>
      <c r="AR1479" s="932"/>
      <c r="AS1479" s="932"/>
      <c r="AT1479" s="932"/>
      <c r="AU1479" s="932"/>
      <c r="AV1479" s="932"/>
      <c r="AW1479" s="932"/>
      <c r="AX1479" s="932"/>
      <c r="AY1479" s="932"/>
      <c r="AZ1479" s="932"/>
      <c r="BA1479" s="932"/>
      <c r="BB1479" s="932"/>
      <c r="BC1479" s="932"/>
      <c r="BD1479" s="932"/>
      <c r="BE1479" s="932"/>
      <c r="BF1479" s="932"/>
    </row>
    <row r="1480" spans="2:58" ht="15" x14ac:dyDescent="0.25">
      <c r="B1480" s="932"/>
      <c r="C1480" s="932"/>
      <c r="D1480" s="932"/>
      <c r="E1480" s="932"/>
      <c r="F1480" s="932"/>
      <c r="G1480" s="932"/>
      <c r="H1480" s="932"/>
      <c r="I1480" s="932"/>
      <c r="J1480" s="932"/>
      <c r="K1480" s="932"/>
      <c r="L1480" s="932"/>
      <c r="M1480" s="932"/>
      <c r="N1480" s="932"/>
      <c r="O1480" s="932"/>
      <c r="P1480" s="932"/>
      <c r="Q1480" s="932"/>
      <c r="R1480" s="932"/>
      <c r="S1480" s="932"/>
      <c r="T1480" s="932"/>
      <c r="U1480" s="932"/>
      <c r="V1480" s="932"/>
      <c r="W1480" s="932"/>
      <c r="X1480" s="932"/>
      <c r="Y1480" s="932"/>
      <c r="Z1480" s="932"/>
      <c r="AA1480" s="932"/>
      <c r="AB1480" s="932"/>
      <c r="AC1480" s="932"/>
      <c r="AD1480" s="932"/>
      <c r="AE1480" s="932"/>
      <c r="AF1480" s="932"/>
      <c r="AG1480" s="932"/>
      <c r="AH1480" s="932"/>
      <c r="AI1480" s="932"/>
      <c r="AJ1480" s="932"/>
      <c r="AK1480" s="932"/>
      <c r="AL1480" s="932"/>
      <c r="AM1480" s="932"/>
      <c r="AN1480" s="932"/>
      <c r="AO1480" s="932"/>
      <c r="AP1480" s="932"/>
      <c r="AQ1480" s="932"/>
      <c r="AR1480" s="932"/>
      <c r="AS1480" s="932"/>
      <c r="AT1480" s="932"/>
      <c r="AU1480" s="932"/>
      <c r="AV1480" s="932"/>
      <c r="AW1480" s="932"/>
      <c r="AX1480" s="932"/>
      <c r="AY1480" s="932"/>
      <c r="AZ1480" s="932"/>
      <c r="BA1480" s="932"/>
      <c r="BB1480" s="932"/>
      <c r="BC1480" s="932"/>
      <c r="BD1480" s="932"/>
      <c r="BE1480" s="932"/>
      <c r="BF1480" s="932"/>
    </row>
    <row r="1481" spans="2:58" ht="15" x14ac:dyDescent="0.25">
      <c r="B1481" s="932"/>
      <c r="C1481" s="932"/>
      <c r="D1481" s="932"/>
      <c r="E1481" s="932"/>
      <c r="F1481" s="932"/>
      <c r="G1481" s="932"/>
      <c r="H1481" s="932"/>
      <c r="I1481" s="932"/>
      <c r="J1481" s="932"/>
      <c r="K1481" s="932"/>
      <c r="L1481" s="932"/>
      <c r="M1481" s="932"/>
      <c r="N1481" s="932"/>
      <c r="O1481" s="932"/>
      <c r="P1481" s="932"/>
      <c r="Q1481" s="932"/>
      <c r="R1481" s="932"/>
      <c r="S1481" s="932"/>
      <c r="T1481" s="932"/>
      <c r="U1481" s="932"/>
      <c r="V1481" s="932"/>
      <c r="W1481" s="932"/>
      <c r="X1481" s="932"/>
      <c r="Y1481" s="932"/>
      <c r="Z1481" s="932"/>
      <c r="AA1481" s="932"/>
      <c r="AB1481" s="932"/>
      <c r="AC1481" s="932"/>
      <c r="AD1481" s="932"/>
      <c r="AE1481" s="932"/>
      <c r="AF1481" s="932"/>
      <c r="AG1481" s="932"/>
      <c r="AH1481" s="932"/>
      <c r="AI1481" s="932"/>
      <c r="AJ1481" s="932"/>
      <c r="AK1481" s="932"/>
      <c r="AL1481" s="932"/>
      <c r="AM1481" s="932"/>
      <c r="AN1481" s="932"/>
      <c r="AO1481" s="932"/>
      <c r="AP1481" s="932"/>
      <c r="AQ1481" s="932"/>
      <c r="AR1481" s="932"/>
      <c r="AS1481" s="932"/>
      <c r="AT1481" s="932"/>
      <c r="AU1481" s="932"/>
      <c r="AV1481" s="932"/>
      <c r="AW1481" s="932"/>
      <c r="AX1481" s="932"/>
      <c r="AY1481" s="932"/>
      <c r="AZ1481" s="932"/>
      <c r="BA1481" s="932"/>
      <c r="BB1481" s="932"/>
      <c r="BC1481" s="932"/>
      <c r="BD1481" s="932"/>
      <c r="BE1481" s="932"/>
      <c r="BF1481" s="932"/>
    </row>
    <row r="1482" spans="2:58" ht="15" x14ac:dyDescent="0.25">
      <c r="B1482" s="932"/>
      <c r="C1482" s="932"/>
      <c r="D1482" s="932"/>
      <c r="E1482" s="932"/>
      <c r="F1482" s="932"/>
      <c r="G1482" s="932"/>
      <c r="H1482" s="932"/>
      <c r="I1482" s="932"/>
      <c r="J1482" s="932"/>
      <c r="K1482" s="932"/>
      <c r="L1482" s="932"/>
      <c r="M1482" s="932"/>
      <c r="N1482" s="932"/>
      <c r="O1482" s="932"/>
      <c r="P1482" s="932"/>
      <c r="Q1482" s="932"/>
      <c r="R1482" s="932"/>
      <c r="S1482" s="932"/>
      <c r="T1482" s="932"/>
      <c r="U1482" s="932"/>
      <c r="V1482" s="932"/>
      <c r="W1482" s="932"/>
      <c r="X1482" s="932"/>
      <c r="Y1482" s="932"/>
      <c r="Z1482" s="932"/>
      <c r="AA1482" s="932"/>
      <c r="AB1482" s="932"/>
      <c r="AC1482" s="932"/>
      <c r="AD1482" s="932"/>
      <c r="AE1482" s="932"/>
      <c r="AF1482" s="932"/>
      <c r="AG1482" s="932"/>
      <c r="AH1482" s="932"/>
      <c r="AI1482" s="932"/>
      <c r="AJ1482" s="932"/>
      <c r="AK1482" s="932"/>
      <c r="AL1482" s="932"/>
      <c r="AM1482" s="932"/>
      <c r="AN1482" s="932"/>
      <c r="AO1482" s="932"/>
      <c r="AP1482" s="932"/>
      <c r="AQ1482" s="932"/>
      <c r="AR1482" s="932"/>
      <c r="AS1482" s="932"/>
      <c r="AT1482" s="932"/>
      <c r="AU1482" s="932"/>
      <c r="AV1482" s="932"/>
      <c r="AW1482" s="932"/>
      <c r="AX1482" s="932"/>
      <c r="AY1482" s="932"/>
      <c r="AZ1482" s="932"/>
      <c r="BA1482" s="932"/>
      <c r="BB1482" s="932"/>
      <c r="BC1482" s="932"/>
      <c r="BD1482" s="932"/>
      <c r="BE1482" s="932"/>
      <c r="BF1482" s="932"/>
    </row>
    <row r="1483" spans="2:58" ht="15" x14ac:dyDescent="0.25">
      <c r="B1483" s="932"/>
      <c r="C1483" s="932"/>
      <c r="D1483" s="932"/>
      <c r="E1483" s="932"/>
      <c r="F1483" s="932"/>
      <c r="G1483" s="932"/>
      <c r="H1483" s="932"/>
      <c r="I1483" s="932"/>
      <c r="J1483" s="932"/>
      <c r="K1483" s="932"/>
      <c r="L1483" s="932"/>
      <c r="M1483" s="932"/>
      <c r="N1483" s="932"/>
      <c r="O1483" s="932"/>
      <c r="P1483" s="932"/>
      <c r="Q1483" s="932"/>
      <c r="R1483" s="932"/>
      <c r="S1483" s="932"/>
      <c r="T1483" s="932"/>
      <c r="U1483" s="932"/>
      <c r="V1483" s="932"/>
      <c r="W1483" s="932"/>
      <c r="X1483" s="932"/>
      <c r="Y1483" s="932"/>
      <c r="Z1483" s="932"/>
      <c r="AA1483" s="932"/>
      <c r="AB1483" s="932"/>
      <c r="AC1483" s="932"/>
      <c r="AD1483" s="932"/>
      <c r="AE1483" s="932"/>
      <c r="AF1483" s="932"/>
      <c r="AG1483" s="932"/>
      <c r="AH1483" s="932"/>
      <c r="AI1483" s="932"/>
      <c r="AJ1483" s="932"/>
      <c r="AK1483" s="932"/>
      <c r="AL1483" s="932"/>
      <c r="AM1483" s="932"/>
      <c r="AN1483" s="932"/>
      <c r="AO1483" s="932"/>
      <c r="AP1483" s="932"/>
      <c r="AQ1483" s="932"/>
      <c r="AR1483" s="932"/>
      <c r="AS1483" s="932"/>
      <c r="AT1483" s="932"/>
      <c r="AU1483" s="932"/>
      <c r="AV1483" s="932"/>
      <c r="AW1483" s="932"/>
      <c r="AX1483" s="932"/>
      <c r="AY1483" s="932"/>
      <c r="AZ1483" s="932"/>
      <c r="BA1483" s="932"/>
      <c r="BB1483" s="932"/>
      <c r="BC1483" s="932"/>
      <c r="BD1483" s="932"/>
      <c r="BE1483" s="932"/>
      <c r="BF1483" s="932"/>
    </row>
    <row r="1484" spans="2:58" ht="15" x14ac:dyDescent="0.25">
      <c r="B1484" s="932"/>
      <c r="C1484" s="932"/>
      <c r="D1484" s="932"/>
      <c r="E1484" s="932"/>
      <c r="F1484" s="932"/>
      <c r="G1484" s="932"/>
      <c r="H1484" s="932"/>
      <c r="I1484" s="932"/>
      <c r="J1484" s="932"/>
      <c r="K1484" s="932"/>
      <c r="L1484" s="932"/>
      <c r="M1484" s="932"/>
      <c r="N1484" s="932"/>
      <c r="O1484" s="932"/>
      <c r="P1484" s="932"/>
      <c r="Q1484" s="932"/>
      <c r="R1484" s="932"/>
      <c r="S1484" s="932"/>
      <c r="T1484" s="932"/>
      <c r="U1484" s="932"/>
      <c r="V1484" s="932"/>
      <c r="W1484" s="932"/>
      <c r="X1484" s="932"/>
      <c r="Y1484" s="932"/>
      <c r="Z1484" s="932"/>
      <c r="AA1484" s="932"/>
      <c r="AB1484" s="932"/>
      <c r="AC1484" s="932"/>
      <c r="AD1484" s="932"/>
      <c r="AE1484" s="932"/>
      <c r="AF1484" s="932"/>
      <c r="AG1484" s="932"/>
      <c r="AH1484" s="932"/>
      <c r="AI1484" s="932"/>
      <c r="AJ1484" s="932"/>
      <c r="AK1484" s="932"/>
      <c r="AL1484" s="932"/>
      <c r="AM1484" s="932"/>
      <c r="AN1484" s="932"/>
      <c r="AO1484" s="932"/>
      <c r="AP1484" s="932"/>
      <c r="AQ1484" s="932"/>
      <c r="AR1484" s="932"/>
      <c r="AS1484" s="932"/>
      <c r="AT1484" s="932"/>
      <c r="AU1484" s="932"/>
      <c r="AV1484" s="932"/>
      <c r="AW1484" s="932"/>
      <c r="AX1484" s="932"/>
      <c r="AY1484" s="932"/>
      <c r="AZ1484" s="932"/>
      <c r="BA1484" s="932"/>
      <c r="BB1484" s="932"/>
      <c r="BC1484" s="932"/>
      <c r="BD1484" s="932"/>
      <c r="BE1484" s="932"/>
      <c r="BF1484" s="932"/>
    </row>
    <row r="1485" spans="2:58" ht="15" x14ac:dyDescent="0.25">
      <c r="B1485" s="932"/>
      <c r="C1485" s="932"/>
      <c r="D1485" s="932"/>
      <c r="E1485" s="932"/>
      <c r="F1485" s="932"/>
      <c r="G1485" s="932"/>
      <c r="H1485" s="932"/>
      <c r="I1485" s="932"/>
      <c r="J1485" s="932"/>
      <c r="K1485" s="932"/>
      <c r="L1485" s="932"/>
      <c r="M1485" s="932"/>
      <c r="N1485" s="932"/>
      <c r="O1485" s="932"/>
      <c r="P1485" s="932"/>
      <c r="Q1485" s="932"/>
      <c r="R1485" s="932"/>
      <c r="S1485" s="932"/>
      <c r="T1485" s="932"/>
      <c r="U1485" s="932"/>
      <c r="V1485" s="932"/>
      <c r="W1485" s="932"/>
      <c r="X1485" s="932"/>
      <c r="Y1485" s="932"/>
      <c r="Z1485" s="932"/>
      <c r="AA1485" s="932"/>
      <c r="AB1485" s="932"/>
      <c r="AC1485" s="932"/>
      <c r="AD1485" s="932"/>
      <c r="AE1485" s="932"/>
      <c r="AF1485" s="932"/>
      <c r="AG1485" s="932"/>
      <c r="AH1485" s="932"/>
      <c r="AI1485" s="932"/>
      <c r="AJ1485" s="932"/>
      <c r="AK1485" s="932"/>
      <c r="AL1485" s="932"/>
      <c r="AM1485" s="932"/>
      <c r="AN1485" s="932"/>
      <c r="AO1485" s="932"/>
      <c r="AP1485" s="932"/>
      <c r="AQ1485" s="932"/>
      <c r="AR1485" s="932"/>
      <c r="AS1485" s="932"/>
      <c r="AT1485" s="932"/>
      <c r="AU1485" s="932"/>
      <c r="AV1485" s="932"/>
      <c r="AW1485" s="932"/>
      <c r="AX1485" s="932"/>
      <c r="AY1485" s="932"/>
      <c r="AZ1485" s="932"/>
      <c r="BA1485" s="932"/>
      <c r="BB1485" s="932"/>
      <c r="BC1485" s="932"/>
      <c r="BD1485" s="932"/>
      <c r="BE1485" s="932"/>
      <c r="BF1485" s="932"/>
    </row>
    <row r="1486" spans="2:58" ht="15" x14ac:dyDescent="0.25">
      <c r="B1486" s="932"/>
      <c r="C1486" s="932"/>
      <c r="D1486" s="932"/>
      <c r="E1486" s="932"/>
      <c r="F1486" s="932"/>
      <c r="G1486" s="932"/>
      <c r="H1486" s="932"/>
      <c r="I1486" s="932"/>
      <c r="J1486" s="932"/>
      <c r="K1486" s="932"/>
      <c r="L1486" s="932"/>
      <c r="M1486" s="932"/>
      <c r="N1486" s="932"/>
      <c r="O1486" s="932"/>
      <c r="P1486" s="932"/>
      <c r="Q1486" s="932"/>
      <c r="R1486" s="932"/>
      <c r="S1486" s="932"/>
      <c r="T1486" s="932"/>
      <c r="U1486" s="932"/>
      <c r="V1486" s="932"/>
      <c r="W1486" s="932"/>
      <c r="X1486" s="932"/>
      <c r="Y1486" s="932"/>
      <c r="Z1486" s="932"/>
      <c r="AA1486" s="932"/>
      <c r="AB1486" s="932"/>
      <c r="AC1486" s="932"/>
      <c r="AD1486" s="932"/>
      <c r="AE1486" s="932"/>
      <c r="AF1486" s="932"/>
      <c r="AG1486" s="932"/>
      <c r="AH1486" s="932"/>
      <c r="AI1486" s="932"/>
      <c r="AJ1486" s="932"/>
      <c r="AK1486" s="932"/>
      <c r="AL1486" s="932"/>
      <c r="AM1486" s="932"/>
      <c r="AN1486" s="932"/>
      <c r="AO1486" s="932"/>
      <c r="AP1486" s="932"/>
      <c r="AQ1486" s="932"/>
      <c r="AR1486" s="932"/>
      <c r="AS1486" s="932"/>
      <c r="AT1486" s="932"/>
      <c r="AU1486" s="932"/>
      <c r="AV1486" s="932"/>
      <c r="AW1486" s="932"/>
      <c r="AX1486" s="932"/>
      <c r="AY1486" s="932"/>
      <c r="AZ1486" s="932"/>
      <c r="BA1486" s="932"/>
      <c r="BB1486" s="932"/>
      <c r="BC1486" s="932"/>
      <c r="BD1486" s="932"/>
      <c r="BE1486" s="932"/>
      <c r="BF1486" s="932"/>
    </row>
    <row r="1487" spans="2:58" ht="15" x14ac:dyDescent="0.25">
      <c r="B1487" s="932"/>
      <c r="C1487" s="932"/>
      <c r="D1487" s="932"/>
      <c r="E1487" s="932"/>
      <c r="F1487" s="932"/>
      <c r="G1487" s="932"/>
      <c r="H1487" s="932"/>
      <c r="I1487" s="932"/>
      <c r="J1487" s="932"/>
      <c r="K1487" s="932"/>
      <c r="L1487" s="932"/>
      <c r="M1487" s="932"/>
      <c r="N1487" s="932"/>
      <c r="O1487" s="932"/>
      <c r="P1487" s="932"/>
      <c r="Q1487" s="932"/>
      <c r="R1487" s="932"/>
      <c r="S1487" s="932"/>
      <c r="T1487" s="932"/>
      <c r="U1487" s="932"/>
      <c r="V1487" s="932"/>
      <c r="W1487" s="932"/>
      <c r="X1487" s="932"/>
      <c r="Y1487" s="932"/>
      <c r="Z1487" s="932"/>
      <c r="AA1487" s="932"/>
      <c r="AB1487" s="932"/>
      <c r="AC1487" s="932"/>
      <c r="AD1487" s="932"/>
      <c r="AE1487" s="932"/>
      <c r="AF1487" s="932"/>
      <c r="AG1487" s="932"/>
      <c r="AH1487" s="932"/>
      <c r="AI1487" s="932"/>
      <c r="AJ1487" s="932"/>
      <c r="AK1487" s="932"/>
      <c r="AL1487" s="932"/>
      <c r="AM1487" s="932"/>
      <c r="AN1487" s="932"/>
      <c r="AO1487" s="932"/>
      <c r="AP1487" s="932"/>
      <c r="AQ1487" s="932"/>
      <c r="AR1487" s="932"/>
      <c r="AS1487" s="932"/>
      <c r="AT1487" s="932"/>
      <c r="AU1487" s="932"/>
      <c r="AV1487" s="932"/>
      <c r="AW1487" s="932"/>
      <c r="AX1487" s="932"/>
      <c r="AY1487" s="932"/>
      <c r="AZ1487" s="932"/>
      <c r="BA1487" s="932"/>
      <c r="BB1487" s="932"/>
      <c r="BC1487" s="932"/>
      <c r="BD1487" s="932"/>
      <c r="BE1487" s="932"/>
      <c r="BF1487" s="932"/>
    </row>
    <row r="1488" spans="2:58" ht="15" x14ac:dyDescent="0.25">
      <c r="B1488" s="932"/>
      <c r="C1488" s="932"/>
      <c r="D1488" s="932"/>
      <c r="E1488" s="932"/>
      <c r="F1488" s="932"/>
      <c r="G1488" s="932"/>
      <c r="H1488" s="932"/>
      <c r="I1488" s="932"/>
      <c r="J1488" s="932"/>
      <c r="K1488" s="932"/>
      <c r="L1488" s="932"/>
      <c r="M1488" s="932"/>
      <c r="N1488" s="932"/>
      <c r="O1488" s="932"/>
      <c r="P1488" s="932"/>
      <c r="Q1488" s="932"/>
      <c r="R1488" s="932"/>
      <c r="S1488" s="932"/>
      <c r="T1488" s="932"/>
      <c r="U1488" s="932"/>
      <c r="V1488" s="932"/>
      <c r="W1488" s="932"/>
      <c r="X1488" s="932"/>
      <c r="Y1488" s="932"/>
      <c r="Z1488" s="932"/>
      <c r="AA1488" s="932"/>
      <c r="AB1488" s="932"/>
      <c r="AC1488" s="932"/>
      <c r="AD1488" s="932"/>
      <c r="AE1488" s="932"/>
      <c r="AF1488" s="932"/>
      <c r="AG1488" s="932"/>
      <c r="AH1488" s="932"/>
      <c r="AI1488" s="932"/>
      <c r="AJ1488" s="932"/>
      <c r="AK1488" s="932"/>
      <c r="AL1488" s="932"/>
      <c r="AM1488" s="932"/>
      <c r="AN1488" s="932"/>
      <c r="AO1488" s="932"/>
      <c r="AP1488" s="932"/>
      <c r="AQ1488" s="932"/>
      <c r="AR1488" s="932"/>
      <c r="AS1488" s="932"/>
      <c r="AT1488" s="932"/>
      <c r="AU1488" s="932"/>
      <c r="AV1488" s="932"/>
      <c r="AW1488" s="932"/>
      <c r="AX1488" s="932"/>
      <c r="AY1488" s="932"/>
      <c r="AZ1488" s="932"/>
      <c r="BA1488" s="932"/>
      <c r="BB1488" s="932"/>
      <c r="BC1488" s="932"/>
      <c r="BD1488" s="932"/>
      <c r="BE1488" s="932"/>
      <c r="BF1488" s="932"/>
    </row>
    <row r="1489" spans="2:58" ht="15" x14ac:dyDescent="0.25">
      <c r="B1489" s="932"/>
      <c r="C1489" s="932"/>
      <c r="D1489" s="932"/>
      <c r="E1489" s="932"/>
      <c r="F1489" s="932"/>
      <c r="G1489" s="932"/>
      <c r="H1489" s="932"/>
      <c r="I1489" s="932"/>
      <c r="J1489" s="932"/>
      <c r="K1489" s="932"/>
      <c r="L1489" s="932"/>
      <c r="M1489" s="932"/>
      <c r="N1489" s="932"/>
      <c r="O1489" s="932"/>
      <c r="P1489" s="932"/>
      <c r="Q1489" s="932"/>
      <c r="R1489" s="932"/>
      <c r="S1489" s="932"/>
      <c r="T1489" s="932"/>
      <c r="U1489" s="932"/>
      <c r="V1489" s="932"/>
      <c r="W1489" s="932"/>
      <c r="X1489" s="932"/>
      <c r="Y1489" s="932"/>
      <c r="Z1489" s="932"/>
      <c r="AA1489" s="932"/>
      <c r="AB1489" s="932"/>
      <c r="AC1489" s="932"/>
      <c r="AD1489" s="932"/>
      <c r="AE1489" s="932"/>
      <c r="AF1489" s="932"/>
      <c r="AG1489" s="932"/>
      <c r="AH1489" s="932"/>
      <c r="AI1489" s="932"/>
      <c r="AJ1489" s="932"/>
      <c r="AK1489" s="932"/>
      <c r="AL1489" s="932"/>
      <c r="AM1489" s="932"/>
      <c r="AN1489" s="932"/>
      <c r="AO1489" s="932"/>
      <c r="AP1489" s="932"/>
      <c r="AQ1489" s="932"/>
      <c r="AR1489" s="932"/>
      <c r="AS1489" s="932"/>
      <c r="AT1489" s="932"/>
      <c r="AU1489" s="932"/>
      <c r="AV1489" s="932"/>
      <c r="AW1489" s="932"/>
      <c r="AX1489" s="932"/>
      <c r="AY1489" s="932"/>
      <c r="AZ1489" s="932"/>
      <c r="BA1489" s="932"/>
      <c r="BB1489" s="932"/>
      <c r="BC1489" s="932"/>
      <c r="BD1489" s="932"/>
      <c r="BE1489" s="932"/>
      <c r="BF1489" s="932"/>
    </row>
    <row r="1490" spans="2:58" ht="15" x14ac:dyDescent="0.25">
      <c r="B1490" s="932"/>
      <c r="C1490" s="932"/>
      <c r="D1490" s="932"/>
      <c r="E1490" s="932"/>
      <c r="F1490" s="932"/>
      <c r="G1490" s="932"/>
      <c r="H1490" s="932"/>
      <c r="I1490" s="932"/>
      <c r="J1490" s="932"/>
      <c r="K1490" s="932"/>
      <c r="L1490" s="932"/>
      <c r="M1490" s="932"/>
      <c r="N1490" s="932"/>
      <c r="O1490" s="932"/>
      <c r="P1490" s="932"/>
      <c r="Q1490" s="932"/>
      <c r="R1490" s="932"/>
      <c r="S1490" s="932"/>
      <c r="T1490" s="932"/>
      <c r="U1490" s="932"/>
      <c r="V1490" s="932"/>
      <c r="W1490" s="932"/>
      <c r="X1490" s="932"/>
      <c r="Y1490" s="932"/>
      <c r="Z1490" s="932"/>
      <c r="AA1490" s="932"/>
      <c r="AB1490" s="932"/>
      <c r="AC1490" s="932"/>
      <c r="AD1490" s="932"/>
      <c r="AE1490" s="932"/>
      <c r="AF1490" s="932"/>
      <c r="AG1490" s="932"/>
      <c r="AH1490" s="932"/>
      <c r="AI1490" s="932"/>
      <c r="AJ1490" s="932"/>
      <c r="AK1490" s="932"/>
      <c r="AL1490" s="932"/>
      <c r="AM1490" s="932"/>
      <c r="AN1490" s="932"/>
      <c r="AO1490" s="932"/>
      <c r="AP1490" s="932"/>
      <c r="AQ1490" s="932"/>
      <c r="AR1490" s="932"/>
      <c r="AS1490" s="932"/>
      <c r="AT1490" s="932"/>
      <c r="AU1490" s="932"/>
      <c r="AV1490" s="932"/>
      <c r="AW1490" s="932"/>
      <c r="AX1490" s="932"/>
      <c r="AY1490" s="932"/>
      <c r="AZ1490" s="932"/>
      <c r="BA1490" s="932"/>
      <c r="BB1490" s="932"/>
      <c r="BC1490" s="932"/>
      <c r="BD1490" s="932"/>
      <c r="BE1490" s="932"/>
      <c r="BF1490" s="932"/>
    </row>
    <row r="1491" spans="2:58" ht="15" x14ac:dyDescent="0.25">
      <c r="B1491" s="932"/>
      <c r="C1491" s="932"/>
      <c r="D1491" s="932"/>
      <c r="E1491" s="932"/>
      <c r="F1491" s="932"/>
      <c r="G1491" s="932"/>
      <c r="H1491" s="932"/>
      <c r="I1491" s="932"/>
      <c r="J1491" s="932"/>
      <c r="K1491" s="932"/>
      <c r="L1491" s="932"/>
      <c r="M1491" s="932"/>
      <c r="N1491" s="932"/>
      <c r="O1491" s="932"/>
      <c r="P1491" s="932"/>
      <c r="Q1491" s="932"/>
      <c r="R1491" s="932"/>
      <c r="S1491" s="932"/>
      <c r="T1491" s="932"/>
      <c r="U1491" s="932"/>
      <c r="V1491" s="932"/>
      <c r="W1491" s="932"/>
      <c r="X1491" s="932"/>
      <c r="Y1491" s="932"/>
      <c r="Z1491" s="932"/>
      <c r="AA1491" s="932"/>
      <c r="AB1491" s="932"/>
      <c r="AC1491" s="932"/>
      <c r="AD1491" s="932"/>
      <c r="AE1491" s="932"/>
      <c r="AF1491" s="932"/>
      <c r="AG1491" s="932"/>
      <c r="AH1491" s="932"/>
      <c r="AI1491" s="932"/>
      <c r="AJ1491" s="932"/>
      <c r="AK1491" s="932"/>
      <c r="AL1491" s="932"/>
      <c r="AM1491" s="932"/>
      <c r="AN1491" s="932"/>
      <c r="AO1491" s="932"/>
      <c r="AP1491" s="932"/>
      <c r="AQ1491" s="932"/>
      <c r="AR1491" s="932"/>
      <c r="AS1491" s="932"/>
      <c r="AT1491" s="932"/>
      <c r="AU1491" s="932"/>
      <c r="AV1491" s="932"/>
      <c r="AW1491" s="932"/>
      <c r="AX1491" s="932"/>
      <c r="AY1491" s="932"/>
      <c r="AZ1491" s="932"/>
      <c r="BA1491" s="932"/>
      <c r="BB1491" s="932"/>
      <c r="BC1491" s="932"/>
      <c r="BD1491" s="932"/>
      <c r="BE1491" s="932"/>
      <c r="BF1491" s="932"/>
    </row>
    <row r="1492" spans="2:58" ht="15" x14ac:dyDescent="0.25">
      <c r="B1492" s="932"/>
      <c r="C1492" s="932"/>
      <c r="D1492" s="932"/>
      <c r="E1492" s="932"/>
      <c r="F1492" s="932"/>
      <c r="G1492" s="932"/>
      <c r="H1492" s="932"/>
      <c r="I1492" s="932"/>
      <c r="J1492" s="932"/>
      <c r="K1492" s="932"/>
      <c r="L1492" s="932"/>
      <c r="M1492" s="932"/>
      <c r="N1492" s="932"/>
      <c r="O1492" s="932"/>
      <c r="P1492" s="932"/>
      <c r="Q1492" s="932"/>
      <c r="R1492" s="932"/>
      <c r="S1492" s="932"/>
      <c r="T1492" s="932"/>
      <c r="U1492" s="932"/>
      <c r="V1492" s="932"/>
      <c r="W1492" s="932"/>
      <c r="X1492" s="932"/>
      <c r="Y1492" s="932"/>
      <c r="Z1492" s="932"/>
      <c r="AA1492" s="932"/>
      <c r="AB1492" s="932"/>
      <c r="AC1492" s="932"/>
      <c r="AD1492" s="932"/>
      <c r="AE1492" s="932"/>
      <c r="AF1492" s="932"/>
      <c r="AG1492" s="932"/>
      <c r="AH1492" s="932"/>
      <c r="AI1492" s="932"/>
      <c r="AJ1492" s="932"/>
      <c r="AK1492" s="932"/>
      <c r="AL1492" s="932"/>
      <c r="AM1492" s="932"/>
      <c r="AN1492" s="932"/>
      <c r="AO1492" s="932"/>
      <c r="AP1492" s="932"/>
      <c r="AQ1492" s="932"/>
      <c r="AR1492" s="932"/>
      <c r="AS1492" s="932"/>
      <c r="AT1492" s="932"/>
      <c r="AU1492" s="932"/>
      <c r="AV1492" s="932"/>
      <c r="AW1492" s="932"/>
      <c r="AX1492" s="932"/>
      <c r="AY1492" s="932"/>
      <c r="AZ1492" s="932"/>
      <c r="BA1492" s="932"/>
      <c r="BB1492" s="932"/>
      <c r="BC1492" s="932"/>
      <c r="BD1492" s="932"/>
      <c r="BE1492" s="932"/>
      <c r="BF1492" s="932"/>
    </row>
    <row r="1493" spans="2:58" ht="15" x14ac:dyDescent="0.25">
      <c r="B1493" s="932"/>
      <c r="C1493" s="932"/>
      <c r="D1493" s="932"/>
      <c r="E1493" s="932"/>
      <c r="F1493" s="932"/>
      <c r="G1493" s="932"/>
      <c r="H1493" s="932"/>
      <c r="I1493" s="932"/>
      <c r="J1493" s="932"/>
      <c r="K1493" s="932"/>
      <c r="L1493" s="932"/>
      <c r="M1493" s="932"/>
      <c r="N1493" s="932"/>
      <c r="O1493" s="932"/>
      <c r="P1493" s="932"/>
      <c r="Q1493" s="932"/>
      <c r="R1493" s="932"/>
      <c r="S1493" s="932"/>
      <c r="T1493" s="932"/>
      <c r="U1493" s="932"/>
      <c r="V1493" s="932"/>
      <c r="W1493" s="932"/>
      <c r="X1493" s="932"/>
      <c r="Y1493" s="932"/>
      <c r="Z1493" s="932"/>
      <c r="AA1493" s="932"/>
      <c r="AB1493" s="932"/>
      <c r="AC1493" s="932"/>
      <c r="AD1493" s="932"/>
      <c r="AE1493" s="932"/>
      <c r="AF1493" s="932"/>
      <c r="AG1493" s="932"/>
      <c r="AH1493" s="932"/>
      <c r="AI1493" s="932"/>
      <c r="AJ1493" s="932"/>
      <c r="AK1493" s="932"/>
      <c r="AL1493" s="932"/>
      <c r="AM1493" s="932"/>
      <c r="AN1493" s="932"/>
      <c r="AO1493" s="932"/>
      <c r="AP1493" s="932"/>
      <c r="AQ1493" s="932"/>
      <c r="AR1493" s="932"/>
      <c r="AS1493" s="932"/>
      <c r="AT1493" s="932"/>
      <c r="AU1493" s="932"/>
      <c r="AV1493" s="932"/>
      <c r="AW1493" s="932"/>
      <c r="AX1493" s="932"/>
      <c r="AY1493" s="932"/>
      <c r="AZ1493" s="932"/>
      <c r="BA1493" s="932"/>
      <c r="BB1493" s="932"/>
      <c r="BC1493" s="932"/>
      <c r="BD1493" s="932"/>
      <c r="BE1493" s="932"/>
      <c r="BF1493" s="932"/>
    </row>
    <row r="1494" spans="2:58" ht="15" x14ac:dyDescent="0.25">
      <c r="B1494" s="932"/>
      <c r="C1494" s="932"/>
      <c r="D1494" s="932"/>
      <c r="E1494" s="932"/>
      <c r="F1494" s="932"/>
      <c r="G1494" s="932"/>
      <c r="H1494" s="932"/>
      <c r="I1494" s="932"/>
      <c r="J1494" s="932"/>
      <c r="K1494" s="932"/>
      <c r="L1494" s="932"/>
      <c r="M1494" s="932"/>
      <c r="N1494" s="932"/>
      <c r="O1494" s="932"/>
      <c r="P1494" s="932"/>
      <c r="Q1494" s="932"/>
      <c r="R1494" s="932"/>
      <c r="S1494" s="932"/>
      <c r="T1494" s="932"/>
      <c r="U1494" s="932"/>
      <c r="V1494" s="932"/>
      <c r="W1494" s="932"/>
      <c r="X1494" s="932"/>
      <c r="Y1494" s="932"/>
      <c r="Z1494" s="932"/>
      <c r="AA1494" s="932"/>
      <c r="AB1494" s="932"/>
      <c r="AC1494" s="932"/>
      <c r="AD1494" s="932"/>
      <c r="AE1494" s="932"/>
      <c r="AF1494" s="932"/>
      <c r="AG1494" s="932"/>
      <c r="AH1494" s="932"/>
      <c r="AI1494" s="932"/>
      <c r="AJ1494" s="932"/>
      <c r="AK1494" s="932"/>
      <c r="AL1494" s="932"/>
      <c r="AM1494" s="932"/>
      <c r="AN1494" s="932"/>
      <c r="AO1494" s="932"/>
      <c r="AP1494" s="932"/>
      <c r="AQ1494" s="932"/>
      <c r="AR1494" s="932"/>
      <c r="AS1494" s="932"/>
      <c r="AT1494" s="932"/>
      <c r="AU1494" s="932"/>
      <c r="AV1494" s="932"/>
      <c r="AW1494" s="932"/>
      <c r="AX1494" s="932"/>
      <c r="AY1494" s="932"/>
      <c r="AZ1494" s="932"/>
      <c r="BA1494" s="932"/>
      <c r="BB1494" s="932"/>
      <c r="BC1494" s="932"/>
      <c r="BD1494" s="932"/>
      <c r="BE1494" s="932"/>
      <c r="BF1494" s="932"/>
    </row>
    <row r="1495" spans="2:58" ht="15" x14ac:dyDescent="0.25">
      <c r="B1495" s="932"/>
      <c r="C1495" s="932"/>
      <c r="D1495" s="932"/>
      <c r="E1495" s="932"/>
      <c r="F1495" s="932"/>
      <c r="G1495" s="932"/>
      <c r="H1495" s="932"/>
      <c r="I1495" s="932"/>
      <c r="J1495" s="932"/>
      <c r="K1495" s="932"/>
      <c r="L1495" s="932"/>
      <c r="M1495" s="932"/>
      <c r="N1495" s="932"/>
      <c r="O1495" s="932"/>
      <c r="P1495" s="932"/>
      <c r="Q1495" s="932"/>
      <c r="R1495" s="932"/>
      <c r="S1495" s="932"/>
      <c r="T1495" s="932"/>
      <c r="U1495" s="932"/>
      <c r="V1495" s="932"/>
      <c r="W1495" s="932"/>
      <c r="X1495" s="932"/>
      <c r="Y1495" s="932"/>
      <c r="Z1495" s="932"/>
      <c r="AA1495" s="932"/>
      <c r="AB1495" s="932"/>
      <c r="AC1495" s="932"/>
      <c r="AD1495" s="932"/>
      <c r="AE1495" s="932"/>
      <c r="AF1495" s="932"/>
      <c r="AG1495" s="932"/>
      <c r="AH1495" s="932"/>
      <c r="AI1495" s="932"/>
      <c r="AJ1495" s="932"/>
      <c r="AK1495" s="932"/>
      <c r="AL1495" s="932"/>
      <c r="AM1495" s="932"/>
      <c r="AN1495" s="932"/>
      <c r="AO1495" s="932"/>
      <c r="AP1495" s="932"/>
      <c r="AQ1495" s="932"/>
      <c r="AR1495" s="932"/>
      <c r="AS1495" s="932"/>
      <c r="AT1495" s="932"/>
      <c r="AU1495" s="932"/>
      <c r="AV1495" s="932"/>
      <c r="AW1495" s="932"/>
      <c r="AX1495" s="932"/>
      <c r="AY1495" s="932"/>
      <c r="AZ1495" s="932"/>
      <c r="BA1495" s="932"/>
      <c r="BB1495" s="932"/>
      <c r="BC1495" s="932"/>
      <c r="BD1495" s="932"/>
      <c r="BE1495" s="932"/>
      <c r="BF1495" s="932"/>
    </row>
    <row r="1496" spans="2:58" ht="15" x14ac:dyDescent="0.25">
      <c r="B1496" s="932"/>
      <c r="C1496" s="932"/>
      <c r="D1496" s="932"/>
      <c r="E1496" s="932"/>
      <c r="F1496" s="932"/>
      <c r="G1496" s="932"/>
      <c r="H1496" s="932"/>
      <c r="I1496" s="932"/>
      <c r="J1496" s="932"/>
      <c r="K1496" s="932"/>
      <c r="L1496" s="932"/>
      <c r="M1496" s="932"/>
      <c r="N1496" s="932"/>
      <c r="O1496" s="932"/>
      <c r="P1496" s="932"/>
      <c r="Q1496" s="932"/>
      <c r="R1496" s="932"/>
      <c r="S1496" s="932"/>
      <c r="T1496" s="932"/>
      <c r="U1496" s="932"/>
      <c r="V1496" s="932"/>
      <c r="W1496" s="932"/>
      <c r="X1496" s="932"/>
      <c r="Y1496" s="932"/>
      <c r="Z1496" s="932"/>
      <c r="AA1496" s="932"/>
      <c r="AB1496" s="932"/>
      <c r="AC1496" s="932"/>
      <c r="AD1496" s="932"/>
      <c r="AE1496" s="932"/>
      <c r="AF1496" s="932"/>
      <c r="AG1496" s="932"/>
      <c r="AH1496" s="932"/>
      <c r="AI1496" s="932"/>
      <c r="AJ1496" s="932"/>
      <c r="AK1496" s="932"/>
      <c r="AL1496" s="932"/>
      <c r="AM1496" s="932"/>
      <c r="AN1496" s="932"/>
      <c r="AO1496" s="932"/>
      <c r="AP1496" s="932"/>
      <c r="AQ1496" s="932"/>
      <c r="AR1496" s="932"/>
      <c r="AS1496" s="932"/>
      <c r="AT1496" s="932"/>
      <c r="AU1496" s="932"/>
      <c r="AV1496" s="932"/>
      <c r="AW1496" s="932"/>
      <c r="AX1496" s="932"/>
      <c r="AY1496" s="932"/>
      <c r="AZ1496" s="932"/>
      <c r="BA1496" s="932"/>
      <c r="BB1496" s="932"/>
      <c r="BC1496" s="932"/>
      <c r="BD1496" s="932"/>
      <c r="BE1496" s="932"/>
      <c r="BF1496" s="932"/>
    </row>
    <row r="1497" spans="2:58" ht="15" x14ac:dyDescent="0.25">
      <c r="B1497" s="932"/>
      <c r="C1497" s="932"/>
      <c r="D1497" s="932"/>
      <c r="E1497" s="932"/>
      <c r="F1497" s="932"/>
      <c r="G1497" s="932"/>
      <c r="H1497" s="932"/>
      <c r="I1497" s="932"/>
      <c r="J1497" s="932"/>
      <c r="K1497" s="932"/>
      <c r="L1497" s="932"/>
      <c r="M1497" s="932"/>
      <c r="N1497" s="932"/>
      <c r="O1497" s="932"/>
      <c r="P1497" s="932"/>
      <c r="Q1497" s="932"/>
      <c r="R1497" s="932"/>
      <c r="S1497" s="932"/>
      <c r="T1497" s="932"/>
      <c r="U1497" s="932"/>
      <c r="V1497" s="932"/>
      <c r="W1497" s="932"/>
      <c r="X1497" s="932"/>
      <c r="Y1497" s="932"/>
      <c r="Z1497" s="932"/>
      <c r="AA1497" s="932"/>
      <c r="AB1497" s="932"/>
      <c r="AC1497" s="932"/>
      <c r="AD1497" s="932"/>
      <c r="AE1497" s="932"/>
      <c r="AF1497" s="932"/>
      <c r="AG1497" s="932"/>
      <c r="AH1497" s="932"/>
      <c r="AI1497" s="932"/>
      <c r="AJ1497" s="932"/>
      <c r="AK1497" s="932"/>
      <c r="AL1497" s="932"/>
      <c r="AM1497" s="932"/>
      <c r="AN1497" s="932"/>
      <c r="AO1497" s="932"/>
      <c r="AP1497" s="932"/>
      <c r="AQ1497" s="932"/>
      <c r="AR1497" s="932"/>
      <c r="AS1497" s="932"/>
      <c r="AT1497" s="932"/>
      <c r="AU1497" s="932"/>
      <c r="AV1497" s="932"/>
      <c r="AW1497" s="932"/>
      <c r="AX1497" s="932"/>
      <c r="AY1497" s="932"/>
      <c r="AZ1497" s="932"/>
      <c r="BA1497" s="932"/>
      <c r="BB1497" s="932"/>
      <c r="BC1497" s="932"/>
      <c r="BD1497" s="932"/>
      <c r="BE1497" s="932"/>
      <c r="BF1497" s="932"/>
    </row>
  </sheetData>
  <sheetProtection password="8443" sheet="1" objects="1" scenarios="1"/>
  <autoFilter ref="A2:Y33" xr:uid="{00000000-0009-0000-0000-00001C000000}"/>
  <conditionalFormatting sqref="D3:M34">
    <cfRule type="expression" dxfId="100" priority="5">
      <formula>$O3</formula>
    </cfRule>
  </conditionalFormatting>
  <dataValidations count="4">
    <dataValidation type="custom" allowBlank="1" showInputMessage="1" showErrorMessage="1" errorTitle="X-Author for Excel" error="Id and Lookup fields are not editable." promptTitle="X-Author for Excel" sqref="A3:A33 Q3:U33" xr:uid="{00000000-0002-0000-1C00-000000000000}">
      <formula1>""</formula1>
    </dataValidation>
    <dataValidation type="list" allowBlank="1" showInputMessage="1" showErrorMessage="1" errorTitle="X-Author for Excel" error="Please select a value from the drop-down." promptTitle="X-Author for Excel" sqref="J3:J33" xr:uid="{00000000-0002-0000-1C00-000001000000}">
      <formula1>IF(IFERROR(ROWS(INDIRECT(SUBSTITUTE("AIM_Findings_and_Recommendations__c.AIM_Actor_Type__c"," ","_"))),-1) &lt; 0, XAuthorInvalidPicklistData,INDIRECT(SUBSTITUTE("AIM_Findings_and_Recommendations__c.AIM_Actor_Type__c"," ","_")))</formula1>
    </dataValidation>
    <dataValidation type="list" allowBlank="1" showInputMessage="1" showErrorMessage="1" errorTitle="X-Author for Excel" error="Please select a value from the drop-down." promptTitle="X-Author for Excel" sqref="W3:W33" xr:uid="{00000000-0002-0000-1C00-000002000000}">
      <formula1>IF(IFERROR(ROWS(INDIRECT(SUBSTITUTE("AIM_Findings_and_Recommendations__c.AIM_Status__c"," ","_"))),-1) &lt; 0, XAuthorInvalidPicklistData,INDIRECT(SUBSTITUTE("AIM_Findings_and_Recommendations__c.AIM_Status__c"," ","_")))</formula1>
    </dataValidation>
    <dataValidation type="date" allowBlank="1" showInputMessage="1" showErrorMessage="1" errorTitle="X-Author for Excel" error="Please enter a valid date." promptTitle="X-Author for Excel" sqref="Y3:Y33" xr:uid="{00000000-0002-0000-1C00-000003000000}">
      <formula1>1</formula1>
      <formula2>767376</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sheetPr>
  <dimension ref="A1:K32"/>
  <sheetViews>
    <sheetView workbookViewId="0">
      <selection activeCell="A9" sqref="A9"/>
    </sheetView>
  </sheetViews>
  <sheetFormatPr baseColWidth="10" defaultColWidth="9.140625" defaultRowHeight="15" x14ac:dyDescent="0.25"/>
  <cols>
    <col min="1" max="1" width="37.42578125" bestFit="1" customWidth="1"/>
    <col min="2" max="2" width="34" bestFit="1" customWidth="1"/>
  </cols>
  <sheetData>
    <row r="1" spans="1:11" x14ac:dyDescent="0.25">
      <c r="G1" t="s">
        <v>20</v>
      </c>
      <c r="H1" t="s">
        <v>21</v>
      </c>
      <c r="I1" t="s">
        <v>22</v>
      </c>
      <c r="J1" t="s">
        <v>23</v>
      </c>
      <c r="K1" t="s">
        <v>24</v>
      </c>
    </row>
    <row r="2" spans="1:11" x14ac:dyDescent="0.25">
      <c r="G2" t="s">
        <v>25</v>
      </c>
      <c r="H2">
        <v>2002</v>
      </c>
      <c r="I2" t="s">
        <v>26</v>
      </c>
      <c r="J2" t="s">
        <v>27</v>
      </c>
      <c r="K2" t="s">
        <v>28</v>
      </c>
    </row>
    <row r="3" spans="1:11" x14ac:dyDescent="0.25">
      <c r="A3" s="413" t="s">
        <v>29</v>
      </c>
      <c r="G3" t="s">
        <v>30</v>
      </c>
      <c r="H3">
        <v>2003</v>
      </c>
      <c r="I3" t="s">
        <v>31</v>
      </c>
      <c r="J3" t="s">
        <v>32</v>
      </c>
      <c r="K3" t="s">
        <v>33</v>
      </c>
    </row>
    <row r="4" spans="1:11" x14ac:dyDescent="0.25">
      <c r="G4" t="s">
        <v>28</v>
      </c>
      <c r="H4">
        <v>2004</v>
      </c>
      <c r="I4" t="s">
        <v>34</v>
      </c>
      <c r="J4" t="s">
        <v>35</v>
      </c>
      <c r="K4" t="s">
        <v>36</v>
      </c>
    </row>
    <row r="5" spans="1:11" x14ac:dyDescent="0.25">
      <c r="A5" t="str">
        <f>VLOOKUP(Translations!B6,Translations!B3:H508,4,0)</f>
        <v>Pays :</v>
      </c>
      <c r="B5" s="763" t="s">
        <v>37</v>
      </c>
      <c r="G5" t="s">
        <v>38</v>
      </c>
      <c r="H5">
        <v>2005</v>
      </c>
      <c r="I5" t="s">
        <v>39</v>
      </c>
      <c r="K5" t="s">
        <v>40</v>
      </c>
    </row>
    <row r="6" spans="1:11" x14ac:dyDescent="0.25">
      <c r="A6" t="str">
        <f>VLOOKUP(Translations!B7,Translations!B3:H508,4,0)</f>
        <v>Composante (maladie)</v>
      </c>
      <c r="B6" s="763" t="s">
        <v>41</v>
      </c>
      <c r="H6">
        <v>2006</v>
      </c>
      <c r="I6" t="s">
        <v>42</v>
      </c>
    </row>
    <row r="7" spans="1:11" x14ac:dyDescent="0.25">
      <c r="A7" t="str">
        <f>VLOOKUP(Translations!B8,Translations!B3:H508,4,0)</f>
        <v>Nom/numéro de la subvention :</v>
      </c>
      <c r="B7" s="763" t="s">
        <v>43</v>
      </c>
      <c r="H7">
        <v>2007</v>
      </c>
      <c r="I7" t="s">
        <v>44</v>
      </c>
    </row>
    <row r="8" spans="1:11" x14ac:dyDescent="0.25">
      <c r="A8" t="str">
        <f>VLOOKUP(Translations!B9,Translations!B3:H508,4,0)</f>
        <v>Récipiendaire principal:</v>
      </c>
      <c r="B8" s="763" t="s">
        <v>45</v>
      </c>
      <c r="H8">
        <v>2008</v>
      </c>
      <c r="I8" t="s">
        <v>46</v>
      </c>
    </row>
    <row r="9" spans="1:11" x14ac:dyDescent="0.25">
      <c r="A9" t="str">
        <f>VLOOKUP(Translations!B10,Translations!B3:H508,4,0)</f>
        <v>Nom de l'agent local du Fonds :</v>
      </c>
      <c r="B9" s="763"/>
      <c r="H9">
        <v>2009</v>
      </c>
      <c r="I9" t="s">
        <v>47</v>
      </c>
    </row>
    <row r="10" spans="1:11" x14ac:dyDescent="0.25">
      <c r="A10" t="str">
        <f>VLOOKUP(Translations!B11,Translations!B3:H508,4,0)</f>
        <v>Date de début du programme :</v>
      </c>
      <c r="B10" s="765">
        <v>43101</v>
      </c>
      <c r="H10">
        <v>2010</v>
      </c>
      <c r="I10" t="s">
        <v>48</v>
      </c>
    </row>
    <row r="11" spans="1:11" x14ac:dyDescent="0.25">
      <c r="A11" t="str">
        <f>VLOOKUP(Translations!B12,Translations!B3:H508,4,0)</f>
        <v>Monnaie Subvention :</v>
      </c>
      <c r="B11" s="763" t="s">
        <v>49</v>
      </c>
      <c r="H11">
        <v>2011</v>
      </c>
      <c r="I11" t="s">
        <v>50</v>
      </c>
    </row>
    <row r="12" spans="1:11" x14ac:dyDescent="0.25">
      <c r="A12" t="str">
        <f>VLOOKUP(Translations!B13,Translations!B3:H508,4,0)</f>
        <v>Monnaie Locale:</v>
      </c>
      <c r="B12" s="763" t="s">
        <v>51</v>
      </c>
      <c r="H12">
        <v>2012</v>
      </c>
      <c r="I12" t="s">
        <v>52</v>
      </c>
    </row>
    <row r="13" spans="1:11" x14ac:dyDescent="0.25">
      <c r="H13">
        <v>2013</v>
      </c>
      <c r="I13" t="s">
        <v>53</v>
      </c>
    </row>
    <row r="14" spans="1:11" x14ac:dyDescent="0.25">
      <c r="A14" t="s">
        <v>54</v>
      </c>
      <c r="B14" s="765">
        <v>43647</v>
      </c>
      <c r="H14">
        <v>2014</v>
      </c>
      <c r="I14" t="s">
        <v>55</v>
      </c>
    </row>
    <row r="15" spans="1:11" x14ac:dyDescent="0.25">
      <c r="A15" t="s">
        <v>56</v>
      </c>
      <c r="B15" s="765">
        <v>43830</v>
      </c>
      <c r="H15">
        <v>2015</v>
      </c>
      <c r="I15" t="s">
        <v>57</v>
      </c>
    </row>
    <row r="16" spans="1:11" x14ac:dyDescent="0.25">
      <c r="A16" t="s">
        <v>58</v>
      </c>
      <c r="B16" s="765">
        <v>43466</v>
      </c>
      <c r="H16">
        <v>2016</v>
      </c>
      <c r="I16" t="s">
        <v>59</v>
      </c>
    </row>
    <row r="17" spans="1:9" x14ac:dyDescent="0.25">
      <c r="A17" t="s">
        <v>60</v>
      </c>
      <c r="B17" s="765">
        <v>43831</v>
      </c>
      <c r="H17">
        <v>2017</v>
      </c>
      <c r="I17" t="s">
        <v>61</v>
      </c>
    </row>
    <row r="18" spans="1:9" x14ac:dyDescent="0.25">
      <c r="A18" t="s">
        <v>62</v>
      </c>
      <c r="B18" s="765">
        <v>44196</v>
      </c>
      <c r="H18">
        <v>2018</v>
      </c>
      <c r="I18" t="s">
        <v>63</v>
      </c>
    </row>
    <row r="19" spans="1:9" x14ac:dyDescent="0.25">
      <c r="A19" t="s">
        <v>64</v>
      </c>
      <c r="B19" s="765"/>
      <c r="H19">
        <v>2019</v>
      </c>
      <c r="I19" t="s">
        <v>65</v>
      </c>
    </row>
    <row r="20" spans="1:9" x14ac:dyDescent="0.25">
      <c r="A20" t="s">
        <v>66</v>
      </c>
      <c r="B20" s="765"/>
      <c r="H20">
        <v>2020</v>
      </c>
      <c r="I20" t="s">
        <v>67</v>
      </c>
    </row>
    <row r="21" spans="1:9" x14ac:dyDescent="0.25">
      <c r="H21">
        <v>2021</v>
      </c>
      <c r="I21" t="s">
        <v>68</v>
      </c>
    </row>
    <row r="22" spans="1:9" x14ac:dyDescent="0.25">
      <c r="H22">
        <v>2022</v>
      </c>
      <c r="I22" t="s">
        <v>69</v>
      </c>
    </row>
    <row r="23" spans="1:9" x14ac:dyDescent="0.25">
      <c r="A23" t="s">
        <v>70</v>
      </c>
      <c r="B23" s="633">
        <f>IF('PR Authorization_9A'!F17="","",'PR Authorization_9A'!F17)</f>
        <v>44078</v>
      </c>
      <c r="H23">
        <v>2023</v>
      </c>
      <c r="I23" t="s">
        <v>71</v>
      </c>
    </row>
    <row r="24" spans="1:9" x14ac:dyDescent="0.25">
      <c r="A24" t="s">
        <v>72</v>
      </c>
      <c r="B24" s="633" t="str">
        <f>IF('LFA Authorization_9B'!D21="","",'LFA Authorization_9B'!D21)</f>
        <v/>
      </c>
      <c r="H24">
        <v>2024</v>
      </c>
      <c r="I24" t="s">
        <v>73</v>
      </c>
    </row>
    <row r="25" spans="1:9" x14ac:dyDescent="0.25">
      <c r="H25">
        <v>2025</v>
      </c>
      <c r="I25" t="s">
        <v>74</v>
      </c>
    </row>
    <row r="26" spans="1:9" x14ac:dyDescent="0.25">
      <c r="A26" t="s">
        <v>75</v>
      </c>
      <c r="B26" t="str">
        <f>IFERROR("TRUE","FALSE")</f>
        <v>TRUE</v>
      </c>
      <c r="I26" t="s">
        <v>76</v>
      </c>
    </row>
    <row r="27" spans="1:9" x14ac:dyDescent="0.25">
      <c r="A27" t="s">
        <v>77</v>
      </c>
      <c r="B27" t="b">
        <v>1</v>
      </c>
      <c r="I27" t="s">
        <v>78</v>
      </c>
    </row>
    <row r="28" spans="1:9" x14ac:dyDescent="0.25">
      <c r="I28" t="s">
        <v>79</v>
      </c>
    </row>
    <row r="29" spans="1:9" x14ac:dyDescent="0.25">
      <c r="I29" t="s">
        <v>80</v>
      </c>
    </row>
    <row r="30" spans="1:9" x14ac:dyDescent="0.25">
      <c r="I30" t="s">
        <v>81</v>
      </c>
    </row>
    <row r="31" spans="1:9" x14ac:dyDescent="0.25">
      <c r="I31" t="s">
        <v>82</v>
      </c>
    </row>
    <row r="32" spans="1:9" x14ac:dyDescent="0.25">
      <c r="I32" t="s">
        <v>83</v>
      </c>
    </row>
  </sheetData>
  <dataValidations count="3">
    <dataValidation type="list" allowBlank="1" showInputMessage="1" showErrorMessage="1" errorTitle="X-Author for Excel" error="Please select either TRUE or FALSE from the dropdown." promptTitle="X-Author for Excel" sqref="B26:B27" xr:uid="{00000000-0002-0000-0200-000000000000}">
      <formula1>"TRUE,FALSE"</formula1>
    </dataValidation>
    <dataValidation type="date" allowBlank="1" showInputMessage="1" showErrorMessage="1" errorTitle="X-Author for Excel" error="Please enter a valid date." promptTitle="X-Author for Excel" sqref="B23:B24 B14:B20 B10" xr:uid="{00000000-0002-0000-0200-000001000000}">
      <formula1>1</formula1>
      <formula2>767376</formula2>
    </dataValidation>
    <dataValidation type="list" allowBlank="1" showInputMessage="1" showErrorMessage="1" errorTitle="X-Author for Excel" error="Please select a value from the drop-down." promptTitle="X-Author for Excel" sqref="B11" xr:uid="{00000000-0002-0000-0200-000002000000}">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filterMode="1">
    <tabColor theme="3" tint="0.79998168889431442"/>
  </sheetPr>
  <dimension ref="A1:AD417"/>
  <sheetViews>
    <sheetView showGridLines="0" topLeftCell="F30" zoomScale="70" zoomScaleNormal="70" zoomScaleSheetLayoutView="70" workbookViewId="0">
      <selection activeCell="L34" sqref="L34"/>
    </sheetView>
  </sheetViews>
  <sheetFormatPr baseColWidth="10" defaultColWidth="9.140625" defaultRowHeight="15" x14ac:dyDescent="0.2"/>
  <cols>
    <col min="1" max="1" width="5.140625" style="730" hidden="1" customWidth="1"/>
    <col min="2" max="2" width="4.85546875" style="644" hidden="1" customWidth="1"/>
    <col min="3" max="3" width="60.140625" style="61" customWidth="1"/>
    <col min="4" max="4" width="48.85546875" style="61" customWidth="1"/>
    <col min="5" max="5" width="37.140625" style="61" bestFit="1" customWidth="1"/>
    <col min="6" max="7" width="21.140625" style="61" customWidth="1"/>
    <col min="8" max="8" width="34.140625" style="61" customWidth="1"/>
    <col min="9" max="9" width="109.28515625" style="61" customWidth="1"/>
    <col min="10" max="10" width="11.42578125" style="257" customWidth="1"/>
    <col min="11" max="11" width="29.140625" style="61" customWidth="1"/>
    <col min="12" max="12" width="19.85546875" style="61" customWidth="1"/>
    <col min="13" max="13" width="27.140625" style="61" customWidth="1"/>
    <col min="14" max="14" width="19.85546875" style="60" customWidth="1"/>
    <col min="15" max="15" width="9.140625" style="759" hidden="1" customWidth="1"/>
    <col min="16" max="16" width="9.140625" style="749" customWidth="1"/>
    <col min="17" max="17" width="17.5703125" style="749" bestFit="1" customWidth="1"/>
    <col min="18" max="18" width="31.140625" style="750" customWidth="1"/>
    <col min="19" max="19" width="26.5703125" style="749" customWidth="1"/>
    <col min="20" max="20" width="9.140625" style="749" customWidth="1"/>
    <col min="21" max="21" width="13.42578125" style="60" bestFit="1" customWidth="1"/>
    <col min="22" max="22" width="9.140625" style="60" customWidth="1"/>
    <col min="23" max="26" width="9.140625" style="60"/>
    <col min="27" max="27" width="5.85546875" style="60" customWidth="1"/>
    <col min="28" max="28" width="9.140625" style="60" customWidth="1"/>
    <col min="29" max="29" width="14.85546875" style="60" customWidth="1"/>
    <col min="30" max="30" width="64.85546875" style="60" customWidth="1"/>
    <col min="31" max="16384" width="9.140625" style="60"/>
  </cols>
  <sheetData>
    <row r="1" spans="1:23" s="61" customFormat="1" ht="45.75" customHeight="1" thickBot="1" x14ac:dyDescent="0.25">
      <c r="A1" s="726"/>
      <c r="B1" s="644"/>
      <c r="C1" s="1798" t="str">
        <f>CoverSheet!A1</f>
        <v>Rapport périodique sur les résultats actuels et demande de décaissement</v>
      </c>
      <c r="D1" s="1798"/>
      <c r="E1" s="1798"/>
      <c r="F1" s="1798"/>
      <c r="G1" s="1798"/>
      <c r="H1" s="1798"/>
      <c r="I1" s="1798"/>
      <c r="J1" s="1798"/>
      <c r="K1" s="1798"/>
      <c r="L1" s="1798"/>
      <c r="M1" s="1798"/>
      <c r="N1" s="1798"/>
      <c r="O1" s="759"/>
      <c r="P1" s="318"/>
      <c r="Q1" s="318"/>
      <c r="R1" s="744"/>
      <c r="S1" s="318"/>
      <c r="T1" s="318"/>
    </row>
    <row r="2" spans="1:23" s="232" customFormat="1" ht="38.25" customHeight="1" thickBot="1" x14ac:dyDescent="0.25">
      <c r="A2" s="727"/>
      <c r="B2" s="676"/>
      <c r="C2" s="528" t="str">
        <f>VLOOKUP(Translations!B632,Translations!B3:H893,4,0)</f>
        <v>Section 7A.Rapport financier annuel complété par le récipiendaire principal</v>
      </c>
      <c r="D2" s="529"/>
      <c r="E2" s="529"/>
      <c r="F2" s="533"/>
      <c r="G2" s="533"/>
      <c r="H2" s="533"/>
      <c r="I2" s="533"/>
      <c r="J2" s="534"/>
      <c r="K2" s="535"/>
      <c r="L2" s="530"/>
      <c r="M2" s="530"/>
      <c r="N2" s="531"/>
      <c r="O2" s="760"/>
      <c r="P2" s="317"/>
      <c r="Q2" s="317"/>
      <c r="R2" s="745"/>
      <c r="S2" s="317"/>
      <c r="T2" s="317"/>
    </row>
    <row r="3" spans="1:23" s="61" customFormat="1" ht="39" customHeight="1" x14ac:dyDescent="0.2">
      <c r="A3" s="726"/>
      <c r="B3" s="644"/>
      <c r="F3" s="1792" t="str">
        <f>CoverSheet!F12</f>
        <v>Période couverte par le rapport sur les information financière</v>
      </c>
      <c r="G3" s="1793"/>
      <c r="H3" s="517">
        <f>CoverSheet!J12</f>
        <v>43466</v>
      </c>
      <c r="I3" s="536"/>
      <c r="J3" s="537" t="str">
        <f>CoverSheet!K12</f>
        <v>Date de fin:</v>
      </c>
      <c r="K3" s="538">
        <f>CoverSheet!L12</f>
        <v>43830</v>
      </c>
      <c r="O3" s="759"/>
      <c r="P3" s="318"/>
      <c r="Q3" s="318"/>
      <c r="R3" s="744"/>
      <c r="S3" s="318"/>
      <c r="T3" s="318"/>
    </row>
    <row r="4" spans="1:23" s="61" customFormat="1" ht="33" customHeight="1" thickBot="1" x14ac:dyDescent="0.25">
      <c r="A4" s="726"/>
      <c r="B4" s="644"/>
      <c r="F4" s="1794" t="s">
        <v>1084</v>
      </c>
      <c r="G4" s="1795"/>
      <c r="H4" s="1115">
        <f>CoverSheet!D13</f>
        <v>43101</v>
      </c>
      <c r="I4" s="1309"/>
      <c r="J4" s="1310" t="str">
        <f>CoverSheet!K12</f>
        <v>Date de fin:</v>
      </c>
      <c r="K4" s="1311">
        <f>CoverSheet!L12</f>
        <v>43830</v>
      </c>
      <c r="O4" s="759"/>
      <c r="P4" s="318"/>
      <c r="Q4" s="318"/>
      <c r="R4" s="744"/>
      <c r="S4" s="318"/>
      <c r="T4" s="318"/>
      <c r="U4" s="280"/>
      <c r="V4" s="280"/>
    </row>
    <row r="5" spans="1:23" s="61" customFormat="1" ht="33" customHeight="1" x14ac:dyDescent="0.2">
      <c r="A5" s="726"/>
      <c r="B5" s="644"/>
      <c r="C5" s="279" t="str">
        <f>VLOOKUP(Translations!B633,Translations!B3:H893,4,0)</f>
        <v>B. VENTILATION PAR GROUPES DE COÛTS</v>
      </c>
      <c r="D5" s="278"/>
      <c r="E5" s="278"/>
      <c r="F5" s="279"/>
      <c r="G5" s="278"/>
      <c r="H5" s="278"/>
      <c r="I5" s="278"/>
      <c r="J5" s="278"/>
      <c r="K5" s="278"/>
      <c r="L5" s="278"/>
      <c r="M5" s="278"/>
      <c r="N5" s="278"/>
      <c r="O5" s="761"/>
      <c r="P5" s="318"/>
      <c r="Q5" s="318"/>
      <c r="R5" s="744"/>
      <c r="S5" s="318"/>
      <c r="T5" s="318"/>
      <c r="U5" s="280"/>
      <c r="V5" s="280"/>
    </row>
    <row r="6" spans="1:23" s="61" customFormat="1" ht="17.25" hidden="1" customHeight="1" x14ac:dyDescent="0.2">
      <c r="A6" s="726"/>
      <c r="B6" s="644"/>
      <c r="C6" s="279"/>
      <c r="D6" s="278"/>
      <c r="E6" s="278"/>
      <c r="F6" s="279"/>
      <c r="G6" s="278"/>
      <c r="H6" s="278"/>
      <c r="I6" s="278"/>
      <c r="J6" s="278"/>
      <c r="K6" s="278"/>
      <c r="L6" s="278"/>
      <c r="M6" s="278"/>
      <c r="N6" s="278"/>
      <c r="O6" s="761"/>
      <c r="P6" s="318"/>
      <c r="Q6" s="318"/>
      <c r="R6" s="744"/>
      <c r="S6" s="318"/>
      <c r="T6" s="318"/>
      <c r="U6" s="280"/>
      <c r="V6" s="280"/>
    </row>
    <row r="7" spans="1:23" s="257" customFormat="1" ht="24" customHeight="1" thickBot="1" x14ac:dyDescent="0.25">
      <c r="A7" s="728" t="s">
        <v>2337</v>
      </c>
      <c r="B7" s="677"/>
      <c r="C7" s="63"/>
      <c r="D7" s="675" t="str">
        <f>VLOOKUP(Translations!B643,Translations!B3:H893,4,0)</f>
        <v>Période de rapport en cours</v>
      </c>
      <c r="E7" s="675"/>
      <c r="F7" s="675"/>
      <c r="G7" s="675"/>
      <c r="H7" s="675"/>
      <c r="I7" s="63"/>
      <c r="K7" s="675" t="str">
        <f>VLOOKUP(Translations!B642,Translations!B3:H893,4,0)</f>
        <v>Données cumulées pour la période de mise en œuvre</v>
      </c>
      <c r="L7" s="675"/>
      <c r="M7" s="675"/>
      <c r="N7" s="675"/>
      <c r="O7" s="761"/>
      <c r="P7" s="283"/>
      <c r="Q7" s="284"/>
      <c r="R7" s="746"/>
      <c r="S7" s="284"/>
      <c r="T7" s="284"/>
      <c r="U7" s="259"/>
      <c r="V7" s="259"/>
      <c r="W7" s="63"/>
    </row>
    <row r="8" spans="1:23" s="257" customFormat="1" ht="59.45" customHeight="1" x14ac:dyDescent="0.25">
      <c r="A8" s="728" t="s">
        <v>2337</v>
      </c>
      <c r="B8" s="677"/>
      <c r="C8" s="739" t="str">
        <f>VLOOKUP(Translations!B634,Translations!B3:H893,4,0)</f>
        <v>Évaluation des coûts (groupes de coûts)</v>
      </c>
      <c r="D8" s="673"/>
      <c r="E8" s="672" t="str">
        <f>VLOOKUP(Translations!B635,Translations!B3:H893,4,0)</f>
        <v>Budget pour la période de rapport</v>
      </c>
      <c r="F8" s="672" t="str">
        <f>VLOOKUP(Translations!B636,Translations!B3:H893,4,0)</f>
        <v>Dépenses réelles</v>
      </c>
      <c r="G8" s="672" t="str">
        <f>VLOOKUP(Translations!B637,Translations!B3:H893,4,0)</f>
        <v>Écarts budget - dépenses réelles</v>
      </c>
      <c r="H8" s="672" t="str">
        <f>VLOOKUP(Translations!B644,Translations!B3:H893,4,0)</f>
        <v>Taux d’absorption</v>
      </c>
      <c r="I8" s="672" t="str">
        <f>VLOOKUP(Translations!B638,Translations!B3:H893,4,0)</f>
        <v>Explication des écarts (obligatoire si les dépenses sont inférieures ou supérieures au budget de plus de 5 %)</v>
      </c>
      <c r="J8" s="673"/>
      <c r="K8" s="672" t="str">
        <f>VLOOKUP(Translations!B639,Translations!B3:H893,4,0)</f>
        <v>Budget cumulé</v>
      </c>
      <c r="L8" s="672" t="str">
        <f>VLOOKUP(Translations!B640,Translations!B3:H893,4,0)</f>
        <v>Dépenses réelles cumulées</v>
      </c>
      <c r="M8" s="672" t="str">
        <f>VLOOKUP(Translations!B641,Translations!B3:H893,4,0)</f>
        <v>Écarts budget cumulé - dép. réelles cumulées</v>
      </c>
      <c r="N8" s="674" t="str">
        <f>VLOOKUP(Translations!B644,Translations!B3:H893,4,0)</f>
        <v>Taux d’absorption</v>
      </c>
      <c r="O8" s="758"/>
      <c r="P8" s="438"/>
      <c r="Q8" s="284"/>
      <c r="R8" s="746"/>
      <c r="S8" s="284"/>
      <c r="T8" s="284"/>
      <c r="U8" s="259"/>
      <c r="V8" s="259"/>
      <c r="W8" s="63"/>
    </row>
    <row r="9" spans="1:23" s="257" customFormat="1" ht="159.75" customHeight="1" x14ac:dyDescent="0.25">
      <c r="A9" s="728" t="str">
        <f>IF(C9&lt;&gt;"","Show","Don't Show")</f>
        <v>Show</v>
      </c>
      <c r="B9" s="677" t="s">
        <v>2338</v>
      </c>
      <c r="C9" s="964" t="str">
        <f>IFERROR(INDEX('PR Expenditure_7A import-export'!A$2:A$48,MATCH('PR Expenditure_7A'!B9,'PR Expenditure_7A import-export'!N$2:N$48,0)),"")</f>
        <v>1.1 Salaries - program management</v>
      </c>
      <c r="D9" s="1312"/>
      <c r="E9" s="1313">
        <f>IFERROR(INDEX('PR Expenditure_7A import-export'!C$2:C$48,MATCH('PR Expenditure_7A'!B9,'PR Expenditure_7A import-export'!N$2:N$48,0)),"")</f>
        <v>1126029.92172694</v>
      </c>
      <c r="F9" s="1314">
        <v>1193851.5516694947</v>
      </c>
      <c r="G9" s="1313">
        <f>IFERROR(E9-F9,0)</f>
        <v>-67821.629942554748</v>
      </c>
      <c r="H9" s="1315">
        <f>IF(AND(E9=0,F9=0),"N/A",IF(AND(E9=0,F9&lt;&gt;0),"Not Budgeted",F9/E9))</f>
        <v>1.0602307528724813</v>
      </c>
      <c r="I9" s="1316" t="s">
        <v>2339</v>
      </c>
      <c r="J9" s="1312"/>
      <c r="K9" s="1313">
        <f>IFERROR(INDEX('PR Expenditure_7A import-export'!I$2:I$48,MATCH('PR Expenditure_7A'!B9,'PR Expenditure_7A import-export'!N$2:N$48,0)),"")</f>
        <v>2288502.1381875598</v>
      </c>
      <c r="L9" s="1314">
        <f>648498.14+F9</f>
        <v>1842349.6916694948</v>
      </c>
      <c r="M9" s="1313">
        <f>IFERROR(K9-L9,0)</f>
        <v>446152.44651806494</v>
      </c>
      <c r="N9" s="1317">
        <f>IF(AND(K9=0,L9=0),"N/A",IF(AND(K9=0,L9&lt;&gt;0),"Not Budgeted",L9/K9))</f>
        <v>0.80504608710070624</v>
      </c>
      <c r="O9" s="758"/>
      <c r="P9" s="438"/>
      <c r="Q9" s="284"/>
      <c r="R9" s="746"/>
      <c r="S9" s="284"/>
      <c r="T9" s="284"/>
      <c r="U9" s="259"/>
      <c r="V9" s="259"/>
      <c r="W9" s="63"/>
    </row>
    <row r="10" spans="1:23" s="257" customFormat="1" ht="113.25" customHeight="1" x14ac:dyDescent="0.25">
      <c r="A10" s="728" t="str">
        <f t="shared" ref="A10:A12" si="0">IF(C10&lt;&gt;"","Show","Don't Show")</f>
        <v>Show</v>
      </c>
      <c r="B10" s="677" t="s">
        <v>2340</v>
      </c>
      <c r="C10" s="964" t="str">
        <f>IFERROR(INDEX('PR Expenditure_7A import-export'!A$2:A$48,MATCH('PR Expenditure_7A'!B10,'PR Expenditure_7A import-export'!N$2:N$48,0)),"")</f>
        <v>1.2 Salaries - outreach workers, medical staff and other service providers</v>
      </c>
      <c r="D10" s="1312"/>
      <c r="E10" s="1313">
        <f>IFERROR(INDEX('PR Expenditure_7A import-export'!C$2:C$48,MATCH('PR Expenditure_7A'!B10,'PR Expenditure_7A import-export'!N$2:N$48,0)),"")</f>
        <v>1498591.1939461201</v>
      </c>
      <c r="F10" s="1314">
        <v>1450446.0068211197</v>
      </c>
      <c r="G10" s="1313">
        <f t="shared" ref="G10:G12" si="1">IFERROR(E10-F10,0)</f>
        <v>48145.187125000404</v>
      </c>
      <c r="H10" s="1315">
        <f t="shared" ref="H10:H12" si="2">IF(AND(E10=0,F10=0),"N/A",IF(AND(E10=0,F10&lt;&gt;0),"Not Budgeted",F10/E10))</f>
        <v>0.96787303480796283</v>
      </c>
      <c r="I10" s="1316" t="s">
        <v>2341</v>
      </c>
      <c r="J10" s="1312"/>
      <c r="K10" s="1313">
        <f>IFERROR(INDEX('PR Expenditure_7A import-export'!I$2:I$48,MATCH('PR Expenditure_7A'!B10,'PR Expenditure_7A import-export'!N$2:N$48,0)),"")</f>
        <v>2934913.5273815901</v>
      </c>
      <c r="L10" s="1314">
        <f>1042426.05+F10</f>
        <v>2492872.05682112</v>
      </c>
      <c r="M10" s="1313">
        <f t="shared" ref="M10:M12" si="3">IFERROR(K10-L10,0)</f>
        <v>442041.47056047013</v>
      </c>
      <c r="N10" s="1317">
        <f t="shared" ref="N10:N12" si="4">IF(AND(K10=0,L10=0),"N/A",IF(AND(K10=0,L10&lt;&gt;0),"Not Budgeted",L10/K10))</f>
        <v>0.84938518070927915</v>
      </c>
      <c r="O10" s="758"/>
      <c r="P10" s="438"/>
      <c r="Q10" s="284"/>
      <c r="R10" s="746"/>
      <c r="S10" s="284"/>
      <c r="T10" s="284"/>
      <c r="U10" s="259"/>
      <c r="V10" s="259"/>
      <c r="W10" s="63"/>
    </row>
    <row r="11" spans="1:23" s="257" customFormat="1" ht="105" customHeight="1" x14ac:dyDescent="0.25">
      <c r="A11" s="728" t="str">
        <f t="shared" si="0"/>
        <v>Show</v>
      </c>
      <c r="B11" s="677" t="s">
        <v>2342</v>
      </c>
      <c r="C11" s="964" t="str">
        <f>IFERROR(INDEX('PR Expenditure_7A import-export'!A$2:A$48,MATCH('PR Expenditure_7A'!B11,'PR Expenditure_7A import-export'!N$2:N$48,0)),"")</f>
        <v>1.3 Performance-based supplements, incentives</v>
      </c>
      <c r="D11" s="1312"/>
      <c r="E11" s="1313">
        <f>IFERROR(INDEX('PR Expenditure_7A import-export'!C$2:C$48,MATCH('PR Expenditure_7A'!B11,'PR Expenditure_7A import-export'!N$2:N$48,0)),"")</f>
        <v>39207.235164225698</v>
      </c>
      <c r="F11" s="1314">
        <v>55156.369999999995</v>
      </c>
      <c r="G11" s="1313">
        <f t="shared" si="1"/>
        <v>-15949.134835774297</v>
      </c>
      <c r="H11" s="1315">
        <f t="shared" si="2"/>
        <v>1.4067906030345885</v>
      </c>
      <c r="I11" s="1316" t="s">
        <v>2343</v>
      </c>
      <c r="J11" s="1312"/>
      <c r="K11" s="1313">
        <f>IFERROR(INDEX('PR Expenditure_7A import-export'!I$2:I$48,MATCH('PR Expenditure_7A'!B11,'PR Expenditure_7A import-export'!N$2:N$48,0)),"")</f>
        <v>78414.470328451396</v>
      </c>
      <c r="L11" s="1314">
        <f>30482.79+F11</f>
        <v>85639.16</v>
      </c>
      <c r="M11" s="1313">
        <f t="shared" si="3"/>
        <v>-7224.6896715486073</v>
      </c>
      <c r="N11" s="1317">
        <f t="shared" si="4"/>
        <v>1.0921346486341978</v>
      </c>
      <c r="O11" s="758"/>
      <c r="P11" s="438"/>
      <c r="Q11" s="284"/>
      <c r="R11" s="746"/>
      <c r="S11" s="284"/>
      <c r="T11" s="284"/>
      <c r="U11" s="259"/>
      <c r="V11" s="259"/>
      <c r="W11" s="63"/>
    </row>
    <row r="12" spans="1:23" s="257" customFormat="1" ht="204" customHeight="1" x14ac:dyDescent="0.25">
      <c r="A12" s="728" t="str">
        <f t="shared" si="0"/>
        <v>Show</v>
      </c>
      <c r="B12" s="677" t="s">
        <v>2344</v>
      </c>
      <c r="C12" s="964" t="str">
        <f>IFERROR(INDEX('PR Expenditure_7A import-export'!A$2:A$48,MATCH('PR Expenditure_7A'!B12,'PR Expenditure_7A import-export'!N$2:N$48,0)),"")</f>
        <v>2.1 Training related per diems/transport/other costs</v>
      </c>
      <c r="D12" s="1312"/>
      <c r="E12" s="1313">
        <f>IFERROR(INDEX('PR Expenditure_7A import-export'!C$2:C$48,MATCH('PR Expenditure_7A'!B12,'PR Expenditure_7A import-export'!N$2:N$48,0)),"")</f>
        <v>149003.232147223</v>
      </c>
      <c r="F12" s="1314">
        <v>168180.90156596762</v>
      </c>
      <c r="G12" s="1313">
        <f t="shared" si="1"/>
        <v>-19177.669418744626</v>
      </c>
      <c r="H12" s="1315">
        <f t="shared" si="2"/>
        <v>1.1287063987967461</v>
      </c>
      <c r="I12" s="1316" t="s">
        <v>2345</v>
      </c>
      <c r="J12" s="1312"/>
      <c r="K12" s="1313">
        <f>IFERROR(INDEX('PR Expenditure_7A import-export'!I$2:I$48,MATCH('PR Expenditure_7A'!B12,'PR Expenditure_7A import-export'!N$2:N$48,0)),"")</f>
        <v>500133.78904478799</v>
      </c>
      <c r="L12" s="1314">
        <f>257070.12+F12</f>
        <v>425251.02156596759</v>
      </c>
      <c r="M12" s="1313">
        <f t="shared" si="3"/>
        <v>74882.767478820402</v>
      </c>
      <c r="N12" s="1317">
        <f t="shared" si="4"/>
        <v>0.85027452829803807</v>
      </c>
      <c r="O12" s="758"/>
      <c r="P12" s="438"/>
      <c r="Q12" s="284"/>
      <c r="R12" s="746"/>
      <c r="S12" s="284"/>
      <c r="T12" s="284"/>
      <c r="U12" s="259"/>
      <c r="V12" s="259"/>
      <c r="W12" s="63"/>
    </row>
    <row r="13" spans="1:23" s="257" customFormat="1" ht="39.950000000000003" customHeight="1" x14ac:dyDescent="0.25">
      <c r="A13" s="728" t="str">
        <f t="shared" ref="A13:A68" si="5">IF(C13&lt;&gt;"","Show","Don't Show")</f>
        <v>Show</v>
      </c>
      <c r="B13" s="677" t="s">
        <v>2346</v>
      </c>
      <c r="C13" s="964" t="str">
        <f>IFERROR(INDEX('PR Expenditure_7A import-export'!A$2:A$48,MATCH('PR Expenditure_7A'!B13,'PR Expenditure_7A import-export'!N$2:N$48,0)),"")</f>
        <v>2.2 Technical assistance-related per diems/transport/other costs</v>
      </c>
      <c r="D13" s="1312"/>
      <c r="E13" s="1313">
        <f>IFERROR(INDEX('PR Expenditure_7A import-export'!C$2:C$48,MATCH('PR Expenditure_7A'!B13,'PR Expenditure_7A import-export'!N$2:N$48,0)),"")</f>
        <v>0</v>
      </c>
      <c r="F13" s="1314">
        <v>2910.545524920467</v>
      </c>
      <c r="G13" s="1313">
        <f t="shared" ref="G13:G68" si="6">IFERROR(E13-F13,0)</f>
        <v>-2910.545524920467</v>
      </c>
      <c r="H13" s="1315" t="str">
        <f t="shared" ref="H13:H68" si="7">IF(AND(E13=0,F13=0),"N/A",IF(AND(E13=0,F13&lt;&gt;0),"Not Budgeted",F13/E13))</f>
        <v>Not Budgeted</v>
      </c>
      <c r="I13" s="1316" t="s">
        <v>2347</v>
      </c>
      <c r="J13" s="1312"/>
      <c r="K13" s="1313">
        <f>IFERROR(INDEX('PR Expenditure_7A import-export'!I$2:I$48,MATCH('PR Expenditure_7A'!B13,'PR Expenditure_7A import-export'!N$2:N$48,0)),"")</f>
        <v>3090.6982389280201</v>
      </c>
      <c r="L13" s="1314">
        <f>0+F13</f>
        <v>2910.545524920467</v>
      </c>
      <c r="M13" s="1313">
        <f t="shared" ref="M13:M68" si="8">IFERROR(K13-L13,0)</f>
        <v>180.15271400755319</v>
      </c>
      <c r="N13" s="1317">
        <f t="shared" ref="N13:N68" si="9">IF(AND(K13=0,L13=0),"N/A",IF(AND(K13=0,L13&lt;&gt;0),"Not Budgeted",L13/K13))</f>
        <v>0.94171132214122677</v>
      </c>
      <c r="O13" s="758"/>
      <c r="P13" s="438"/>
      <c r="Q13" s="284"/>
      <c r="R13" s="746"/>
      <c r="S13" s="284"/>
      <c r="T13" s="284"/>
      <c r="U13" s="259"/>
      <c r="V13" s="259"/>
      <c r="W13" s="63"/>
    </row>
    <row r="14" spans="1:23" s="257" customFormat="1" ht="167.25" customHeight="1" x14ac:dyDescent="0.25">
      <c r="A14" s="728" t="str">
        <f t="shared" si="5"/>
        <v>Show</v>
      </c>
      <c r="B14" s="677" t="s">
        <v>2348</v>
      </c>
      <c r="C14" s="964" t="str">
        <f>IFERROR(INDEX('PR Expenditure_7A import-export'!A$2:A$48,MATCH('PR Expenditure_7A'!B14,'PR Expenditure_7A import-export'!N$2:N$48,0)),"")</f>
        <v>2.3 Supervision/surveys/data collection related per diems/transport/other costs</v>
      </c>
      <c r="D14" s="1312"/>
      <c r="E14" s="1313">
        <f>IFERROR(INDEX('PR Expenditure_7A import-export'!C$2:C$48,MATCH('PR Expenditure_7A'!B14,'PR Expenditure_7A import-export'!N$2:N$48,0)),"")</f>
        <v>371613.36412214203</v>
      </c>
      <c r="F14" s="1314">
        <v>315004.60936933581</v>
      </c>
      <c r="G14" s="1313">
        <f t="shared" si="6"/>
        <v>56608.754752806213</v>
      </c>
      <c r="H14" s="1315">
        <f t="shared" si="7"/>
        <v>0.84766760235727145</v>
      </c>
      <c r="I14" s="1316" t="s">
        <v>2349</v>
      </c>
      <c r="J14" s="1312"/>
      <c r="K14" s="1313">
        <f>IFERROR(INDEX('PR Expenditure_7A import-export'!I$2:I$48,MATCH('PR Expenditure_7A'!B14,'PR Expenditure_7A import-export'!N$2:N$48,0)),"")</f>
        <v>891577.55226037803</v>
      </c>
      <c r="L14" s="1314">
        <f>216931.75+F14</f>
        <v>531936.35936933581</v>
      </c>
      <c r="M14" s="1313">
        <f t="shared" si="8"/>
        <v>359641.19289104221</v>
      </c>
      <c r="N14" s="1317">
        <f t="shared" si="9"/>
        <v>0.59662376875768186</v>
      </c>
      <c r="O14" s="758"/>
      <c r="P14" s="438"/>
      <c r="Q14" s="284"/>
      <c r="R14" s="746"/>
      <c r="S14" s="284"/>
      <c r="T14" s="284"/>
      <c r="U14" s="259"/>
      <c r="V14" s="259"/>
      <c r="W14" s="63"/>
    </row>
    <row r="15" spans="1:23" s="257" customFormat="1" ht="189" customHeight="1" x14ac:dyDescent="0.25">
      <c r="A15" s="728" t="str">
        <f t="shared" si="5"/>
        <v>Show</v>
      </c>
      <c r="B15" s="677" t="s">
        <v>2350</v>
      </c>
      <c r="C15" s="964" t="str">
        <f>IFERROR(INDEX('PR Expenditure_7A import-export'!A$2:A$48,MATCH('PR Expenditure_7A'!B15,'PR Expenditure_7A import-export'!N$2:N$48,0)),"")</f>
        <v>2.4 Meeting/Advocacy related per diems/transport/other costs</v>
      </c>
      <c r="D15" s="1312"/>
      <c r="E15" s="1313">
        <f>IFERROR(INDEX('PR Expenditure_7A import-export'!C$2:C$48,MATCH('PR Expenditure_7A'!B15,'PR Expenditure_7A import-export'!N$2:N$48,0)),"")</f>
        <v>152662.31586325</v>
      </c>
      <c r="F15" s="1314">
        <v>73726.949204770615</v>
      </c>
      <c r="G15" s="1313">
        <f t="shared" si="6"/>
        <v>78935.366658479383</v>
      </c>
      <c r="H15" s="1315">
        <f t="shared" si="7"/>
        <v>0.48294137808581949</v>
      </c>
      <c r="I15" s="1316" t="s">
        <v>2351</v>
      </c>
      <c r="J15" s="1312"/>
      <c r="K15" s="1313">
        <f>IFERROR(INDEX('PR Expenditure_7A import-export'!I$2:I$48,MATCH('PR Expenditure_7A'!B15,'PR Expenditure_7A import-export'!N$2:N$48,0)),"")</f>
        <v>384237.60942539701</v>
      </c>
      <c r="L15" s="1314">
        <f>74590.01+F15</f>
        <v>148316.95920477062</v>
      </c>
      <c r="M15" s="1313">
        <f t="shared" si="8"/>
        <v>235920.65022062638</v>
      </c>
      <c r="N15" s="1317">
        <f t="shared" si="9"/>
        <v>0.38600323228787842</v>
      </c>
      <c r="O15" s="758"/>
      <c r="P15" s="438"/>
      <c r="Q15" s="284"/>
      <c r="R15" s="746"/>
      <c r="S15" s="284"/>
      <c r="T15" s="284"/>
      <c r="U15" s="259"/>
      <c r="V15" s="259"/>
      <c r="W15" s="63"/>
    </row>
    <row r="16" spans="1:23" s="257" customFormat="1" ht="147" customHeight="1" x14ac:dyDescent="0.25">
      <c r="A16" s="728" t="str">
        <f t="shared" si="5"/>
        <v>Show</v>
      </c>
      <c r="B16" s="677" t="s">
        <v>2352</v>
      </c>
      <c r="C16" s="964" t="str">
        <f>IFERROR(INDEX('PR Expenditure_7A import-export'!A$2:A$48,MATCH('PR Expenditure_7A'!B16,'PR Expenditure_7A import-export'!N$2:N$48,0)),"")</f>
        <v>2.5 Other Transportation costs</v>
      </c>
      <c r="D16" s="1312"/>
      <c r="E16" s="1313">
        <f>IFERROR(INDEX('PR Expenditure_7A import-export'!C$2:C$48,MATCH('PR Expenditure_7A'!B16,'PR Expenditure_7A import-export'!N$2:N$48,0)),"")</f>
        <v>86619.915857884102</v>
      </c>
      <c r="F16" s="1314">
        <v>44587.135309422039</v>
      </c>
      <c r="G16" s="1313">
        <f t="shared" si="6"/>
        <v>42032.780548462062</v>
      </c>
      <c r="H16" s="1315">
        <f t="shared" si="7"/>
        <v>0.51474461580608588</v>
      </c>
      <c r="I16" s="1316" t="s">
        <v>2353</v>
      </c>
      <c r="J16" s="1312"/>
      <c r="K16" s="1313">
        <f>IFERROR(INDEX('PR Expenditure_7A import-export'!I$2:I$48,MATCH('PR Expenditure_7A'!B16,'PR Expenditure_7A import-export'!N$2:N$48,0)),"")</f>
        <v>171679.87074759501</v>
      </c>
      <c r="L16" s="1314">
        <f>26964.93+F16</f>
        <v>71552.065309422032</v>
      </c>
      <c r="M16" s="1313">
        <f t="shared" si="8"/>
        <v>100127.80543817297</v>
      </c>
      <c r="N16" s="1317">
        <f t="shared" si="9"/>
        <v>0.41677609027687584</v>
      </c>
      <c r="O16" s="758"/>
      <c r="P16" s="438"/>
      <c r="Q16" s="284"/>
      <c r="R16" s="746"/>
      <c r="S16" s="284"/>
      <c r="T16" s="284"/>
      <c r="U16" s="259"/>
      <c r="V16" s="259"/>
      <c r="W16" s="63"/>
    </row>
    <row r="17" spans="1:23" s="257" customFormat="1" ht="92.25" customHeight="1" x14ac:dyDescent="0.25">
      <c r="A17" s="728" t="str">
        <f t="shared" si="5"/>
        <v>Show</v>
      </c>
      <c r="B17" s="677" t="s">
        <v>2354</v>
      </c>
      <c r="C17" s="964" t="str">
        <f>IFERROR(INDEX('PR Expenditure_7A import-export'!A$2:A$48,MATCH('PR Expenditure_7A'!B17,'PR Expenditure_7A import-export'!N$2:N$48,0)),"")</f>
        <v>3.1 Technical Assistance Fees/Consultants</v>
      </c>
      <c r="D17" s="1312"/>
      <c r="E17" s="1313">
        <f>IFERROR(INDEX('PR Expenditure_7A import-export'!C$2:C$48,MATCH('PR Expenditure_7A'!B17,'PR Expenditure_7A import-export'!N$2:N$48,0)),"")</f>
        <v>25810</v>
      </c>
      <c r="F17" s="1314">
        <v>103389.81</v>
      </c>
      <c r="G17" s="1313">
        <f t="shared" si="6"/>
        <v>-77579.81</v>
      </c>
      <c r="H17" s="1315">
        <f t="shared" si="7"/>
        <v>4.0058043394033316</v>
      </c>
      <c r="I17" s="1316" t="s">
        <v>2355</v>
      </c>
      <c r="J17" s="1312"/>
      <c r="K17" s="1313">
        <f>IFERROR(INDEX('PR Expenditure_7A import-export'!I$2:I$48,MATCH('PR Expenditure_7A'!B17,'PR Expenditure_7A import-export'!N$2:N$48,0)),"")</f>
        <v>67420.303030302995</v>
      </c>
      <c r="L17" s="1314">
        <f>3102+F17</f>
        <v>106491.81</v>
      </c>
      <c r="M17" s="1313">
        <f t="shared" si="8"/>
        <v>-39071.506969697002</v>
      </c>
      <c r="N17" s="1317">
        <f t="shared" si="9"/>
        <v>1.5795213787771878</v>
      </c>
      <c r="O17" s="758"/>
      <c r="P17" s="438"/>
      <c r="Q17" s="284"/>
      <c r="R17" s="746"/>
      <c r="S17" s="284"/>
      <c r="T17" s="284"/>
      <c r="U17" s="259"/>
      <c r="V17" s="259"/>
      <c r="W17" s="63"/>
    </row>
    <row r="18" spans="1:23" s="257" customFormat="1" ht="39.950000000000003" customHeight="1" x14ac:dyDescent="0.25">
      <c r="A18" s="728" t="str">
        <f t="shared" si="5"/>
        <v>Show</v>
      </c>
      <c r="B18" s="677" t="s">
        <v>2356</v>
      </c>
      <c r="C18" s="964" t="str">
        <f>IFERROR(INDEX('PR Expenditure_7A import-export'!A$2:A$48,MATCH('PR Expenditure_7A'!B18,'PR Expenditure_7A import-export'!N$2:N$48,0)),"")</f>
        <v>3.3 External audit fees</v>
      </c>
      <c r="D18" s="1312"/>
      <c r="E18" s="1313">
        <f>IFERROR(INDEX('PR Expenditure_7A import-export'!C$2:C$48,MATCH('PR Expenditure_7A'!B18,'PR Expenditure_7A import-export'!N$2:N$48,0)),"")</f>
        <v>43900</v>
      </c>
      <c r="F18" s="1314">
        <v>58390</v>
      </c>
      <c r="G18" s="1313">
        <f t="shared" si="6"/>
        <v>-14490</v>
      </c>
      <c r="H18" s="1315">
        <f t="shared" si="7"/>
        <v>1.3300683371298405</v>
      </c>
      <c r="I18" s="1316" t="s">
        <v>2357</v>
      </c>
      <c r="J18" s="1312"/>
      <c r="K18" s="1313">
        <f>IFERROR(INDEX('PR Expenditure_7A import-export'!I$2:I$48,MATCH('PR Expenditure_7A'!B18,'PR Expenditure_7A import-export'!N$2:N$48,0)),"")</f>
        <v>58900</v>
      </c>
      <c r="L18" s="1314">
        <f>0+F18</f>
        <v>58390</v>
      </c>
      <c r="M18" s="1313">
        <f t="shared" si="8"/>
        <v>510</v>
      </c>
      <c r="N18" s="1317">
        <f t="shared" si="9"/>
        <v>0.99134125636672321</v>
      </c>
      <c r="O18" s="758"/>
      <c r="P18" s="438"/>
      <c r="Q18" s="284"/>
      <c r="R18" s="746"/>
      <c r="S18" s="284"/>
      <c r="T18" s="284"/>
      <c r="U18" s="259"/>
      <c r="V18" s="259"/>
      <c r="W18" s="63"/>
    </row>
    <row r="19" spans="1:23" s="257" customFormat="1" ht="112.5" customHeight="1" x14ac:dyDescent="0.25">
      <c r="A19" s="728" t="str">
        <f t="shared" si="5"/>
        <v>Show</v>
      </c>
      <c r="B19" s="677" t="s">
        <v>2358</v>
      </c>
      <c r="C19" s="964" t="str">
        <f>IFERROR(INDEX('PR Expenditure_7A import-export'!A$2:A$48,MATCH('PR Expenditure_7A'!B19,'PR Expenditure_7A import-export'!N$2:N$48,0)),"")</f>
        <v>3.4 Other external professional services</v>
      </c>
      <c r="D19" s="1312"/>
      <c r="E19" s="1313">
        <f>IFERROR(INDEX('PR Expenditure_7A import-export'!C$2:C$48,MATCH('PR Expenditure_7A'!B19,'PR Expenditure_7A import-export'!N$2:N$48,0)),"")</f>
        <v>37872.672927453699</v>
      </c>
      <c r="F19" s="1314">
        <v>7744.5599999999995</v>
      </c>
      <c r="G19" s="1313">
        <f t="shared" si="6"/>
        <v>30128.112927453702</v>
      </c>
      <c r="H19" s="1315">
        <f t="shared" si="7"/>
        <v>0.20448939568735877</v>
      </c>
      <c r="I19" s="1316" t="s">
        <v>2359</v>
      </c>
      <c r="J19" s="1312"/>
      <c r="K19" s="1313">
        <f>IFERROR(INDEX('PR Expenditure_7A import-export'!I$2:I$48,MATCH('PR Expenditure_7A'!B19,'PR Expenditure_7A import-export'!N$2:N$48,0)),"")</f>
        <v>108936.69419773101</v>
      </c>
      <c r="L19" s="1314">
        <f>3400+F19</f>
        <v>11144.56</v>
      </c>
      <c r="M19" s="1313">
        <f t="shared" si="8"/>
        <v>97792.134197731008</v>
      </c>
      <c r="N19" s="1317">
        <f t="shared" si="9"/>
        <v>0.10230308604529074</v>
      </c>
      <c r="O19" s="758"/>
      <c r="P19" s="438"/>
      <c r="Q19" s="284"/>
      <c r="R19" s="746"/>
      <c r="S19" s="284"/>
      <c r="T19" s="284"/>
      <c r="U19" s="259"/>
      <c r="V19" s="259"/>
      <c r="W19" s="63"/>
    </row>
    <row r="20" spans="1:23" s="257" customFormat="1" ht="70.5" customHeight="1" x14ac:dyDescent="0.25">
      <c r="A20" s="728" t="str">
        <f t="shared" si="5"/>
        <v>Show</v>
      </c>
      <c r="B20" s="677" t="s">
        <v>2360</v>
      </c>
      <c r="C20" s="964" t="str">
        <f>IFERROR(INDEX('PR Expenditure_7A import-export'!A$2:A$48,MATCH('PR Expenditure_7A'!B20,'PR Expenditure_7A import-export'!N$2:N$48,0)),"")</f>
        <v>4.1 Antiretroviral medicines</v>
      </c>
      <c r="D20" s="1312"/>
      <c r="E20" s="1313">
        <f>IFERROR(INDEX('PR Expenditure_7A import-export'!C$2:C$48,MATCH('PR Expenditure_7A'!B20,'PR Expenditure_7A import-export'!N$2:N$48,0)),"")</f>
        <v>2374573.84</v>
      </c>
      <c r="F20" s="1314">
        <v>3112899.83</v>
      </c>
      <c r="G20" s="1313">
        <f t="shared" si="6"/>
        <v>-738325.99000000022</v>
      </c>
      <c r="H20" s="1315">
        <f t="shared" si="7"/>
        <v>1.3109298930034536</v>
      </c>
      <c r="I20" s="1316" t="s">
        <v>2361</v>
      </c>
      <c r="J20" s="1312"/>
      <c r="K20" s="1313">
        <f>IFERROR(INDEX('PR Expenditure_7A import-export'!I$2:I$48,MATCH('PR Expenditure_7A'!B20,'PR Expenditure_7A import-export'!N$2:N$48,0)),"")</f>
        <v>2797400.6</v>
      </c>
      <c r="L20" s="1314">
        <f>1427327.28+F20</f>
        <v>4540227.1100000003</v>
      </c>
      <c r="M20" s="1313">
        <f t="shared" si="8"/>
        <v>-1742826.5100000002</v>
      </c>
      <c r="N20" s="1317">
        <f t="shared" si="9"/>
        <v>1.6230164210302951</v>
      </c>
      <c r="O20" s="758"/>
      <c r="P20" s="438"/>
      <c r="Q20" s="284"/>
      <c r="R20" s="746"/>
      <c r="S20" s="284"/>
      <c r="T20" s="284"/>
      <c r="U20" s="259"/>
      <c r="V20" s="259"/>
      <c r="W20" s="63"/>
    </row>
    <row r="21" spans="1:23" s="257" customFormat="1" ht="122.25" customHeight="1" x14ac:dyDescent="0.25">
      <c r="A21" s="728" t="str">
        <f t="shared" si="5"/>
        <v>Show</v>
      </c>
      <c r="B21" s="677" t="s">
        <v>2362</v>
      </c>
      <c r="C21" s="964" t="str">
        <f>IFERROR(INDEX('PR Expenditure_7A import-export'!A$2:A$48,MATCH('PR Expenditure_7A'!B21,'PR Expenditure_7A import-export'!N$2:N$48,0)),"")</f>
        <v>4.2 Anti-tuberculosis medicines</v>
      </c>
      <c r="D21" s="1312"/>
      <c r="E21" s="1313">
        <f>IFERROR(INDEX('PR Expenditure_7A import-export'!C$2:C$48,MATCH('PR Expenditure_7A'!B21,'PR Expenditure_7A import-export'!N$2:N$48,0)),"")</f>
        <v>523533.37</v>
      </c>
      <c r="F21" s="1314">
        <v>327729.77</v>
      </c>
      <c r="G21" s="1313">
        <f t="shared" si="6"/>
        <v>195803.59999999998</v>
      </c>
      <c r="H21" s="1315">
        <f t="shared" si="7"/>
        <v>0.62599595131825125</v>
      </c>
      <c r="I21" s="1316" t="s">
        <v>2363</v>
      </c>
      <c r="J21" s="1312"/>
      <c r="K21" s="1313">
        <f>IFERROR(INDEX('PR Expenditure_7A import-export'!I$2:I$48,MATCH('PR Expenditure_7A'!B21,'PR Expenditure_7A import-export'!N$2:N$48,0)),"")</f>
        <v>1034709.24</v>
      </c>
      <c r="L21" s="1314">
        <f>226.32+F21</f>
        <v>327956.09000000003</v>
      </c>
      <c r="M21" s="1313">
        <f t="shared" si="8"/>
        <v>706753.14999999991</v>
      </c>
      <c r="N21" s="1317">
        <f t="shared" si="9"/>
        <v>0.31695482877875919</v>
      </c>
      <c r="O21" s="758"/>
      <c r="P21" s="438"/>
      <c r="Q21" s="284"/>
      <c r="R21" s="746"/>
      <c r="S21" s="284"/>
      <c r="T21" s="284"/>
      <c r="U21" s="259"/>
      <c r="V21" s="259"/>
      <c r="W21" s="63"/>
    </row>
    <row r="22" spans="1:23" s="257" customFormat="1" ht="70.5" customHeight="1" x14ac:dyDescent="0.25">
      <c r="A22" s="728" t="str">
        <f t="shared" si="5"/>
        <v>Show</v>
      </c>
      <c r="B22" s="677" t="s">
        <v>2364</v>
      </c>
      <c r="C22" s="964" t="str">
        <f>IFERROR(INDEX('PR Expenditure_7A import-export'!A$2:A$48,MATCH('PR Expenditure_7A'!B22,'PR Expenditure_7A import-export'!N$2:N$48,0)),"")</f>
        <v>4.5 Opportunistic infections and STI medicines</v>
      </c>
      <c r="D22" s="1312"/>
      <c r="E22" s="1313">
        <f>IFERROR(INDEX('PR Expenditure_7A import-export'!C$2:C$48,MATCH('PR Expenditure_7A'!B22,'PR Expenditure_7A import-export'!N$2:N$48,0)),"")</f>
        <v>76235.13</v>
      </c>
      <c r="F22" s="1314">
        <v>67267.600000000006</v>
      </c>
      <c r="G22" s="1313">
        <f t="shared" si="6"/>
        <v>8967.5299999999988</v>
      </c>
      <c r="H22" s="1315">
        <f t="shared" si="7"/>
        <v>0.88237010942330663</v>
      </c>
      <c r="I22" s="1316" t="s">
        <v>2365</v>
      </c>
      <c r="J22" s="1312"/>
      <c r="K22" s="1313">
        <f>IFERROR(INDEX('PR Expenditure_7A import-export'!I$2:I$48,MATCH('PR Expenditure_7A'!B22,'PR Expenditure_7A import-export'!N$2:N$48,0)),"")</f>
        <v>134732.69</v>
      </c>
      <c r="L22" s="1314">
        <f>107031.36+F22</f>
        <v>174298.96000000002</v>
      </c>
      <c r="M22" s="1313">
        <f t="shared" si="8"/>
        <v>-39566.270000000019</v>
      </c>
      <c r="N22" s="1317">
        <f t="shared" si="9"/>
        <v>1.2936649598549543</v>
      </c>
      <c r="O22" s="758"/>
      <c r="P22" s="438"/>
      <c r="Q22" s="284"/>
      <c r="R22" s="746"/>
      <c r="S22" s="284"/>
      <c r="T22" s="284"/>
      <c r="U22" s="259"/>
      <c r="V22" s="259"/>
      <c r="W22" s="63"/>
    </row>
    <row r="23" spans="1:23" s="257" customFormat="1" ht="39.950000000000003" customHeight="1" x14ac:dyDescent="0.25">
      <c r="A23" s="728" t="str">
        <f t="shared" si="5"/>
        <v>Show</v>
      </c>
      <c r="B23" s="677" t="s">
        <v>2366</v>
      </c>
      <c r="C23" s="964" t="str">
        <f>IFERROR(INDEX('PR Expenditure_7A import-export'!A$2:A$48,MATCH('PR Expenditure_7A'!B23,'PR Expenditure_7A import-export'!N$2:N$48,0)),"")</f>
        <v>4.7 Other medicines</v>
      </c>
      <c r="D23" s="1312"/>
      <c r="E23" s="1313">
        <f>IFERROR(INDEX('PR Expenditure_7A import-export'!C$2:C$48,MATCH('PR Expenditure_7A'!B23,'PR Expenditure_7A import-export'!N$2:N$48,0)),"")</f>
        <v>0</v>
      </c>
      <c r="F23" s="1314">
        <v>0</v>
      </c>
      <c r="G23" s="1313">
        <f t="shared" si="6"/>
        <v>0</v>
      </c>
      <c r="H23" s="1315" t="str">
        <f t="shared" si="7"/>
        <v>N/A</v>
      </c>
      <c r="I23" s="1316"/>
      <c r="J23" s="1312"/>
      <c r="K23" s="1313">
        <f>IFERROR(INDEX('PR Expenditure_7A import-export'!I$2:I$48,MATCH('PR Expenditure_7A'!B23,'PR Expenditure_7A import-export'!N$2:N$48,0)),"")</f>
        <v>9000</v>
      </c>
      <c r="L23" s="1314">
        <f>8474.64+F23</f>
        <v>8474.64</v>
      </c>
      <c r="M23" s="1313">
        <f t="shared" si="8"/>
        <v>525.36000000000058</v>
      </c>
      <c r="N23" s="1317">
        <f t="shared" si="9"/>
        <v>0.94162666666666661</v>
      </c>
      <c r="O23" s="758"/>
      <c r="P23" s="438"/>
      <c r="Q23" s="284"/>
      <c r="R23" s="746"/>
      <c r="S23" s="284"/>
      <c r="T23" s="284"/>
      <c r="U23" s="259"/>
      <c r="V23" s="259"/>
      <c r="W23" s="63"/>
    </row>
    <row r="24" spans="1:23" s="257" customFormat="1" ht="62.25" customHeight="1" x14ac:dyDescent="0.25">
      <c r="A24" s="728" t="str">
        <f t="shared" si="5"/>
        <v>Show</v>
      </c>
      <c r="B24" s="677" t="s">
        <v>2367</v>
      </c>
      <c r="C24" s="964" t="str">
        <f>IFERROR(INDEX('PR Expenditure_7A import-export'!A$2:A$48,MATCH('PR Expenditure_7A'!B24,'PR Expenditure_7A import-export'!N$2:N$48,0)),"")</f>
        <v>5.2 Condoms - Male</v>
      </c>
      <c r="D24" s="1312"/>
      <c r="E24" s="1313">
        <f>IFERROR(INDEX('PR Expenditure_7A import-export'!C$2:C$48,MATCH('PR Expenditure_7A'!B24,'PR Expenditure_7A import-export'!N$2:N$48,0)),"")</f>
        <v>234419.53388854</v>
      </c>
      <c r="F24" s="1314">
        <v>0</v>
      </c>
      <c r="G24" s="1313">
        <f t="shared" si="6"/>
        <v>234419.53388854</v>
      </c>
      <c r="H24" s="1315">
        <f t="shared" si="7"/>
        <v>0</v>
      </c>
      <c r="I24" s="1316" t="s">
        <v>2368</v>
      </c>
      <c r="J24" s="1312"/>
      <c r="K24" s="1313">
        <f>IFERROR(INDEX('PR Expenditure_7A import-export'!I$2:I$48,MATCH('PR Expenditure_7A'!B24,'PR Expenditure_7A import-export'!N$2:N$48,0)),"")</f>
        <v>234419.53388854</v>
      </c>
      <c r="L24" s="1314">
        <f>0+F24</f>
        <v>0</v>
      </c>
      <c r="M24" s="1313">
        <f t="shared" si="8"/>
        <v>234419.53388854</v>
      </c>
      <c r="N24" s="1317">
        <f t="shared" si="9"/>
        <v>0</v>
      </c>
      <c r="O24" s="758"/>
      <c r="P24" s="438"/>
      <c r="Q24" s="284"/>
      <c r="R24" s="746"/>
      <c r="S24" s="284"/>
      <c r="T24" s="284"/>
      <c r="U24" s="259"/>
      <c r="V24" s="259"/>
      <c r="W24" s="63"/>
    </row>
    <row r="25" spans="1:23" s="257" customFormat="1" ht="63" customHeight="1" x14ac:dyDescent="0.25">
      <c r="A25" s="728" t="str">
        <f t="shared" si="5"/>
        <v>Show</v>
      </c>
      <c r="B25" s="677" t="s">
        <v>2369</v>
      </c>
      <c r="C25" s="964" t="str">
        <f>IFERROR(INDEX('PR Expenditure_7A import-export'!A$2:A$48,MATCH('PR Expenditure_7A'!B25,'PR Expenditure_7A import-export'!N$2:N$48,0)),"")</f>
        <v>5.3 Condoms - Female</v>
      </c>
      <c r="D25" s="1312"/>
      <c r="E25" s="1313">
        <f>IFERROR(INDEX('PR Expenditure_7A import-export'!C$2:C$48,MATCH('PR Expenditure_7A'!B25,'PR Expenditure_7A import-export'!N$2:N$48,0)),"")</f>
        <v>142498.65</v>
      </c>
      <c r="F25" s="1314">
        <v>0</v>
      </c>
      <c r="G25" s="1313">
        <f t="shared" si="6"/>
        <v>142498.65</v>
      </c>
      <c r="H25" s="1315">
        <f t="shared" si="7"/>
        <v>0</v>
      </c>
      <c r="I25" s="1316" t="s">
        <v>2370</v>
      </c>
      <c r="J25" s="1312"/>
      <c r="K25" s="1313">
        <f>IFERROR(INDEX('PR Expenditure_7A import-export'!I$2:I$48,MATCH('PR Expenditure_7A'!B25,'PR Expenditure_7A import-export'!N$2:N$48,0)),"")</f>
        <v>155484.35</v>
      </c>
      <c r="L25" s="1314">
        <f>0+F25</f>
        <v>0</v>
      </c>
      <c r="M25" s="1313">
        <f t="shared" si="8"/>
        <v>155484.35</v>
      </c>
      <c r="N25" s="1317">
        <f t="shared" si="9"/>
        <v>0</v>
      </c>
      <c r="O25" s="758"/>
      <c r="P25" s="438"/>
      <c r="Q25" s="284"/>
      <c r="R25" s="746"/>
      <c r="S25" s="284"/>
      <c r="T25" s="284"/>
      <c r="U25" s="259"/>
      <c r="V25" s="259"/>
      <c r="W25" s="63"/>
    </row>
    <row r="26" spans="1:23" s="257" customFormat="1" ht="84.75" customHeight="1" x14ac:dyDescent="0.25">
      <c r="A26" s="728" t="str">
        <f t="shared" si="5"/>
        <v>Show</v>
      </c>
      <c r="B26" s="677" t="s">
        <v>2371</v>
      </c>
      <c r="C26" s="964" t="str">
        <f>IFERROR(INDEX('PR Expenditure_7A import-export'!A$2:A$48,MATCH('PR Expenditure_7A'!B26,'PR Expenditure_7A import-export'!N$2:N$48,0)),"")</f>
        <v>5.4 Rapid Diagnostic Test</v>
      </c>
      <c r="D26" s="1312"/>
      <c r="E26" s="1313">
        <f>IFERROR(INDEX('PR Expenditure_7A import-export'!C$2:C$48,MATCH('PR Expenditure_7A'!B26,'PR Expenditure_7A import-export'!N$2:N$48,0)),"")</f>
        <v>404384.02</v>
      </c>
      <c r="F26" s="1314">
        <v>792536.3600000001</v>
      </c>
      <c r="G26" s="1313">
        <f t="shared" si="6"/>
        <v>-388152.34000000008</v>
      </c>
      <c r="H26" s="1315">
        <f t="shared" si="7"/>
        <v>1.9598607284234428</v>
      </c>
      <c r="I26" s="1316" t="s">
        <v>2372</v>
      </c>
      <c r="J26" s="1312"/>
      <c r="K26" s="1313">
        <f>IFERROR(INDEX('PR Expenditure_7A import-export'!I$2:I$48,MATCH('PR Expenditure_7A'!B26,'PR Expenditure_7A import-export'!N$2:N$48,0)),"")</f>
        <v>524325.35</v>
      </c>
      <c r="L26" s="1314">
        <f>284602.5+F26</f>
        <v>1077138.8600000001</v>
      </c>
      <c r="M26" s="1313">
        <f t="shared" si="8"/>
        <v>-552813.51000000013</v>
      </c>
      <c r="N26" s="1317">
        <f t="shared" si="9"/>
        <v>2.0543329823743983</v>
      </c>
      <c r="O26" s="758"/>
      <c r="P26" s="438"/>
      <c r="Q26" s="284"/>
      <c r="R26" s="746"/>
      <c r="S26" s="284"/>
      <c r="T26" s="284"/>
      <c r="U26" s="259"/>
      <c r="V26" s="259"/>
      <c r="W26" s="63"/>
    </row>
    <row r="27" spans="1:23" s="257" customFormat="1" ht="150" customHeight="1" x14ac:dyDescent="0.25">
      <c r="A27" s="728" t="str">
        <f t="shared" si="5"/>
        <v>Show</v>
      </c>
      <c r="B27" s="677" t="s">
        <v>2373</v>
      </c>
      <c r="C27" s="964" t="str">
        <f>IFERROR(INDEX('PR Expenditure_7A import-export'!A$2:A$48,MATCH('PR Expenditure_7A'!B27,'PR Expenditure_7A import-export'!N$2:N$48,0)),"")</f>
        <v>5.6 Laboratory reagents</v>
      </c>
      <c r="D27" s="1312"/>
      <c r="E27" s="1313">
        <f>IFERROR(INDEX('PR Expenditure_7A import-export'!C$2:C$48,MATCH('PR Expenditure_7A'!B27,'PR Expenditure_7A import-export'!N$2:N$48,0)),"")</f>
        <v>353331.25</v>
      </c>
      <c r="F27" s="1314">
        <v>477500.83000000007</v>
      </c>
      <c r="G27" s="1313">
        <f t="shared" si="6"/>
        <v>-124169.58000000007</v>
      </c>
      <c r="H27" s="1315">
        <f t="shared" si="7"/>
        <v>1.3514254117064373</v>
      </c>
      <c r="I27" s="1316" t="s">
        <v>2374</v>
      </c>
      <c r="J27" s="1312"/>
      <c r="K27" s="1313">
        <f>IFERROR(INDEX('PR Expenditure_7A import-export'!I$2:I$48,MATCH('PR Expenditure_7A'!B27,'PR Expenditure_7A import-export'!N$2:N$48,0)),"")</f>
        <v>657294.41</v>
      </c>
      <c r="L27" s="1314">
        <f>243481.38+F27</f>
        <v>720982.21000000008</v>
      </c>
      <c r="M27" s="1313">
        <f t="shared" si="8"/>
        <v>-63687.800000000047</v>
      </c>
      <c r="N27" s="1317">
        <f t="shared" si="9"/>
        <v>1.0968938713475442</v>
      </c>
      <c r="O27" s="758"/>
      <c r="P27" s="438"/>
      <c r="Q27" s="284"/>
      <c r="R27" s="746"/>
      <c r="S27" s="284"/>
      <c r="T27" s="284"/>
      <c r="U27" s="259"/>
      <c r="V27" s="259"/>
      <c r="W27" s="63"/>
    </row>
    <row r="28" spans="1:23" s="257" customFormat="1" ht="39.950000000000003" customHeight="1" x14ac:dyDescent="0.25">
      <c r="A28" s="728" t="str">
        <f t="shared" si="5"/>
        <v>Show</v>
      </c>
      <c r="B28" s="677" t="s">
        <v>2375</v>
      </c>
      <c r="C28" s="964" t="str">
        <f>IFERROR(INDEX('PR Expenditure_7A import-export'!A$2:A$48,MATCH('PR Expenditure_7A'!B28,'PR Expenditure_7A import-export'!N$2:N$48,0)),"")</f>
        <v>5.7 Syringes and needles</v>
      </c>
      <c r="D28" s="1312"/>
      <c r="E28" s="1313">
        <f>IFERROR(INDEX('PR Expenditure_7A import-export'!C$2:C$48,MATCH('PR Expenditure_7A'!B28,'PR Expenditure_7A import-export'!N$2:N$48,0)),"")</f>
        <v>1148</v>
      </c>
      <c r="F28" s="1314">
        <v>0</v>
      </c>
      <c r="G28" s="1313">
        <f t="shared" si="6"/>
        <v>1148</v>
      </c>
      <c r="H28" s="1315">
        <f t="shared" si="7"/>
        <v>0</v>
      </c>
      <c r="I28" s="1316" t="s">
        <v>2376</v>
      </c>
      <c r="J28" s="1312"/>
      <c r="K28" s="1313">
        <f>IFERROR(INDEX('PR Expenditure_7A import-export'!I$2:I$48,MATCH('PR Expenditure_7A'!B28,'PR Expenditure_7A import-export'!N$2:N$48,0)),"")</f>
        <v>2296</v>
      </c>
      <c r="L28" s="1314">
        <f>0+F28</f>
        <v>0</v>
      </c>
      <c r="M28" s="1313">
        <f t="shared" si="8"/>
        <v>2296</v>
      </c>
      <c r="N28" s="1317">
        <f t="shared" si="9"/>
        <v>0</v>
      </c>
      <c r="O28" s="758"/>
      <c r="P28" s="438"/>
      <c r="Q28" s="284"/>
      <c r="R28" s="746"/>
      <c r="S28" s="284"/>
      <c r="T28" s="284"/>
      <c r="U28" s="259"/>
      <c r="V28" s="259"/>
      <c r="W28" s="63"/>
    </row>
    <row r="29" spans="1:23" s="257" customFormat="1" ht="147.75" customHeight="1" x14ac:dyDescent="0.25">
      <c r="A29" s="728" t="str">
        <f t="shared" si="5"/>
        <v>Show</v>
      </c>
      <c r="B29" s="677" t="s">
        <v>2377</v>
      </c>
      <c r="C29" s="964" t="str">
        <f>IFERROR(INDEX('PR Expenditure_7A import-export'!A$2:A$48,MATCH('PR Expenditure_7A'!B29,'PR Expenditure_7A import-export'!N$2:N$48,0)),"")</f>
        <v>5.8 Other consumables</v>
      </c>
      <c r="D29" s="1312"/>
      <c r="E29" s="1313">
        <f>IFERROR(INDEX('PR Expenditure_7A import-export'!C$2:C$48,MATCH('PR Expenditure_7A'!B29,'PR Expenditure_7A import-export'!N$2:N$48,0)),"")</f>
        <v>640261.87</v>
      </c>
      <c r="F29" s="1314">
        <v>322043.73</v>
      </c>
      <c r="G29" s="1313">
        <f t="shared" si="6"/>
        <v>318218.14</v>
      </c>
      <c r="H29" s="1315">
        <f t="shared" si="7"/>
        <v>0.50298751977843059</v>
      </c>
      <c r="I29" s="1316" t="s">
        <v>2378</v>
      </c>
      <c r="J29" s="1312"/>
      <c r="K29" s="1313">
        <f>IFERROR(INDEX('PR Expenditure_7A import-export'!I$2:I$48,MATCH('PR Expenditure_7A'!B29,'PR Expenditure_7A import-export'!N$2:N$48,0)),"")</f>
        <v>968984.7</v>
      </c>
      <c r="L29" s="1314">
        <f>66500.79+F29</f>
        <v>388544.51999999996</v>
      </c>
      <c r="M29" s="1313">
        <f t="shared" si="8"/>
        <v>580440.17999999993</v>
      </c>
      <c r="N29" s="1317">
        <f t="shared" si="9"/>
        <v>0.40098106812212825</v>
      </c>
      <c r="O29" s="758"/>
      <c r="P29" s="438"/>
      <c r="Q29" s="284"/>
      <c r="R29" s="746"/>
      <c r="S29" s="284"/>
      <c r="T29" s="284"/>
      <c r="U29" s="259"/>
      <c r="V29" s="259"/>
      <c r="W29" s="63"/>
    </row>
    <row r="30" spans="1:23" s="257" customFormat="1" ht="78" customHeight="1" x14ac:dyDescent="0.25">
      <c r="A30" s="728" t="str">
        <f t="shared" si="5"/>
        <v>Show</v>
      </c>
      <c r="B30" s="677" t="s">
        <v>2379</v>
      </c>
      <c r="C30" s="964" t="str">
        <f>IFERROR(INDEX('PR Expenditure_7A import-export'!A$2:A$48,MATCH('PR Expenditure_7A'!B30,'PR Expenditure_7A import-export'!N$2:N$48,0)),"")</f>
        <v>6.4 TB Molecular Test equipment</v>
      </c>
      <c r="D30" s="1312"/>
      <c r="E30" s="1313">
        <f>IFERROR(INDEX('PR Expenditure_7A import-export'!C$2:C$48,MATCH('PR Expenditure_7A'!B30,'PR Expenditure_7A import-export'!N$2:N$48,0)),"")</f>
        <v>165668</v>
      </c>
      <c r="F30" s="1314">
        <v>96428.66</v>
      </c>
      <c r="G30" s="1313">
        <f t="shared" si="6"/>
        <v>69239.34</v>
      </c>
      <c r="H30" s="1315">
        <f t="shared" si="7"/>
        <v>0.582059661491658</v>
      </c>
      <c r="I30" s="1316" t="s">
        <v>2380</v>
      </c>
      <c r="J30" s="1312"/>
      <c r="K30" s="1313">
        <f>IFERROR(INDEX('PR Expenditure_7A import-export'!I$2:I$48,MATCH('PR Expenditure_7A'!B30,'PR Expenditure_7A import-export'!N$2:N$48,0)),"")</f>
        <v>426828.97</v>
      </c>
      <c r="L30" s="1314">
        <f>159591.06+F30</f>
        <v>256019.72</v>
      </c>
      <c r="M30" s="1313">
        <f t="shared" si="8"/>
        <v>170809.24999999997</v>
      </c>
      <c r="N30" s="1317">
        <f t="shared" si="9"/>
        <v>0.59981804890141366</v>
      </c>
      <c r="O30" s="758"/>
      <c r="P30" s="438"/>
      <c r="Q30" s="284"/>
      <c r="R30" s="746"/>
      <c r="S30" s="284"/>
      <c r="T30" s="284"/>
      <c r="U30" s="259"/>
      <c r="V30" s="259"/>
      <c r="W30" s="63"/>
    </row>
    <row r="31" spans="1:23" s="257" customFormat="1" ht="60" customHeight="1" x14ac:dyDescent="0.25">
      <c r="A31" s="728" t="str">
        <f t="shared" si="5"/>
        <v>Show</v>
      </c>
      <c r="B31" s="677" t="s">
        <v>2381</v>
      </c>
      <c r="C31" s="964" t="str">
        <f>IFERROR(INDEX('PR Expenditure_7A import-export'!A$2:A$48,MATCH('PR Expenditure_7A'!B31,'PR Expenditure_7A import-export'!N$2:N$48,0)),"")</f>
        <v>6.5 Maintenance and service costs for health equipment</v>
      </c>
      <c r="D31" s="1312"/>
      <c r="E31" s="1313">
        <f>IFERROR(INDEX('PR Expenditure_7A import-export'!C$2:C$48,MATCH('PR Expenditure_7A'!B31,'PR Expenditure_7A import-export'!N$2:N$48,0)),"")</f>
        <v>42021.19</v>
      </c>
      <c r="F31" s="1314">
        <v>49127.68</v>
      </c>
      <c r="G31" s="1313">
        <f t="shared" si="6"/>
        <v>-7106.489999999998</v>
      </c>
      <c r="H31" s="1315">
        <f t="shared" si="7"/>
        <v>1.1691168193951671</v>
      </c>
      <c r="I31" s="1316" t="s">
        <v>2382</v>
      </c>
      <c r="J31" s="1312"/>
      <c r="K31" s="1313">
        <f>IFERROR(INDEX('PR Expenditure_7A import-export'!I$2:I$48,MATCH('PR Expenditure_7A'!B31,'PR Expenditure_7A import-export'!N$2:N$48,0)),"")</f>
        <v>71909.87</v>
      </c>
      <c r="L31" s="1314">
        <f>3900+F31</f>
        <v>53027.68</v>
      </c>
      <c r="M31" s="1313">
        <f t="shared" si="8"/>
        <v>18882.189999999995</v>
      </c>
      <c r="N31" s="1317">
        <f t="shared" si="9"/>
        <v>0.73741866033132875</v>
      </c>
      <c r="O31" s="758"/>
      <c r="P31" s="438"/>
      <c r="Q31" s="284"/>
      <c r="R31" s="746"/>
      <c r="S31" s="284"/>
      <c r="T31" s="284"/>
      <c r="U31" s="259"/>
      <c r="V31" s="259"/>
      <c r="W31" s="63"/>
    </row>
    <row r="32" spans="1:23" s="257" customFormat="1" ht="55.5" customHeight="1" x14ac:dyDescent="0.25">
      <c r="A32" s="728" t="str">
        <f t="shared" si="5"/>
        <v>Show</v>
      </c>
      <c r="B32" s="677" t="s">
        <v>2383</v>
      </c>
      <c r="C32" s="964" t="str">
        <f>IFERROR(INDEX('PR Expenditure_7A import-export'!A$2:A$48,MATCH('PR Expenditure_7A'!B32,'PR Expenditure_7A import-export'!N$2:N$48,0)),"")</f>
        <v>6.6 Other health equipment</v>
      </c>
      <c r="D32" s="1312"/>
      <c r="E32" s="1313">
        <f>IFERROR(INDEX('PR Expenditure_7A import-export'!C$2:C$48,MATCH('PR Expenditure_7A'!B32,'PR Expenditure_7A import-export'!N$2:N$48,0)),"")</f>
        <v>8210.17</v>
      </c>
      <c r="F32" s="1314">
        <v>16340.75</v>
      </c>
      <c r="G32" s="1313">
        <f t="shared" si="6"/>
        <v>-8130.58</v>
      </c>
      <c r="H32" s="1315">
        <f t="shared" si="7"/>
        <v>1.9903059254558675</v>
      </c>
      <c r="I32" s="1316" t="s">
        <v>2384</v>
      </c>
      <c r="J32" s="1312"/>
      <c r="K32" s="1313">
        <f>IFERROR(INDEX('PR Expenditure_7A import-export'!I$2:I$48,MATCH('PR Expenditure_7A'!B32,'PR Expenditure_7A import-export'!N$2:N$48,0)),"")</f>
        <v>16420.34</v>
      </c>
      <c r="L32" s="1314">
        <f>0+F32</f>
        <v>16340.75</v>
      </c>
      <c r="M32" s="1313">
        <f t="shared" si="8"/>
        <v>79.590000000000146</v>
      </c>
      <c r="N32" s="1317">
        <f t="shared" si="9"/>
        <v>0.99515296272793374</v>
      </c>
      <c r="O32" s="758"/>
      <c r="P32" s="438"/>
      <c r="Q32" s="284"/>
      <c r="R32" s="746"/>
      <c r="S32" s="284"/>
      <c r="T32" s="284"/>
      <c r="U32" s="259"/>
      <c r="V32" s="259"/>
      <c r="W32" s="63"/>
    </row>
    <row r="33" spans="1:23" s="257" customFormat="1" ht="119.25" customHeight="1" x14ac:dyDescent="0.25">
      <c r="A33" s="728" t="str">
        <f t="shared" si="5"/>
        <v>Show</v>
      </c>
      <c r="B33" s="677" t="s">
        <v>2385</v>
      </c>
      <c r="C33" s="964" t="str">
        <f>IFERROR(INDEX('PR Expenditure_7A import-export'!A$2:A$48,MATCH('PR Expenditure_7A'!B33,'PR Expenditure_7A import-export'!N$2:N$48,0)),"")</f>
        <v>7.1 Procurement agent and handling fees</v>
      </c>
      <c r="D33" s="1312"/>
      <c r="E33" s="1313">
        <f>IFERROR(INDEX('PR Expenditure_7A import-export'!C$2:C$48,MATCH('PR Expenditure_7A'!B33,'PR Expenditure_7A import-export'!N$2:N$48,0)),"")</f>
        <v>203060.32895</v>
      </c>
      <c r="F33" s="1314">
        <v>105132.09000000001</v>
      </c>
      <c r="G33" s="1313">
        <f t="shared" si="6"/>
        <v>97928.238949999984</v>
      </c>
      <c r="H33" s="1315">
        <f t="shared" si="7"/>
        <v>0.51773820392996073</v>
      </c>
      <c r="I33" s="1316" t="s">
        <v>2386</v>
      </c>
      <c r="J33" s="1312"/>
      <c r="K33" s="1313">
        <f>IFERROR(INDEX('PR Expenditure_7A import-export'!I$2:I$48,MATCH('PR Expenditure_7A'!B33,'PR Expenditure_7A import-export'!N$2:N$48,0)),"")</f>
        <v>280136.41814999998</v>
      </c>
      <c r="L33" s="1314">
        <f>51642.32+F33</f>
        <v>156774.41</v>
      </c>
      <c r="M33" s="1313">
        <f t="shared" si="8"/>
        <v>123362.00814999998</v>
      </c>
      <c r="N33" s="1317">
        <f t="shared" si="9"/>
        <v>0.55963594821168383</v>
      </c>
      <c r="O33" s="758"/>
      <c r="P33" s="438"/>
      <c r="Q33" s="284"/>
      <c r="R33" s="746"/>
      <c r="S33" s="284"/>
      <c r="T33" s="284"/>
      <c r="U33" s="259"/>
      <c r="V33" s="259"/>
      <c r="W33" s="63"/>
    </row>
    <row r="34" spans="1:23" s="257" customFormat="1" ht="106.5" customHeight="1" x14ac:dyDescent="0.25">
      <c r="A34" s="728" t="str">
        <f t="shared" si="5"/>
        <v>Show</v>
      </c>
      <c r="B34" s="677" t="s">
        <v>2387</v>
      </c>
      <c r="C34" s="964" t="str">
        <f>IFERROR(INDEX('PR Expenditure_7A import-export'!A$2:A$48,MATCH('PR Expenditure_7A'!B34,'PR Expenditure_7A import-export'!N$2:N$48,0)),"")</f>
        <v>7.2 Freight and insurance costs (Health products)</v>
      </c>
      <c r="D34" s="1312"/>
      <c r="E34" s="1313">
        <f>IFERROR(INDEX('PR Expenditure_7A import-export'!C$2:C$48,MATCH('PR Expenditure_7A'!B34,'PR Expenditure_7A import-export'!N$2:N$48,0)),"")</f>
        <v>756924.26063599996</v>
      </c>
      <c r="F34" s="1314">
        <v>646170.78</v>
      </c>
      <c r="G34" s="1313">
        <f t="shared" si="6"/>
        <v>110753.48063599993</v>
      </c>
      <c r="H34" s="1315">
        <f t="shared" si="7"/>
        <v>0.85367957351117252</v>
      </c>
      <c r="I34" s="1316" t="s">
        <v>2388</v>
      </c>
      <c r="J34" s="1312"/>
      <c r="K34" s="1313">
        <f>IFERROR(INDEX('PR Expenditure_7A import-export'!I$2:I$48,MATCH('PR Expenditure_7A'!B34,'PR Expenditure_7A import-export'!N$2:N$48,0)),"")</f>
        <v>1049192.3641959999</v>
      </c>
      <c r="L34" s="1314">
        <f>301616.29+F34</f>
        <v>947787.07000000007</v>
      </c>
      <c r="M34" s="1313">
        <f t="shared" si="8"/>
        <v>101405.29419599986</v>
      </c>
      <c r="N34" s="1317">
        <f t="shared" si="9"/>
        <v>0.90334918775957052</v>
      </c>
      <c r="O34" s="758"/>
      <c r="P34" s="438"/>
      <c r="Q34" s="284"/>
      <c r="R34" s="746"/>
      <c r="S34" s="284"/>
      <c r="T34" s="284"/>
      <c r="U34" s="259"/>
      <c r="V34" s="259"/>
      <c r="W34" s="63"/>
    </row>
    <row r="35" spans="1:23" s="257" customFormat="1" ht="82.5" customHeight="1" x14ac:dyDescent="0.25">
      <c r="A35" s="728" t="str">
        <f t="shared" si="5"/>
        <v>Show</v>
      </c>
      <c r="B35" s="677" t="s">
        <v>2389</v>
      </c>
      <c r="C35" s="964" t="str">
        <f>IFERROR(INDEX('PR Expenditure_7A import-export'!A$2:A$48,MATCH('PR Expenditure_7A'!B35,'PR Expenditure_7A import-export'!N$2:N$48,0)),"")</f>
        <v>7.3 Warehouse and Storage Costs</v>
      </c>
      <c r="D35" s="1312"/>
      <c r="E35" s="1313">
        <f>IFERROR(INDEX('PR Expenditure_7A import-export'!C$2:C$48,MATCH('PR Expenditure_7A'!B35,'PR Expenditure_7A import-export'!N$2:N$48,0)),"")</f>
        <v>246212.2635</v>
      </c>
      <c r="F35" s="1314">
        <v>137748.19999999998</v>
      </c>
      <c r="G35" s="1313">
        <f t="shared" si="6"/>
        <v>108464.06350000002</v>
      </c>
      <c r="H35" s="1315">
        <f t="shared" si="7"/>
        <v>0.5594692889860865</v>
      </c>
      <c r="I35" s="1316" t="s">
        <v>2390</v>
      </c>
      <c r="J35" s="1312"/>
      <c r="K35" s="1313">
        <f>IFERROR(INDEX('PR Expenditure_7A import-export'!I$2:I$48,MATCH('PR Expenditure_7A'!B35,'PR Expenditure_7A import-export'!N$2:N$48,0)),"")</f>
        <v>342244.6385</v>
      </c>
      <c r="L35" s="1314">
        <f>21773.57+F35</f>
        <v>159521.76999999999</v>
      </c>
      <c r="M35" s="1313">
        <f t="shared" si="8"/>
        <v>182722.86850000001</v>
      </c>
      <c r="N35" s="1317">
        <f t="shared" si="9"/>
        <v>0.46610451137863473</v>
      </c>
      <c r="O35" s="758"/>
      <c r="P35" s="438"/>
      <c r="Q35" s="284"/>
      <c r="R35" s="746"/>
      <c r="S35" s="284"/>
      <c r="T35" s="284"/>
      <c r="U35" s="259"/>
      <c r="V35" s="259"/>
      <c r="W35" s="63"/>
    </row>
    <row r="36" spans="1:23" s="257" customFormat="1" ht="61.5" customHeight="1" x14ac:dyDescent="0.25">
      <c r="A36" s="728" t="str">
        <f t="shared" si="5"/>
        <v>Show</v>
      </c>
      <c r="B36" s="677" t="s">
        <v>2391</v>
      </c>
      <c r="C36" s="964" t="str">
        <f>IFERROR(INDEX('PR Expenditure_7A import-export'!A$2:A$48,MATCH('PR Expenditure_7A'!B36,'PR Expenditure_7A import-export'!N$2:N$48,0)),"")</f>
        <v>7.5 Quality assurance and quality control costs (QA/QC)</v>
      </c>
      <c r="D36" s="1312"/>
      <c r="E36" s="1313">
        <f>IFERROR(INDEX('PR Expenditure_7A import-export'!C$2:C$48,MATCH('PR Expenditure_7A'!B36,'PR Expenditure_7A import-export'!N$2:N$48,0)),"")</f>
        <v>117455.52</v>
      </c>
      <c r="F36" s="1314">
        <v>34647.94</v>
      </c>
      <c r="G36" s="1313">
        <f t="shared" si="6"/>
        <v>82807.58</v>
      </c>
      <c r="H36" s="1315">
        <f t="shared" si="7"/>
        <v>0.29498775366198199</v>
      </c>
      <c r="I36" s="1316" t="s">
        <v>2392</v>
      </c>
      <c r="J36" s="1312"/>
      <c r="K36" s="1313">
        <f>IFERROR(INDEX('PR Expenditure_7A import-export'!I$2:I$48,MATCH('PR Expenditure_7A'!B36,'PR Expenditure_7A import-export'!N$2:N$48,0)),"")</f>
        <v>180362.13</v>
      </c>
      <c r="L36" s="1314">
        <f>0+F36</f>
        <v>34647.94</v>
      </c>
      <c r="M36" s="1313">
        <f t="shared" si="8"/>
        <v>145714.19</v>
      </c>
      <c r="N36" s="1317">
        <f t="shared" si="9"/>
        <v>0.1921020781912478</v>
      </c>
      <c r="O36" s="758"/>
      <c r="P36" s="438"/>
      <c r="Q36" s="284"/>
      <c r="R36" s="746"/>
      <c r="S36" s="284"/>
      <c r="T36" s="284"/>
      <c r="U36" s="259"/>
      <c r="V36" s="259"/>
      <c r="W36" s="63"/>
    </row>
    <row r="37" spans="1:23" s="257" customFormat="1" ht="57.75" customHeight="1" x14ac:dyDescent="0.25">
      <c r="A37" s="728" t="str">
        <f t="shared" si="5"/>
        <v>Show</v>
      </c>
      <c r="B37" s="677" t="s">
        <v>2393</v>
      </c>
      <c r="C37" s="964" t="str">
        <f>IFERROR(INDEX('PR Expenditure_7A import-export'!A$2:A$48,MATCH('PR Expenditure_7A'!B37,'PR Expenditure_7A import-export'!N$2:N$48,0)),"")</f>
        <v>8.1 Furniture</v>
      </c>
      <c r="D37" s="1312"/>
      <c r="E37" s="1313">
        <f>IFERROR(INDEX('PR Expenditure_7A import-export'!C$2:C$48,MATCH('PR Expenditure_7A'!B37,'PR Expenditure_7A import-export'!N$2:N$48,0)),"")</f>
        <v>0</v>
      </c>
      <c r="F37" s="1314">
        <v>4843.0600000000013</v>
      </c>
      <c r="G37" s="1313">
        <f t="shared" si="6"/>
        <v>-4843.0600000000013</v>
      </c>
      <c r="H37" s="1315" t="str">
        <f t="shared" si="7"/>
        <v>Not Budgeted</v>
      </c>
      <c r="I37" s="1316" t="s">
        <v>2394</v>
      </c>
      <c r="J37" s="1312"/>
      <c r="K37" s="1313">
        <f>IFERROR(INDEX('PR Expenditure_7A import-export'!I$2:I$48,MATCH('PR Expenditure_7A'!B37,'PR Expenditure_7A import-export'!N$2:N$48,0)),"")</f>
        <v>7155</v>
      </c>
      <c r="L37" s="1314">
        <f>4319.36+F37</f>
        <v>9162.4200000000019</v>
      </c>
      <c r="M37" s="1313">
        <f t="shared" si="8"/>
        <v>-2007.4200000000019</v>
      </c>
      <c r="N37" s="1317">
        <f t="shared" si="9"/>
        <v>1.2805618448637319</v>
      </c>
      <c r="O37" s="758"/>
      <c r="P37" s="438"/>
      <c r="Q37" s="284"/>
      <c r="R37" s="746"/>
      <c r="S37" s="284"/>
      <c r="T37" s="284"/>
      <c r="U37" s="259"/>
      <c r="V37" s="259"/>
      <c r="W37" s="63"/>
    </row>
    <row r="38" spans="1:23" s="257" customFormat="1" ht="39.950000000000003" customHeight="1" x14ac:dyDescent="0.25">
      <c r="A38" s="728" t="str">
        <f t="shared" si="5"/>
        <v>Show</v>
      </c>
      <c r="B38" s="677" t="s">
        <v>2395</v>
      </c>
      <c r="C38" s="964" t="str">
        <f>IFERROR(INDEX('PR Expenditure_7A import-export'!A$2:A$48,MATCH('PR Expenditure_7A'!B38,'PR Expenditure_7A import-export'!N$2:N$48,0)),"")</f>
        <v>8.2 Renovation/constructions</v>
      </c>
      <c r="D38" s="1312"/>
      <c r="E38" s="1313">
        <f>IFERROR(INDEX('PR Expenditure_7A import-export'!C$2:C$48,MATCH('PR Expenditure_7A'!B38,'PR Expenditure_7A import-export'!N$2:N$48,0)),"")</f>
        <v>0</v>
      </c>
      <c r="F38" s="1314">
        <v>17000</v>
      </c>
      <c r="G38" s="1313">
        <f t="shared" si="6"/>
        <v>-17000</v>
      </c>
      <c r="H38" s="1315" t="str">
        <f t="shared" si="7"/>
        <v>Not Budgeted</v>
      </c>
      <c r="I38" s="1316" t="s">
        <v>2396</v>
      </c>
      <c r="J38" s="1312"/>
      <c r="K38" s="1313">
        <f>IFERROR(INDEX('PR Expenditure_7A import-export'!I$2:I$48,MATCH('PR Expenditure_7A'!B38,'PR Expenditure_7A import-export'!N$2:N$48,0)),"")</f>
        <v>17000</v>
      </c>
      <c r="L38" s="1314">
        <f>1098.37+F38</f>
        <v>18098.37</v>
      </c>
      <c r="M38" s="1313">
        <f t="shared" si="8"/>
        <v>-1098.369999999999</v>
      </c>
      <c r="N38" s="1317">
        <f t="shared" si="9"/>
        <v>1.0646099999999998</v>
      </c>
      <c r="O38" s="758"/>
      <c r="P38" s="438"/>
      <c r="Q38" s="284"/>
      <c r="R38" s="746"/>
      <c r="S38" s="284"/>
      <c r="T38" s="284"/>
      <c r="U38" s="259"/>
      <c r="V38" s="259"/>
      <c r="W38" s="63"/>
    </row>
    <row r="39" spans="1:23" s="257" customFormat="1" ht="60" customHeight="1" x14ac:dyDescent="0.25">
      <c r="A39" s="728" t="str">
        <f t="shared" si="5"/>
        <v>Show</v>
      </c>
      <c r="B39" s="677" t="s">
        <v>2397</v>
      </c>
      <c r="C39" s="964" t="str">
        <f>IFERROR(INDEX('PR Expenditure_7A import-export'!A$2:A$48,MATCH('PR Expenditure_7A'!B39,'PR Expenditure_7A import-export'!N$2:N$48,0)),"")</f>
        <v>9.1 IT - Computers, computer equipment, Software and applications</v>
      </c>
      <c r="D39" s="1312"/>
      <c r="E39" s="1313">
        <f>IFERROR(INDEX('PR Expenditure_7A import-export'!C$2:C$48,MATCH('PR Expenditure_7A'!B39,'PR Expenditure_7A import-export'!N$2:N$48,0)),"")</f>
        <v>0</v>
      </c>
      <c r="F39" s="1314">
        <v>3647.76</v>
      </c>
      <c r="G39" s="1313">
        <f t="shared" si="6"/>
        <v>-3647.76</v>
      </c>
      <c r="H39" s="1315" t="str">
        <f t="shared" si="7"/>
        <v>Not Budgeted</v>
      </c>
      <c r="I39" s="1316" t="s">
        <v>2398</v>
      </c>
      <c r="J39" s="1312"/>
      <c r="K39" s="1313">
        <f>IFERROR(INDEX('PR Expenditure_7A import-export'!I$2:I$48,MATCH('PR Expenditure_7A'!B39,'PR Expenditure_7A import-export'!N$2:N$48,0)),"")</f>
        <v>10580</v>
      </c>
      <c r="L39" s="1314">
        <f>10731.83+F39</f>
        <v>14379.59</v>
      </c>
      <c r="M39" s="1313">
        <f t="shared" si="8"/>
        <v>-3799.59</v>
      </c>
      <c r="N39" s="1317">
        <f t="shared" si="9"/>
        <v>1.3591294896030246</v>
      </c>
      <c r="O39" s="758"/>
      <c r="P39" s="438"/>
      <c r="Q39" s="284"/>
      <c r="R39" s="746"/>
      <c r="S39" s="284"/>
      <c r="T39" s="284"/>
      <c r="U39" s="259"/>
      <c r="V39" s="259"/>
      <c r="W39" s="63"/>
    </row>
    <row r="40" spans="1:23" s="257" customFormat="1" ht="39.950000000000003" customHeight="1" x14ac:dyDescent="0.25">
      <c r="A40" s="728" t="str">
        <f t="shared" si="5"/>
        <v>Show</v>
      </c>
      <c r="B40" s="677" t="s">
        <v>2399</v>
      </c>
      <c r="C40" s="964" t="str">
        <f>IFERROR(INDEX('PR Expenditure_7A import-export'!A$2:A$48,MATCH('PR Expenditure_7A'!B40,'PR Expenditure_7A import-export'!N$2:N$48,0)),"")</f>
        <v>9.2 Vehicles</v>
      </c>
      <c r="D40" s="1312"/>
      <c r="E40" s="1313">
        <f>IFERROR(INDEX('PR Expenditure_7A import-export'!C$2:C$48,MATCH('PR Expenditure_7A'!B40,'PR Expenditure_7A import-export'!N$2:N$48,0)),"")</f>
        <v>0</v>
      </c>
      <c r="F40" s="1314">
        <v>0</v>
      </c>
      <c r="G40" s="1313">
        <f t="shared" si="6"/>
        <v>0</v>
      </c>
      <c r="H40" s="1315" t="str">
        <f t="shared" si="7"/>
        <v>N/A</v>
      </c>
      <c r="I40" s="1316"/>
      <c r="J40" s="1312"/>
      <c r="K40" s="1313">
        <f>IFERROR(INDEX('PR Expenditure_7A import-export'!I$2:I$48,MATCH('PR Expenditure_7A'!B40,'PR Expenditure_7A import-export'!N$2:N$48,0)),"")</f>
        <v>30000</v>
      </c>
      <c r="L40" s="1314">
        <f>42843.07+F40</f>
        <v>42843.07</v>
      </c>
      <c r="M40" s="1313">
        <f t="shared" si="8"/>
        <v>-12843.07</v>
      </c>
      <c r="N40" s="1317">
        <f t="shared" si="9"/>
        <v>1.4281023333333334</v>
      </c>
      <c r="O40" s="758"/>
      <c r="P40" s="438"/>
      <c r="Q40" s="284"/>
      <c r="R40" s="746"/>
      <c r="S40" s="284"/>
      <c r="T40" s="284"/>
      <c r="U40" s="259"/>
      <c r="V40" s="259"/>
      <c r="W40" s="63"/>
    </row>
    <row r="41" spans="1:23" s="257" customFormat="1" ht="39.950000000000003" customHeight="1" x14ac:dyDescent="0.25">
      <c r="A41" s="728" t="str">
        <f t="shared" si="5"/>
        <v>Show</v>
      </c>
      <c r="B41" s="677" t="s">
        <v>2400</v>
      </c>
      <c r="C41" s="964" t="str">
        <f>IFERROR(INDEX('PR Expenditure_7A import-export'!A$2:A$48,MATCH('PR Expenditure_7A'!B41,'PR Expenditure_7A import-export'!N$2:N$48,0)),"")</f>
        <v>9.3 Other non-health equipment</v>
      </c>
      <c r="D41" s="1312"/>
      <c r="E41" s="1313">
        <f>IFERROR(INDEX('PR Expenditure_7A import-export'!C$2:C$48,MATCH('PR Expenditure_7A'!B41,'PR Expenditure_7A import-export'!N$2:N$48,0)),"")</f>
        <v>0</v>
      </c>
      <c r="F41" s="1314">
        <v>1035.3</v>
      </c>
      <c r="G41" s="1313">
        <f t="shared" si="6"/>
        <v>-1035.3</v>
      </c>
      <c r="H41" s="1315" t="str">
        <f t="shared" si="7"/>
        <v>Not Budgeted</v>
      </c>
      <c r="I41" s="1316" t="s">
        <v>2401</v>
      </c>
      <c r="J41" s="1312"/>
      <c r="K41" s="1313">
        <f>IFERROR(INDEX('PR Expenditure_7A import-export'!I$2:I$48,MATCH('PR Expenditure_7A'!B41,'PR Expenditure_7A import-export'!N$2:N$48,0)),"")</f>
        <v>4600</v>
      </c>
      <c r="L41" s="1314">
        <f>90527.78+F41</f>
        <v>91563.08</v>
      </c>
      <c r="M41" s="1313">
        <f t="shared" si="8"/>
        <v>-86963.08</v>
      </c>
      <c r="N41" s="1317">
        <f t="shared" si="9"/>
        <v>19.905017391304348</v>
      </c>
      <c r="O41" s="758"/>
      <c r="P41" s="438"/>
      <c r="Q41" s="284"/>
      <c r="R41" s="746"/>
      <c r="S41" s="284"/>
      <c r="T41" s="284"/>
      <c r="U41" s="259"/>
      <c r="V41" s="259"/>
      <c r="W41" s="63"/>
    </row>
    <row r="42" spans="1:23" s="257" customFormat="1" ht="157.5" customHeight="1" x14ac:dyDescent="0.25">
      <c r="A42" s="728" t="str">
        <f t="shared" si="5"/>
        <v>Show</v>
      </c>
      <c r="B42" s="677" t="s">
        <v>2402</v>
      </c>
      <c r="C42" s="964" t="str">
        <f>IFERROR(INDEX('PR Expenditure_7A import-export'!A$2:A$48,MATCH('PR Expenditure_7A'!B42,'PR Expenditure_7A import-export'!N$2:N$48,0)),"")</f>
        <v>9.4 Maintenance and service costs non-health equipment</v>
      </c>
      <c r="D42" s="1312"/>
      <c r="E42" s="1313">
        <f>IFERROR(INDEX('PR Expenditure_7A import-export'!C$2:C$48,MATCH('PR Expenditure_7A'!B42,'PR Expenditure_7A import-export'!N$2:N$48,0)),"")</f>
        <v>22764.758186967301</v>
      </c>
      <c r="F42" s="1314">
        <v>25168</v>
      </c>
      <c r="G42" s="1313">
        <f t="shared" si="6"/>
        <v>-2403.2418130326987</v>
      </c>
      <c r="H42" s="1315">
        <f t="shared" si="7"/>
        <v>1.1055685192566</v>
      </c>
      <c r="I42" s="1316" t="s">
        <v>2403</v>
      </c>
      <c r="J42" s="1312"/>
      <c r="K42" s="1313">
        <f>IFERROR(INDEX('PR Expenditure_7A import-export'!I$2:I$48,MATCH('PR Expenditure_7A'!B42,'PR Expenditure_7A import-export'!N$2:N$48,0)),"")</f>
        <v>45529.516373934603</v>
      </c>
      <c r="L42" s="1314">
        <f>78911.29+F42</f>
        <v>104079.29</v>
      </c>
      <c r="M42" s="1313">
        <f t="shared" si="8"/>
        <v>-58549.773626065391</v>
      </c>
      <c r="N42" s="1317">
        <f t="shared" si="9"/>
        <v>2.2859739854294787</v>
      </c>
      <c r="O42" s="758"/>
      <c r="P42" s="438"/>
      <c r="Q42" s="284"/>
      <c r="R42" s="746"/>
      <c r="S42" s="284"/>
      <c r="T42" s="284"/>
      <c r="U42" s="259"/>
      <c r="V42" s="259"/>
      <c r="W42" s="63"/>
    </row>
    <row r="43" spans="1:23" s="257" customFormat="1" ht="104.25" customHeight="1" x14ac:dyDescent="0.25">
      <c r="A43" s="728" t="str">
        <f t="shared" si="5"/>
        <v>Show</v>
      </c>
      <c r="B43" s="677" t="s">
        <v>2404</v>
      </c>
      <c r="C43" s="964" t="str">
        <f>IFERROR(INDEX('PR Expenditure_7A import-export'!A$2:A$48,MATCH('PR Expenditure_7A'!B43,'PR Expenditure_7A import-export'!N$2:N$48,0)),"")</f>
        <v>10.1 Printed materials (forms, books, guidelines, brochure, leaflets...)</v>
      </c>
      <c r="D43" s="1312"/>
      <c r="E43" s="1313">
        <f>IFERROR(INDEX('PR Expenditure_7A import-export'!C$2:C$48,MATCH('PR Expenditure_7A'!B43,'PR Expenditure_7A import-export'!N$2:N$48,0)),"")</f>
        <v>37820.140250483098</v>
      </c>
      <c r="F43" s="1314">
        <v>7326.3255567338283</v>
      </c>
      <c r="G43" s="1313">
        <f t="shared" si="6"/>
        <v>30493.814693749271</v>
      </c>
      <c r="H43" s="1315">
        <f t="shared" si="7"/>
        <v>0.1937149230069353</v>
      </c>
      <c r="I43" s="1316" t="s">
        <v>2405</v>
      </c>
      <c r="J43" s="1312"/>
      <c r="K43" s="1313">
        <f>IFERROR(INDEX('PR Expenditure_7A import-export'!I$2:I$48,MATCH('PR Expenditure_7A'!B43,'PR Expenditure_7A import-export'!N$2:N$48,0)),"")</f>
        <v>87791.524325767197</v>
      </c>
      <c r="L43" s="1314">
        <f>0+F43</f>
        <v>7326.3255567338283</v>
      </c>
      <c r="M43" s="1313">
        <f t="shared" si="8"/>
        <v>80465.198769033363</v>
      </c>
      <c r="N43" s="1317">
        <f t="shared" si="9"/>
        <v>8.345139935773413E-2</v>
      </c>
      <c r="O43" s="758"/>
      <c r="P43" s="438"/>
      <c r="Q43" s="284"/>
      <c r="R43" s="746"/>
      <c r="S43" s="284"/>
      <c r="T43" s="284"/>
      <c r="U43" s="259"/>
      <c r="V43" s="259"/>
      <c r="W43" s="63"/>
    </row>
    <row r="44" spans="1:23" s="257" customFormat="1" ht="104.25" customHeight="1" x14ac:dyDescent="0.25">
      <c r="A44" s="728" t="str">
        <f t="shared" si="5"/>
        <v>Show</v>
      </c>
      <c r="B44" s="677" t="s">
        <v>2406</v>
      </c>
      <c r="C44" s="964" t="str">
        <f>IFERROR(INDEX('PR Expenditure_7A import-export'!A$2:A$48,MATCH('PR Expenditure_7A'!B44,'PR Expenditure_7A import-export'!N$2:N$48,0)),"")</f>
        <v>10.2 Television/Radio spots and programmes</v>
      </c>
      <c r="D44" s="1312"/>
      <c r="E44" s="1313">
        <f>IFERROR(INDEX('PR Expenditure_7A import-export'!C$2:C$48,MATCH('PR Expenditure_7A'!B44,'PR Expenditure_7A import-export'!N$2:N$48,0)),"")</f>
        <v>46237.763862936103</v>
      </c>
      <c r="F44" s="1314">
        <v>17964.170111053361</v>
      </c>
      <c r="G44" s="1313">
        <f t="shared" si="6"/>
        <v>28273.593751882741</v>
      </c>
      <c r="H44" s="1315">
        <f t="shared" si="7"/>
        <v>0.38851727700987126</v>
      </c>
      <c r="I44" s="1316" t="s">
        <v>2407</v>
      </c>
      <c r="J44" s="1312"/>
      <c r="K44" s="1313">
        <f>IFERROR(INDEX('PR Expenditure_7A import-export'!I$2:I$48,MATCH('PR Expenditure_7A'!B44,'PR Expenditure_7A import-export'!N$2:N$48,0)),"")</f>
        <v>87390.604375139694</v>
      </c>
      <c r="L44" s="1314">
        <f>4286.47+F44</f>
        <v>22250.640111053362</v>
      </c>
      <c r="M44" s="1313">
        <f t="shared" si="8"/>
        <v>65139.964264086331</v>
      </c>
      <c r="N44" s="1317">
        <f t="shared" si="9"/>
        <v>0.25461135404829721</v>
      </c>
      <c r="O44" s="758"/>
      <c r="P44" s="438"/>
      <c r="Q44" s="284"/>
      <c r="R44" s="746"/>
      <c r="S44" s="284"/>
      <c r="T44" s="284"/>
      <c r="U44" s="259"/>
      <c r="V44" s="259"/>
      <c r="W44" s="63"/>
    </row>
    <row r="45" spans="1:23" s="257" customFormat="1" ht="95.25" customHeight="1" x14ac:dyDescent="0.25">
      <c r="A45" s="728" t="str">
        <f t="shared" si="5"/>
        <v>Show</v>
      </c>
      <c r="B45" s="677" t="s">
        <v>2408</v>
      </c>
      <c r="C45" s="964" t="str">
        <f>IFERROR(INDEX('PR Expenditure_7A import-export'!A$2:A$48,MATCH('PR Expenditure_7A'!B45,'PR Expenditure_7A import-export'!N$2:N$48,0)),"")</f>
        <v>10.3 Promotional Material (t-shirts, mugs, pins...) and other CMP costs</v>
      </c>
      <c r="D45" s="1312"/>
      <c r="E45" s="1313">
        <f>IFERROR(INDEX('PR Expenditure_7A import-export'!C$2:C$48,MATCH('PR Expenditure_7A'!B45,'PR Expenditure_7A import-export'!N$2:N$48,0)),"")</f>
        <v>20721.179549024899</v>
      </c>
      <c r="F45" s="1314">
        <v>14733.896320254507</v>
      </c>
      <c r="G45" s="1313">
        <f t="shared" si="6"/>
        <v>5987.2832287703914</v>
      </c>
      <c r="H45" s="1315">
        <f t="shared" si="7"/>
        <v>0.71105490328845</v>
      </c>
      <c r="I45" s="1316" t="s">
        <v>2409</v>
      </c>
      <c r="J45" s="1312"/>
      <c r="K45" s="1313">
        <f>IFERROR(INDEX('PR Expenditure_7A import-export'!I$2:I$48,MATCH('PR Expenditure_7A'!B45,'PR Expenditure_7A import-export'!N$2:N$48,0)),"")</f>
        <v>41442.359098049703</v>
      </c>
      <c r="L45" s="1314">
        <f>530.26+F45</f>
        <v>15264.156320254508</v>
      </c>
      <c r="M45" s="1313">
        <f t="shared" si="8"/>
        <v>26178.202777795195</v>
      </c>
      <c r="N45" s="1317">
        <f t="shared" si="9"/>
        <v>0.36832257266389179</v>
      </c>
      <c r="O45" s="758"/>
      <c r="P45" s="438"/>
      <c r="Q45" s="284"/>
      <c r="R45" s="746"/>
      <c r="S45" s="284"/>
      <c r="T45" s="284"/>
      <c r="U45" s="259"/>
      <c r="V45" s="259"/>
      <c r="W45" s="63"/>
    </row>
    <row r="46" spans="1:23" s="257" customFormat="1" ht="180" customHeight="1" x14ac:dyDescent="0.25">
      <c r="A46" s="728" t="str">
        <f t="shared" si="5"/>
        <v>Show</v>
      </c>
      <c r="B46" s="677" t="s">
        <v>2410</v>
      </c>
      <c r="C46" s="964" t="str">
        <f>IFERROR(INDEX('PR Expenditure_7A import-export'!A$2:A$48,MATCH('PR Expenditure_7A'!B46,'PR Expenditure_7A import-export'!N$2:N$48,0)),"")</f>
        <v>11.1 Office related costs</v>
      </c>
      <c r="D46" s="1312"/>
      <c r="E46" s="1313">
        <f>IFERROR(INDEX('PR Expenditure_7A import-export'!C$2:C$48,MATCH('PR Expenditure_7A'!B46,'PR Expenditure_7A import-export'!N$2:N$48,0)),"")</f>
        <v>278450.45988567697</v>
      </c>
      <c r="F46" s="1314">
        <v>229177.64055322952</v>
      </c>
      <c r="G46" s="1313">
        <f t="shared" si="6"/>
        <v>49272.819332447456</v>
      </c>
      <c r="H46" s="1315">
        <f t="shared" si="7"/>
        <v>0.82304637114739432</v>
      </c>
      <c r="I46" s="1316" t="s">
        <v>2411</v>
      </c>
      <c r="J46" s="1312"/>
      <c r="K46" s="1313">
        <f>IFERROR(INDEX('PR Expenditure_7A import-export'!I$2:I$48,MATCH('PR Expenditure_7A'!B46,'PR Expenditure_7A import-export'!N$2:N$48,0)),"")</f>
        <v>558301.31977135397</v>
      </c>
      <c r="L46" s="1314">
        <f>186595.4+F46</f>
        <v>415773.04055322951</v>
      </c>
      <c r="M46" s="1313">
        <f t="shared" si="8"/>
        <v>142528.27921812446</v>
      </c>
      <c r="N46" s="1317">
        <f t="shared" si="9"/>
        <v>0.74471083235752455</v>
      </c>
      <c r="O46" s="758"/>
      <c r="P46" s="438"/>
      <c r="Q46" s="284"/>
      <c r="R46" s="746"/>
      <c r="S46" s="284"/>
      <c r="T46" s="284"/>
      <c r="U46" s="259"/>
      <c r="V46" s="259"/>
      <c r="W46" s="63"/>
    </row>
    <row r="47" spans="1:23" s="257" customFormat="1" ht="39.950000000000003" customHeight="1" x14ac:dyDescent="0.25">
      <c r="A47" s="728" t="str">
        <f t="shared" si="5"/>
        <v>Show</v>
      </c>
      <c r="B47" s="677" t="s">
        <v>2412</v>
      </c>
      <c r="C47" s="964" t="str">
        <f>IFERROR(INDEX('PR Expenditure_7A import-export'!A$2:A$48,MATCH('PR Expenditure_7A'!B47,'PR Expenditure_7A import-export'!N$2:N$48,0)),"")</f>
        <v>11.3 Indirect cost recovery (ICR) - % based</v>
      </c>
      <c r="D47" s="1312"/>
      <c r="E47" s="1313">
        <f>IFERROR(INDEX('PR Expenditure_7A import-export'!C$2:C$48,MATCH('PR Expenditure_7A'!B47,'PR Expenditure_7A import-export'!N$2:N$48,0)),"")</f>
        <v>769050.59500482504</v>
      </c>
      <c r="F47" s="1314">
        <v>738072.23921605095</v>
      </c>
      <c r="G47" s="1313">
        <f t="shared" si="6"/>
        <v>30978.35578877409</v>
      </c>
      <c r="H47" s="1315">
        <f t="shared" si="7"/>
        <v>0.95971870252752389</v>
      </c>
      <c r="I47" s="1316" t="s">
        <v>2413</v>
      </c>
      <c r="J47" s="1312"/>
      <c r="K47" s="1313">
        <f>IFERROR(INDEX('PR Expenditure_7A import-export'!I$2:I$48,MATCH('PR Expenditure_7A'!B47,'PR Expenditure_7A import-export'!N$2:N$48,0)),"")</f>
        <v>1309371.4001204099</v>
      </c>
      <c r="L47" s="1314">
        <f>393050.76+F47</f>
        <v>1131122.9992160508</v>
      </c>
      <c r="M47" s="1313">
        <f t="shared" si="8"/>
        <v>178248.40090435906</v>
      </c>
      <c r="N47" s="1317">
        <f t="shared" si="9"/>
        <v>0.86386719544357904</v>
      </c>
      <c r="O47" s="758"/>
      <c r="P47" s="438"/>
      <c r="Q47" s="284"/>
      <c r="R47" s="746"/>
      <c r="S47" s="284"/>
      <c r="T47" s="284"/>
      <c r="U47" s="259"/>
      <c r="V47" s="259"/>
      <c r="W47" s="63"/>
    </row>
    <row r="48" spans="1:23" s="257" customFormat="1" ht="39.950000000000003" customHeight="1" x14ac:dyDescent="0.25">
      <c r="A48" s="728" t="str">
        <f t="shared" si="5"/>
        <v>Show</v>
      </c>
      <c r="B48" s="677" t="s">
        <v>2414</v>
      </c>
      <c r="C48" s="964" t="str">
        <f>IFERROR(INDEX('PR Expenditure_7A import-export'!A$2:A$48,MATCH('PR Expenditure_7A'!B48,'PR Expenditure_7A import-export'!N$2:N$48,0)),"")</f>
        <v>11.4 Other PA costs</v>
      </c>
      <c r="D48" s="1312"/>
      <c r="E48" s="1313">
        <f>IFERROR(INDEX('PR Expenditure_7A import-export'!C$2:C$48,MATCH('PR Expenditure_7A'!B48,'PR Expenditure_7A import-export'!N$2:N$48,0)),"")</f>
        <v>0</v>
      </c>
      <c r="F48" s="1314">
        <v>13278.28</v>
      </c>
      <c r="G48" s="1313">
        <f t="shared" si="6"/>
        <v>-13278.28</v>
      </c>
      <c r="H48" s="1315" t="str">
        <f t="shared" si="7"/>
        <v>Not Budgeted</v>
      </c>
      <c r="I48" s="1316" t="s">
        <v>2415</v>
      </c>
      <c r="J48" s="1312"/>
      <c r="K48" s="1313">
        <f>IFERROR(INDEX('PR Expenditure_7A import-export'!I$2:I$48,MATCH('PR Expenditure_7A'!B48,'PR Expenditure_7A import-export'!N$2:N$48,0)),"")</f>
        <v>0</v>
      </c>
      <c r="L48" s="1314">
        <f>0+F48</f>
        <v>13278.28</v>
      </c>
      <c r="M48" s="1313">
        <f t="shared" si="8"/>
        <v>-13278.28</v>
      </c>
      <c r="N48" s="1317" t="str">
        <f t="shared" si="9"/>
        <v>Not Budgeted</v>
      </c>
      <c r="O48" s="758"/>
      <c r="P48" s="438"/>
      <c r="Q48" s="284"/>
      <c r="R48" s="746"/>
      <c r="S48" s="284"/>
      <c r="T48" s="284"/>
      <c r="U48" s="259"/>
      <c r="V48" s="259"/>
      <c r="W48" s="63"/>
    </row>
    <row r="49" spans="1:23" s="257" customFormat="1" ht="114.75" customHeight="1" x14ac:dyDescent="0.25">
      <c r="A49" s="728" t="str">
        <f t="shared" si="5"/>
        <v>Show</v>
      </c>
      <c r="B49" s="677" t="s">
        <v>2416</v>
      </c>
      <c r="C49" s="964" t="str">
        <f>IFERROR(INDEX('PR Expenditure_7A import-export'!A$2:A$48,MATCH('PR Expenditure_7A'!B49,'PR Expenditure_7A import-export'!N$2:N$48,0)),"")</f>
        <v>12.2 Food and care packages</v>
      </c>
      <c r="D49" s="1312"/>
      <c r="E49" s="1313">
        <f>IFERROR(INDEX('PR Expenditure_7A import-export'!C$2:C$48,MATCH('PR Expenditure_7A'!B49,'PR Expenditure_7A import-export'!N$2:N$48,0)),"")</f>
        <v>346983.259336107</v>
      </c>
      <c r="F49" s="1314">
        <v>348555.6</v>
      </c>
      <c r="G49" s="1313">
        <f t="shared" si="6"/>
        <v>-1572.3406638929737</v>
      </c>
      <c r="H49" s="1315">
        <f t="shared" si="7"/>
        <v>1.004531459722009</v>
      </c>
      <c r="I49" s="1316" t="s">
        <v>2417</v>
      </c>
      <c r="J49" s="1312"/>
      <c r="K49" s="1313">
        <f>IFERROR(INDEX('PR Expenditure_7A import-export'!I$2:I$48,MATCH('PR Expenditure_7A'!B49,'PR Expenditure_7A import-export'!N$2:N$48,0)),"")</f>
        <v>645523.17719629698</v>
      </c>
      <c r="L49" s="1314">
        <f>229850.3+F49</f>
        <v>578405.89999999991</v>
      </c>
      <c r="M49" s="1313">
        <f t="shared" si="8"/>
        <v>67117.277196297073</v>
      </c>
      <c r="N49" s="1317">
        <f t="shared" si="9"/>
        <v>0.89602654162193252</v>
      </c>
      <c r="O49" s="758"/>
      <c r="P49" s="438"/>
      <c r="Q49" s="284"/>
      <c r="R49" s="746"/>
      <c r="S49" s="284"/>
      <c r="T49" s="284"/>
      <c r="U49" s="259"/>
      <c r="V49" s="259"/>
      <c r="W49" s="63"/>
    </row>
    <row r="50" spans="1:23" s="257" customFormat="1" ht="39.950000000000003" customHeight="1" x14ac:dyDescent="0.25">
      <c r="A50" s="728" t="str">
        <f t="shared" si="5"/>
        <v>Show</v>
      </c>
      <c r="B50" s="677" t="s">
        <v>2418</v>
      </c>
      <c r="C50" s="964" t="str">
        <f>IFERROR(INDEX('PR Expenditure_7A import-export'!A$2:A$48,MATCH('PR Expenditure_7A'!B50,'PR Expenditure_7A import-export'!N$2:N$48,0)),"")</f>
        <v>12.3 Cash incentives/transfer to patients/beneficiaries/counsellors/mediators</v>
      </c>
      <c r="D50" s="1312"/>
      <c r="E50" s="1313">
        <f>IFERROR(INDEX('PR Expenditure_7A import-export'!C$2:C$48,MATCH('PR Expenditure_7A'!B50,'PR Expenditure_7A import-export'!N$2:N$48,0)),"")</f>
        <v>900.08988047449998</v>
      </c>
      <c r="F50" s="1314">
        <v>0</v>
      </c>
      <c r="G50" s="1313">
        <f t="shared" si="6"/>
        <v>900.08988047449998</v>
      </c>
      <c r="H50" s="1315">
        <f t="shared" si="7"/>
        <v>0</v>
      </c>
      <c r="I50" s="1316" t="s">
        <v>2419</v>
      </c>
      <c r="J50" s="1312"/>
      <c r="K50" s="1313">
        <f>IFERROR(INDEX('PR Expenditure_7A import-export'!I$2:I$48,MATCH('PR Expenditure_7A'!B50,'PR Expenditure_7A import-export'!N$2:N$48,0)),"")</f>
        <v>1800.179760949</v>
      </c>
      <c r="L50" s="1314">
        <f>0+F50</f>
        <v>0</v>
      </c>
      <c r="M50" s="1313">
        <f t="shared" si="8"/>
        <v>1800.179760949</v>
      </c>
      <c r="N50" s="1317">
        <f t="shared" si="9"/>
        <v>0</v>
      </c>
      <c r="O50" s="758"/>
      <c r="P50" s="438"/>
      <c r="Q50" s="284"/>
      <c r="R50" s="746"/>
      <c r="S50" s="284"/>
      <c r="T50" s="284"/>
      <c r="U50" s="259"/>
      <c r="V50" s="259"/>
      <c r="W50" s="63"/>
    </row>
    <row r="51" spans="1:23" s="257" customFormat="1" ht="126.75" customHeight="1" x14ac:dyDescent="0.25">
      <c r="A51" s="728" t="str">
        <f t="shared" si="5"/>
        <v>Show</v>
      </c>
      <c r="B51" s="677" t="s">
        <v>2420</v>
      </c>
      <c r="C51" s="964" t="str">
        <f>IFERROR(INDEX('PR Expenditure_7A import-export'!A$2:A$48,MATCH('PR Expenditure_7A'!B51,'PR Expenditure_7A import-export'!N$2:N$48,0)),"")</f>
        <v>12.5 Other LSCTP costs</v>
      </c>
      <c r="D51" s="1312"/>
      <c r="E51" s="1313">
        <f>IFERROR(INDEX('PR Expenditure_7A import-export'!C$2:C$48,MATCH('PR Expenditure_7A'!B51,'PR Expenditure_7A import-export'!N$2:N$48,0)),"")</f>
        <v>411312.17181605502</v>
      </c>
      <c r="F51" s="1314">
        <v>197151.48536585353</v>
      </c>
      <c r="G51" s="1313">
        <f t="shared" si="6"/>
        <v>214160.68645020149</v>
      </c>
      <c r="H51" s="1315">
        <f t="shared" si="7"/>
        <v>0.47932324612562799</v>
      </c>
      <c r="I51" s="1316" t="s">
        <v>2421</v>
      </c>
      <c r="J51" s="1312"/>
      <c r="K51" s="1313">
        <f>IFERROR(INDEX('PR Expenditure_7A import-export'!I$2:I$48,MATCH('PR Expenditure_7A'!B51,'PR Expenditure_7A import-export'!N$2:N$48,0)),"")</f>
        <v>794643.77752712497</v>
      </c>
      <c r="L51" s="1314">
        <f>41904.5+F51</f>
        <v>239055.98536585353</v>
      </c>
      <c r="M51" s="1313">
        <f t="shared" si="8"/>
        <v>555587.79216127144</v>
      </c>
      <c r="N51" s="1317">
        <f t="shared" si="9"/>
        <v>0.30083415000087055</v>
      </c>
      <c r="O51" s="758"/>
      <c r="P51" s="438"/>
      <c r="Q51" s="284"/>
      <c r="R51" s="746"/>
      <c r="S51" s="284"/>
      <c r="T51" s="284"/>
      <c r="U51" s="259"/>
      <c r="V51" s="259"/>
      <c r="W51" s="63"/>
    </row>
    <row r="52" spans="1:23" s="257" customFormat="1" ht="39.950000000000003" hidden="1" customHeight="1" x14ac:dyDescent="0.25">
      <c r="A52" s="728" t="str">
        <f t="shared" si="5"/>
        <v>Don't Show</v>
      </c>
      <c r="B52" s="677" t="s">
        <v>2422</v>
      </c>
      <c r="C52" s="964" t="str">
        <f>IFERROR(INDEX('PR Expenditure_7A import-export'!A$2:A$48,MATCH('PR Expenditure_7A'!B52,'PR Expenditure_7A import-export'!N$2:N$48,0)),"")</f>
        <v/>
      </c>
      <c r="D52" s="1312"/>
      <c r="E52" s="1313" t="str">
        <f>IFERROR(INDEX('PR Expenditure_7A import-export'!C$2:C$48,MATCH('PR Expenditure_7A'!B52,'PR Expenditure_7A import-export'!N$2:N$48,0)),"")</f>
        <v/>
      </c>
      <c r="F52" s="1314"/>
      <c r="G52" s="1313">
        <f t="shared" si="6"/>
        <v>0</v>
      </c>
      <c r="H52" s="1315" t="e">
        <f t="shared" si="7"/>
        <v>#VALUE!</v>
      </c>
      <c r="I52" s="1316"/>
      <c r="J52" s="1312"/>
      <c r="K52" s="1313" t="str">
        <f>IFERROR(INDEX('PR Expenditure_7A import-export'!I$2:I$48,MATCH('PR Expenditure_7A'!B52,'PR Expenditure_7A import-export'!N$2:N$48,0)),"")</f>
        <v/>
      </c>
      <c r="L52" s="1314"/>
      <c r="M52" s="1313">
        <f t="shared" si="8"/>
        <v>0</v>
      </c>
      <c r="N52" s="1317" t="e">
        <f t="shared" si="9"/>
        <v>#VALUE!</v>
      </c>
      <c r="O52" s="758"/>
      <c r="P52" s="438"/>
      <c r="Q52" s="284"/>
      <c r="R52" s="746"/>
      <c r="S52" s="284"/>
      <c r="T52" s="284"/>
      <c r="U52" s="259"/>
      <c r="V52" s="259"/>
      <c r="W52" s="63"/>
    </row>
    <row r="53" spans="1:23" s="257" customFormat="1" ht="39.950000000000003" hidden="1" customHeight="1" x14ac:dyDescent="0.25">
      <c r="A53" s="728" t="str">
        <f t="shared" si="5"/>
        <v>Don't Show</v>
      </c>
      <c r="B53" s="677" t="s">
        <v>2423</v>
      </c>
      <c r="C53" s="964" t="str">
        <f>IFERROR(INDEX('PR Expenditure_7A import-export'!A$2:A$48,MATCH('PR Expenditure_7A'!B53,'PR Expenditure_7A import-export'!N$2:N$48,0)),"")</f>
        <v/>
      </c>
      <c r="D53" s="1312"/>
      <c r="E53" s="1313" t="str">
        <f>IFERROR(INDEX('PR Expenditure_7A import-export'!C$2:C$48,MATCH('PR Expenditure_7A'!B53,'PR Expenditure_7A import-export'!N$2:N$48,0)),"")</f>
        <v/>
      </c>
      <c r="F53" s="1314"/>
      <c r="G53" s="1313">
        <f t="shared" si="6"/>
        <v>0</v>
      </c>
      <c r="H53" s="1315" t="e">
        <f t="shared" si="7"/>
        <v>#VALUE!</v>
      </c>
      <c r="I53" s="1316"/>
      <c r="J53" s="1312"/>
      <c r="K53" s="1313" t="str">
        <f>IFERROR(INDEX('PR Expenditure_7A import-export'!I$2:I$48,MATCH('PR Expenditure_7A'!B53,'PR Expenditure_7A import-export'!N$2:N$48,0)),"")</f>
        <v/>
      </c>
      <c r="L53" s="1314"/>
      <c r="M53" s="1313">
        <f t="shared" si="8"/>
        <v>0</v>
      </c>
      <c r="N53" s="1317" t="e">
        <f t="shared" si="9"/>
        <v>#VALUE!</v>
      </c>
      <c r="O53" s="758"/>
      <c r="P53" s="438"/>
      <c r="Q53" s="284"/>
      <c r="R53" s="746"/>
      <c r="S53" s="284"/>
      <c r="T53" s="284"/>
      <c r="U53" s="259"/>
      <c r="V53" s="259"/>
      <c r="W53" s="63"/>
    </row>
    <row r="54" spans="1:23" s="257" customFormat="1" ht="39.950000000000003" hidden="1" customHeight="1" x14ac:dyDescent="0.25">
      <c r="A54" s="728" t="str">
        <f t="shared" si="5"/>
        <v>Don't Show</v>
      </c>
      <c r="B54" s="677" t="s">
        <v>2424</v>
      </c>
      <c r="C54" s="964" t="str">
        <f>IFERROR(INDEX('PR Expenditure_7A import-export'!A$2:A$48,MATCH('PR Expenditure_7A'!B54,'PR Expenditure_7A import-export'!N$2:N$48,0)),"")</f>
        <v/>
      </c>
      <c r="D54" s="1312"/>
      <c r="E54" s="1313" t="str">
        <f>IFERROR(INDEX('PR Expenditure_7A import-export'!C$2:C$48,MATCH('PR Expenditure_7A'!B54,'PR Expenditure_7A import-export'!N$2:N$48,0)),"")</f>
        <v/>
      </c>
      <c r="F54" s="1314"/>
      <c r="G54" s="1313">
        <f t="shared" si="6"/>
        <v>0</v>
      </c>
      <c r="H54" s="1315" t="e">
        <f t="shared" si="7"/>
        <v>#VALUE!</v>
      </c>
      <c r="I54" s="1316"/>
      <c r="J54" s="1312"/>
      <c r="K54" s="1313" t="str">
        <f>IFERROR(INDEX('PR Expenditure_7A import-export'!I$2:I$48,MATCH('PR Expenditure_7A'!B54,'PR Expenditure_7A import-export'!N$2:N$48,0)),"")</f>
        <v/>
      </c>
      <c r="L54" s="1314"/>
      <c r="M54" s="1313">
        <f t="shared" si="8"/>
        <v>0</v>
      </c>
      <c r="N54" s="1317" t="e">
        <f t="shared" si="9"/>
        <v>#VALUE!</v>
      </c>
      <c r="O54" s="758"/>
      <c r="P54" s="438"/>
      <c r="Q54" s="284"/>
      <c r="R54" s="746"/>
      <c r="S54" s="284"/>
      <c r="T54" s="284"/>
      <c r="U54" s="259"/>
      <c r="V54" s="259"/>
      <c r="W54" s="63"/>
    </row>
    <row r="55" spans="1:23" s="257" customFormat="1" ht="39.950000000000003" hidden="1" customHeight="1" x14ac:dyDescent="0.25">
      <c r="A55" s="728" t="str">
        <f t="shared" si="5"/>
        <v>Don't Show</v>
      </c>
      <c r="B55" s="677" t="s">
        <v>2425</v>
      </c>
      <c r="C55" s="964" t="str">
        <f>IFERROR(INDEX('PR Expenditure_7A import-export'!A$2:A$48,MATCH('PR Expenditure_7A'!B55,'PR Expenditure_7A import-export'!N$2:N$48,0)),"")</f>
        <v/>
      </c>
      <c r="D55" s="1312"/>
      <c r="E55" s="1313" t="str">
        <f>IFERROR(INDEX('PR Expenditure_7A import-export'!C$2:C$48,MATCH('PR Expenditure_7A'!B55,'PR Expenditure_7A import-export'!N$2:N$48,0)),"")</f>
        <v/>
      </c>
      <c r="F55" s="1314"/>
      <c r="G55" s="1313">
        <f t="shared" si="6"/>
        <v>0</v>
      </c>
      <c r="H55" s="1315" t="e">
        <f t="shared" si="7"/>
        <v>#VALUE!</v>
      </c>
      <c r="I55" s="1316"/>
      <c r="J55" s="1312"/>
      <c r="K55" s="1313" t="str">
        <f>IFERROR(INDEX('PR Expenditure_7A import-export'!I$2:I$48,MATCH('PR Expenditure_7A'!B55,'PR Expenditure_7A import-export'!N$2:N$48,0)),"")</f>
        <v/>
      </c>
      <c r="L55" s="1314"/>
      <c r="M55" s="1313">
        <f t="shared" si="8"/>
        <v>0</v>
      </c>
      <c r="N55" s="1317" t="e">
        <f t="shared" si="9"/>
        <v>#VALUE!</v>
      </c>
      <c r="O55" s="758"/>
      <c r="P55" s="438"/>
      <c r="Q55" s="284"/>
      <c r="R55" s="746"/>
      <c r="S55" s="284"/>
      <c r="T55" s="284"/>
      <c r="U55" s="259"/>
      <c r="V55" s="259"/>
      <c r="W55" s="63"/>
    </row>
    <row r="56" spans="1:23" s="257" customFormat="1" ht="39.950000000000003" hidden="1" customHeight="1" x14ac:dyDescent="0.25">
      <c r="A56" s="728" t="str">
        <f t="shared" si="5"/>
        <v>Don't Show</v>
      </c>
      <c r="B56" s="677" t="s">
        <v>2426</v>
      </c>
      <c r="C56" s="964" t="str">
        <f>IFERROR(INDEX('PR Expenditure_7A import-export'!A$2:A$48,MATCH('PR Expenditure_7A'!B56,'PR Expenditure_7A import-export'!N$2:N$48,0)),"")</f>
        <v/>
      </c>
      <c r="D56" s="1312"/>
      <c r="E56" s="1313" t="str">
        <f>IFERROR(INDEX('PR Expenditure_7A import-export'!C$2:C$48,MATCH('PR Expenditure_7A'!B56,'PR Expenditure_7A import-export'!N$2:N$48,0)),"")</f>
        <v/>
      </c>
      <c r="F56" s="1314"/>
      <c r="G56" s="1313">
        <f t="shared" si="6"/>
        <v>0</v>
      </c>
      <c r="H56" s="1315" t="e">
        <f t="shared" si="7"/>
        <v>#VALUE!</v>
      </c>
      <c r="I56" s="1316"/>
      <c r="J56" s="1312"/>
      <c r="K56" s="1313" t="str">
        <f>IFERROR(INDEX('PR Expenditure_7A import-export'!I$2:I$48,MATCH('PR Expenditure_7A'!B56,'PR Expenditure_7A import-export'!N$2:N$48,0)),"")</f>
        <v/>
      </c>
      <c r="L56" s="1314"/>
      <c r="M56" s="1313">
        <f t="shared" si="8"/>
        <v>0</v>
      </c>
      <c r="N56" s="1317" t="e">
        <f t="shared" si="9"/>
        <v>#VALUE!</v>
      </c>
      <c r="O56" s="758"/>
      <c r="P56" s="438"/>
      <c r="Q56" s="284"/>
      <c r="R56" s="746"/>
      <c r="S56" s="284"/>
      <c r="T56" s="284"/>
      <c r="U56" s="259"/>
      <c r="V56" s="259"/>
      <c r="W56" s="63"/>
    </row>
    <row r="57" spans="1:23" s="257" customFormat="1" ht="39.950000000000003" hidden="1" customHeight="1" x14ac:dyDescent="0.25">
      <c r="A57" s="728" t="str">
        <f t="shared" si="5"/>
        <v>Don't Show</v>
      </c>
      <c r="B57" s="677" t="s">
        <v>2427</v>
      </c>
      <c r="C57" s="964" t="str">
        <f>IFERROR(INDEX('PR Expenditure_7A import-export'!A$2:A$48,MATCH('PR Expenditure_7A'!B57,'PR Expenditure_7A import-export'!N$2:N$48,0)),"")</f>
        <v/>
      </c>
      <c r="D57" s="1312"/>
      <c r="E57" s="1313" t="str">
        <f>IFERROR(INDEX('PR Expenditure_7A import-export'!C$2:C$48,MATCH('PR Expenditure_7A'!B57,'PR Expenditure_7A import-export'!N$2:N$48,0)),"")</f>
        <v/>
      </c>
      <c r="F57" s="1314"/>
      <c r="G57" s="1313">
        <f t="shared" si="6"/>
        <v>0</v>
      </c>
      <c r="H57" s="1315" t="e">
        <f t="shared" si="7"/>
        <v>#VALUE!</v>
      </c>
      <c r="I57" s="1316"/>
      <c r="J57" s="1312"/>
      <c r="K57" s="1313" t="str">
        <f>IFERROR(INDEX('PR Expenditure_7A import-export'!I$2:I$48,MATCH('PR Expenditure_7A'!B57,'PR Expenditure_7A import-export'!N$2:N$48,0)),"")</f>
        <v/>
      </c>
      <c r="L57" s="1314"/>
      <c r="M57" s="1313">
        <f t="shared" si="8"/>
        <v>0</v>
      </c>
      <c r="N57" s="1317" t="e">
        <f t="shared" si="9"/>
        <v>#VALUE!</v>
      </c>
      <c r="O57" s="758"/>
      <c r="P57" s="438"/>
      <c r="Q57" s="284"/>
      <c r="R57" s="746"/>
      <c r="S57" s="284"/>
      <c r="T57" s="284"/>
      <c r="U57" s="259"/>
      <c r="V57" s="259"/>
      <c r="W57" s="63"/>
    </row>
    <row r="58" spans="1:23" s="257" customFormat="1" ht="39.950000000000003" hidden="1" customHeight="1" x14ac:dyDescent="0.25">
      <c r="A58" s="728" t="str">
        <f t="shared" si="5"/>
        <v>Don't Show</v>
      </c>
      <c r="B58" s="677" t="s">
        <v>2428</v>
      </c>
      <c r="C58" s="964" t="str">
        <f>IFERROR(INDEX('PR Expenditure_7A import-export'!A$2:A$48,MATCH('PR Expenditure_7A'!B58,'PR Expenditure_7A import-export'!N$2:N$48,0)),"")</f>
        <v/>
      </c>
      <c r="D58" s="1312"/>
      <c r="E58" s="1313" t="str">
        <f>IFERROR(INDEX('PR Expenditure_7A import-export'!C$2:C$48,MATCH('PR Expenditure_7A'!B58,'PR Expenditure_7A import-export'!N$2:N$48,0)),"")</f>
        <v/>
      </c>
      <c r="F58" s="1314"/>
      <c r="G58" s="1313">
        <f t="shared" si="6"/>
        <v>0</v>
      </c>
      <c r="H58" s="1315" t="e">
        <f t="shared" si="7"/>
        <v>#VALUE!</v>
      </c>
      <c r="I58" s="1316"/>
      <c r="J58" s="1312"/>
      <c r="K58" s="1313" t="str">
        <f>IFERROR(INDEX('PR Expenditure_7A import-export'!I$2:I$48,MATCH('PR Expenditure_7A'!B58,'PR Expenditure_7A import-export'!N$2:N$48,0)),"")</f>
        <v/>
      </c>
      <c r="L58" s="1314"/>
      <c r="M58" s="1313">
        <f t="shared" si="8"/>
        <v>0</v>
      </c>
      <c r="N58" s="1317" t="e">
        <f t="shared" si="9"/>
        <v>#VALUE!</v>
      </c>
      <c r="O58" s="758"/>
      <c r="P58" s="438"/>
      <c r="Q58" s="284"/>
      <c r="R58" s="746"/>
      <c r="S58" s="284"/>
      <c r="T58" s="284"/>
      <c r="U58" s="259"/>
      <c r="V58" s="259"/>
      <c r="W58" s="63"/>
    </row>
    <row r="59" spans="1:23" s="257" customFormat="1" ht="39.950000000000003" hidden="1" customHeight="1" x14ac:dyDescent="0.25">
      <c r="A59" s="728" t="str">
        <f t="shared" si="5"/>
        <v>Don't Show</v>
      </c>
      <c r="B59" s="677" t="s">
        <v>2429</v>
      </c>
      <c r="C59" s="964" t="str">
        <f>IFERROR(INDEX('PR Expenditure_7A import-export'!A$2:A$48,MATCH('PR Expenditure_7A'!B59,'PR Expenditure_7A import-export'!N$2:N$48,0)),"")</f>
        <v/>
      </c>
      <c r="D59" s="1312"/>
      <c r="E59" s="1313" t="str">
        <f>IFERROR(INDEX('PR Expenditure_7A import-export'!C$2:C$48,MATCH('PR Expenditure_7A'!B59,'PR Expenditure_7A import-export'!N$2:N$48,0)),"")</f>
        <v/>
      </c>
      <c r="F59" s="1314"/>
      <c r="G59" s="1313">
        <f t="shared" si="6"/>
        <v>0</v>
      </c>
      <c r="H59" s="1315" t="e">
        <f t="shared" si="7"/>
        <v>#VALUE!</v>
      </c>
      <c r="I59" s="1316"/>
      <c r="J59" s="1312"/>
      <c r="K59" s="1313" t="str">
        <f>IFERROR(INDEX('PR Expenditure_7A import-export'!I$2:I$48,MATCH('PR Expenditure_7A'!B59,'PR Expenditure_7A import-export'!N$2:N$48,0)),"")</f>
        <v/>
      </c>
      <c r="L59" s="1314"/>
      <c r="M59" s="1313">
        <f t="shared" si="8"/>
        <v>0</v>
      </c>
      <c r="N59" s="1317" t="e">
        <f t="shared" si="9"/>
        <v>#VALUE!</v>
      </c>
      <c r="O59" s="758"/>
      <c r="P59" s="438"/>
      <c r="Q59" s="284"/>
      <c r="R59" s="746"/>
      <c r="S59" s="284"/>
      <c r="T59" s="284"/>
      <c r="U59" s="259"/>
      <c r="V59" s="259"/>
      <c r="W59" s="63"/>
    </row>
    <row r="60" spans="1:23" s="257" customFormat="1" ht="39.950000000000003" hidden="1" customHeight="1" x14ac:dyDescent="0.25">
      <c r="A60" s="728" t="str">
        <f t="shared" si="5"/>
        <v>Don't Show</v>
      </c>
      <c r="B60" s="677" t="s">
        <v>2430</v>
      </c>
      <c r="C60" s="964" t="str">
        <f>IFERROR(INDEX('PR Expenditure_7A import-export'!A$2:A$48,MATCH('PR Expenditure_7A'!B60,'PR Expenditure_7A import-export'!N$2:N$48,0)),"")</f>
        <v/>
      </c>
      <c r="D60" s="1312"/>
      <c r="E60" s="1313" t="str">
        <f>IFERROR(INDEX('PR Expenditure_7A import-export'!C$2:C$48,MATCH('PR Expenditure_7A'!B60,'PR Expenditure_7A import-export'!N$2:N$48,0)),"")</f>
        <v/>
      </c>
      <c r="F60" s="1314"/>
      <c r="G60" s="1313">
        <f t="shared" si="6"/>
        <v>0</v>
      </c>
      <c r="H60" s="1315" t="e">
        <f t="shared" si="7"/>
        <v>#VALUE!</v>
      </c>
      <c r="I60" s="1316"/>
      <c r="J60" s="1312"/>
      <c r="K60" s="1313" t="str">
        <f>IFERROR(INDEX('PR Expenditure_7A import-export'!I$2:I$48,MATCH('PR Expenditure_7A'!B60,'PR Expenditure_7A import-export'!N$2:N$48,0)),"")</f>
        <v/>
      </c>
      <c r="L60" s="1314"/>
      <c r="M60" s="1313">
        <f t="shared" si="8"/>
        <v>0</v>
      </c>
      <c r="N60" s="1317" t="e">
        <f t="shared" si="9"/>
        <v>#VALUE!</v>
      </c>
      <c r="O60" s="758"/>
      <c r="P60" s="438"/>
      <c r="Q60" s="284"/>
      <c r="R60" s="746"/>
      <c r="S60" s="284"/>
      <c r="T60" s="284"/>
      <c r="U60" s="259"/>
      <c r="V60" s="259"/>
      <c r="W60" s="63"/>
    </row>
    <row r="61" spans="1:23" s="257" customFormat="1" ht="39.950000000000003" hidden="1" customHeight="1" x14ac:dyDescent="0.25">
      <c r="A61" s="728" t="str">
        <f t="shared" si="5"/>
        <v>Don't Show</v>
      </c>
      <c r="B61" s="677" t="s">
        <v>2431</v>
      </c>
      <c r="C61" s="964" t="str">
        <f>IFERROR(INDEX('PR Expenditure_7A import-export'!A$2:A$48,MATCH('PR Expenditure_7A'!B61,'PR Expenditure_7A import-export'!N$2:N$48,0)),"")</f>
        <v/>
      </c>
      <c r="D61" s="1312"/>
      <c r="E61" s="1313" t="str">
        <f>IFERROR(INDEX('PR Expenditure_7A import-export'!C$2:C$48,MATCH('PR Expenditure_7A'!B61,'PR Expenditure_7A import-export'!N$2:N$48,0)),"")</f>
        <v/>
      </c>
      <c r="F61" s="1314"/>
      <c r="G61" s="1313">
        <f t="shared" si="6"/>
        <v>0</v>
      </c>
      <c r="H61" s="1315" t="e">
        <f t="shared" si="7"/>
        <v>#VALUE!</v>
      </c>
      <c r="I61" s="1316"/>
      <c r="J61" s="1312"/>
      <c r="K61" s="1313" t="str">
        <f>IFERROR(INDEX('PR Expenditure_7A import-export'!I$2:I$48,MATCH('PR Expenditure_7A'!B61,'PR Expenditure_7A import-export'!N$2:N$48,0)),"")</f>
        <v/>
      </c>
      <c r="L61" s="1314"/>
      <c r="M61" s="1313">
        <f t="shared" si="8"/>
        <v>0</v>
      </c>
      <c r="N61" s="1317" t="e">
        <f t="shared" si="9"/>
        <v>#VALUE!</v>
      </c>
      <c r="O61" s="758"/>
      <c r="P61" s="438"/>
      <c r="Q61" s="284"/>
      <c r="R61" s="746"/>
      <c r="S61" s="284"/>
      <c r="T61" s="284"/>
      <c r="U61" s="259"/>
      <c r="V61" s="259"/>
      <c r="W61" s="63"/>
    </row>
    <row r="62" spans="1:23" s="257" customFormat="1" ht="39.950000000000003" hidden="1" customHeight="1" x14ac:dyDescent="0.25">
      <c r="A62" s="728" t="str">
        <f t="shared" si="5"/>
        <v>Don't Show</v>
      </c>
      <c r="B62" s="677" t="s">
        <v>2432</v>
      </c>
      <c r="C62" s="964" t="str">
        <f>IFERROR(INDEX('PR Expenditure_7A import-export'!A$2:A$48,MATCH('PR Expenditure_7A'!B62,'PR Expenditure_7A import-export'!N$2:N$48,0)),"")</f>
        <v/>
      </c>
      <c r="D62" s="1312"/>
      <c r="E62" s="1313" t="str">
        <f>IFERROR(INDEX('PR Expenditure_7A import-export'!C$2:C$48,MATCH('PR Expenditure_7A'!B62,'PR Expenditure_7A import-export'!N$2:N$48,0)),"")</f>
        <v/>
      </c>
      <c r="F62" s="1314"/>
      <c r="G62" s="1313">
        <f t="shared" si="6"/>
        <v>0</v>
      </c>
      <c r="H62" s="1315" t="e">
        <f t="shared" si="7"/>
        <v>#VALUE!</v>
      </c>
      <c r="I62" s="1316"/>
      <c r="J62" s="1312"/>
      <c r="K62" s="1313" t="str">
        <f>IFERROR(INDEX('PR Expenditure_7A import-export'!I$2:I$48,MATCH('PR Expenditure_7A'!B62,'PR Expenditure_7A import-export'!N$2:N$48,0)),"")</f>
        <v/>
      </c>
      <c r="L62" s="1314"/>
      <c r="M62" s="1313">
        <f t="shared" si="8"/>
        <v>0</v>
      </c>
      <c r="N62" s="1317" t="e">
        <f t="shared" si="9"/>
        <v>#VALUE!</v>
      </c>
      <c r="O62" s="758"/>
      <c r="P62" s="438"/>
      <c r="Q62" s="284"/>
      <c r="R62" s="746"/>
      <c r="S62" s="284"/>
      <c r="T62" s="284"/>
      <c r="U62" s="259"/>
      <c r="V62" s="259"/>
      <c r="W62" s="63"/>
    </row>
    <row r="63" spans="1:23" s="257" customFormat="1" ht="39.950000000000003" hidden="1" customHeight="1" x14ac:dyDescent="0.25">
      <c r="A63" s="728" t="str">
        <f t="shared" si="5"/>
        <v>Don't Show</v>
      </c>
      <c r="B63" s="677" t="s">
        <v>2433</v>
      </c>
      <c r="C63" s="964" t="str">
        <f>IFERROR(INDEX('PR Expenditure_7A import-export'!A$2:A$48,MATCH('PR Expenditure_7A'!B63,'PR Expenditure_7A import-export'!N$2:N$48,0)),"")</f>
        <v/>
      </c>
      <c r="D63" s="1312"/>
      <c r="E63" s="1313" t="str">
        <f>IFERROR(INDEX('PR Expenditure_7A import-export'!C$2:C$48,MATCH('PR Expenditure_7A'!B63,'PR Expenditure_7A import-export'!N$2:N$48,0)),"")</f>
        <v/>
      </c>
      <c r="F63" s="1314"/>
      <c r="G63" s="1313">
        <f t="shared" si="6"/>
        <v>0</v>
      </c>
      <c r="H63" s="1315" t="e">
        <f t="shared" si="7"/>
        <v>#VALUE!</v>
      </c>
      <c r="I63" s="1316"/>
      <c r="J63" s="1312"/>
      <c r="K63" s="1313" t="str">
        <f>IFERROR(INDEX('PR Expenditure_7A import-export'!I$2:I$48,MATCH('PR Expenditure_7A'!B63,'PR Expenditure_7A import-export'!N$2:N$48,0)),"")</f>
        <v/>
      </c>
      <c r="L63" s="1314"/>
      <c r="M63" s="1313">
        <f t="shared" si="8"/>
        <v>0</v>
      </c>
      <c r="N63" s="1317" t="e">
        <f t="shared" si="9"/>
        <v>#VALUE!</v>
      </c>
      <c r="O63" s="758"/>
      <c r="P63" s="438"/>
      <c r="Q63" s="284"/>
      <c r="R63" s="746"/>
      <c r="S63" s="284"/>
      <c r="T63" s="284"/>
      <c r="U63" s="259"/>
      <c r="V63" s="259"/>
      <c r="W63" s="63"/>
    </row>
    <row r="64" spans="1:23" s="257" customFormat="1" ht="39.950000000000003" hidden="1" customHeight="1" x14ac:dyDescent="0.25">
      <c r="A64" s="728" t="str">
        <f t="shared" si="5"/>
        <v>Don't Show</v>
      </c>
      <c r="B64" s="677" t="s">
        <v>2434</v>
      </c>
      <c r="C64" s="964" t="str">
        <f>IFERROR(INDEX('PR Expenditure_7A import-export'!A$2:A$48,MATCH('PR Expenditure_7A'!B64,'PR Expenditure_7A import-export'!N$2:N$48,0)),"")</f>
        <v/>
      </c>
      <c r="D64" s="1312"/>
      <c r="E64" s="1313" t="str">
        <f>IFERROR(INDEX('PR Expenditure_7A import-export'!C$2:C$48,MATCH('PR Expenditure_7A'!B64,'PR Expenditure_7A import-export'!N$2:N$48,0)),"")</f>
        <v/>
      </c>
      <c r="F64" s="1314"/>
      <c r="G64" s="1313">
        <f t="shared" si="6"/>
        <v>0</v>
      </c>
      <c r="H64" s="1315" t="e">
        <f t="shared" si="7"/>
        <v>#VALUE!</v>
      </c>
      <c r="I64" s="1316"/>
      <c r="J64" s="1312"/>
      <c r="K64" s="1313" t="str">
        <f>IFERROR(INDEX('PR Expenditure_7A import-export'!I$2:I$48,MATCH('PR Expenditure_7A'!B64,'PR Expenditure_7A import-export'!N$2:N$48,0)),"")</f>
        <v/>
      </c>
      <c r="L64" s="1314"/>
      <c r="M64" s="1313">
        <f t="shared" si="8"/>
        <v>0</v>
      </c>
      <c r="N64" s="1317" t="e">
        <f t="shared" si="9"/>
        <v>#VALUE!</v>
      </c>
      <c r="O64" s="758"/>
      <c r="P64" s="438"/>
      <c r="Q64" s="284"/>
      <c r="R64" s="746"/>
      <c r="S64" s="284"/>
      <c r="T64" s="284"/>
      <c r="U64" s="259"/>
      <c r="V64" s="259"/>
      <c r="W64" s="63"/>
    </row>
    <row r="65" spans="1:27" s="257" customFormat="1" ht="39.950000000000003" hidden="1" customHeight="1" x14ac:dyDescent="0.25">
      <c r="A65" s="728" t="str">
        <f t="shared" si="5"/>
        <v>Don't Show</v>
      </c>
      <c r="B65" s="677" t="s">
        <v>2435</v>
      </c>
      <c r="C65" s="964" t="str">
        <f>IFERROR(INDEX('PR Expenditure_7A import-export'!A$2:A$48,MATCH('PR Expenditure_7A'!B65,'PR Expenditure_7A import-export'!N$2:N$48,0)),"")</f>
        <v/>
      </c>
      <c r="D65" s="1312"/>
      <c r="E65" s="1313" t="str">
        <f>IFERROR(INDEX('PR Expenditure_7A import-export'!C$2:C$48,MATCH('PR Expenditure_7A'!B65,'PR Expenditure_7A import-export'!N$2:N$48,0)),"")</f>
        <v/>
      </c>
      <c r="F65" s="1314"/>
      <c r="G65" s="1313">
        <f t="shared" si="6"/>
        <v>0</v>
      </c>
      <c r="H65" s="1315" t="e">
        <f t="shared" si="7"/>
        <v>#VALUE!</v>
      </c>
      <c r="I65" s="1316"/>
      <c r="J65" s="1312"/>
      <c r="K65" s="1313" t="str">
        <f>IFERROR(INDEX('PR Expenditure_7A import-export'!I$2:I$48,MATCH('PR Expenditure_7A'!B65,'PR Expenditure_7A import-export'!N$2:N$48,0)),"")</f>
        <v/>
      </c>
      <c r="L65" s="1314"/>
      <c r="M65" s="1313">
        <f t="shared" si="8"/>
        <v>0</v>
      </c>
      <c r="N65" s="1317" t="e">
        <f t="shared" si="9"/>
        <v>#VALUE!</v>
      </c>
      <c r="O65" s="758"/>
      <c r="P65" s="438"/>
      <c r="Q65" s="284"/>
      <c r="R65" s="746"/>
      <c r="S65" s="284"/>
      <c r="T65" s="284"/>
      <c r="U65" s="259"/>
      <c r="V65" s="259"/>
      <c r="W65" s="63"/>
    </row>
    <row r="66" spans="1:27" s="257" customFormat="1" ht="39.950000000000003" hidden="1" customHeight="1" x14ac:dyDescent="0.25">
      <c r="A66" s="728" t="str">
        <f t="shared" si="5"/>
        <v>Don't Show</v>
      </c>
      <c r="B66" s="677" t="s">
        <v>2436</v>
      </c>
      <c r="C66" s="964" t="str">
        <f>IFERROR(INDEX('PR Expenditure_7A import-export'!A$2:A$48,MATCH('PR Expenditure_7A'!B66,'PR Expenditure_7A import-export'!N$2:N$48,0)),"")</f>
        <v/>
      </c>
      <c r="D66" s="1312"/>
      <c r="E66" s="1313" t="str">
        <f>IFERROR(INDEX('PR Expenditure_7A import-export'!C$2:C$48,MATCH('PR Expenditure_7A'!B66,'PR Expenditure_7A import-export'!N$2:N$48,0)),"")</f>
        <v/>
      </c>
      <c r="F66" s="1314"/>
      <c r="G66" s="1313">
        <f t="shared" si="6"/>
        <v>0</v>
      </c>
      <c r="H66" s="1315" t="e">
        <f t="shared" si="7"/>
        <v>#VALUE!</v>
      </c>
      <c r="I66" s="1316"/>
      <c r="J66" s="1312"/>
      <c r="K66" s="1313" t="str">
        <f>IFERROR(INDEX('PR Expenditure_7A import-export'!I$2:I$48,MATCH('PR Expenditure_7A'!B66,'PR Expenditure_7A import-export'!N$2:N$48,0)),"")</f>
        <v/>
      </c>
      <c r="L66" s="1314"/>
      <c r="M66" s="1313">
        <f t="shared" si="8"/>
        <v>0</v>
      </c>
      <c r="N66" s="1317" t="e">
        <f t="shared" si="9"/>
        <v>#VALUE!</v>
      </c>
      <c r="O66" s="758"/>
      <c r="P66" s="438"/>
      <c r="Q66" s="284"/>
      <c r="R66" s="746"/>
      <c r="S66" s="284"/>
      <c r="T66" s="284"/>
      <c r="U66" s="259"/>
      <c r="V66" s="259"/>
      <c r="W66" s="63"/>
    </row>
    <row r="67" spans="1:27" s="257" customFormat="1" ht="39.950000000000003" hidden="1" customHeight="1" x14ac:dyDescent="0.25">
      <c r="A67" s="728" t="str">
        <f t="shared" si="5"/>
        <v>Don't Show</v>
      </c>
      <c r="B67" s="677" t="s">
        <v>2437</v>
      </c>
      <c r="C67" s="964" t="str">
        <f>IFERROR(INDEX('PR Expenditure_7A import-export'!A$2:A$48,MATCH('PR Expenditure_7A'!B67,'PR Expenditure_7A import-export'!N$2:N$48,0)),"")</f>
        <v/>
      </c>
      <c r="D67" s="1312"/>
      <c r="E67" s="1313" t="str">
        <f>IFERROR(INDEX('PR Expenditure_7A import-export'!C$2:C$48,MATCH('PR Expenditure_7A'!B67,'PR Expenditure_7A import-export'!N$2:N$48,0)),"")</f>
        <v/>
      </c>
      <c r="F67" s="1314"/>
      <c r="G67" s="1313">
        <f t="shared" si="6"/>
        <v>0</v>
      </c>
      <c r="H67" s="1315" t="e">
        <f t="shared" si="7"/>
        <v>#VALUE!</v>
      </c>
      <c r="I67" s="1316"/>
      <c r="J67" s="1312"/>
      <c r="K67" s="1313" t="str">
        <f>IFERROR(INDEX('PR Expenditure_7A import-export'!I$2:I$48,MATCH('PR Expenditure_7A'!B67,'PR Expenditure_7A import-export'!N$2:N$48,0)),"")</f>
        <v/>
      </c>
      <c r="L67" s="1314"/>
      <c r="M67" s="1313">
        <f t="shared" si="8"/>
        <v>0</v>
      </c>
      <c r="N67" s="1317" t="e">
        <f t="shared" si="9"/>
        <v>#VALUE!</v>
      </c>
      <c r="O67" s="758"/>
      <c r="P67" s="438"/>
      <c r="Q67" s="284"/>
      <c r="R67" s="746"/>
      <c r="S67" s="284"/>
      <c r="T67" s="284"/>
      <c r="U67" s="259"/>
      <c r="V67" s="259"/>
      <c r="W67" s="63"/>
    </row>
    <row r="68" spans="1:27" s="257" customFormat="1" ht="39.950000000000003" hidden="1" customHeight="1" x14ac:dyDescent="0.25">
      <c r="A68" s="728" t="str">
        <f t="shared" si="5"/>
        <v>Don't Show</v>
      </c>
      <c r="B68" s="677" t="s">
        <v>2438</v>
      </c>
      <c r="C68" s="964" t="str">
        <f>IFERROR(INDEX('PR Expenditure_7A import-export'!A$2:A$48,MATCH('PR Expenditure_7A'!B68,'PR Expenditure_7A import-export'!N$2:N$48,0)),"")</f>
        <v/>
      </c>
      <c r="D68" s="1312"/>
      <c r="E68" s="1313" t="str">
        <f>IFERROR(INDEX('PR Expenditure_7A import-export'!C$2:C$48,MATCH('PR Expenditure_7A'!B68,'PR Expenditure_7A import-export'!N$2:N$48,0)),"")</f>
        <v/>
      </c>
      <c r="F68" s="1314"/>
      <c r="G68" s="1313">
        <f t="shared" si="6"/>
        <v>0</v>
      </c>
      <c r="H68" s="1315" t="e">
        <f t="shared" si="7"/>
        <v>#VALUE!</v>
      </c>
      <c r="I68" s="1316"/>
      <c r="J68" s="1312"/>
      <c r="K68" s="1313" t="str">
        <f>IFERROR(INDEX('PR Expenditure_7A import-export'!I$2:I$48,MATCH('PR Expenditure_7A'!B68,'PR Expenditure_7A import-export'!N$2:N$48,0)),"")</f>
        <v/>
      </c>
      <c r="L68" s="1314"/>
      <c r="M68" s="1313">
        <f t="shared" si="8"/>
        <v>0</v>
      </c>
      <c r="N68" s="1317" t="e">
        <f t="shared" si="9"/>
        <v>#VALUE!</v>
      </c>
      <c r="O68" s="758"/>
      <c r="P68" s="438"/>
      <c r="Q68" s="284"/>
      <c r="R68" s="746"/>
      <c r="S68" s="284"/>
      <c r="T68" s="284"/>
      <c r="U68" s="259"/>
      <c r="V68" s="259"/>
      <c r="W68" s="63"/>
    </row>
    <row r="69" spans="1:27" s="257" customFormat="1" ht="23.1" customHeight="1" x14ac:dyDescent="0.25">
      <c r="A69" s="728" t="str">
        <f t="shared" ref="A69:A78" si="10">IF(_17950811_8f21_4fbf_a246_b3e20c374635=TRUE,"Show","Don't Show")</f>
        <v>Show</v>
      </c>
      <c r="B69" s="677" t="s">
        <v>2439</v>
      </c>
      <c r="C69" s="965"/>
      <c r="D69" s="1312"/>
      <c r="E69" s="1313">
        <v>0</v>
      </c>
      <c r="F69" s="1314"/>
      <c r="G69" s="1313">
        <f>IFERROR(E69-F69,0)</f>
        <v>0</v>
      </c>
      <c r="H69" s="1315" t="str">
        <f>IF(AND(E69=0,F69=0),"N/A",IF(AND(E69=0,F69&lt;&gt;0),"Not Budgeted",F69/E69))</f>
        <v>N/A</v>
      </c>
      <c r="I69" s="1316"/>
      <c r="J69" s="1312"/>
      <c r="K69" s="1313"/>
      <c r="L69" s="1314"/>
      <c r="M69" s="1313">
        <f>IFERROR(K69-L69,0)</f>
        <v>0</v>
      </c>
      <c r="N69" s="1317" t="str">
        <f>IF(AND(K69=0,L69=0),"N/A",IF(AND(K69=0,L69&lt;&gt;0),"Not Budgeted",L69/K69))</f>
        <v>N/A</v>
      </c>
      <c r="O69" s="758"/>
      <c r="P69" s="438"/>
      <c r="Q69" s="284"/>
      <c r="R69" s="746"/>
      <c r="S69" s="284"/>
      <c r="T69" s="284"/>
      <c r="U69" s="259" t="e">
        <f>_402d6ddb_8386_4816_be97_0d59ffbe8160</f>
        <v>#NAME?</v>
      </c>
      <c r="V69" s="259"/>
      <c r="W69" s="284"/>
      <c r="X69" s="283"/>
      <c r="Y69" s="283"/>
      <c r="Z69" s="283"/>
      <c r="AA69" s="283"/>
    </row>
    <row r="70" spans="1:27" s="257" customFormat="1" ht="23.1" customHeight="1" x14ac:dyDescent="0.25">
      <c r="A70" s="728" t="str">
        <f t="shared" si="10"/>
        <v>Show</v>
      </c>
      <c r="B70" s="677" t="s">
        <v>2440</v>
      </c>
      <c r="C70" s="965"/>
      <c r="D70" s="1312"/>
      <c r="E70" s="1313">
        <v>0</v>
      </c>
      <c r="F70" s="1314"/>
      <c r="G70" s="1313">
        <f t="shared" ref="G70:G78" si="11">IFERROR(E70-F70,0)</f>
        <v>0</v>
      </c>
      <c r="H70" s="1315" t="str">
        <f t="shared" ref="H70:H78" si="12">IF(AND(E70=0,F70=0),"N/A",IF(AND(E70=0,F70&lt;&gt;0),"Not Budgeted",F70/E70))</f>
        <v>N/A</v>
      </c>
      <c r="I70" s="1316"/>
      <c r="J70" s="1312"/>
      <c r="K70" s="1313"/>
      <c r="L70" s="1314"/>
      <c r="M70" s="1313">
        <f t="shared" ref="M70:M78" si="13">IFERROR(K70-L70,0)</f>
        <v>0</v>
      </c>
      <c r="N70" s="1317" t="str">
        <f t="shared" ref="N70:N78" si="14">IF(AND(K70=0,L70=0),"N/A",IF(AND(K70=0,L70&lt;&gt;0),"Not Budgeted",L70/K70))</f>
        <v>N/A</v>
      </c>
      <c r="O70" s="758"/>
      <c r="P70" s="438"/>
      <c r="Q70" s="284"/>
      <c r="R70" s="746"/>
      <c r="S70" s="284"/>
      <c r="T70" s="284"/>
      <c r="U70" s="259"/>
      <c r="V70" s="259"/>
      <c r="W70" s="284"/>
      <c r="X70" s="283"/>
      <c r="Y70" s="283"/>
      <c r="Z70" s="283"/>
      <c r="AA70" s="283"/>
    </row>
    <row r="71" spans="1:27" s="257" customFormat="1" ht="23.1" customHeight="1" x14ac:dyDescent="0.25">
      <c r="A71" s="728" t="str">
        <f t="shared" si="10"/>
        <v>Show</v>
      </c>
      <c r="B71" s="677" t="s">
        <v>2441</v>
      </c>
      <c r="C71" s="965"/>
      <c r="D71" s="1312"/>
      <c r="E71" s="1313">
        <v>0</v>
      </c>
      <c r="F71" s="1314"/>
      <c r="G71" s="1313">
        <f t="shared" si="11"/>
        <v>0</v>
      </c>
      <c r="H71" s="1315" t="str">
        <f t="shared" si="12"/>
        <v>N/A</v>
      </c>
      <c r="I71" s="1316"/>
      <c r="J71" s="1312"/>
      <c r="K71" s="1313"/>
      <c r="L71" s="1314"/>
      <c r="M71" s="1313">
        <f t="shared" si="13"/>
        <v>0</v>
      </c>
      <c r="N71" s="1317" t="str">
        <f t="shared" si="14"/>
        <v>N/A</v>
      </c>
      <c r="O71" s="758"/>
      <c r="P71" s="438"/>
      <c r="Q71" s="284"/>
      <c r="R71" s="746"/>
      <c r="S71" s="284"/>
      <c r="T71" s="284"/>
      <c r="U71" s="259"/>
      <c r="V71" s="259"/>
      <c r="W71" s="284"/>
      <c r="X71" s="283"/>
      <c r="Y71" s="283"/>
      <c r="Z71" s="283"/>
      <c r="AA71" s="283"/>
    </row>
    <row r="72" spans="1:27" s="257" customFormat="1" ht="23.1" customHeight="1" x14ac:dyDescent="0.25">
      <c r="A72" s="728" t="str">
        <f t="shared" si="10"/>
        <v>Show</v>
      </c>
      <c r="B72" s="677" t="s">
        <v>2442</v>
      </c>
      <c r="C72" s="965"/>
      <c r="D72" s="1312"/>
      <c r="E72" s="1313">
        <v>0</v>
      </c>
      <c r="F72" s="1314"/>
      <c r="G72" s="1313">
        <f t="shared" si="11"/>
        <v>0</v>
      </c>
      <c r="H72" s="1315" t="str">
        <f t="shared" si="12"/>
        <v>N/A</v>
      </c>
      <c r="I72" s="1316"/>
      <c r="J72" s="1312"/>
      <c r="K72" s="1313"/>
      <c r="L72" s="1314"/>
      <c r="M72" s="1313">
        <f t="shared" si="13"/>
        <v>0</v>
      </c>
      <c r="N72" s="1317" t="str">
        <f t="shared" si="14"/>
        <v>N/A</v>
      </c>
      <c r="O72" s="758"/>
      <c r="P72" s="438"/>
      <c r="Q72" s="284"/>
      <c r="R72" s="746"/>
      <c r="S72" s="284"/>
      <c r="T72" s="284"/>
      <c r="U72" s="259"/>
      <c r="V72" s="259"/>
      <c r="W72" s="284"/>
      <c r="X72" s="283"/>
      <c r="Y72" s="283"/>
      <c r="Z72" s="283"/>
      <c r="AA72" s="283"/>
    </row>
    <row r="73" spans="1:27" s="257" customFormat="1" ht="23.1" customHeight="1" x14ac:dyDescent="0.25">
      <c r="A73" s="728" t="str">
        <f t="shared" si="10"/>
        <v>Show</v>
      </c>
      <c r="B73" s="677" t="s">
        <v>2443</v>
      </c>
      <c r="C73" s="965"/>
      <c r="D73" s="1312"/>
      <c r="E73" s="1313">
        <v>0</v>
      </c>
      <c r="F73" s="1314"/>
      <c r="G73" s="1313">
        <f t="shared" si="11"/>
        <v>0</v>
      </c>
      <c r="H73" s="1315" t="str">
        <f t="shared" si="12"/>
        <v>N/A</v>
      </c>
      <c r="I73" s="1316"/>
      <c r="J73" s="1312"/>
      <c r="K73" s="1313"/>
      <c r="L73" s="1314"/>
      <c r="M73" s="1313">
        <f t="shared" si="13"/>
        <v>0</v>
      </c>
      <c r="N73" s="1317" t="str">
        <f t="shared" si="14"/>
        <v>N/A</v>
      </c>
      <c r="O73" s="758"/>
      <c r="P73" s="438"/>
      <c r="Q73" s="284"/>
      <c r="R73" s="746"/>
      <c r="S73" s="284"/>
      <c r="T73" s="284"/>
      <c r="U73" s="259"/>
      <c r="V73" s="259"/>
      <c r="W73" s="284"/>
      <c r="X73" s="283"/>
      <c r="Y73" s="283"/>
      <c r="Z73" s="283"/>
      <c r="AA73" s="283"/>
    </row>
    <row r="74" spans="1:27" s="257" customFormat="1" ht="23.1" customHeight="1" x14ac:dyDescent="0.25">
      <c r="A74" s="728" t="str">
        <f t="shared" si="10"/>
        <v>Show</v>
      </c>
      <c r="B74" s="677" t="s">
        <v>2444</v>
      </c>
      <c r="C74" s="965"/>
      <c r="D74" s="1312"/>
      <c r="E74" s="1313">
        <v>0</v>
      </c>
      <c r="F74" s="1314"/>
      <c r="G74" s="1313">
        <f t="shared" si="11"/>
        <v>0</v>
      </c>
      <c r="H74" s="1315" t="str">
        <f t="shared" si="12"/>
        <v>N/A</v>
      </c>
      <c r="I74" s="1316"/>
      <c r="J74" s="1312"/>
      <c r="K74" s="1313"/>
      <c r="L74" s="1314"/>
      <c r="M74" s="1313">
        <f t="shared" si="13"/>
        <v>0</v>
      </c>
      <c r="N74" s="1317" t="str">
        <f t="shared" si="14"/>
        <v>N/A</v>
      </c>
      <c r="O74" s="758"/>
      <c r="P74" s="438"/>
      <c r="Q74" s="284"/>
      <c r="R74" s="746"/>
      <c r="S74" s="284"/>
      <c r="T74" s="284"/>
      <c r="U74" s="259"/>
      <c r="V74" s="259"/>
      <c r="W74" s="284"/>
      <c r="X74" s="283"/>
      <c r="Y74" s="283"/>
      <c r="Z74" s="283"/>
      <c r="AA74" s="283"/>
    </row>
    <row r="75" spans="1:27" s="257" customFormat="1" ht="23.1" customHeight="1" x14ac:dyDescent="0.25">
      <c r="A75" s="728" t="str">
        <f t="shared" si="10"/>
        <v>Show</v>
      </c>
      <c r="B75" s="677" t="s">
        <v>2445</v>
      </c>
      <c r="C75" s="965"/>
      <c r="D75" s="1312"/>
      <c r="E75" s="1313">
        <v>0</v>
      </c>
      <c r="F75" s="1314"/>
      <c r="G75" s="1313">
        <f t="shared" si="11"/>
        <v>0</v>
      </c>
      <c r="H75" s="1315" t="str">
        <f t="shared" si="12"/>
        <v>N/A</v>
      </c>
      <c r="I75" s="1316"/>
      <c r="J75" s="1312"/>
      <c r="K75" s="1313"/>
      <c r="L75" s="1314"/>
      <c r="M75" s="1313">
        <f t="shared" si="13"/>
        <v>0</v>
      </c>
      <c r="N75" s="1317" t="str">
        <f t="shared" si="14"/>
        <v>N/A</v>
      </c>
      <c r="O75" s="758"/>
      <c r="P75" s="438"/>
      <c r="Q75" s="284"/>
      <c r="R75" s="746"/>
      <c r="S75" s="284"/>
      <c r="T75" s="284"/>
      <c r="U75" s="259"/>
      <c r="V75" s="259"/>
      <c r="W75" s="284"/>
      <c r="X75" s="283"/>
      <c r="Y75" s="283"/>
      <c r="Z75" s="283"/>
      <c r="AA75" s="283"/>
    </row>
    <row r="76" spans="1:27" s="257" customFormat="1" ht="23.1" customHeight="1" x14ac:dyDescent="0.25">
      <c r="A76" s="728" t="str">
        <f t="shared" si="10"/>
        <v>Show</v>
      </c>
      <c r="B76" s="677" t="s">
        <v>2446</v>
      </c>
      <c r="C76" s="965"/>
      <c r="D76" s="1312"/>
      <c r="E76" s="1313">
        <v>0</v>
      </c>
      <c r="F76" s="1314"/>
      <c r="G76" s="1313">
        <f t="shared" si="11"/>
        <v>0</v>
      </c>
      <c r="H76" s="1315" t="str">
        <f t="shared" si="12"/>
        <v>N/A</v>
      </c>
      <c r="I76" s="1316"/>
      <c r="J76" s="1312"/>
      <c r="K76" s="1313"/>
      <c r="L76" s="1314"/>
      <c r="M76" s="1313">
        <f t="shared" si="13"/>
        <v>0</v>
      </c>
      <c r="N76" s="1317" t="str">
        <f t="shared" si="14"/>
        <v>N/A</v>
      </c>
      <c r="O76" s="758"/>
      <c r="P76" s="438"/>
      <c r="Q76" s="284"/>
      <c r="R76" s="746"/>
      <c r="S76" s="284"/>
      <c r="T76" s="284"/>
      <c r="U76" s="259"/>
      <c r="V76" s="259"/>
      <c r="W76" s="284"/>
      <c r="X76" s="283"/>
      <c r="Y76" s="283"/>
      <c r="Z76" s="283"/>
      <c r="AA76" s="283"/>
    </row>
    <row r="77" spans="1:27" s="257" customFormat="1" ht="23.1" customHeight="1" x14ac:dyDescent="0.25">
      <c r="A77" s="728" t="str">
        <f t="shared" si="10"/>
        <v>Show</v>
      </c>
      <c r="B77" s="677" t="s">
        <v>2447</v>
      </c>
      <c r="C77" s="965"/>
      <c r="D77" s="1312"/>
      <c r="E77" s="1313">
        <v>0</v>
      </c>
      <c r="F77" s="1314"/>
      <c r="G77" s="1313">
        <f t="shared" si="11"/>
        <v>0</v>
      </c>
      <c r="H77" s="1315" t="str">
        <f t="shared" si="12"/>
        <v>N/A</v>
      </c>
      <c r="I77" s="1316"/>
      <c r="J77" s="1312"/>
      <c r="K77" s="1313"/>
      <c r="L77" s="1314"/>
      <c r="M77" s="1313">
        <f t="shared" si="13"/>
        <v>0</v>
      </c>
      <c r="N77" s="1317" t="str">
        <f t="shared" si="14"/>
        <v>N/A</v>
      </c>
      <c r="O77" s="758"/>
      <c r="P77" s="438"/>
      <c r="Q77" s="284"/>
      <c r="R77" s="746"/>
      <c r="S77" s="284"/>
      <c r="T77" s="284"/>
      <c r="U77" s="259"/>
      <c r="V77" s="259"/>
      <c r="W77" s="284"/>
      <c r="X77" s="283"/>
      <c r="Y77" s="283"/>
      <c r="Z77" s="283"/>
      <c r="AA77" s="283"/>
    </row>
    <row r="78" spans="1:27" s="257" customFormat="1" ht="23.1" customHeight="1" x14ac:dyDescent="0.25">
      <c r="A78" s="728" t="str">
        <f t="shared" si="10"/>
        <v>Show</v>
      </c>
      <c r="B78" s="677" t="s">
        <v>2448</v>
      </c>
      <c r="C78" s="965"/>
      <c r="D78" s="1312"/>
      <c r="E78" s="1313">
        <v>0</v>
      </c>
      <c r="F78" s="1314"/>
      <c r="G78" s="1313">
        <f t="shared" si="11"/>
        <v>0</v>
      </c>
      <c r="H78" s="1315" t="str">
        <f t="shared" si="12"/>
        <v>N/A</v>
      </c>
      <c r="I78" s="1316"/>
      <c r="J78" s="1312"/>
      <c r="K78" s="1313"/>
      <c r="L78" s="1314"/>
      <c r="M78" s="1313">
        <f t="shared" si="13"/>
        <v>0</v>
      </c>
      <c r="N78" s="1317" t="str">
        <f t="shared" si="14"/>
        <v>N/A</v>
      </c>
      <c r="O78" s="758"/>
      <c r="P78" s="438"/>
      <c r="Q78" s="284"/>
      <c r="R78" s="746"/>
      <c r="S78" s="284"/>
      <c r="T78" s="284"/>
      <c r="U78" s="259"/>
      <c r="V78" s="259"/>
      <c r="W78" s="284"/>
      <c r="X78" s="283"/>
      <c r="Y78" s="283"/>
      <c r="Z78" s="283"/>
      <c r="AA78" s="283"/>
    </row>
    <row r="79" spans="1:27" s="257" customFormat="1" ht="27" customHeight="1" thickBot="1" x14ac:dyDescent="0.3">
      <c r="A79" s="728" t="s">
        <v>2337</v>
      </c>
      <c r="B79" s="677"/>
      <c r="C79" s="288" t="s">
        <v>2449</v>
      </c>
      <c r="D79" s="287"/>
      <c r="E79" s="286">
        <f>ROUND(SUM(E9:E78),2)</f>
        <v>11755487.67</v>
      </c>
      <c r="F79" s="286">
        <f>ROUND(SUM(F9:F78),2)</f>
        <v>11276916.42</v>
      </c>
      <c r="G79" s="286">
        <f>ROUND(SUM(G9:G78),2)</f>
        <v>478571.25</v>
      </c>
      <c r="H79" s="285">
        <f>(F79/E79)</f>
        <v>0.95928954515248965</v>
      </c>
      <c r="I79" s="285"/>
      <c r="J79" s="287"/>
      <c r="K79" s="286">
        <f>ROUND(SUM(K9:K78),2)</f>
        <v>20014677.120000001</v>
      </c>
      <c r="L79" s="286">
        <f>ROUND(SUM(L9:L78),2)</f>
        <v>17341199.109999999</v>
      </c>
      <c r="M79" s="286">
        <f>SUM(M9:M78)</f>
        <v>2673478.0095380796</v>
      </c>
      <c r="N79" s="740">
        <f>(L79/K79)</f>
        <v>0.86642412495735521</v>
      </c>
      <c r="O79" s="758"/>
      <c r="P79" s="438"/>
      <c r="Q79" s="284"/>
      <c r="R79" s="746"/>
      <c r="S79" s="284"/>
      <c r="T79" s="284"/>
      <c r="U79" s="259"/>
      <c r="V79" s="259"/>
      <c r="W79" s="284"/>
      <c r="X79" s="283"/>
      <c r="Y79" s="283"/>
      <c r="Z79" s="283"/>
      <c r="AA79" s="283"/>
    </row>
    <row r="80" spans="1:27" s="257" customFormat="1" ht="28.5" customHeight="1" x14ac:dyDescent="0.25">
      <c r="A80" s="728" t="s">
        <v>2337</v>
      </c>
      <c r="B80" s="677"/>
      <c r="O80" s="758"/>
      <c r="P80" s="438"/>
      <c r="Q80" s="284"/>
      <c r="R80" s="746"/>
      <c r="S80" s="284"/>
      <c r="T80" s="284"/>
      <c r="U80" s="259"/>
      <c r="V80" s="259"/>
      <c r="W80" s="63"/>
    </row>
    <row r="81" spans="1:23" s="257" customFormat="1" ht="21" customHeight="1" x14ac:dyDescent="0.25">
      <c r="A81" s="728" t="s">
        <v>2337</v>
      </c>
      <c r="B81" s="677"/>
      <c r="C81" s="279" t="str">
        <f>VLOOKUP(Translations!B649,Translations!B3:H893,4,0)</f>
        <v>B. VENTILATION PAR INTERVENTIONS</v>
      </c>
      <c r="D81" s="278"/>
      <c r="E81" s="278"/>
      <c r="F81" s="279"/>
      <c r="G81" s="278"/>
      <c r="H81" s="278"/>
      <c r="I81" s="278"/>
      <c r="K81" s="278"/>
      <c r="L81" s="278"/>
      <c r="M81" s="278"/>
      <c r="N81" s="278"/>
      <c r="O81" s="758"/>
      <c r="P81" s="438"/>
      <c r="Q81" s="284"/>
      <c r="R81" s="746"/>
      <c r="S81" s="284"/>
      <c r="T81" s="284"/>
      <c r="U81" s="259"/>
      <c r="V81" s="259"/>
      <c r="W81" s="63"/>
    </row>
    <row r="82" spans="1:23" s="257" customFormat="1" ht="20.45" customHeight="1" thickBot="1" x14ac:dyDescent="0.3">
      <c r="A82" s="728" t="s">
        <v>2337</v>
      </c>
      <c r="B82" s="677"/>
      <c r="C82" s="138"/>
      <c r="D82" s="63"/>
      <c r="E82" s="63"/>
      <c r="F82" s="63"/>
      <c r="G82" s="63"/>
      <c r="H82" s="63"/>
      <c r="I82" s="63"/>
      <c r="K82" s="63"/>
      <c r="L82" s="63"/>
      <c r="M82" s="63"/>
      <c r="O82" s="758"/>
      <c r="P82" s="438"/>
      <c r="Q82" s="284"/>
      <c r="R82" s="746"/>
      <c r="S82" s="284"/>
      <c r="T82" s="284"/>
      <c r="U82" s="259"/>
      <c r="V82" s="259"/>
      <c r="W82" s="63"/>
    </row>
    <row r="83" spans="1:23" s="272" customFormat="1" ht="59.45" customHeight="1" x14ac:dyDescent="0.25">
      <c r="A83" s="729" t="s">
        <v>2337</v>
      </c>
      <c r="B83" s="678"/>
      <c r="C83" s="670" t="str">
        <f>VLOOKUP(Translations!B645,Translations!B3:H893,4,0)</f>
        <v>Démarche modulaire - Modules</v>
      </c>
      <c r="D83" s="671" t="str">
        <f>VLOOKUP(Translations!B646,Translations!B3:H893,4,0)</f>
        <v>Démarche modulaire - Interventions</v>
      </c>
      <c r="E83" s="672" t="str">
        <f>E8</f>
        <v>Budget pour la période de rapport</v>
      </c>
      <c r="F83" s="672" t="str">
        <f>F8</f>
        <v>Dépenses réelles</v>
      </c>
      <c r="G83" s="672" t="str">
        <f>G8</f>
        <v>Écarts budget - dépenses réelles</v>
      </c>
      <c r="H83" s="672" t="str">
        <f>H8</f>
        <v>Taux d’absorption</v>
      </c>
      <c r="I83" s="672" t="str">
        <f>I8</f>
        <v>Explication des écarts (obligatoire si les dépenses sont inférieures ou supérieures au budget de plus de 5 %)</v>
      </c>
      <c r="J83" s="673"/>
      <c r="K83" s="672" t="str">
        <f>K8</f>
        <v>Budget cumulé</v>
      </c>
      <c r="L83" s="672" t="str">
        <f>L8</f>
        <v>Dépenses réelles cumulées</v>
      </c>
      <c r="M83" s="672" t="str">
        <f>M8</f>
        <v>Écarts budget cumulé - dép. réelles cumulées</v>
      </c>
      <c r="N83" s="672" t="str">
        <f>N8</f>
        <v>Taux d’absorption</v>
      </c>
      <c r="O83" s="758"/>
      <c r="P83" s="438"/>
      <c r="Q83" s="295"/>
      <c r="R83" s="747"/>
      <c r="S83" s="295"/>
      <c r="T83" s="295"/>
      <c r="U83" s="274"/>
      <c r="V83" s="274"/>
      <c r="W83" s="99"/>
    </row>
    <row r="84" spans="1:23" s="257" customFormat="1" ht="50.25" customHeight="1" x14ac:dyDescent="0.25">
      <c r="A84" s="728" t="str">
        <f>IF(C84&lt;&gt;"","Show","Don't Show")</f>
        <v>Show</v>
      </c>
      <c r="B84" s="677" t="s">
        <v>2450</v>
      </c>
      <c r="C84" s="966" t="str">
        <f>IFERROR(INDEX('PR Expenditure_7A import-export'!A$62:A$108,MATCH($B84,'PR Expenditure_7A import-export'!$N$62:$N$108,0)),"")</f>
        <v>Comprehensive prevention programs for people who inject drugs (PWID) and their partners</v>
      </c>
      <c r="D84" s="1318" t="str">
        <f>IFERROR(INDEX('PR Expenditure_7A import-export'!B$62:B$108,MATCH($B84,'PR Expenditure_7A import-export'!$N$62:$N$108,0)),"")</f>
        <v>Behavioral interventions for PWID</v>
      </c>
      <c r="E84" s="1313">
        <f>IFERROR(INDEX('PR Expenditure_7A import-export'!C$62:C$108,MATCH($B84,'PR Expenditure_7A import-export'!$N$62:$N$108,0)),"")</f>
        <v>1083.6147002595601</v>
      </c>
      <c r="F84" s="1314">
        <v>820.44774207433113</v>
      </c>
      <c r="G84" s="1313">
        <f>IFERROR(E84-F84,0)</f>
        <v>263.16695818522896</v>
      </c>
      <c r="H84" s="1315">
        <f>IF(AND(E84=0,F84=0),"N/A",IF(AND(E84=0,F84&lt;&gt;0),"Not Budgeted",F84/E84))</f>
        <v>0.75713973045752136</v>
      </c>
      <c r="I84" s="1319" t="s">
        <v>2451</v>
      </c>
      <c r="J84" s="1312"/>
      <c r="K84" s="1313">
        <f>IFERROR(INDEX('PR Expenditure_7A import-export'!I$62:I$108,MATCH($B84,'PR Expenditure_7A import-export'!$N$62:$N$108,0)),"")</f>
        <v>5868.9367050627498</v>
      </c>
      <c r="L84" s="1314">
        <f>3494.64+F84</f>
        <v>4315.0877420743309</v>
      </c>
      <c r="M84" s="1313">
        <f>IFERROR(K84-L84,0)</f>
        <v>1553.8489629884189</v>
      </c>
      <c r="N84" s="1317">
        <f>IF(AND(K84=0,L84=0),"N/A",IF(AND(K84=0,L84&lt;&gt;0),"Not Budgeted",L84/K84))</f>
        <v>0.73524182640306646</v>
      </c>
      <c r="O84" s="758"/>
      <c r="P84" s="438"/>
      <c r="Q84" s="284"/>
      <c r="R84" s="746"/>
      <c r="S84" s="284"/>
      <c r="T84" s="284"/>
      <c r="U84" s="259"/>
      <c r="V84" s="259"/>
      <c r="W84" s="63"/>
    </row>
    <row r="85" spans="1:23" s="257" customFormat="1" ht="63" customHeight="1" x14ac:dyDescent="0.25">
      <c r="A85" s="728" t="str">
        <f t="shared" ref="A85:A183" si="15">IF(C85&lt;&gt;"","Show","Don't Show")</f>
        <v>Show</v>
      </c>
      <c r="B85" s="677" t="s">
        <v>2452</v>
      </c>
      <c r="C85" s="966" t="str">
        <f>IFERROR(INDEX('PR Expenditure_7A import-export'!A$62:A$108,MATCH($B85,'PR Expenditure_7A import-export'!$N$62:$N$108,0)),"")</f>
        <v>TB care and prevention</v>
      </c>
      <c r="D85" s="1318" t="str">
        <f>IFERROR(INDEX('PR Expenditure_7A import-export'!B$62:B$108,MATCH($B85,'PR Expenditure_7A import-export'!$N$62:$N$108,0)),"")</f>
        <v>Case detection and diagnosis</v>
      </c>
      <c r="E85" s="1313">
        <f>IFERROR(INDEX('PR Expenditure_7A import-export'!C$62:C$108,MATCH($B85,'PR Expenditure_7A import-export'!$N$62:$N$108,0)),"")</f>
        <v>417648.47202143702</v>
      </c>
      <c r="F85" s="1314">
        <v>244262.22</v>
      </c>
      <c r="G85" s="1313">
        <f t="shared" ref="G85:G90" si="16">IFERROR(E85-F85,0)</f>
        <v>173386.25202143702</v>
      </c>
      <c r="H85" s="1315">
        <f t="shared" ref="H85:H90" si="17">IF(AND(E85=0,F85=0),"N/A",IF(AND(E85=0,F85&lt;&gt;0),"Not Budgeted",F85/E85))</f>
        <v>0.58485122384803678</v>
      </c>
      <c r="I85" s="1319" t="s">
        <v>2453</v>
      </c>
      <c r="J85" s="1312"/>
      <c r="K85" s="1313">
        <f>IFERROR(INDEX('PR Expenditure_7A import-export'!I$62:I$108,MATCH($B85,'PR Expenditure_7A import-export'!$N$62:$N$108,0)),"")</f>
        <v>920506.54512416304</v>
      </c>
      <c r="L85" s="1314">
        <f>361609.51+F85</f>
        <v>605871.73</v>
      </c>
      <c r="M85" s="1313">
        <f t="shared" ref="M85:M90" si="18">IFERROR(K85-L85,0)</f>
        <v>314634.81512416305</v>
      </c>
      <c r="N85" s="1317">
        <f t="shared" ref="N85:N90" si="19">IF(AND(K85=0,L85=0),"N/A",IF(AND(K85=0,L85&lt;&gt;0),"Not Budgeted",L85/K85))</f>
        <v>0.65819383165632639</v>
      </c>
      <c r="O85" s="758"/>
      <c r="P85" s="438"/>
      <c r="Q85" s="284"/>
      <c r="R85" s="746"/>
      <c r="S85" s="284"/>
      <c r="T85" s="284"/>
      <c r="U85" s="259"/>
      <c r="V85" s="259"/>
      <c r="W85" s="63"/>
    </row>
    <row r="86" spans="1:23" s="257" customFormat="1" ht="65.25" customHeight="1" x14ac:dyDescent="0.25">
      <c r="A86" s="728" t="str">
        <f t="shared" si="15"/>
        <v>Show</v>
      </c>
      <c r="B86" s="677" t="s">
        <v>2454</v>
      </c>
      <c r="C86" s="966" t="str">
        <f>IFERROR(INDEX('PR Expenditure_7A import-export'!A$62:A$108,MATCH($B86,'PR Expenditure_7A import-export'!$N$62:$N$108,0)),"")</f>
        <v>TB care and prevention</v>
      </c>
      <c r="D86" s="1318" t="str">
        <f>IFERROR(INDEX('PR Expenditure_7A import-export'!B$62:B$108,MATCH($B86,'PR Expenditure_7A import-export'!$N$62:$N$108,0)),"")</f>
        <v>Key populations (TB care and prevention) - Others</v>
      </c>
      <c r="E86" s="1313">
        <f>IFERROR(INDEX('PR Expenditure_7A import-export'!C$62:C$108,MATCH($B86,'PR Expenditure_7A import-export'!$N$62:$N$108,0)),"")</f>
        <v>45110.868282326497</v>
      </c>
      <c r="F86" s="1314">
        <v>3535.6005357863141</v>
      </c>
      <c r="G86" s="1313">
        <f t="shared" si="16"/>
        <v>41575.267746540179</v>
      </c>
      <c r="H86" s="1315">
        <f t="shared" si="17"/>
        <v>7.837580322459653E-2</v>
      </c>
      <c r="I86" s="1319" t="s">
        <v>2455</v>
      </c>
      <c r="J86" s="1312"/>
      <c r="K86" s="1313">
        <f>IFERROR(INDEX('PR Expenditure_7A import-export'!I$62:I$108,MATCH($B86,'PR Expenditure_7A import-export'!$N$62:$N$108,0)),"")</f>
        <v>139563.02728521</v>
      </c>
      <c r="L86" s="1314">
        <f>7560.04+F86</f>
        <v>11095.640535786315</v>
      </c>
      <c r="M86" s="1313">
        <f t="shared" si="18"/>
        <v>128467.38674942369</v>
      </c>
      <c r="N86" s="1317">
        <f t="shared" si="19"/>
        <v>7.9502721828406203E-2</v>
      </c>
      <c r="O86" s="758"/>
      <c r="P86" s="438"/>
      <c r="Q86" s="284"/>
      <c r="R86" s="746"/>
      <c r="S86" s="284"/>
      <c r="T86" s="284"/>
      <c r="U86" s="259"/>
      <c r="V86" s="259"/>
      <c r="W86" s="63"/>
    </row>
    <row r="87" spans="1:23" s="257" customFormat="1" ht="51.75" customHeight="1" x14ac:dyDescent="0.25">
      <c r="A87" s="728" t="str">
        <f t="shared" si="15"/>
        <v>Show</v>
      </c>
      <c r="B87" s="677" t="s">
        <v>2456</v>
      </c>
      <c r="C87" s="966" t="str">
        <f>IFERROR(INDEX('PR Expenditure_7A import-export'!A$62:A$108,MATCH($B87,'PR Expenditure_7A import-export'!$N$62:$N$108,0)),"")</f>
        <v>TB care and prevention</v>
      </c>
      <c r="D87" s="1318" t="str">
        <f>IFERROR(INDEX('PR Expenditure_7A import-export'!B$62:B$108,MATCH($B87,'PR Expenditure_7A import-export'!$N$62:$N$108,0)),"")</f>
        <v>Key populations (TB care and prevention) - Prisoners</v>
      </c>
      <c r="E87" s="1313">
        <f>IFERROR(INDEX('PR Expenditure_7A import-export'!C$62:C$108,MATCH($B87,'PR Expenditure_7A import-export'!$N$62:$N$108,0)),"")</f>
        <v>12086.9212520861</v>
      </c>
      <c r="F87" s="1314">
        <v>2443.4799999999996</v>
      </c>
      <c r="G87" s="1313">
        <f t="shared" si="16"/>
        <v>9643.4412520861006</v>
      </c>
      <c r="H87" s="1315">
        <f t="shared" si="17"/>
        <v>0.20215900716472987</v>
      </c>
      <c r="I87" s="1319" t="s">
        <v>2457</v>
      </c>
      <c r="J87" s="1312"/>
      <c r="K87" s="1313">
        <f>IFERROR(INDEX('PR Expenditure_7A import-export'!I$62:I$108,MATCH($B87,'PR Expenditure_7A import-export'!$N$62:$N$108,0)),"")</f>
        <v>24173.8425041722</v>
      </c>
      <c r="L87" s="1314">
        <f>6473.17+F87</f>
        <v>8916.65</v>
      </c>
      <c r="M87" s="1313">
        <f t="shared" si="18"/>
        <v>15257.192504172201</v>
      </c>
      <c r="N87" s="1317">
        <f t="shared" si="19"/>
        <v>0.3688553029358515</v>
      </c>
      <c r="O87" s="758"/>
      <c r="P87" s="438"/>
      <c r="Q87" s="284"/>
      <c r="R87" s="746"/>
      <c r="S87" s="284"/>
      <c r="T87" s="284"/>
      <c r="U87" s="259"/>
      <c r="V87" s="259"/>
      <c r="W87" s="63"/>
    </row>
    <row r="88" spans="1:23" s="257" customFormat="1" ht="31.5" customHeight="1" x14ac:dyDescent="0.25">
      <c r="A88" s="728" t="str">
        <f t="shared" si="15"/>
        <v>Show</v>
      </c>
      <c r="B88" s="677" t="s">
        <v>2458</v>
      </c>
      <c r="C88" s="966" t="str">
        <f>IFERROR(INDEX('PR Expenditure_7A import-export'!A$62:A$108,MATCH($B88,'PR Expenditure_7A import-export'!$N$62:$N$108,0)),"")</f>
        <v>TB care and prevention</v>
      </c>
      <c r="D88" s="1318" t="str">
        <f>IFERROR(INDEX('PR Expenditure_7A import-export'!B$62:B$108,MATCH($B88,'PR Expenditure_7A import-export'!$N$62:$N$108,0)),"")</f>
        <v>Prevention</v>
      </c>
      <c r="E88" s="1313">
        <f>IFERROR(INDEX('PR Expenditure_7A import-export'!C$62:C$108,MATCH($B88,'PR Expenditure_7A import-export'!$N$62:$N$108,0)),"")</f>
        <v>6342.4190506292398</v>
      </c>
      <c r="F88" s="1314">
        <v>5973.34</v>
      </c>
      <c r="G88" s="1313">
        <f t="shared" si="16"/>
        <v>369.07905062923965</v>
      </c>
      <c r="H88" s="1315">
        <f t="shared" si="17"/>
        <v>0.94180784213672808</v>
      </c>
      <c r="I88" s="1319" t="s">
        <v>2459</v>
      </c>
      <c r="J88" s="1312"/>
      <c r="K88" s="1313">
        <f>IFERROR(INDEX('PR Expenditure_7A import-export'!I$62:I$108,MATCH($B88,'PR Expenditure_7A import-export'!$N$62:$N$108,0)),"")</f>
        <v>12684.8381012585</v>
      </c>
      <c r="L88" s="1314">
        <f>8727.76+F88</f>
        <v>14701.1</v>
      </c>
      <c r="M88" s="1313">
        <f t="shared" si="18"/>
        <v>-2016.2618987415008</v>
      </c>
      <c r="N88" s="1317">
        <f t="shared" si="19"/>
        <v>1.1589505425805522</v>
      </c>
      <c r="O88" s="758"/>
      <c r="P88" s="438"/>
      <c r="Q88" s="284"/>
      <c r="R88" s="746"/>
      <c r="S88" s="284"/>
      <c r="T88" s="284"/>
      <c r="U88" s="259"/>
      <c r="V88" s="259"/>
      <c r="W88" s="63"/>
    </row>
    <row r="89" spans="1:23" s="257" customFormat="1" ht="132.75" customHeight="1" x14ac:dyDescent="0.25">
      <c r="A89" s="728" t="str">
        <f t="shared" si="15"/>
        <v>Show</v>
      </c>
      <c r="B89" s="677" t="s">
        <v>2460</v>
      </c>
      <c r="C89" s="966" t="str">
        <f>IFERROR(INDEX('PR Expenditure_7A import-export'!A$62:A$108,MATCH($B89,'PR Expenditure_7A import-export'!$N$62:$N$108,0)),"")</f>
        <v>TB care and prevention</v>
      </c>
      <c r="D89" s="1318" t="str">
        <f>IFERROR(INDEX('PR Expenditure_7A import-export'!B$62:B$108,MATCH($B89,'PR Expenditure_7A import-export'!$N$62:$N$108,0)),"")</f>
        <v>Treatment</v>
      </c>
      <c r="E89" s="1313">
        <f>IFERROR(INDEX('PR Expenditure_7A import-export'!C$62:C$108,MATCH($B89,'PR Expenditure_7A import-export'!$N$62:$N$108,0)),"")</f>
        <v>362592.288397895</v>
      </c>
      <c r="F89" s="1314">
        <v>252743.04000000004</v>
      </c>
      <c r="G89" s="1313">
        <f t="shared" si="16"/>
        <v>109849.24839789496</v>
      </c>
      <c r="H89" s="1315">
        <f t="shared" si="17"/>
        <v>0.6970447196125954</v>
      </c>
      <c r="I89" s="1319" t="s">
        <v>2461</v>
      </c>
      <c r="J89" s="1312"/>
      <c r="K89" s="1313">
        <f>IFERROR(INDEX('PR Expenditure_7A import-export'!I$62:I$108,MATCH($B89,'PR Expenditure_7A import-export'!$N$62:$N$108,0)),"")</f>
        <v>725184.57679578895</v>
      </c>
      <c r="L89" s="1314">
        <f>0+F89</f>
        <v>252743.04000000004</v>
      </c>
      <c r="M89" s="1313">
        <f t="shared" si="18"/>
        <v>472441.53679578891</v>
      </c>
      <c r="N89" s="1317">
        <f t="shared" si="19"/>
        <v>0.3485223598062982</v>
      </c>
      <c r="O89" s="758"/>
      <c r="P89" s="438"/>
      <c r="Q89" s="284"/>
      <c r="R89" s="746"/>
      <c r="S89" s="284"/>
      <c r="T89" s="284"/>
      <c r="U89" s="259"/>
      <c r="V89" s="259"/>
      <c r="W89" s="63"/>
    </row>
    <row r="90" spans="1:23" s="257" customFormat="1" ht="85.5" customHeight="1" x14ac:dyDescent="0.25">
      <c r="A90" s="728" t="str">
        <f t="shared" si="15"/>
        <v>Show</v>
      </c>
      <c r="B90" s="677" t="s">
        <v>2462</v>
      </c>
      <c r="C90" s="966" t="str">
        <f>IFERROR(INDEX('PR Expenditure_7A import-export'!A$62:A$108,MATCH($B90,'PR Expenditure_7A import-export'!$N$62:$N$108,0)),"")</f>
        <v>TB care and prevention</v>
      </c>
      <c r="D90" s="1318" t="str">
        <f>IFERROR(INDEX('PR Expenditure_7A import-export'!B$62:B$108,MATCH($B90,'PR Expenditure_7A import-export'!$N$62:$N$108,0)),"")</f>
        <v>Community TB care delivery</v>
      </c>
      <c r="E90" s="1313">
        <f>IFERROR(INDEX('PR Expenditure_7A import-export'!C$62:C$108,MATCH($B90,'PR Expenditure_7A import-export'!$N$62:$N$108,0)),"")</f>
        <v>22513.615614632101</v>
      </c>
      <c r="F90" s="1314">
        <v>17042.030969260966</v>
      </c>
      <c r="G90" s="1313">
        <f t="shared" si="16"/>
        <v>5471.5846453711347</v>
      </c>
      <c r="H90" s="1315">
        <f t="shared" si="17"/>
        <v>0.75696552970305531</v>
      </c>
      <c r="I90" s="1319" t="s">
        <v>2463</v>
      </c>
      <c r="J90" s="1312"/>
      <c r="K90" s="1313">
        <f>IFERROR(INDEX('PR Expenditure_7A import-export'!I$62:I$108,MATCH($B90,'PR Expenditure_7A import-export'!$N$62:$N$108,0)),"")</f>
        <v>48117.929468192102</v>
      </c>
      <c r="L90" s="1314">
        <f>5106.11+F90</f>
        <v>22148.140969260967</v>
      </c>
      <c r="M90" s="1313">
        <f t="shared" si="18"/>
        <v>25969.788498931135</v>
      </c>
      <c r="N90" s="1317">
        <f t="shared" si="19"/>
        <v>0.46028873673589349</v>
      </c>
      <c r="O90" s="758"/>
      <c r="P90" s="438"/>
      <c r="Q90" s="284"/>
      <c r="R90" s="746"/>
      <c r="S90" s="284"/>
      <c r="T90" s="284"/>
      <c r="U90" s="259"/>
      <c r="V90" s="259"/>
      <c r="W90" s="63"/>
    </row>
    <row r="91" spans="1:23" s="257" customFormat="1" ht="161.25" customHeight="1" x14ac:dyDescent="0.25">
      <c r="A91" s="728" t="str">
        <f t="shared" si="15"/>
        <v>Show</v>
      </c>
      <c r="B91" s="677" t="s">
        <v>2464</v>
      </c>
      <c r="C91" s="966" t="str">
        <f>IFERROR(INDEX('PR Expenditure_7A import-export'!A$62:A$108,MATCH($B91,'PR Expenditure_7A import-export'!$N$62:$N$108,0)),"")</f>
        <v>RSSH: Health management information systems and M&amp;E</v>
      </c>
      <c r="D91" s="1318" t="str">
        <f>IFERROR(INDEX('PR Expenditure_7A import-export'!B$62:B$108,MATCH($B91,'PR Expenditure_7A import-export'!$N$62:$N$108,0)),"")</f>
        <v>Analysis, review and transparency</v>
      </c>
      <c r="E91" s="1313">
        <f>IFERROR(INDEX('PR Expenditure_7A import-export'!C$62:C$108,MATCH($B91,'PR Expenditure_7A import-export'!$N$62:$N$108,0)),"")</f>
        <v>175560.76264251501</v>
      </c>
      <c r="F91" s="1314">
        <v>181664.87002959239</v>
      </c>
      <c r="G91" s="1313">
        <f t="shared" ref="G91:G154" si="20">IFERROR(E91-F91,0)</f>
        <v>-6104.1073870773835</v>
      </c>
      <c r="H91" s="1315">
        <f t="shared" ref="H91:H154" si="21">IF(AND(E91=0,F91=0),"N/A",IF(AND(E91=0,F91&lt;&gt;0),"Not Budgeted",F91/E91))</f>
        <v>1.0347692006755909</v>
      </c>
      <c r="I91" s="1319" t="s">
        <v>2465</v>
      </c>
      <c r="J91" s="1312"/>
      <c r="K91" s="1313">
        <f>IFERROR(INDEX('PR Expenditure_7A import-export'!I$62:I$108,MATCH($B91,'PR Expenditure_7A import-export'!$N$62:$N$108,0)),"")</f>
        <v>449057.42519641097</v>
      </c>
      <c r="L91" s="1314">
        <f>111641.11+F91</f>
        <v>293305.98002959241</v>
      </c>
      <c r="M91" s="1313">
        <f t="shared" ref="M91:M154" si="22">IFERROR(K91-L91,0)</f>
        <v>155751.44516681856</v>
      </c>
      <c r="N91" s="1317">
        <f t="shared" ref="N91:N154" si="23">IF(AND(K91=0,L91=0),"N/A",IF(AND(K91=0,L91&lt;&gt;0),"Not Budgeted",L91/K91))</f>
        <v>0.65315918092503378</v>
      </c>
      <c r="O91" s="758"/>
      <c r="P91" s="438"/>
      <c r="Q91" s="284"/>
      <c r="R91" s="746"/>
      <c r="S91" s="284"/>
      <c r="T91" s="284"/>
      <c r="U91" s="259"/>
      <c r="V91" s="259"/>
      <c r="W91" s="63"/>
    </row>
    <row r="92" spans="1:23" s="257" customFormat="1" ht="30" x14ac:dyDescent="0.25">
      <c r="A92" s="728" t="str">
        <f t="shared" si="15"/>
        <v>Show</v>
      </c>
      <c r="B92" s="677" t="s">
        <v>2466</v>
      </c>
      <c r="C92" s="966" t="str">
        <f>IFERROR(INDEX('PR Expenditure_7A import-export'!A$62:A$108,MATCH($B92,'PR Expenditure_7A import-export'!$N$62:$N$108,0)),"")</f>
        <v>RSSH: Health management information systems and M&amp;E</v>
      </c>
      <c r="D92" s="1318" t="str">
        <f>IFERROR(INDEX('PR Expenditure_7A import-export'!B$62:B$108,MATCH($B92,'PR Expenditure_7A import-export'!$N$62:$N$108,0)),"")</f>
        <v>Surveys</v>
      </c>
      <c r="E92" s="1313">
        <f>IFERROR(INDEX('PR Expenditure_7A import-export'!C$62:C$108,MATCH($B92,'PR Expenditure_7A import-export'!$N$62:$N$108,0)),"")</f>
        <v>0</v>
      </c>
      <c r="F92" s="1314">
        <v>0</v>
      </c>
      <c r="G92" s="1313">
        <f t="shared" si="20"/>
        <v>0</v>
      </c>
      <c r="H92" s="1315" t="str">
        <f t="shared" si="21"/>
        <v>N/A</v>
      </c>
      <c r="I92" s="1319"/>
      <c r="J92" s="1312"/>
      <c r="K92" s="1313">
        <f>IFERROR(INDEX('PR Expenditure_7A import-export'!I$62:I$108,MATCH($B92,'PR Expenditure_7A import-export'!$N$62:$N$108,0)),"")</f>
        <v>128041.523258478</v>
      </c>
      <c r="L92" s="1314">
        <f>0+F92</f>
        <v>0</v>
      </c>
      <c r="M92" s="1313">
        <f t="shared" si="22"/>
        <v>128041.523258478</v>
      </c>
      <c r="N92" s="1317">
        <f t="shared" si="23"/>
        <v>0</v>
      </c>
      <c r="O92" s="758"/>
      <c r="P92" s="438"/>
      <c r="Q92" s="284"/>
      <c r="R92" s="746"/>
      <c r="S92" s="284"/>
      <c r="T92" s="284"/>
      <c r="U92" s="259"/>
      <c r="V92" s="259"/>
      <c r="W92" s="63"/>
    </row>
    <row r="93" spans="1:23" s="257" customFormat="1" ht="94.5" customHeight="1" x14ac:dyDescent="0.25">
      <c r="A93" s="728" t="str">
        <f t="shared" si="15"/>
        <v>Show</v>
      </c>
      <c r="B93" s="677" t="s">
        <v>2467</v>
      </c>
      <c r="C93" s="966" t="str">
        <f>IFERROR(INDEX('PR Expenditure_7A import-export'!A$62:A$108,MATCH($B93,'PR Expenditure_7A import-export'!$N$62:$N$108,0)),"")</f>
        <v>RSSH: Health management information systems and M&amp;E</v>
      </c>
      <c r="D93" s="1318" t="str">
        <f>IFERROR(INDEX('PR Expenditure_7A import-export'!B$62:B$108,MATCH($B93,'PR Expenditure_7A import-export'!$N$62:$N$108,0)),"")</f>
        <v>Routine reporting</v>
      </c>
      <c r="E93" s="1313">
        <f>IFERROR(INDEX('PR Expenditure_7A import-export'!C$62:C$108,MATCH($B93,'PR Expenditure_7A import-export'!$N$62:$N$108,0)),"")</f>
        <v>118885.63710887</v>
      </c>
      <c r="F93" s="1314">
        <v>140238.6155567338</v>
      </c>
      <c r="G93" s="1313">
        <f t="shared" si="20"/>
        <v>-21352.978447863803</v>
      </c>
      <c r="H93" s="1315">
        <f t="shared" si="21"/>
        <v>1.1796094041899252</v>
      </c>
      <c r="I93" s="1319" t="s">
        <v>2468</v>
      </c>
      <c r="J93" s="1312"/>
      <c r="K93" s="1313">
        <f>IFERROR(INDEX('PR Expenditure_7A import-export'!I$62:I$108,MATCH($B93,'PR Expenditure_7A import-export'!$N$62:$N$108,0)),"")</f>
        <v>213212.718686804</v>
      </c>
      <c r="L93" s="1314">
        <f>84249.1+F93</f>
        <v>224487.7155567338</v>
      </c>
      <c r="M93" s="1313">
        <f t="shared" si="22"/>
        <v>-11274.996869929804</v>
      </c>
      <c r="N93" s="1317">
        <f t="shared" si="23"/>
        <v>1.052881446000846</v>
      </c>
      <c r="O93" s="758"/>
      <c r="P93" s="438"/>
      <c r="Q93" s="284"/>
      <c r="R93" s="746"/>
      <c r="S93" s="284"/>
      <c r="T93" s="284"/>
      <c r="U93" s="259"/>
      <c r="V93" s="259"/>
      <c r="W93" s="63"/>
    </row>
    <row r="94" spans="1:23" s="257" customFormat="1" ht="120.75" customHeight="1" x14ac:dyDescent="0.25">
      <c r="A94" s="728" t="str">
        <f t="shared" si="15"/>
        <v>Show</v>
      </c>
      <c r="B94" s="677" t="s">
        <v>2469</v>
      </c>
      <c r="C94" s="966" t="str">
        <f>IFERROR(INDEX('PR Expenditure_7A import-export'!A$62:A$108,MATCH($B94,'PR Expenditure_7A import-export'!$N$62:$N$108,0)),"")</f>
        <v>MDR-TB</v>
      </c>
      <c r="D94" s="1318" t="str">
        <f>IFERROR(INDEX('PR Expenditure_7A import-export'!B$62:B$108,MATCH($B94,'PR Expenditure_7A import-export'!$N$62:$N$108,0)),"")</f>
        <v>Treatment: MDR-TB</v>
      </c>
      <c r="E94" s="1313">
        <f>IFERROR(INDEX('PR Expenditure_7A import-export'!C$62:C$108,MATCH($B94,'PR Expenditure_7A import-export'!$N$62:$N$108,0)),"")</f>
        <v>297453.14335106098</v>
      </c>
      <c r="F94" s="1314">
        <v>102144.93536585367</v>
      </c>
      <c r="G94" s="1313">
        <f t="shared" si="20"/>
        <v>195308.20798520732</v>
      </c>
      <c r="H94" s="1315">
        <f t="shared" si="21"/>
        <v>0.34339840626696583</v>
      </c>
      <c r="I94" s="1319" t="s">
        <v>2470</v>
      </c>
      <c r="J94" s="1312"/>
      <c r="K94" s="1313">
        <f>IFERROR(INDEX('PR Expenditure_7A import-export'!I$62:I$108,MATCH($B94,'PR Expenditure_7A import-export'!$N$62:$N$108,0)),"")</f>
        <v>590424.82335148798</v>
      </c>
      <c r="L94" s="1314">
        <f>6383.3+F94</f>
        <v>108528.23536585367</v>
      </c>
      <c r="M94" s="1313">
        <f t="shared" si="22"/>
        <v>481896.58798563434</v>
      </c>
      <c r="N94" s="1317">
        <f t="shared" si="23"/>
        <v>0.18381380841984912</v>
      </c>
      <c r="O94" s="758"/>
      <c r="P94" s="438"/>
      <c r="Q94" s="284"/>
      <c r="R94" s="746"/>
      <c r="S94" s="284"/>
      <c r="T94" s="284"/>
      <c r="U94" s="259"/>
      <c r="V94" s="259"/>
      <c r="W94" s="63"/>
    </row>
    <row r="95" spans="1:23" s="257" customFormat="1" ht="84" customHeight="1" x14ac:dyDescent="0.25">
      <c r="A95" s="728" t="str">
        <f t="shared" si="15"/>
        <v>Show</v>
      </c>
      <c r="B95" s="677" t="s">
        <v>2471</v>
      </c>
      <c r="C95" s="966" t="str">
        <f>IFERROR(INDEX('PR Expenditure_7A import-export'!A$62:A$108,MATCH($B95,'PR Expenditure_7A import-export'!$N$62:$N$108,0)),"")</f>
        <v>TB/HIV</v>
      </c>
      <c r="D95" s="1318" t="str">
        <f>IFERROR(INDEX('PR Expenditure_7A import-export'!B$62:B$108,MATCH($B95,'PR Expenditure_7A import-export'!$N$62:$N$108,0)),"")</f>
        <v>TB/HIV collaborative interventions</v>
      </c>
      <c r="E95" s="1313">
        <f>IFERROR(INDEX('PR Expenditure_7A import-export'!C$62:C$108,MATCH($B95,'PR Expenditure_7A import-export'!$N$62:$N$108,0)),"")</f>
        <v>151021.356975537</v>
      </c>
      <c r="F95" s="1314">
        <v>118117.4</v>
      </c>
      <c r="G95" s="1313">
        <f t="shared" si="20"/>
        <v>32903.956975537003</v>
      </c>
      <c r="H95" s="1315">
        <f t="shared" si="21"/>
        <v>0.78212381589931745</v>
      </c>
      <c r="I95" s="1319" t="s">
        <v>2472</v>
      </c>
      <c r="J95" s="1312"/>
      <c r="K95" s="1313">
        <f>IFERROR(INDEX('PR Expenditure_7A import-export'!I$62:I$108,MATCH($B95,'PR Expenditure_7A import-export'!$N$62:$N$108,0)),"")</f>
        <v>325068.86107999401</v>
      </c>
      <c r="L95" s="1314">
        <f>12884.54+F95</f>
        <v>131001.94</v>
      </c>
      <c r="M95" s="1313">
        <f t="shared" si="22"/>
        <v>194066.921079994</v>
      </c>
      <c r="N95" s="1317">
        <f t="shared" si="23"/>
        <v>0.4029975050971204</v>
      </c>
      <c r="O95" s="758"/>
      <c r="P95" s="438"/>
      <c r="Q95" s="284"/>
      <c r="R95" s="746"/>
      <c r="S95" s="284"/>
      <c r="T95" s="284"/>
      <c r="U95" s="259"/>
      <c r="V95" s="259"/>
      <c r="W95" s="63"/>
    </row>
    <row r="96" spans="1:23" s="257" customFormat="1" ht="408.75" customHeight="1" x14ac:dyDescent="0.25">
      <c r="A96" s="728" t="str">
        <f t="shared" si="15"/>
        <v>Show</v>
      </c>
      <c r="B96" s="677" t="s">
        <v>2473</v>
      </c>
      <c r="C96" s="966" t="str">
        <f>IFERROR(INDEX('PR Expenditure_7A import-export'!A$62:A$108,MATCH($B96,'PR Expenditure_7A import-export'!$N$62:$N$108,0)),"")</f>
        <v>Program management</v>
      </c>
      <c r="D96" s="1318" t="str">
        <f>IFERROR(INDEX('PR Expenditure_7A import-export'!B$62:B$108,MATCH($B96,'PR Expenditure_7A import-export'!$N$62:$N$108,0)),"")</f>
        <v>Grant management</v>
      </c>
      <c r="E96" s="1313">
        <f>IFERROR(INDEX('PR Expenditure_7A import-export'!C$62:C$108,MATCH($B96,'PR Expenditure_7A import-export'!$N$62:$N$108,0)),"")</f>
        <v>2068169.66294363</v>
      </c>
      <c r="F96" s="1314">
        <v>2117930.1342065446</v>
      </c>
      <c r="G96" s="1313">
        <f t="shared" si="20"/>
        <v>-49760.471262914594</v>
      </c>
      <c r="H96" s="1315">
        <f t="shared" si="21"/>
        <v>1.0240601494908741</v>
      </c>
      <c r="I96" s="1319" t="s">
        <v>2474</v>
      </c>
      <c r="J96" s="1312"/>
      <c r="K96" s="1313">
        <f>IFERROR(INDEX('PR Expenditure_7A import-export'!I$62:I$108,MATCH($B96,'PR Expenditure_7A import-export'!$N$62:$N$108,0)),"")</f>
        <v>4033977.12654887</v>
      </c>
      <c r="L96" s="1314">
        <f>1330277.69+F96</f>
        <v>3448207.8242065446</v>
      </c>
      <c r="M96" s="1313">
        <f t="shared" si="22"/>
        <v>585769.30234232545</v>
      </c>
      <c r="N96" s="1317">
        <f t="shared" si="23"/>
        <v>0.85479111954126019</v>
      </c>
      <c r="O96" s="758"/>
      <c r="P96" s="438"/>
      <c r="Q96" s="284"/>
      <c r="R96" s="746"/>
      <c r="S96" s="284"/>
      <c r="T96" s="284"/>
      <c r="U96" s="259"/>
      <c r="V96" s="259"/>
      <c r="W96" s="63"/>
    </row>
    <row r="97" spans="1:23" s="257" customFormat="1" ht="92.25" customHeight="1" x14ac:dyDescent="0.25">
      <c r="A97" s="728" t="str">
        <f t="shared" si="15"/>
        <v>Show</v>
      </c>
      <c r="B97" s="677" t="s">
        <v>2475</v>
      </c>
      <c r="C97" s="966" t="str">
        <f>IFERROR(INDEX('PR Expenditure_7A import-export'!A$62:A$108,MATCH($B97,'PR Expenditure_7A import-export'!$N$62:$N$108,0)),"")</f>
        <v>Program management</v>
      </c>
      <c r="D97" s="1318" t="str">
        <f>IFERROR(INDEX('PR Expenditure_7A import-export'!B$62:B$108,MATCH($B97,'PR Expenditure_7A import-export'!$N$62:$N$108,0)),"")</f>
        <v>Policy, planning, coordination and management of national disease control programs</v>
      </c>
      <c r="E97" s="1313">
        <f>IFERROR(INDEX('PR Expenditure_7A import-export'!C$62:C$108,MATCH($B97,'PR Expenditure_7A import-export'!$N$62:$N$108,0)),"")</f>
        <v>210578.60347420399</v>
      </c>
      <c r="F97" s="1314">
        <v>218759.27450354589</v>
      </c>
      <c r="G97" s="1313">
        <f t="shared" si="20"/>
        <v>-8180.6710293419019</v>
      </c>
      <c r="H97" s="1315">
        <f t="shared" si="21"/>
        <v>1.0388485387136877</v>
      </c>
      <c r="I97" s="1319" t="s">
        <v>2476</v>
      </c>
      <c r="J97" s="1312"/>
      <c r="K97" s="1313">
        <f>IFERROR(INDEX('PR Expenditure_7A import-export'!I$62:I$108,MATCH($B97,'PR Expenditure_7A import-export'!$N$62:$N$108,0)),"")</f>
        <v>420409.07916637498</v>
      </c>
      <c r="L97" s="1314">
        <f>149122.47+F97</f>
        <v>367881.74450354592</v>
      </c>
      <c r="M97" s="1313">
        <f t="shared" si="22"/>
        <v>52527.33466282906</v>
      </c>
      <c r="N97" s="1317">
        <f t="shared" si="23"/>
        <v>0.87505661208129715</v>
      </c>
      <c r="O97" s="758"/>
      <c r="P97" s="438"/>
      <c r="Q97" s="284"/>
      <c r="R97" s="746"/>
      <c r="S97" s="284"/>
      <c r="T97" s="284"/>
      <c r="U97" s="259"/>
      <c r="V97" s="259"/>
      <c r="W97" s="63"/>
    </row>
    <row r="98" spans="1:23" s="257" customFormat="1" ht="30" x14ac:dyDescent="0.25">
      <c r="A98" s="728" t="str">
        <f t="shared" si="15"/>
        <v>Show</v>
      </c>
      <c r="B98" s="677" t="s">
        <v>2477</v>
      </c>
      <c r="C98" s="966" t="str">
        <f>IFERROR(INDEX('PR Expenditure_7A import-export'!A$62:A$108,MATCH($B98,'PR Expenditure_7A import-export'!$N$62:$N$108,0)),"")</f>
        <v>PMTCT</v>
      </c>
      <c r="D98" s="1318" t="str">
        <f>IFERROR(INDEX('PR Expenditure_7A import-export'!B$62:B$108,MATCH($B98,'PR Expenditure_7A import-export'!$N$62:$N$108,0)),"")</f>
        <v>Prong 1: Primary prevention of HIV infection among women of childbearing age</v>
      </c>
      <c r="E98" s="1313">
        <f>IFERROR(INDEX('PR Expenditure_7A import-export'!C$62:C$108,MATCH($B98,'PR Expenditure_7A import-export'!$N$62:$N$108,0)),"")</f>
        <v>13826.315722405699</v>
      </c>
      <c r="F98" s="1314">
        <v>12008.6</v>
      </c>
      <c r="G98" s="1313">
        <f t="shared" si="20"/>
        <v>1817.7157224056991</v>
      </c>
      <c r="H98" s="1315">
        <f t="shared" si="21"/>
        <v>0.86853217018181705</v>
      </c>
      <c r="I98" s="1319" t="s">
        <v>2478</v>
      </c>
      <c r="J98" s="1312"/>
      <c r="K98" s="1313">
        <f>IFERROR(INDEX('PR Expenditure_7A import-export'!I$62:I$108,MATCH($B98,'PR Expenditure_7A import-export'!$N$62:$N$108,0)),"")</f>
        <v>27652.631444811399</v>
      </c>
      <c r="L98" s="1314">
        <f>10187.17+F98</f>
        <v>22195.77</v>
      </c>
      <c r="M98" s="1313">
        <f t="shared" si="22"/>
        <v>5456.8614448113985</v>
      </c>
      <c r="N98" s="1317">
        <f t="shared" si="23"/>
        <v>0.80266393613562237</v>
      </c>
      <c r="O98" s="758"/>
      <c r="P98" s="438"/>
      <c r="Q98" s="284"/>
      <c r="R98" s="746"/>
      <c r="S98" s="284"/>
      <c r="T98" s="284"/>
      <c r="U98" s="259"/>
      <c r="V98" s="259"/>
      <c r="W98" s="63"/>
    </row>
    <row r="99" spans="1:23" s="257" customFormat="1" ht="117" customHeight="1" x14ac:dyDescent="0.25">
      <c r="A99" s="728" t="str">
        <f t="shared" si="15"/>
        <v>Show</v>
      </c>
      <c r="B99" s="677" t="s">
        <v>2479</v>
      </c>
      <c r="C99" s="966" t="str">
        <f>IFERROR(INDEX('PR Expenditure_7A import-export'!A$62:A$108,MATCH($B99,'PR Expenditure_7A import-export'!$N$62:$N$108,0)),"")</f>
        <v>PMTCT</v>
      </c>
      <c r="D99" s="1318" t="str">
        <f>IFERROR(INDEX('PR Expenditure_7A import-export'!B$62:B$108,MATCH($B99,'PR Expenditure_7A import-export'!$N$62:$N$108,0)),"")</f>
        <v>Prong 3: Preventing vertical HIV transmission</v>
      </c>
      <c r="E99" s="1313">
        <f>IFERROR(INDEX('PR Expenditure_7A import-export'!C$62:C$108,MATCH($B99,'PR Expenditure_7A import-export'!$N$62:$N$108,0)),"")</f>
        <v>176767.48</v>
      </c>
      <c r="F99" s="1314">
        <v>413448.15</v>
      </c>
      <c r="G99" s="1313">
        <f t="shared" si="20"/>
        <v>-236680.67</v>
      </c>
      <c r="H99" s="1315">
        <f t="shared" si="21"/>
        <v>2.3389378521433919</v>
      </c>
      <c r="I99" s="1319" t="s">
        <v>2480</v>
      </c>
      <c r="J99" s="1312"/>
      <c r="K99" s="1313">
        <f>IFERROR(INDEX('PR Expenditure_7A import-export'!I$62:I$108,MATCH($B99,'PR Expenditure_7A import-export'!$N$62:$N$108,0)),"")</f>
        <v>575943.01959726296</v>
      </c>
      <c r="L99" s="1314">
        <f>321261.38+F99</f>
        <v>734709.53</v>
      </c>
      <c r="M99" s="1313">
        <f t="shared" si="22"/>
        <v>-158766.51040273707</v>
      </c>
      <c r="N99" s="1317">
        <f t="shared" si="23"/>
        <v>1.275663572611327</v>
      </c>
      <c r="O99" s="758"/>
      <c r="P99" s="438"/>
      <c r="Q99" s="284"/>
      <c r="R99" s="746"/>
      <c r="S99" s="284"/>
      <c r="T99" s="284"/>
      <c r="U99" s="259"/>
      <c r="V99" s="259"/>
      <c r="W99" s="63"/>
    </row>
    <row r="100" spans="1:23" s="257" customFormat="1" ht="91.5" customHeight="1" x14ac:dyDescent="0.25">
      <c r="A100" s="728" t="str">
        <f t="shared" si="15"/>
        <v>Show</v>
      </c>
      <c r="B100" s="677" t="s">
        <v>2481</v>
      </c>
      <c r="C100" s="966" t="str">
        <f>IFERROR(INDEX('PR Expenditure_7A import-export'!A$62:A$108,MATCH($B100,'PR Expenditure_7A import-export'!$N$62:$N$108,0)),"")</f>
        <v>PMTCT</v>
      </c>
      <c r="D100" s="1318" t="str">
        <f>IFERROR(INDEX('PR Expenditure_7A import-export'!B$62:B$108,MATCH($B100,'PR Expenditure_7A import-export'!$N$62:$N$108,0)),"")</f>
        <v>Prong 4: Treatment, care and support to mothers living with HIV, their children and families</v>
      </c>
      <c r="E100" s="1313">
        <f>IFERROR(INDEX('PR Expenditure_7A import-export'!C$62:C$108,MATCH($B100,'PR Expenditure_7A import-export'!$N$62:$N$108,0)),"")</f>
        <v>14639.026747600299</v>
      </c>
      <c r="F100" s="1314">
        <v>58267.939999999995</v>
      </c>
      <c r="G100" s="1313">
        <f t="shared" si="20"/>
        <v>-43628.913252399696</v>
      </c>
      <c r="H100" s="1315">
        <f t="shared" si="21"/>
        <v>3.9803151537756127</v>
      </c>
      <c r="I100" s="1319" t="s">
        <v>2482</v>
      </c>
      <c r="J100" s="1312"/>
      <c r="K100" s="1313">
        <f>IFERROR(INDEX('PR Expenditure_7A import-export'!I$62:I$108,MATCH($B100,'PR Expenditure_7A import-export'!$N$62:$N$108,0)),"")</f>
        <v>77457.410006417602</v>
      </c>
      <c r="L100" s="1314">
        <f>0+F100</f>
        <v>58267.939999999995</v>
      </c>
      <c r="M100" s="1313">
        <f t="shared" si="22"/>
        <v>19189.470006417607</v>
      </c>
      <c r="N100" s="1317">
        <f t="shared" si="23"/>
        <v>0.7522577890891563</v>
      </c>
      <c r="O100" s="758"/>
      <c r="P100" s="438"/>
      <c r="Q100" s="284"/>
      <c r="R100" s="746"/>
      <c r="S100" s="284"/>
      <c r="T100" s="284"/>
      <c r="U100" s="259"/>
      <c r="V100" s="259"/>
      <c r="W100" s="63"/>
    </row>
    <row r="101" spans="1:23" s="257" customFormat="1" ht="108" customHeight="1" x14ac:dyDescent="0.25">
      <c r="A101" s="728" t="str">
        <f t="shared" si="15"/>
        <v>Show</v>
      </c>
      <c r="B101" s="677" t="s">
        <v>2483</v>
      </c>
      <c r="C101" s="966" t="str">
        <f>IFERROR(INDEX('PR Expenditure_7A import-export'!A$62:A$108,MATCH($B101,'PR Expenditure_7A import-export'!$N$62:$N$108,0)),"")</f>
        <v>Prevention programs for general population</v>
      </c>
      <c r="D101" s="1318" t="str">
        <f>IFERROR(INDEX('PR Expenditure_7A import-export'!B$62:B$108,MATCH($B101,'PR Expenditure_7A import-export'!$N$62:$N$108,0)),"")</f>
        <v>Other intervention(s) for general population</v>
      </c>
      <c r="E101" s="1313">
        <f>IFERROR(INDEX('PR Expenditure_7A import-export'!C$62:C$108,MATCH($B101,'PR Expenditure_7A import-export'!$N$62:$N$108,0)),"")</f>
        <v>227549.03827324999</v>
      </c>
      <c r="F101" s="1314">
        <v>347243.30778366921</v>
      </c>
      <c r="G101" s="1313">
        <f t="shared" si="20"/>
        <v>-119694.26951041922</v>
      </c>
      <c r="H101" s="1315">
        <f t="shared" si="21"/>
        <v>1.5260152730976853</v>
      </c>
      <c r="I101" s="1319" t="s">
        <v>2484</v>
      </c>
      <c r="J101" s="1312"/>
      <c r="K101" s="1313">
        <f>IFERROR(INDEX('PR Expenditure_7A import-export'!I$62:I$108,MATCH($B101,'PR Expenditure_7A import-export'!$N$62:$N$108,0)),"")</f>
        <v>421062.39837243198</v>
      </c>
      <c r="L101" s="1314">
        <f>32695.57+F101</f>
        <v>379938.87778366922</v>
      </c>
      <c r="M101" s="1313">
        <f t="shared" si="22"/>
        <v>41123.520588762767</v>
      </c>
      <c r="N101" s="1317">
        <f t="shared" si="23"/>
        <v>0.90233390407758807</v>
      </c>
      <c r="O101" s="758"/>
      <c r="P101" s="438"/>
      <c r="Q101" s="284"/>
      <c r="R101" s="746"/>
      <c r="S101" s="284"/>
      <c r="T101" s="284"/>
      <c r="U101" s="259"/>
      <c r="V101" s="259"/>
      <c r="W101" s="63"/>
    </row>
    <row r="102" spans="1:23" s="257" customFormat="1" ht="38.25" customHeight="1" x14ac:dyDescent="0.25">
      <c r="A102" s="728" t="str">
        <f t="shared" si="15"/>
        <v>Show</v>
      </c>
      <c r="B102" s="677" t="s">
        <v>2485</v>
      </c>
      <c r="C102" s="966" t="str">
        <f>IFERROR(INDEX('PR Expenditure_7A import-export'!A$62:A$108,MATCH($B102,'PR Expenditure_7A import-export'!$N$62:$N$108,0)),"")</f>
        <v>PMTCT</v>
      </c>
      <c r="D102" s="1318" t="str">
        <f>IFERROR(INDEX('PR Expenditure_7A import-export'!B$62:B$108,MATCH($B102,'PR Expenditure_7A import-export'!$N$62:$N$108,0)),"")</f>
        <v>Other intervention(s) for PMTCT</v>
      </c>
      <c r="E102" s="1313">
        <f>IFERROR(INDEX('PR Expenditure_7A import-export'!C$62:C$108,MATCH($B102,'PR Expenditure_7A import-export'!$N$62:$N$108,0)),"")</f>
        <v>0</v>
      </c>
      <c r="F102" s="1314">
        <v>5200.8999999999996</v>
      </c>
      <c r="G102" s="1313">
        <f t="shared" si="20"/>
        <v>-5200.8999999999996</v>
      </c>
      <c r="H102" s="1315" t="str">
        <f t="shared" si="21"/>
        <v>Not Budgeted</v>
      </c>
      <c r="I102" s="1319" t="s">
        <v>2486</v>
      </c>
      <c r="J102" s="1312"/>
      <c r="K102" s="1313">
        <f>IFERROR(INDEX('PR Expenditure_7A import-export'!I$62:I$108,MATCH($B102,'PR Expenditure_7A import-export'!$N$62:$N$108,0)),"")</f>
        <v>9533.6468086751993</v>
      </c>
      <c r="L102" s="1314">
        <f>0+F102</f>
        <v>5200.8999999999996</v>
      </c>
      <c r="M102" s="1313">
        <f t="shared" si="22"/>
        <v>4332.7468086751996</v>
      </c>
      <c r="N102" s="1317">
        <f t="shared" si="23"/>
        <v>0.54553101288243755</v>
      </c>
      <c r="O102" s="758"/>
      <c r="P102" s="438"/>
      <c r="Q102" s="284"/>
      <c r="R102" s="746"/>
      <c r="S102" s="284"/>
      <c r="T102" s="284"/>
      <c r="U102" s="259"/>
      <c r="V102" s="259"/>
      <c r="W102" s="63"/>
    </row>
    <row r="103" spans="1:23" s="257" customFormat="1" ht="40.5" customHeight="1" x14ac:dyDescent="0.25">
      <c r="A103" s="728" t="str">
        <f t="shared" si="15"/>
        <v>Show</v>
      </c>
      <c r="B103" s="677" t="s">
        <v>2487</v>
      </c>
      <c r="C103" s="966" t="str">
        <f>IFERROR(INDEX('PR Expenditure_7A import-export'!A$62:A$108,MATCH($B103,'PR Expenditure_7A import-export'!$N$62:$N$108,0)),"")</f>
        <v>Comprehensive prevention programs for MSM</v>
      </c>
      <c r="D103" s="1318" t="str">
        <f>IFERROR(INDEX('PR Expenditure_7A import-export'!B$62:B$108,MATCH($B103,'PR Expenditure_7A import-export'!$N$62:$N$108,0)),"")</f>
        <v>Behavioral interventions for MSM</v>
      </c>
      <c r="E103" s="1313">
        <f>IFERROR(INDEX('PR Expenditure_7A import-export'!C$62:C$108,MATCH($B103,'PR Expenditure_7A import-export'!$N$62:$N$108,0)),"")</f>
        <v>4453.6914865036897</v>
      </c>
      <c r="F103" s="1314">
        <v>1122.6199999999999</v>
      </c>
      <c r="G103" s="1313">
        <f t="shared" si="20"/>
        <v>3331.0714865036898</v>
      </c>
      <c r="H103" s="1315">
        <f t="shared" si="21"/>
        <v>0.25206505735791268</v>
      </c>
      <c r="I103" s="1319" t="s">
        <v>2488</v>
      </c>
      <c r="J103" s="1312"/>
      <c r="K103" s="1313">
        <f>IFERROR(INDEX('PR Expenditure_7A import-export'!I$62:I$108,MATCH($B103,'PR Expenditure_7A import-export'!$N$62:$N$108,0)),"")</f>
        <v>8907.3829730073794</v>
      </c>
      <c r="L103" s="1314">
        <f>1128.2+F103</f>
        <v>2250.8199999999997</v>
      </c>
      <c r="M103" s="1313">
        <f t="shared" si="22"/>
        <v>6656.5629730073797</v>
      </c>
      <c r="N103" s="1317">
        <f t="shared" si="23"/>
        <v>0.25269150398279783</v>
      </c>
      <c r="O103" s="758"/>
      <c r="P103" s="438"/>
      <c r="Q103" s="284"/>
      <c r="R103" s="746"/>
      <c r="S103" s="284"/>
      <c r="T103" s="284"/>
      <c r="U103" s="259"/>
      <c r="V103" s="259"/>
      <c r="W103" s="63"/>
    </row>
    <row r="104" spans="1:23" s="257" customFormat="1" ht="87.75" customHeight="1" x14ac:dyDescent="0.25">
      <c r="A104" s="728" t="str">
        <f t="shared" si="15"/>
        <v>Show</v>
      </c>
      <c r="B104" s="677" t="s">
        <v>2489</v>
      </c>
      <c r="C104" s="966" t="str">
        <f>IFERROR(INDEX('PR Expenditure_7A import-export'!A$62:A$108,MATCH($B104,'PR Expenditure_7A import-export'!$N$62:$N$108,0)),"")</f>
        <v>Comprehensive prevention programs for MSM</v>
      </c>
      <c r="D104" s="1318" t="str">
        <f>IFERROR(INDEX('PR Expenditure_7A import-export'!B$62:B$108,MATCH($B104,'PR Expenditure_7A import-export'!$N$62:$N$108,0)),"")</f>
        <v>Condoms and lubricant programming for MSM</v>
      </c>
      <c r="E104" s="1313">
        <f>IFERROR(INDEX('PR Expenditure_7A import-export'!C$62:C$108,MATCH($B104,'PR Expenditure_7A import-export'!$N$62:$N$108,0)),"")</f>
        <v>38928.9939290701</v>
      </c>
      <c r="F104" s="1314">
        <v>0</v>
      </c>
      <c r="G104" s="1313">
        <f t="shared" si="20"/>
        <v>38928.9939290701</v>
      </c>
      <c r="H104" s="1315">
        <f t="shared" si="21"/>
        <v>0</v>
      </c>
      <c r="I104" s="1319" t="s">
        <v>2490</v>
      </c>
      <c r="J104" s="1312"/>
      <c r="K104" s="1313">
        <f>IFERROR(INDEX('PR Expenditure_7A import-export'!I$62:I$108,MATCH($B104,'PR Expenditure_7A import-export'!$N$62:$N$108,0)),"")</f>
        <v>43468.0869686402</v>
      </c>
      <c r="L104" s="1314">
        <f>61.43+F104</f>
        <v>61.43</v>
      </c>
      <c r="M104" s="1313">
        <f t="shared" si="22"/>
        <v>43406.6569686402</v>
      </c>
      <c r="N104" s="1317">
        <f t="shared" si="23"/>
        <v>1.4132206932483207E-3</v>
      </c>
      <c r="O104" s="758"/>
      <c r="P104" s="438"/>
      <c r="Q104" s="284"/>
      <c r="R104" s="746"/>
      <c r="S104" s="284"/>
      <c r="T104" s="284"/>
      <c r="U104" s="259"/>
      <c r="V104" s="259"/>
      <c r="W104" s="63"/>
    </row>
    <row r="105" spans="1:23" s="257" customFormat="1" ht="53.25" customHeight="1" x14ac:dyDescent="0.25">
      <c r="A105" s="728" t="str">
        <f t="shared" si="15"/>
        <v>Show</v>
      </c>
      <c r="B105" s="677" t="s">
        <v>2491</v>
      </c>
      <c r="C105" s="966" t="str">
        <f>IFERROR(INDEX('PR Expenditure_7A import-export'!A$62:A$108,MATCH($B105,'PR Expenditure_7A import-export'!$N$62:$N$108,0)),"")</f>
        <v>Comprehensive prevention programs for MSM</v>
      </c>
      <c r="D105" s="1318" t="str">
        <f>IFERROR(INDEX('PR Expenditure_7A import-export'!B$62:B$108,MATCH($B105,'PR Expenditure_7A import-export'!$N$62:$N$108,0)),"")</f>
        <v>Other intervention(s) for MSM</v>
      </c>
      <c r="E105" s="1313">
        <f>IFERROR(INDEX('PR Expenditure_7A import-export'!C$62:C$108,MATCH($B105,'PR Expenditure_7A import-export'!$N$62:$N$108,0)),"")</f>
        <v>31009.459375594099</v>
      </c>
      <c r="F105" s="1314">
        <v>17771.023684721076</v>
      </c>
      <c r="G105" s="1313">
        <f t="shared" si="20"/>
        <v>13238.435690873022</v>
      </c>
      <c r="H105" s="1315">
        <f t="shared" si="21"/>
        <v>0.57308395704272441</v>
      </c>
      <c r="I105" s="1319" t="s">
        <v>2492</v>
      </c>
      <c r="J105" s="1312"/>
      <c r="K105" s="1313">
        <f>IFERROR(INDEX('PR Expenditure_7A import-export'!I$62:I$108,MATCH($B105,'PR Expenditure_7A import-export'!$N$62:$N$108,0)),"")</f>
        <v>62018.918751188197</v>
      </c>
      <c r="L105" s="1314">
        <f>19765.32+F105</f>
        <v>37536.343684721076</v>
      </c>
      <c r="M105" s="1313">
        <f t="shared" si="22"/>
        <v>24482.575066467121</v>
      </c>
      <c r="N105" s="1317">
        <f t="shared" si="23"/>
        <v>0.6052402144466914</v>
      </c>
      <c r="O105" s="758"/>
      <c r="P105" s="438"/>
      <c r="Q105" s="284"/>
      <c r="R105" s="746"/>
      <c r="S105" s="284"/>
      <c r="T105" s="284"/>
      <c r="U105" s="259"/>
      <c r="V105" s="259"/>
      <c r="W105" s="63"/>
    </row>
    <row r="106" spans="1:23" s="257" customFormat="1" ht="30" x14ac:dyDescent="0.25">
      <c r="A106" s="728" t="str">
        <f t="shared" si="15"/>
        <v>Show</v>
      </c>
      <c r="B106" s="677" t="s">
        <v>2493</v>
      </c>
      <c r="C106" s="966" t="str">
        <f>IFERROR(INDEX('PR Expenditure_7A import-export'!A$62:A$108,MATCH($B106,'PR Expenditure_7A import-export'!$N$62:$N$108,0)),"")</f>
        <v>Comprehensive prevention programs for sex workers and their clients</v>
      </c>
      <c r="D106" s="1318" t="str">
        <f>IFERROR(INDEX('PR Expenditure_7A import-export'!B$62:B$108,MATCH($B106,'PR Expenditure_7A import-export'!$N$62:$N$108,0)),"")</f>
        <v>Behavioral interventions for sex workers</v>
      </c>
      <c r="E106" s="1313">
        <f>IFERROR(INDEX('PR Expenditure_7A import-export'!C$62:C$108,MATCH($B106,'PR Expenditure_7A import-export'!$N$62:$N$108,0)),"")</f>
        <v>7127.7766950406804</v>
      </c>
      <c r="F106" s="1314">
        <v>2399.38</v>
      </c>
      <c r="G106" s="1313">
        <f t="shared" si="20"/>
        <v>4728.3966950406802</v>
      </c>
      <c r="H106" s="1315">
        <f t="shared" si="21"/>
        <v>0.33662390148521709</v>
      </c>
      <c r="I106" s="1319" t="s">
        <v>2494</v>
      </c>
      <c r="J106" s="1312"/>
      <c r="K106" s="1313">
        <f>IFERROR(INDEX('PR Expenditure_7A import-export'!I$62:I$108,MATCH($B106,'PR Expenditure_7A import-export'!$N$62:$N$108,0)),"")</f>
        <v>14255.553390081401</v>
      </c>
      <c r="L106" s="1314">
        <f>4075.34+F106</f>
        <v>6474.72</v>
      </c>
      <c r="M106" s="1313">
        <f t="shared" si="22"/>
        <v>7780.8333900814005</v>
      </c>
      <c r="N106" s="1317">
        <f t="shared" si="23"/>
        <v>0.45418931295258747</v>
      </c>
      <c r="O106" s="758"/>
      <c r="P106" s="438"/>
      <c r="Q106" s="284"/>
      <c r="R106" s="746"/>
      <c r="S106" s="284"/>
      <c r="T106" s="284"/>
      <c r="U106" s="259"/>
      <c r="V106" s="259"/>
      <c r="W106" s="63"/>
    </row>
    <row r="107" spans="1:23" s="257" customFormat="1" ht="82.5" customHeight="1" x14ac:dyDescent="0.25">
      <c r="A107" s="728" t="str">
        <f t="shared" si="15"/>
        <v>Show</v>
      </c>
      <c r="B107" s="677" t="s">
        <v>2495</v>
      </c>
      <c r="C107" s="966" t="str">
        <f>IFERROR(INDEX('PR Expenditure_7A import-export'!A$62:A$108,MATCH($B107,'PR Expenditure_7A import-export'!$N$62:$N$108,0)),"")</f>
        <v>Comprehensive prevention programs for sex workers and their clients</v>
      </c>
      <c r="D107" s="1318" t="str">
        <f>IFERROR(INDEX('PR Expenditure_7A import-export'!B$62:B$108,MATCH($B107,'PR Expenditure_7A import-export'!$N$62:$N$108,0)),"")</f>
        <v>Condoms and lubricant programming for sex workers</v>
      </c>
      <c r="E107" s="1313">
        <f>IFERROR(INDEX('PR Expenditure_7A import-export'!C$62:C$108,MATCH($B107,'PR Expenditure_7A import-export'!$N$62:$N$108,0)),"")</f>
        <v>622985.52204536099</v>
      </c>
      <c r="F107" s="1314">
        <v>13961.495184609677</v>
      </c>
      <c r="G107" s="1313">
        <f t="shared" si="20"/>
        <v>609024.02686075133</v>
      </c>
      <c r="H107" s="1315">
        <f t="shared" si="21"/>
        <v>2.2410625432789929E-2</v>
      </c>
      <c r="I107" s="1319" t="s">
        <v>2496</v>
      </c>
      <c r="J107" s="1312"/>
      <c r="K107" s="1313">
        <f>IFERROR(INDEX('PR Expenditure_7A import-export'!I$62:I$108,MATCH($B107,'PR Expenditure_7A import-export'!$N$62:$N$108,0)),"")</f>
        <v>636388.59280762204</v>
      </c>
      <c r="L107" s="1314">
        <f>292.29+F107</f>
        <v>14253.785184609678</v>
      </c>
      <c r="M107" s="1313">
        <f t="shared" si="22"/>
        <v>622134.80762301234</v>
      </c>
      <c r="N107" s="1317">
        <f t="shared" si="23"/>
        <v>2.2397926904573769E-2</v>
      </c>
      <c r="O107" s="758"/>
      <c r="P107" s="438"/>
      <c r="Q107" s="284"/>
      <c r="R107" s="746"/>
      <c r="S107" s="284"/>
      <c r="T107" s="284"/>
      <c r="U107" s="259"/>
      <c r="V107" s="259"/>
      <c r="W107" s="63"/>
    </row>
    <row r="108" spans="1:23" s="257" customFormat="1" ht="72.75" customHeight="1" x14ac:dyDescent="0.25">
      <c r="A108" s="728" t="str">
        <f t="shared" si="15"/>
        <v>Show</v>
      </c>
      <c r="B108" s="677" t="s">
        <v>2497</v>
      </c>
      <c r="C108" s="966" t="str">
        <f>IFERROR(INDEX('PR Expenditure_7A import-export'!A$62:A$108,MATCH($B108,'PR Expenditure_7A import-export'!$N$62:$N$108,0)),"")</f>
        <v>Comprehensive prevention programs for sex workers and their clients</v>
      </c>
      <c r="D108" s="1318" t="str">
        <f>IFERROR(INDEX('PR Expenditure_7A import-export'!B$62:B$108,MATCH($B108,'PR Expenditure_7A import-export'!$N$62:$N$108,0)),"")</f>
        <v>Other intervention(s) for sex workers and their clients</v>
      </c>
      <c r="E108" s="1313">
        <f>IFERROR(INDEX('PR Expenditure_7A import-export'!C$62:C$108,MATCH($B108,'PR Expenditure_7A import-export'!$N$62:$N$108,0)),"")</f>
        <v>29457.486997347201</v>
      </c>
      <c r="F108" s="1314">
        <v>18012.609037450595</v>
      </c>
      <c r="G108" s="1313">
        <f t="shared" si="20"/>
        <v>11444.877959896607</v>
      </c>
      <c r="H108" s="1315">
        <f t="shared" si="21"/>
        <v>0.61147812911103794</v>
      </c>
      <c r="I108" s="1319" t="s">
        <v>2498</v>
      </c>
      <c r="J108" s="1312"/>
      <c r="K108" s="1313">
        <f>IFERROR(INDEX('PR Expenditure_7A import-export'!I$62:I$108,MATCH($B108,'PR Expenditure_7A import-export'!$N$62:$N$108,0)),"")</f>
        <v>58914.973994694497</v>
      </c>
      <c r="L108" s="1314">
        <f>14437.66+F108</f>
        <v>32450.269037450595</v>
      </c>
      <c r="M108" s="1313">
        <f t="shared" si="22"/>
        <v>26464.704957243903</v>
      </c>
      <c r="N108" s="1317">
        <f t="shared" si="23"/>
        <v>0.55079832574266874</v>
      </c>
      <c r="O108" s="758"/>
      <c r="P108" s="438"/>
      <c r="Q108" s="284"/>
      <c r="R108" s="746"/>
      <c r="S108" s="284"/>
      <c r="T108" s="284"/>
      <c r="U108" s="259"/>
      <c r="V108" s="259"/>
      <c r="W108" s="63"/>
    </row>
    <row r="109" spans="1:23" s="257" customFormat="1" ht="90.75" customHeight="1" x14ac:dyDescent="0.25">
      <c r="A109" s="728" t="str">
        <f t="shared" si="15"/>
        <v>Show</v>
      </c>
      <c r="B109" s="677" t="s">
        <v>2499</v>
      </c>
      <c r="C109" s="966" t="str">
        <f>IFERROR(INDEX('PR Expenditure_7A import-export'!A$62:A$108,MATCH($B109,'PR Expenditure_7A import-export'!$N$62:$N$108,0)),"")</f>
        <v>Comprehensive prevention programs for people who inject drugs (PWID) and their partners</v>
      </c>
      <c r="D109" s="1318" t="str">
        <f>IFERROR(INDEX('PR Expenditure_7A import-export'!B$62:B$108,MATCH($B109,'PR Expenditure_7A import-export'!$N$62:$N$108,0)),"")</f>
        <v>Other intervention(s) for IDUs and their partners</v>
      </c>
      <c r="E109" s="1313">
        <f>IFERROR(INDEX('PR Expenditure_7A import-export'!C$62:C$108,MATCH($B109,'PR Expenditure_7A import-export'!$N$62:$N$108,0)),"")</f>
        <v>13628.062159122001</v>
      </c>
      <c r="F109" s="1314">
        <v>14263.364608860929</v>
      </c>
      <c r="G109" s="1313">
        <f t="shared" si="20"/>
        <v>-635.30244973892877</v>
      </c>
      <c r="H109" s="1315">
        <f t="shared" si="21"/>
        <v>1.046617225715667</v>
      </c>
      <c r="I109" s="1319" t="s">
        <v>2500</v>
      </c>
      <c r="J109" s="1312"/>
      <c r="K109" s="1313">
        <f>IFERROR(INDEX('PR Expenditure_7A import-export'!I$62:I$108,MATCH($B109,'PR Expenditure_7A import-export'!$N$62:$N$108,0)),"")</f>
        <v>27256.124318243899</v>
      </c>
      <c r="L109" s="1314">
        <f>2922.61+F109</f>
        <v>17185.974608860928</v>
      </c>
      <c r="M109" s="1313">
        <f t="shared" si="22"/>
        <v>10070.149709382971</v>
      </c>
      <c r="N109" s="1317">
        <f t="shared" si="23"/>
        <v>0.63053625703334093</v>
      </c>
      <c r="O109" s="758"/>
      <c r="P109" s="438"/>
      <c r="Q109" s="284"/>
      <c r="R109" s="746"/>
      <c r="S109" s="284"/>
      <c r="T109" s="284"/>
      <c r="U109" s="259"/>
      <c r="V109" s="259"/>
      <c r="W109" s="63"/>
    </row>
    <row r="110" spans="1:23" s="257" customFormat="1" ht="87" customHeight="1" x14ac:dyDescent="0.25">
      <c r="A110" s="728" t="str">
        <f t="shared" si="15"/>
        <v>Show</v>
      </c>
      <c r="B110" s="677" t="s">
        <v>2501</v>
      </c>
      <c r="C110" s="966" t="str">
        <f>IFERROR(INDEX('PR Expenditure_7A import-export'!A$62:A$108,MATCH($B110,'PR Expenditure_7A import-export'!$N$62:$N$108,0)),"")</f>
        <v>Prevention programs for general population</v>
      </c>
      <c r="D110" s="1318" t="str">
        <f>IFERROR(INDEX('PR Expenditure_7A import-export'!B$62:B$108,MATCH($B110,'PR Expenditure_7A import-export'!$N$62:$N$108,0)),"")</f>
        <v>Behavioral interventions as part of programs for general population</v>
      </c>
      <c r="E110" s="1313">
        <f>IFERROR(INDEX('PR Expenditure_7A import-export'!C$62:C$108,MATCH($B110,'PR Expenditure_7A import-export'!$N$62:$N$108,0)),"")</f>
        <v>114220.697039722</v>
      </c>
      <c r="F110" s="1314">
        <v>62610.296214963135</v>
      </c>
      <c r="G110" s="1313">
        <f t="shared" si="20"/>
        <v>51610.400824758864</v>
      </c>
      <c r="H110" s="1315">
        <f t="shared" si="21"/>
        <v>0.54815193601199474</v>
      </c>
      <c r="I110" s="1319" t="s">
        <v>2502</v>
      </c>
      <c r="J110" s="1312"/>
      <c r="K110" s="1313">
        <f>IFERROR(INDEX('PR Expenditure_7A import-export'!I$62:I$108,MATCH($B110,'PR Expenditure_7A import-export'!$N$62:$N$108,0)),"")</f>
        <v>224301.48327685599</v>
      </c>
      <c r="L110" s="1314">
        <f>131797.64+F110</f>
        <v>194407.93621496315</v>
      </c>
      <c r="M110" s="1313">
        <f t="shared" si="22"/>
        <v>29893.547061892838</v>
      </c>
      <c r="N110" s="1317">
        <f t="shared" si="23"/>
        <v>0.86672603932362258</v>
      </c>
      <c r="O110" s="758"/>
      <c r="P110" s="438"/>
      <c r="Q110" s="284"/>
      <c r="R110" s="746"/>
      <c r="S110" s="284"/>
      <c r="T110" s="284"/>
      <c r="U110" s="259"/>
      <c r="V110" s="259"/>
      <c r="W110" s="63"/>
    </row>
    <row r="111" spans="1:23" s="257" customFormat="1" ht="60.75" customHeight="1" x14ac:dyDescent="0.25">
      <c r="A111" s="728" t="str">
        <f t="shared" si="15"/>
        <v>Show</v>
      </c>
      <c r="B111" s="677" t="s">
        <v>2503</v>
      </c>
      <c r="C111" s="966" t="str">
        <f>IFERROR(INDEX('PR Expenditure_7A import-export'!A$62:A$108,MATCH($B111,'PR Expenditure_7A import-export'!$N$62:$N$108,0)),"")</f>
        <v>Prevention programs for other vulnerable populations</v>
      </c>
      <c r="D111" s="1318" t="str">
        <f>IFERROR(INDEX('PR Expenditure_7A import-export'!B$62:B$108,MATCH($B111,'PR Expenditure_7A import-export'!$N$62:$N$108,0)),"")</f>
        <v>HIV testing services for other vulnerable populations</v>
      </c>
      <c r="E111" s="1313">
        <f>IFERROR(INDEX('PR Expenditure_7A import-export'!C$62:C$108,MATCH($B111,'PR Expenditure_7A import-export'!$N$62:$N$108,0)),"")</f>
        <v>1163.05</v>
      </c>
      <c r="F111" s="1314">
        <v>137005.34000000003</v>
      </c>
      <c r="G111" s="1313">
        <f t="shared" si="20"/>
        <v>-135842.29000000004</v>
      </c>
      <c r="H111" s="1315">
        <f t="shared" si="21"/>
        <v>117.79832337388765</v>
      </c>
      <c r="I111" s="1319" t="s">
        <v>2504</v>
      </c>
      <c r="J111" s="1312"/>
      <c r="K111" s="1313">
        <f>IFERROR(INDEX('PR Expenditure_7A import-export'!I$62:I$108,MATCH($B111,'PR Expenditure_7A import-export'!$N$62:$N$108,0)),"")</f>
        <v>31213.81</v>
      </c>
      <c r="L111" s="1314">
        <f>321.259999999999+F111</f>
        <v>137326.60000000003</v>
      </c>
      <c r="M111" s="1313">
        <f t="shared" si="22"/>
        <v>-106112.79000000004</v>
      </c>
      <c r="N111" s="1317">
        <f t="shared" si="23"/>
        <v>4.3995462264939791</v>
      </c>
      <c r="O111" s="758"/>
      <c r="P111" s="438"/>
      <c r="Q111" s="284"/>
      <c r="R111" s="746"/>
      <c r="S111" s="284"/>
      <c r="T111" s="284"/>
      <c r="U111" s="259"/>
      <c r="V111" s="259"/>
      <c r="W111" s="63"/>
    </row>
    <row r="112" spans="1:23" s="257" customFormat="1" ht="106.5" customHeight="1" x14ac:dyDescent="0.25">
      <c r="A112" s="728" t="str">
        <f t="shared" si="15"/>
        <v>Show</v>
      </c>
      <c r="B112" s="677" t="s">
        <v>2505</v>
      </c>
      <c r="C112" s="966" t="str">
        <f>IFERROR(INDEX('PR Expenditure_7A import-export'!A$62:A$108,MATCH($B112,'PR Expenditure_7A import-export'!$N$62:$N$108,0)),"")</f>
        <v>HIV Testing Services</v>
      </c>
      <c r="D112" s="1318" t="str">
        <f>IFERROR(INDEX('PR Expenditure_7A import-export'!B$62:B$108,MATCH($B112,'PR Expenditure_7A import-export'!$N$62:$N$108,0)),"")</f>
        <v>Differentiated HIV testing services</v>
      </c>
      <c r="E112" s="1313">
        <f>IFERROR(INDEX('PR Expenditure_7A import-export'!C$62:C$108,MATCH($B112,'PR Expenditure_7A import-export'!$N$62:$N$108,0)),"")</f>
        <v>268251.85155221203</v>
      </c>
      <c r="F112" s="1314">
        <v>344750.72000000003</v>
      </c>
      <c r="G112" s="1313">
        <f t="shared" si="20"/>
        <v>-76498.868447788002</v>
      </c>
      <c r="H112" s="1315">
        <f t="shared" si="21"/>
        <v>1.2851755468047474</v>
      </c>
      <c r="I112" s="1319" t="s">
        <v>2506</v>
      </c>
      <c r="J112" s="1312"/>
      <c r="K112" s="1313">
        <f>IFERROR(INDEX('PR Expenditure_7A import-export'!I$62:I$108,MATCH($B112,'PR Expenditure_7A import-export'!$N$62:$N$108,0)),"")</f>
        <v>293188.98310442403</v>
      </c>
      <c r="L112" s="1314">
        <f>215644.55+F112</f>
        <v>560395.27</v>
      </c>
      <c r="M112" s="1313">
        <f t="shared" si="22"/>
        <v>-267206.28689557599</v>
      </c>
      <c r="N112" s="1317">
        <f t="shared" si="23"/>
        <v>1.911379015903903</v>
      </c>
      <c r="O112" s="758"/>
      <c r="P112" s="438"/>
      <c r="Q112" s="284"/>
      <c r="R112" s="746"/>
      <c r="S112" s="284"/>
      <c r="T112" s="284"/>
      <c r="U112" s="259"/>
      <c r="V112" s="259"/>
      <c r="W112" s="63"/>
    </row>
    <row r="113" spans="1:23" s="257" customFormat="1" ht="72" customHeight="1" x14ac:dyDescent="0.25">
      <c r="A113" s="728" t="str">
        <f t="shared" si="15"/>
        <v>Show</v>
      </c>
      <c r="B113" s="677" t="s">
        <v>2507</v>
      </c>
      <c r="C113" s="966" t="str">
        <f>IFERROR(INDEX('PR Expenditure_7A import-export'!A$62:A$108,MATCH($B113,'PR Expenditure_7A import-export'!$N$62:$N$108,0)),"")</f>
        <v>RSSH: Integrated service delivery and quality improvement</v>
      </c>
      <c r="D113" s="1318" t="str">
        <f>IFERROR(INDEX('PR Expenditure_7A import-export'!B$62:B$108,MATCH($B113,'PR Expenditure_7A import-export'!$N$62:$N$108,0)),"")</f>
        <v>Laboratory systems for disease prevention, control, treatment and disease surveillance</v>
      </c>
      <c r="E113" s="1313">
        <f>IFERROR(INDEX('PR Expenditure_7A import-export'!C$62:C$108,MATCH($B113,'PR Expenditure_7A import-export'!$N$62:$N$108,0)),"")</f>
        <v>20509.3129564829</v>
      </c>
      <c r="F113" s="1314">
        <v>9126.369999999999</v>
      </c>
      <c r="G113" s="1313">
        <f t="shared" si="20"/>
        <v>11382.942956482901</v>
      </c>
      <c r="H113" s="1315">
        <f t="shared" si="21"/>
        <v>0.44498662726364979</v>
      </c>
      <c r="I113" s="1319" t="s">
        <v>2508</v>
      </c>
      <c r="J113" s="1312"/>
      <c r="K113" s="1313">
        <f>IFERROR(INDEX('PR Expenditure_7A import-export'!I$62:I$108,MATCH($B113,'PR Expenditure_7A import-export'!$N$62:$N$108,0)),"")</f>
        <v>46276.525912965801</v>
      </c>
      <c r="L113" s="1314">
        <f>314.7+F113</f>
        <v>9441.07</v>
      </c>
      <c r="M113" s="1313">
        <f t="shared" si="22"/>
        <v>36835.455912965801</v>
      </c>
      <c r="N113" s="1317">
        <f t="shared" si="23"/>
        <v>0.20401423429572513</v>
      </c>
      <c r="O113" s="758"/>
      <c r="P113" s="438"/>
      <c r="Q113" s="284"/>
      <c r="R113" s="746"/>
      <c r="S113" s="284"/>
      <c r="T113" s="284"/>
      <c r="U113" s="259"/>
      <c r="V113" s="259"/>
      <c r="W113" s="63"/>
    </row>
    <row r="114" spans="1:23" s="257" customFormat="1" ht="122.25" customHeight="1" x14ac:dyDescent="0.25">
      <c r="A114" s="728" t="str">
        <f t="shared" si="15"/>
        <v>Show</v>
      </c>
      <c r="B114" s="677" t="s">
        <v>2509</v>
      </c>
      <c r="C114" s="966" t="str">
        <f>IFERROR(INDEX('PR Expenditure_7A import-export'!A$62:A$108,MATCH($B114,'PR Expenditure_7A import-export'!$N$62:$N$108,0)),"")</f>
        <v>RSSH: Health management information systems and M&amp;E</v>
      </c>
      <c r="D114" s="1318" t="str">
        <f>IFERROR(INDEX('PR Expenditure_7A import-export'!B$62:B$108,MATCH($B114,'PR Expenditure_7A import-export'!$N$62:$N$108,0)),"")</f>
        <v>Program and data quality</v>
      </c>
      <c r="E114" s="1313">
        <f>IFERROR(INDEX('PR Expenditure_7A import-export'!C$62:C$108,MATCH($B114,'PR Expenditure_7A import-export'!$N$62:$N$108,0)),"")</f>
        <v>187657.37905091501</v>
      </c>
      <c r="F114" s="1314">
        <v>76378.417420337268</v>
      </c>
      <c r="G114" s="1313">
        <f t="shared" si="20"/>
        <v>111278.96163057775</v>
      </c>
      <c r="H114" s="1315">
        <f t="shared" si="21"/>
        <v>0.4070099337773142</v>
      </c>
      <c r="I114" s="1319" t="s">
        <v>2510</v>
      </c>
      <c r="J114" s="1312"/>
      <c r="K114" s="1313">
        <f>IFERROR(INDEX('PR Expenditure_7A import-export'!I$62:I$108,MATCH($B114,'PR Expenditure_7A import-export'!$N$62:$N$108,0)),"")</f>
        <v>372345.53119457298</v>
      </c>
      <c r="L114" s="1314">
        <f>112235.37+F114</f>
        <v>188613.78742033726</v>
      </c>
      <c r="M114" s="1313">
        <f t="shared" si="22"/>
        <v>183731.74377423571</v>
      </c>
      <c r="N114" s="1317">
        <f t="shared" si="23"/>
        <v>0.50655579728651345</v>
      </c>
      <c r="O114" s="758"/>
      <c r="P114" s="438"/>
      <c r="Q114" s="284"/>
      <c r="R114" s="746"/>
      <c r="S114" s="284"/>
      <c r="T114" s="284"/>
      <c r="U114" s="259"/>
      <c r="V114" s="259"/>
      <c r="W114" s="63"/>
    </row>
    <row r="115" spans="1:23" s="257" customFormat="1" ht="83.25" customHeight="1" x14ac:dyDescent="0.25">
      <c r="A115" s="728" t="str">
        <f t="shared" si="15"/>
        <v>Show</v>
      </c>
      <c r="B115" s="677" t="s">
        <v>2511</v>
      </c>
      <c r="C115" s="966" t="str">
        <f>IFERROR(INDEX('PR Expenditure_7A import-export'!A$62:A$108,MATCH($B115,'PR Expenditure_7A import-export'!$N$62:$N$108,0)),"")</f>
        <v>Treatment, care and support</v>
      </c>
      <c r="D115" s="1318" t="str">
        <f>IFERROR(INDEX('PR Expenditure_7A import-export'!B$62:B$108,MATCH($B115,'PR Expenditure_7A import-export'!$N$62:$N$108,0)),"")</f>
        <v>Counseling and psycho-social support</v>
      </c>
      <c r="E115" s="1313">
        <f>IFERROR(INDEX('PR Expenditure_7A import-export'!C$62:C$108,MATCH($B115,'PR Expenditure_7A import-export'!$N$62:$N$108,0)),"")</f>
        <v>1068283.68218652</v>
      </c>
      <c r="F115" s="1314">
        <v>961915.97234358441</v>
      </c>
      <c r="G115" s="1313">
        <f t="shared" si="20"/>
        <v>106367.70984293555</v>
      </c>
      <c r="H115" s="1315">
        <f t="shared" si="21"/>
        <v>0.90043121352820221</v>
      </c>
      <c r="I115" s="1319" t="s">
        <v>2512</v>
      </c>
      <c r="J115" s="1312"/>
      <c r="K115" s="1313">
        <f>IFERROR(INDEX('PR Expenditure_7A import-export'!I$62:I$108,MATCH($B115,'PR Expenditure_7A import-export'!$N$62:$N$108,0)),"")</f>
        <v>2090564.7177717099</v>
      </c>
      <c r="L115" s="1314">
        <f>831468+F115</f>
        <v>1793383.9723435845</v>
      </c>
      <c r="M115" s="1313">
        <f t="shared" si="22"/>
        <v>297180.74542812537</v>
      </c>
      <c r="N115" s="1317">
        <f t="shared" si="23"/>
        <v>0.8578466655914464</v>
      </c>
      <c r="O115" s="758"/>
      <c r="P115" s="438"/>
      <c r="Q115" s="284"/>
      <c r="R115" s="746"/>
      <c r="S115" s="284"/>
      <c r="T115" s="284"/>
      <c r="U115" s="259"/>
      <c r="V115" s="259"/>
      <c r="W115" s="63"/>
    </row>
    <row r="116" spans="1:23" s="257" customFormat="1" ht="96.75" customHeight="1" x14ac:dyDescent="0.25">
      <c r="A116" s="728" t="str">
        <f t="shared" si="15"/>
        <v>Show</v>
      </c>
      <c r="B116" s="677" t="s">
        <v>2513</v>
      </c>
      <c r="C116" s="966" t="str">
        <f>IFERROR(INDEX('PR Expenditure_7A import-export'!A$62:A$108,MATCH($B116,'PR Expenditure_7A import-export'!$N$62:$N$108,0)),"")</f>
        <v>Treatment, care and support</v>
      </c>
      <c r="D116" s="1318" t="str">
        <f>IFERROR(INDEX('PR Expenditure_7A import-export'!B$62:B$108,MATCH($B116,'PR Expenditure_7A import-export'!$N$62:$N$108,0)),"")</f>
        <v>Other intervention(s) for treatment</v>
      </c>
      <c r="E116" s="1313">
        <f>IFERROR(INDEX('PR Expenditure_7A import-export'!C$62:C$108,MATCH($B116,'PR Expenditure_7A import-export'!$N$62:$N$108,0)),"")</f>
        <v>694038.37243824103</v>
      </c>
      <c r="F116" s="1314">
        <v>756795.19382389309</v>
      </c>
      <c r="G116" s="1313">
        <f t="shared" si="20"/>
        <v>-62756.82138565206</v>
      </c>
      <c r="H116" s="1315">
        <f t="shared" si="21"/>
        <v>1.0904226968966857</v>
      </c>
      <c r="I116" s="1319" t="s">
        <v>2514</v>
      </c>
      <c r="J116" s="1312"/>
      <c r="K116" s="1313">
        <f>IFERROR(INDEX('PR Expenditure_7A import-export'!I$62:I$108,MATCH($B116,'PR Expenditure_7A import-export'!$N$62:$N$108,0)),"")</f>
        <v>1325440.78616524</v>
      </c>
      <c r="L116" s="1314">
        <f>400285.37+F116</f>
        <v>1157080.5638238932</v>
      </c>
      <c r="M116" s="1313">
        <f t="shared" si="22"/>
        <v>168360.22234134679</v>
      </c>
      <c r="N116" s="1317">
        <f t="shared" si="23"/>
        <v>0.87297793752941166</v>
      </c>
      <c r="O116" s="758"/>
      <c r="P116" s="438"/>
      <c r="Q116" s="284"/>
      <c r="R116" s="746"/>
      <c r="S116" s="284"/>
      <c r="T116" s="284"/>
      <c r="U116" s="259"/>
      <c r="V116" s="259"/>
      <c r="W116" s="63"/>
    </row>
    <row r="117" spans="1:23" s="257" customFormat="1" ht="48" customHeight="1" x14ac:dyDescent="0.25">
      <c r="A117" s="728" t="str">
        <f t="shared" si="15"/>
        <v>Show</v>
      </c>
      <c r="B117" s="677" t="s">
        <v>2515</v>
      </c>
      <c r="C117" s="966" t="str">
        <f>IFERROR(INDEX('PR Expenditure_7A import-export'!A$62:A$108,MATCH($B117,'PR Expenditure_7A import-export'!$N$62:$N$108,0)),"")</f>
        <v>Treatment, care and support</v>
      </c>
      <c r="D117" s="1318" t="str">
        <f>IFERROR(INDEX('PR Expenditure_7A import-export'!B$62:B$108,MATCH($B117,'PR Expenditure_7A import-export'!$N$62:$N$108,0)),"")</f>
        <v>Differentiated ART service delivery</v>
      </c>
      <c r="E117" s="1313">
        <f>IFERROR(INDEX('PR Expenditure_7A import-export'!C$62:C$108,MATCH($B117,'PR Expenditure_7A import-export'!$N$62:$N$108,0)),"")</f>
        <v>385032.36622405198</v>
      </c>
      <c r="F117" s="1314">
        <v>173679.92999999988</v>
      </c>
      <c r="G117" s="1313">
        <f t="shared" si="20"/>
        <v>211352.4362240521</v>
      </c>
      <c r="H117" s="1315">
        <f t="shared" si="21"/>
        <v>0.45107877995621487</v>
      </c>
      <c r="I117" s="1319" t="s">
        <v>2516</v>
      </c>
      <c r="J117" s="1312"/>
      <c r="K117" s="1313">
        <f>IFERROR(INDEX('PR Expenditure_7A import-export'!I$62:I$108,MATCH($B117,'PR Expenditure_7A import-export'!$N$62:$N$108,0)),"")</f>
        <v>753980.967571388</v>
      </c>
      <c r="L117" s="1314">
        <f>38324.48+F117</f>
        <v>212004.40999999989</v>
      </c>
      <c r="M117" s="1313">
        <f t="shared" si="22"/>
        <v>541976.55757138808</v>
      </c>
      <c r="N117" s="1317">
        <f t="shared" si="23"/>
        <v>0.28118005509194371</v>
      </c>
      <c r="O117" s="758"/>
      <c r="P117" s="438"/>
      <c r="Q117" s="284"/>
      <c r="R117" s="746"/>
      <c r="S117" s="284"/>
      <c r="T117" s="284"/>
      <c r="U117" s="259"/>
      <c r="V117" s="259"/>
      <c r="W117" s="63"/>
    </row>
    <row r="118" spans="1:23" s="257" customFormat="1" ht="57" customHeight="1" x14ac:dyDescent="0.25">
      <c r="A118" s="728" t="str">
        <f t="shared" si="15"/>
        <v>Show</v>
      </c>
      <c r="B118" s="677" t="s">
        <v>2517</v>
      </c>
      <c r="C118" s="966" t="str">
        <f>IFERROR(INDEX('PR Expenditure_7A import-export'!A$62:A$108,MATCH($B118,'PR Expenditure_7A import-export'!$N$62:$N$108,0)),"")</f>
        <v>Treatment, care and support</v>
      </c>
      <c r="D118" s="1318" t="str">
        <f>IFERROR(INDEX('PR Expenditure_7A import-export'!B$62:B$108,MATCH($B118,'PR Expenditure_7A import-export'!$N$62:$N$108,0)),"")</f>
        <v>Prevention, diagnosis and treatment of opportunistic infections</v>
      </c>
      <c r="E118" s="1313">
        <f>IFERROR(INDEX('PR Expenditure_7A import-export'!C$62:C$108,MATCH($B118,'PR Expenditure_7A import-export'!$N$62:$N$108,0)),"")</f>
        <v>96879.65</v>
      </c>
      <c r="F118" s="1314">
        <v>110783.38000000002</v>
      </c>
      <c r="G118" s="1313">
        <f t="shared" si="20"/>
        <v>-13903.730000000025</v>
      </c>
      <c r="H118" s="1315">
        <f t="shared" si="21"/>
        <v>1.1435154854502469</v>
      </c>
      <c r="I118" s="1319" t="s">
        <v>2518</v>
      </c>
      <c r="J118" s="1312"/>
      <c r="K118" s="1313">
        <f>IFERROR(INDEX('PR Expenditure_7A import-export'!I$62:I$108,MATCH($B118,'PR Expenditure_7A import-export'!$N$62:$N$108,0)),"")</f>
        <v>205386.00484017201</v>
      </c>
      <c r="L118" s="1314">
        <f>146265.49+F118</f>
        <v>257048.87</v>
      </c>
      <c r="M118" s="1313">
        <f t="shared" si="22"/>
        <v>-51662.865159827983</v>
      </c>
      <c r="N118" s="1317">
        <f t="shared" si="23"/>
        <v>1.2515403383985737</v>
      </c>
      <c r="O118" s="758"/>
      <c r="P118" s="438"/>
      <c r="Q118" s="284"/>
      <c r="R118" s="746"/>
      <c r="S118" s="284"/>
      <c r="T118" s="284"/>
      <c r="U118" s="259"/>
      <c r="V118" s="259"/>
      <c r="W118" s="63"/>
    </row>
    <row r="119" spans="1:23" s="257" customFormat="1" ht="199.5" customHeight="1" x14ac:dyDescent="0.25">
      <c r="A119" s="728" t="str">
        <f t="shared" si="15"/>
        <v>Show</v>
      </c>
      <c r="B119" s="677" t="s">
        <v>2519</v>
      </c>
      <c r="C119" s="966" t="str">
        <f>IFERROR(INDEX('PR Expenditure_7A import-export'!A$62:A$108,MATCH($B119,'PR Expenditure_7A import-export'!$N$62:$N$108,0)),"")</f>
        <v>Treatment, care and support</v>
      </c>
      <c r="D119" s="1318" t="str">
        <f>IFERROR(INDEX('PR Expenditure_7A import-export'!B$62:B$108,MATCH($B119,'PR Expenditure_7A import-export'!$N$62:$N$108,0)),"")</f>
        <v>HIV care</v>
      </c>
      <c r="E119" s="1313">
        <f>IFERROR(INDEX('PR Expenditure_7A import-export'!C$62:C$108,MATCH($B119,'PR Expenditure_7A import-export'!$N$62:$N$108,0)),"")</f>
        <v>3031850.71</v>
      </c>
      <c r="F119" s="1314">
        <v>3675255.7800000003</v>
      </c>
      <c r="G119" s="1313">
        <f t="shared" si="20"/>
        <v>-643405.0700000003</v>
      </c>
      <c r="H119" s="1315">
        <f t="shared" si="21"/>
        <v>1.2122152874737029</v>
      </c>
      <c r="I119" s="1319" t="s">
        <v>2520</v>
      </c>
      <c r="J119" s="1312"/>
      <c r="K119" s="1313">
        <f>IFERROR(INDEX('PR Expenditure_7A import-export'!I$62:I$108,MATCH($B119,'PR Expenditure_7A import-export'!$N$62:$N$108,0)),"")</f>
        <v>3279654.91</v>
      </c>
      <c r="L119" s="1314">
        <f>1398976.92+F119</f>
        <v>5074232.7</v>
      </c>
      <c r="M119" s="1313">
        <f t="shared" si="22"/>
        <v>-1794577.79</v>
      </c>
      <c r="N119" s="1317">
        <f t="shared" si="23"/>
        <v>1.5471849445282033</v>
      </c>
      <c r="O119" s="758"/>
      <c r="P119" s="438"/>
      <c r="Q119" s="284"/>
      <c r="R119" s="746"/>
      <c r="S119" s="284"/>
      <c r="T119" s="284"/>
      <c r="U119" s="259"/>
      <c r="V119" s="259"/>
      <c r="W119" s="63"/>
    </row>
    <row r="120" spans="1:23" s="257" customFormat="1" ht="167.25" customHeight="1" x14ac:dyDescent="0.25">
      <c r="A120" s="728" t="str">
        <f t="shared" si="15"/>
        <v>Show</v>
      </c>
      <c r="B120" s="677" t="s">
        <v>2521</v>
      </c>
      <c r="C120" s="966" t="str">
        <f>IFERROR(INDEX('PR Expenditure_7A import-export'!A$62:A$108,MATCH($B120,'PR Expenditure_7A import-export'!$N$62:$N$108,0)),"")</f>
        <v>Treatment, care and support</v>
      </c>
      <c r="D120" s="1318" t="str">
        <f>IFERROR(INDEX('PR Expenditure_7A import-export'!B$62:B$108,MATCH($B120,'PR Expenditure_7A import-export'!$N$62:$N$108,0)),"")</f>
        <v>Treatment monitoring - Viral load</v>
      </c>
      <c r="E120" s="1313">
        <f>IFERROR(INDEX('PR Expenditure_7A import-export'!C$62:C$108,MATCH($B120,'PR Expenditure_7A import-export'!$N$62:$N$108,0)),"")</f>
        <v>607897.69134983898</v>
      </c>
      <c r="F120" s="1314">
        <v>636751.87000000011</v>
      </c>
      <c r="G120" s="1313">
        <f t="shared" si="20"/>
        <v>-28854.178650161135</v>
      </c>
      <c r="H120" s="1315">
        <f t="shared" si="21"/>
        <v>1.0474655177355425</v>
      </c>
      <c r="I120" s="1319" t="s">
        <v>2522</v>
      </c>
      <c r="J120" s="1312"/>
      <c r="K120" s="1313">
        <f>IFERROR(INDEX('PR Expenditure_7A import-export'!I$62:I$108,MATCH($B120,'PR Expenditure_7A import-export'!$N$62:$N$108,0)),"")</f>
        <v>986521.99948607804</v>
      </c>
      <c r="L120" s="1314">
        <f>270935.05+F120</f>
        <v>907686.92000000016</v>
      </c>
      <c r="M120" s="1313">
        <f t="shared" si="22"/>
        <v>78835.079486077884</v>
      </c>
      <c r="N120" s="1317">
        <f t="shared" si="23"/>
        <v>0.9200878647134616</v>
      </c>
      <c r="O120" s="758"/>
      <c r="P120" s="438"/>
      <c r="Q120" s="284"/>
      <c r="R120" s="746"/>
      <c r="S120" s="284"/>
      <c r="T120" s="284"/>
      <c r="U120" s="259"/>
      <c r="V120" s="259"/>
      <c r="W120" s="63"/>
    </row>
    <row r="121" spans="1:23" s="257" customFormat="1" ht="102" customHeight="1" x14ac:dyDescent="0.25">
      <c r="A121" s="728" t="str">
        <f t="shared" si="15"/>
        <v>Show</v>
      </c>
      <c r="B121" s="677" t="s">
        <v>2523</v>
      </c>
      <c r="C121" s="966" t="str">
        <f>IFERROR(INDEX('PR Expenditure_7A import-export'!A$62:A$108,MATCH($B121,'PR Expenditure_7A import-export'!$N$62:$N$108,0)),"")</f>
        <v>Treatment, care and support</v>
      </c>
      <c r="D121" s="1318" t="str">
        <f>IFERROR(INDEX('PR Expenditure_7A import-export'!B$62:B$108,MATCH($B121,'PR Expenditure_7A import-export'!$N$62:$N$108,0)),"")</f>
        <v>Treatment monitoring - Drug resistance surveillance</v>
      </c>
      <c r="E121" s="1313">
        <f>IFERROR(INDEX('PR Expenditure_7A import-export'!C$62:C$108,MATCH($B121,'PR Expenditure_7A import-export'!$N$62:$N$108,0)),"")</f>
        <v>85041.91</v>
      </c>
      <c r="F121" s="1314">
        <v>6591.4499999999989</v>
      </c>
      <c r="G121" s="1313">
        <f t="shared" si="20"/>
        <v>78450.460000000006</v>
      </c>
      <c r="H121" s="1315">
        <f t="shared" si="21"/>
        <v>7.7508254459477663E-2</v>
      </c>
      <c r="I121" s="1319" t="s">
        <v>2524</v>
      </c>
      <c r="J121" s="1312"/>
      <c r="K121" s="1313">
        <f>IFERROR(INDEX('PR Expenditure_7A import-export'!I$62:I$108,MATCH($B121,'PR Expenditure_7A import-export'!$N$62:$N$108,0)),"")</f>
        <v>251043.58</v>
      </c>
      <c r="L121" s="1314">
        <f>18834.65+F121</f>
        <v>25426.1</v>
      </c>
      <c r="M121" s="1313">
        <f t="shared" si="22"/>
        <v>225617.47999999998</v>
      </c>
      <c r="N121" s="1317">
        <f t="shared" si="23"/>
        <v>0.10128161811586657</v>
      </c>
      <c r="O121" s="758"/>
      <c r="P121" s="438"/>
      <c r="Q121" s="284"/>
      <c r="R121" s="746"/>
      <c r="S121" s="284"/>
      <c r="T121" s="284"/>
      <c r="U121" s="259"/>
      <c r="V121" s="259"/>
      <c r="W121" s="63"/>
    </row>
    <row r="122" spans="1:23" s="257" customFormat="1" ht="30" x14ac:dyDescent="0.25">
      <c r="A122" s="728" t="str">
        <f t="shared" si="15"/>
        <v>Show</v>
      </c>
      <c r="B122" s="677" t="s">
        <v>2525</v>
      </c>
      <c r="C122" s="966" t="str">
        <f>IFERROR(INDEX('PR Expenditure_7A import-export'!A$62:A$108,MATCH($B122,'PR Expenditure_7A import-export'!$N$62:$N$108,0)),"")</f>
        <v>Comprehensive prevention programs for sex workers and their clients</v>
      </c>
      <c r="D122" s="1318" t="str">
        <f>IFERROR(INDEX('PR Expenditure_7A import-export'!B$62:B$108,MATCH($B122,'PR Expenditure_7A import-export'!$N$62:$N$108,0)),"")</f>
        <v>HIV testing services for sex workers</v>
      </c>
      <c r="E122" s="1313">
        <f>IFERROR(INDEX('PR Expenditure_7A import-export'!C$62:C$108,MATCH($B122,'PR Expenditure_7A import-export'!$N$62:$N$108,0)),"")</f>
        <v>367.04963957012001</v>
      </c>
      <c r="F122" s="1314">
        <v>191.15757672556381</v>
      </c>
      <c r="G122" s="1313">
        <f t="shared" si="20"/>
        <v>175.89206284455619</v>
      </c>
      <c r="H122" s="1315">
        <f t="shared" si="21"/>
        <v>0.52079489016647207</v>
      </c>
      <c r="I122" s="1319" t="s">
        <v>2526</v>
      </c>
      <c r="J122" s="1312"/>
      <c r="K122" s="1313">
        <f>IFERROR(INDEX('PR Expenditure_7A import-export'!I$62:I$108,MATCH($B122,'PR Expenditure_7A import-export'!$N$62:$N$108,0)),"")</f>
        <v>734.09927914024001</v>
      </c>
      <c r="L122" s="1314">
        <f>145.96+F122</f>
        <v>337.11757672556382</v>
      </c>
      <c r="M122" s="1313">
        <f t="shared" si="22"/>
        <v>396.98170241467619</v>
      </c>
      <c r="N122" s="1317">
        <f t="shared" si="23"/>
        <v>0.45922613780575849</v>
      </c>
      <c r="O122" s="758"/>
      <c r="P122" s="438"/>
      <c r="Q122" s="284"/>
      <c r="R122" s="746"/>
      <c r="S122" s="284"/>
      <c r="T122" s="284"/>
      <c r="U122" s="259"/>
      <c r="V122" s="259"/>
      <c r="W122" s="63"/>
    </row>
    <row r="123" spans="1:23" s="257" customFormat="1" ht="79.5" customHeight="1" x14ac:dyDescent="0.25">
      <c r="A123" s="728" t="str">
        <f t="shared" si="15"/>
        <v>Show</v>
      </c>
      <c r="B123" s="677" t="s">
        <v>2527</v>
      </c>
      <c r="C123" s="966" t="str">
        <f>IFERROR(INDEX('PR Expenditure_7A import-export'!A$62:A$108,MATCH($B123,'PR Expenditure_7A import-export'!$N$62:$N$108,0)),"")</f>
        <v>Prevention programs for general population</v>
      </c>
      <c r="D123" s="1318" t="str">
        <f>IFERROR(INDEX('PR Expenditure_7A import-export'!B$62:B$108,MATCH($B123,'PR Expenditure_7A import-export'!$N$62:$N$108,0)),"")</f>
        <v>Gender-based violence prevention and treatment programs for general population</v>
      </c>
      <c r="E123" s="1313">
        <f>IFERROR(INDEX('PR Expenditure_7A import-export'!C$62:C$108,MATCH($B123,'PR Expenditure_7A import-export'!$N$62:$N$108,0)),"")</f>
        <v>10891.0875537415</v>
      </c>
      <c r="F123" s="1314">
        <v>7247.49</v>
      </c>
      <c r="G123" s="1313">
        <f t="shared" si="20"/>
        <v>3643.5975537414997</v>
      </c>
      <c r="H123" s="1315">
        <f t="shared" si="21"/>
        <v>0.66545144956714752</v>
      </c>
      <c r="I123" s="1319" t="s">
        <v>2528</v>
      </c>
      <c r="J123" s="1312"/>
      <c r="K123" s="1313">
        <f>IFERROR(INDEX('PR Expenditure_7A import-export'!I$62:I$108,MATCH($B123,'PR Expenditure_7A import-export'!$N$62:$N$108,0)),"")</f>
        <v>40891.087553741403</v>
      </c>
      <c r="L123" s="1314">
        <f>0+F123</f>
        <v>7247.49</v>
      </c>
      <c r="M123" s="1313">
        <f t="shared" si="22"/>
        <v>33643.597553741405</v>
      </c>
      <c r="N123" s="1317">
        <f t="shared" si="23"/>
        <v>0.17723886630491142</v>
      </c>
      <c r="O123" s="758"/>
      <c r="P123" s="438"/>
      <c r="Q123" s="284"/>
      <c r="R123" s="746"/>
      <c r="S123" s="284"/>
      <c r="T123" s="284"/>
      <c r="U123" s="259"/>
      <c r="V123" s="259"/>
      <c r="W123" s="63"/>
    </row>
    <row r="124" spans="1:23" s="257" customFormat="1" ht="28.5" customHeight="1" x14ac:dyDescent="0.25">
      <c r="A124" s="728" t="str">
        <f t="shared" si="15"/>
        <v>Show</v>
      </c>
      <c r="B124" s="677" t="s">
        <v>2529</v>
      </c>
      <c r="C124" s="966" t="str">
        <f>IFERROR(INDEX('PR Expenditure_7A import-export'!A$62:A$108,MATCH($B124,'PR Expenditure_7A import-export'!$N$62:$N$108,0)),"")</f>
        <v>MDR-TB</v>
      </c>
      <c r="D124" s="1318" t="str">
        <f>IFERROR(INDEX('PR Expenditure_7A import-export'!B$62:B$108,MATCH($B124,'PR Expenditure_7A import-export'!$N$62:$N$108,0)),"")</f>
        <v>Case detection and diagnosis: MDR-TB</v>
      </c>
      <c r="E124" s="1313">
        <f>IFERROR(INDEX('PR Expenditure_7A import-export'!C$62:C$108,MATCH($B124,'PR Expenditure_7A import-export'!$N$62:$N$108,0)),"")</f>
        <v>27789.511472717601</v>
      </c>
      <c r="F124" s="1314">
        <v>8021.170000000001</v>
      </c>
      <c r="G124" s="1313">
        <f t="shared" si="20"/>
        <v>19768.341472717599</v>
      </c>
      <c r="H124" s="1315">
        <f t="shared" si="21"/>
        <v>0.28864019462432067</v>
      </c>
      <c r="I124" s="1319" t="s">
        <v>2530</v>
      </c>
      <c r="J124" s="1312"/>
      <c r="K124" s="1313">
        <f>IFERROR(INDEX('PR Expenditure_7A import-export'!I$62:I$108,MATCH($B124,'PR Expenditure_7A import-export'!$N$62:$N$108,0)),"")</f>
        <v>27789.511472717601</v>
      </c>
      <c r="L124" s="1314">
        <f>0+F124</f>
        <v>8021.170000000001</v>
      </c>
      <c r="M124" s="1313">
        <f t="shared" si="22"/>
        <v>19768.341472717599</v>
      </c>
      <c r="N124" s="1317">
        <f t="shared" si="23"/>
        <v>0.28864019462432067</v>
      </c>
      <c r="O124" s="758"/>
      <c r="P124" s="438"/>
      <c r="Q124" s="284"/>
      <c r="R124" s="746"/>
      <c r="S124" s="284"/>
      <c r="T124" s="284"/>
      <c r="U124" s="259"/>
      <c r="V124" s="259"/>
      <c r="W124" s="63"/>
    </row>
    <row r="125" spans="1:23" s="257" customFormat="1" ht="48" customHeight="1" x14ac:dyDescent="0.25">
      <c r="A125" s="728" t="str">
        <f t="shared" si="15"/>
        <v>Show</v>
      </c>
      <c r="B125" s="677" t="s">
        <v>2531</v>
      </c>
      <c r="C125" s="966" t="str">
        <f>IFERROR(INDEX('PR Expenditure_7A import-export'!A$62:A$108,MATCH($B125,'PR Expenditure_7A import-export'!$N$62:$N$108,0)),"")</f>
        <v>Comprehensive programs for people in prisons and other closed settings</v>
      </c>
      <c r="D125" s="1318" t="str">
        <f>IFERROR(INDEX('PR Expenditure_7A import-export'!B$62:B$108,MATCH($B125,'PR Expenditure_7A import-export'!$N$62:$N$108,0)),"")</f>
        <v>Condoms and lubricant programming for people in prisons and other closed settings</v>
      </c>
      <c r="E125" s="1313">
        <f>IFERROR(INDEX('PR Expenditure_7A import-export'!C$62:C$108,MATCH($B125,'PR Expenditure_7A import-export'!$N$62:$N$108,0)),"")</f>
        <v>6058.6886303199999</v>
      </c>
      <c r="F125" s="1314">
        <v>0</v>
      </c>
      <c r="G125" s="1313">
        <f t="shared" si="20"/>
        <v>6058.6886303199999</v>
      </c>
      <c r="H125" s="1315">
        <f t="shared" si="21"/>
        <v>0</v>
      </c>
      <c r="I125" s="1319" t="s">
        <v>2532</v>
      </c>
      <c r="J125" s="1312"/>
      <c r="K125" s="1313">
        <f>IFERROR(INDEX('PR Expenditure_7A import-export'!I$62:I$108,MATCH($B125,'PR Expenditure_7A import-export'!$N$62:$N$108,0)),"")</f>
        <v>6058.6886303199999</v>
      </c>
      <c r="L125" s="1314">
        <f>0+F125</f>
        <v>0</v>
      </c>
      <c r="M125" s="1313">
        <f t="shared" si="22"/>
        <v>6058.6886303199999</v>
      </c>
      <c r="N125" s="1317">
        <f t="shared" si="23"/>
        <v>0</v>
      </c>
      <c r="O125" s="758"/>
      <c r="P125" s="438"/>
      <c r="Q125" s="284"/>
      <c r="R125" s="746"/>
      <c r="S125" s="284"/>
      <c r="T125" s="284"/>
      <c r="U125" s="259"/>
      <c r="V125" s="259"/>
      <c r="W125" s="63"/>
    </row>
    <row r="126" spans="1:23" s="257" customFormat="1" ht="58.5" customHeight="1" x14ac:dyDescent="0.25">
      <c r="A126" s="728" t="str">
        <f t="shared" si="15"/>
        <v>Show</v>
      </c>
      <c r="B126" s="677" t="s">
        <v>2533</v>
      </c>
      <c r="C126" s="966" t="str">
        <f>IFERROR(INDEX('PR Expenditure_7A import-export'!A$62:A$108,MATCH($B126,'PR Expenditure_7A import-export'!$N$62:$N$108,0)),"")</f>
        <v>Comprehensive prevention programs for people who inject drugs (PWID) and their partners</v>
      </c>
      <c r="D126" s="1318" t="str">
        <f>IFERROR(INDEX('PR Expenditure_7A import-export'!B$62:B$108,MATCH($B126,'PR Expenditure_7A import-export'!$N$62:$N$108,0)),"")</f>
        <v>Condoms and lubricant programming for PWID</v>
      </c>
      <c r="E126" s="1313">
        <f>IFERROR(INDEX('PR Expenditure_7A import-export'!C$62:C$108,MATCH($B126,'PR Expenditure_7A import-export'!$N$62:$N$108,0)),"")</f>
        <v>278.23917061999998</v>
      </c>
      <c r="F126" s="1314">
        <v>0</v>
      </c>
      <c r="G126" s="1313">
        <f t="shared" si="20"/>
        <v>278.23917061999998</v>
      </c>
      <c r="H126" s="1315">
        <f t="shared" si="21"/>
        <v>0</v>
      </c>
      <c r="I126" s="1319" t="s">
        <v>2534</v>
      </c>
      <c r="J126" s="1312"/>
      <c r="K126" s="1313">
        <f>IFERROR(INDEX('PR Expenditure_7A import-export'!I$62:I$108,MATCH($B126,'PR Expenditure_7A import-export'!$N$62:$N$108,0)),"")</f>
        <v>278.23917061999998</v>
      </c>
      <c r="L126" s="1314">
        <f>0+F126</f>
        <v>0</v>
      </c>
      <c r="M126" s="1313">
        <f t="shared" si="22"/>
        <v>278.23917061999998</v>
      </c>
      <c r="N126" s="1317">
        <f t="shared" si="23"/>
        <v>0</v>
      </c>
      <c r="O126" s="758"/>
      <c r="P126" s="438"/>
      <c r="Q126" s="284"/>
      <c r="R126" s="746"/>
      <c r="S126" s="284"/>
      <c r="T126" s="284"/>
      <c r="U126" s="259"/>
      <c r="V126" s="259"/>
      <c r="W126" s="63"/>
    </row>
    <row r="127" spans="1:23" s="257" customFormat="1" ht="85.5" customHeight="1" x14ac:dyDescent="0.25">
      <c r="A127" s="728" t="str">
        <f t="shared" si="15"/>
        <v>Show</v>
      </c>
      <c r="B127" s="677" t="s">
        <v>2535</v>
      </c>
      <c r="C127" s="966" t="str">
        <f>IFERROR(INDEX('PR Expenditure_7A import-export'!A$62:A$108,MATCH($B127,'PR Expenditure_7A import-export'!$N$62:$N$108,0)),"")</f>
        <v>Prevention programs for adolescents and youth, in and out of school</v>
      </c>
      <c r="D127" s="1318" t="str">
        <f>IFERROR(INDEX('PR Expenditure_7A import-export'!B$62:B$108,MATCH($B127,'PR Expenditure_7A import-export'!$N$62:$N$108,0)),"")</f>
        <v>Male and Female condoms for adolescents and youth, in and out of school</v>
      </c>
      <c r="E127" s="1313">
        <f>IFERROR(INDEX('PR Expenditure_7A import-export'!C$62:C$108,MATCH($B127,'PR Expenditure_7A import-export'!$N$62:$N$108,0)),"")</f>
        <v>66006.276648359999</v>
      </c>
      <c r="F127" s="1314">
        <v>46.38</v>
      </c>
      <c r="G127" s="1313">
        <f t="shared" si="20"/>
        <v>65959.896648359994</v>
      </c>
      <c r="H127" s="1315">
        <f t="shared" si="21"/>
        <v>7.0266044920369499E-4</v>
      </c>
      <c r="I127" s="1319" t="s">
        <v>2536</v>
      </c>
      <c r="J127" s="1312"/>
      <c r="K127" s="1313">
        <f>IFERROR(INDEX('PR Expenditure_7A import-export'!I$62:I$108,MATCH($B127,'PR Expenditure_7A import-export'!$N$62:$N$108,0)),"")</f>
        <v>66006.276648359999</v>
      </c>
      <c r="L127" s="1314">
        <f>0+F127</f>
        <v>46.38</v>
      </c>
      <c r="M127" s="1313">
        <f t="shared" si="22"/>
        <v>65959.896648359994</v>
      </c>
      <c r="N127" s="1317">
        <f t="shared" si="23"/>
        <v>7.0266044920369499E-4</v>
      </c>
      <c r="O127" s="758"/>
      <c r="P127" s="438"/>
      <c r="Q127" s="284"/>
      <c r="R127" s="746"/>
      <c r="S127" s="284"/>
      <c r="T127" s="284"/>
      <c r="U127" s="259"/>
      <c r="V127" s="259"/>
      <c r="W127" s="63"/>
    </row>
    <row r="128" spans="1:23" s="257" customFormat="1" ht="68.25" customHeight="1" x14ac:dyDescent="0.25">
      <c r="A128" s="728" t="str">
        <f t="shared" si="15"/>
        <v>Show</v>
      </c>
      <c r="B128" s="677" t="s">
        <v>2537</v>
      </c>
      <c r="C128" s="966" t="str">
        <f>IFERROR(INDEX('PR Expenditure_7A import-export'!A$62:A$108,MATCH($B128,'PR Expenditure_7A import-export'!$N$62:$N$108,0)),"")</f>
        <v>Prevention programs for other vulnerable populations</v>
      </c>
      <c r="D128" s="1318" t="str">
        <f>IFERROR(INDEX('PR Expenditure_7A import-export'!B$62:B$108,MATCH($B128,'PR Expenditure_7A import-export'!$N$62:$N$108,0)),"")</f>
        <v>Male and female condoms for other vulnerable populations</v>
      </c>
      <c r="E128" s="1313">
        <f>IFERROR(INDEX('PR Expenditure_7A import-export'!C$62:C$108,MATCH($B128,'PR Expenditure_7A import-export'!$N$62:$N$108,0)),"")</f>
        <v>13849.92134264</v>
      </c>
      <c r="F128" s="1314">
        <v>390.72</v>
      </c>
      <c r="G128" s="1313">
        <f t="shared" si="20"/>
        <v>13459.201342640001</v>
      </c>
      <c r="H128" s="1315">
        <f t="shared" si="21"/>
        <v>2.8210990541663466E-2</v>
      </c>
      <c r="I128" s="1319" t="s">
        <v>2538</v>
      </c>
      <c r="J128" s="1312"/>
      <c r="K128" s="1313">
        <f>IFERROR(INDEX('PR Expenditure_7A import-export'!I$62:I$108,MATCH($B128,'PR Expenditure_7A import-export'!$N$62:$N$108,0)),"")</f>
        <v>13849.92134264</v>
      </c>
      <c r="L128" s="1314">
        <f>4376.84+F128</f>
        <v>4767.5600000000004</v>
      </c>
      <c r="M128" s="1313">
        <f t="shared" si="22"/>
        <v>9082.3613426400007</v>
      </c>
      <c r="N128" s="1317">
        <f t="shared" si="23"/>
        <v>0.34423011380736351</v>
      </c>
      <c r="O128" s="758"/>
      <c r="P128" s="438"/>
      <c r="Q128" s="284"/>
      <c r="R128" s="746"/>
      <c r="S128" s="284"/>
      <c r="T128" s="284"/>
      <c r="U128" s="259"/>
      <c r="V128" s="259"/>
      <c r="W128" s="63"/>
    </row>
    <row r="129" spans="1:23" s="257" customFormat="1" ht="15.75" hidden="1" x14ac:dyDescent="0.25">
      <c r="A129" s="728" t="str">
        <f t="shared" si="15"/>
        <v>Don't Show</v>
      </c>
      <c r="B129" s="677" t="s">
        <v>2539</v>
      </c>
      <c r="C129" s="966" t="str">
        <f>IFERROR(INDEX('PR Expenditure_7A import-export'!A$62:A$108,MATCH($B129,'PR Expenditure_7A import-export'!$N$62:$N$108,0)),"")</f>
        <v/>
      </c>
      <c r="D129" s="1318" t="str">
        <f>IFERROR(INDEX('PR Expenditure_7A import-export'!B$62:B$108,MATCH($B129,'PR Expenditure_7A import-export'!$N$62:$N$108,0)),"")</f>
        <v/>
      </c>
      <c r="E129" s="1313" t="str">
        <f>IFERROR(INDEX('PR Expenditure_7A import-export'!C$62:C$108,MATCH($B129,'PR Expenditure_7A import-export'!$N$62:$N$108,0)),"")</f>
        <v/>
      </c>
      <c r="F129" s="1314"/>
      <c r="G129" s="1313">
        <f t="shared" si="20"/>
        <v>0</v>
      </c>
      <c r="H129" s="1315" t="e">
        <f t="shared" si="21"/>
        <v>#VALUE!</v>
      </c>
      <c r="I129" s="1319"/>
      <c r="J129" s="1312"/>
      <c r="K129" s="1313" t="str">
        <f>IFERROR(INDEX('PR Expenditure_7A import-export'!I$62:I$108,MATCH($B129,'PR Expenditure_7A import-export'!$N$62:$N$108,0)),"")</f>
        <v/>
      </c>
      <c r="L129" s="1314"/>
      <c r="M129" s="1313">
        <f t="shared" si="22"/>
        <v>0</v>
      </c>
      <c r="N129" s="1317" t="e">
        <f t="shared" si="23"/>
        <v>#VALUE!</v>
      </c>
      <c r="O129" s="758"/>
      <c r="P129" s="438"/>
      <c r="Q129" s="284"/>
      <c r="R129" s="746"/>
      <c r="S129" s="284"/>
      <c r="T129" s="284"/>
      <c r="U129" s="259"/>
      <c r="V129" s="259"/>
      <c r="W129" s="63"/>
    </row>
    <row r="130" spans="1:23" s="257" customFormat="1" ht="15.75" hidden="1" x14ac:dyDescent="0.25">
      <c r="A130" s="728" t="str">
        <f t="shared" si="15"/>
        <v>Don't Show</v>
      </c>
      <c r="B130" s="677" t="s">
        <v>2540</v>
      </c>
      <c r="C130" s="966" t="str">
        <f>IFERROR(INDEX('PR Expenditure_7A import-export'!A$62:A$108,MATCH($B130,'PR Expenditure_7A import-export'!$N$62:$N$108,0)),"")</f>
        <v/>
      </c>
      <c r="D130" s="1318" t="str">
        <f>IFERROR(INDEX('PR Expenditure_7A import-export'!B$62:B$108,MATCH($B130,'PR Expenditure_7A import-export'!$N$62:$N$108,0)),"")</f>
        <v/>
      </c>
      <c r="E130" s="1313" t="str">
        <f>IFERROR(INDEX('PR Expenditure_7A import-export'!C$62:C$108,MATCH($B130,'PR Expenditure_7A import-export'!$N$62:$N$108,0)),"")</f>
        <v/>
      </c>
      <c r="F130" s="1314"/>
      <c r="G130" s="1313">
        <f t="shared" si="20"/>
        <v>0</v>
      </c>
      <c r="H130" s="1315" t="e">
        <f t="shared" si="21"/>
        <v>#VALUE!</v>
      </c>
      <c r="I130" s="1319"/>
      <c r="J130" s="1312"/>
      <c r="K130" s="1313" t="str">
        <f>IFERROR(INDEX('PR Expenditure_7A import-export'!I$62:I$108,MATCH($B130,'PR Expenditure_7A import-export'!$N$62:$N$108,0)),"")</f>
        <v/>
      </c>
      <c r="L130" s="1314"/>
      <c r="M130" s="1313">
        <f t="shared" si="22"/>
        <v>0</v>
      </c>
      <c r="N130" s="1317" t="e">
        <f t="shared" si="23"/>
        <v>#VALUE!</v>
      </c>
      <c r="O130" s="758"/>
      <c r="P130" s="438"/>
      <c r="Q130" s="284"/>
      <c r="R130" s="746"/>
      <c r="S130" s="284"/>
      <c r="T130" s="284"/>
      <c r="U130" s="259"/>
      <c r="V130" s="259"/>
      <c r="W130" s="63"/>
    </row>
    <row r="131" spans="1:23" s="257" customFormat="1" ht="15.75" hidden="1" x14ac:dyDescent="0.25">
      <c r="A131" s="728" t="str">
        <f t="shared" si="15"/>
        <v>Don't Show</v>
      </c>
      <c r="B131" s="677" t="s">
        <v>2541</v>
      </c>
      <c r="C131" s="966" t="str">
        <f>IFERROR(INDEX('PR Expenditure_7A import-export'!A$62:A$108,MATCH($B131,'PR Expenditure_7A import-export'!$N$62:$N$108,0)),"")</f>
        <v/>
      </c>
      <c r="D131" s="1318" t="str">
        <f>IFERROR(INDEX('PR Expenditure_7A import-export'!B$62:B$108,MATCH($B131,'PR Expenditure_7A import-export'!$N$62:$N$108,0)),"")</f>
        <v/>
      </c>
      <c r="E131" s="1313" t="str">
        <f>IFERROR(INDEX('PR Expenditure_7A import-export'!C$62:C$108,MATCH($B131,'PR Expenditure_7A import-export'!$N$62:$N$108,0)),"")</f>
        <v/>
      </c>
      <c r="F131" s="1314"/>
      <c r="G131" s="1313">
        <f t="shared" si="20"/>
        <v>0</v>
      </c>
      <c r="H131" s="1315" t="e">
        <f t="shared" si="21"/>
        <v>#VALUE!</v>
      </c>
      <c r="I131" s="1319"/>
      <c r="J131" s="1312"/>
      <c r="K131" s="1313" t="str">
        <f>IFERROR(INDEX('PR Expenditure_7A import-export'!I$62:I$108,MATCH($B131,'PR Expenditure_7A import-export'!$N$62:$N$108,0)),"")</f>
        <v/>
      </c>
      <c r="L131" s="1314"/>
      <c r="M131" s="1313">
        <f t="shared" si="22"/>
        <v>0</v>
      </c>
      <c r="N131" s="1317" t="e">
        <f t="shared" si="23"/>
        <v>#VALUE!</v>
      </c>
      <c r="O131" s="758"/>
      <c r="P131" s="438"/>
      <c r="Q131" s="284"/>
      <c r="R131" s="746"/>
      <c r="S131" s="284"/>
      <c r="T131" s="284"/>
      <c r="U131" s="259"/>
      <c r="V131" s="259"/>
      <c r="W131" s="63"/>
    </row>
    <row r="132" spans="1:23" s="257" customFormat="1" ht="15.75" hidden="1" x14ac:dyDescent="0.25">
      <c r="A132" s="728" t="str">
        <f t="shared" si="15"/>
        <v>Don't Show</v>
      </c>
      <c r="B132" s="677" t="s">
        <v>2542</v>
      </c>
      <c r="C132" s="966" t="str">
        <f>IFERROR(INDEX('PR Expenditure_7A import-export'!A$62:A$108,MATCH($B132,'PR Expenditure_7A import-export'!$N$62:$N$108,0)),"")</f>
        <v/>
      </c>
      <c r="D132" s="1318" t="str">
        <f>IFERROR(INDEX('PR Expenditure_7A import-export'!B$62:B$108,MATCH($B132,'PR Expenditure_7A import-export'!$N$62:$N$108,0)),"")</f>
        <v/>
      </c>
      <c r="E132" s="1313" t="str">
        <f>IFERROR(INDEX('PR Expenditure_7A import-export'!C$62:C$108,MATCH($B132,'PR Expenditure_7A import-export'!$N$62:$N$108,0)),"")</f>
        <v/>
      </c>
      <c r="F132" s="1314"/>
      <c r="G132" s="1313">
        <f t="shared" si="20"/>
        <v>0</v>
      </c>
      <c r="H132" s="1315" t="e">
        <f t="shared" si="21"/>
        <v>#VALUE!</v>
      </c>
      <c r="I132" s="1319"/>
      <c r="J132" s="1312"/>
      <c r="K132" s="1313" t="str">
        <f>IFERROR(INDEX('PR Expenditure_7A import-export'!I$62:I$108,MATCH($B132,'PR Expenditure_7A import-export'!$N$62:$N$108,0)),"")</f>
        <v/>
      </c>
      <c r="L132" s="1314"/>
      <c r="M132" s="1313">
        <f t="shared" si="22"/>
        <v>0</v>
      </c>
      <c r="N132" s="1317" t="e">
        <f t="shared" si="23"/>
        <v>#VALUE!</v>
      </c>
      <c r="O132" s="758"/>
      <c r="P132" s="438"/>
      <c r="Q132" s="284"/>
      <c r="R132" s="746"/>
      <c r="S132" s="284"/>
      <c r="T132" s="284"/>
      <c r="U132" s="259"/>
      <c r="V132" s="259"/>
      <c r="W132" s="63"/>
    </row>
    <row r="133" spans="1:23" s="257" customFormat="1" ht="15.75" hidden="1" x14ac:dyDescent="0.25">
      <c r="A133" s="728" t="str">
        <f t="shared" si="15"/>
        <v>Don't Show</v>
      </c>
      <c r="B133" s="677" t="s">
        <v>2543</v>
      </c>
      <c r="C133" s="966" t="str">
        <f>IFERROR(INDEX('PR Expenditure_7A import-export'!A$62:A$108,MATCH($B133,'PR Expenditure_7A import-export'!$N$62:$N$108,0)),"")</f>
        <v/>
      </c>
      <c r="D133" s="1318" t="str">
        <f>IFERROR(INDEX('PR Expenditure_7A import-export'!B$62:B$108,MATCH($B133,'PR Expenditure_7A import-export'!$N$62:$N$108,0)),"")</f>
        <v/>
      </c>
      <c r="E133" s="1313" t="str">
        <f>IFERROR(INDEX('PR Expenditure_7A import-export'!C$62:C$108,MATCH($B133,'PR Expenditure_7A import-export'!$N$62:$N$108,0)),"")</f>
        <v/>
      </c>
      <c r="F133" s="1314"/>
      <c r="G133" s="1313">
        <f t="shared" si="20"/>
        <v>0</v>
      </c>
      <c r="H133" s="1315" t="e">
        <f t="shared" si="21"/>
        <v>#VALUE!</v>
      </c>
      <c r="I133" s="1319"/>
      <c r="J133" s="1312"/>
      <c r="K133" s="1313" t="str">
        <f>IFERROR(INDEX('PR Expenditure_7A import-export'!I$62:I$108,MATCH($B133,'PR Expenditure_7A import-export'!$N$62:$N$108,0)),"")</f>
        <v/>
      </c>
      <c r="L133" s="1314"/>
      <c r="M133" s="1313">
        <f t="shared" si="22"/>
        <v>0</v>
      </c>
      <c r="N133" s="1317" t="e">
        <f t="shared" si="23"/>
        <v>#VALUE!</v>
      </c>
      <c r="O133" s="758"/>
      <c r="P133" s="438"/>
      <c r="Q133" s="284"/>
      <c r="R133" s="746"/>
      <c r="S133" s="284"/>
      <c r="T133" s="284"/>
      <c r="U133" s="259"/>
      <c r="V133" s="259"/>
      <c r="W133" s="63"/>
    </row>
    <row r="134" spans="1:23" s="257" customFormat="1" ht="15.75" hidden="1" x14ac:dyDescent="0.25">
      <c r="A134" s="728" t="str">
        <f t="shared" si="15"/>
        <v>Don't Show</v>
      </c>
      <c r="B134" s="677" t="s">
        <v>2544</v>
      </c>
      <c r="C134" s="966" t="str">
        <f>IFERROR(INDEX('PR Expenditure_7A import-export'!A$62:A$108,MATCH($B134,'PR Expenditure_7A import-export'!$N$62:$N$108,0)),"")</f>
        <v/>
      </c>
      <c r="D134" s="1318" t="str">
        <f>IFERROR(INDEX('PR Expenditure_7A import-export'!B$62:B$108,MATCH($B134,'PR Expenditure_7A import-export'!$N$62:$N$108,0)),"")</f>
        <v/>
      </c>
      <c r="E134" s="1313" t="str">
        <f>IFERROR(INDEX('PR Expenditure_7A import-export'!C$62:C$108,MATCH($B134,'PR Expenditure_7A import-export'!$N$62:$N$108,0)),"")</f>
        <v/>
      </c>
      <c r="F134" s="1314"/>
      <c r="G134" s="1313">
        <f t="shared" si="20"/>
        <v>0</v>
      </c>
      <c r="H134" s="1315" t="e">
        <f t="shared" si="21"/>
        <v>#VALUE!</v>
      </c>
      <c r="I134" s="1319"/>
      <c r="J134" s="1312"/>
      <c r="K134" s="1313" t="str">
        <f>IFERROR(INDEX('PR Expenditure_7A import-export'!I$62:I$108,MATCH($B134,'PR Expenditure_7A import-export'!$N$62:$N$108,0)),"")</f>
        <v/>
      </c>
      <c r="L134" s="1314"/>
      <c r="M134" s="1313">
        <f t="shared" si="22"/>
        <v>0</v>
      </c>
      <c r="N134" s="1317" t="e">
        <f t="shared" si="23"/>
        <v>#VALUE!</v>
      </c>
      <c r="O134" s="758"/>
      <c r="P134" s="438"/>
      <c r="Q134" s="284"/>
      <c r="R134" s="746"/>
      <c r="S134" s="284"/>
      <c r="T134" s="284"/>
      <c r="U134" s="259"/>
      <c r="V134" s="259"/>
      <c r="W134" s="63"/>
    </row>
    <row r="135" spans="1:23" s="257" customFormat="1" ht="15.75" hidden="1" x14ac:dyDescent="0.25">
      <c r="A135" s="728" t="str">
        <f t="shared" si="15"/>
        <v>Don't Show</v>
      </c>
      <c r="B135" s="677" t="s">
        <v>2545</v>
      </c>
      <c r="C135" s="966" t="str">
        <f>IFERROR(INDEX('PR Expenditure_7A import-export'!A$62:A$108,MATCH($B135,'PR Expenditure_7A import-export'!$N$62:$N$108,0)),"")</f>
        <v/>
      </c>
      <c r="D135" s="1318" t="str">
        <f>IFERROR(INDEX('PR Expenditure_7A import-export'!B$62:B$108,MATCH($B135,'PR Expenditure_7A import-export'!$N$62:$N$108,0)),"")</f>
        <v/>
      </c>
      <c r="E135" s="1313" t="str">
        <f>IFERROR(INDEX('PR Expenditure_7A import-export'!C$62:C$108,MATCH($B135,'PR Expenditure_7A import-export'!$N$62:$N$108,0)),"")</f>
        <v/>
      </c>
      <c r="F135" s="1314"/>
      <c r="G135" s="1313">
        <f t="shared" si="20"/>
        <v>0</v>
      </c>
      <c r="H135" s="1315" t="e">
        <f t="shared" si="21"/>
        <v>#VALUE!</v>
      </c>
      <c r="I135" s="1319"/>
      <c r="J135" s="1312"/>
      <c r="K135" s="1313" t="str">
        <f>IFERROR(INDEX('PR Expenditure_7A import-export'!I$62:I$108,MATCH($B135,'PR Expenditure_7A import-export'!$N$62:$N$108,0)),"")</f>
        <v/>
      </c>
      <c r="L135" s="1314"/>
      <c r="M135" s="1313">
        <f t="shared" si="22"/>
        <v>0</v>
      </c>
      <c r="N135" s="1317" t="e">
        <f t="shared" si="23"/>
        <v>#VALUE!</v>
      </c>
      <c r="O135" s="758"/>
      <c r="P135" s="438"/>
      <c r="Q135" s="284"/>
      <c r="R135" s="746"/>
      <c r="S135" s="284"/>
      <c r="T135" s="284"/>
      <c r="U135" s="259"/>
      <c r="V135" s="259"/>
      <c r="W135" s="63"/>
    </row>
    <row r="136" spans="1:23" s="257" customFormat="1" ht="15.75" hidden="1" x14ac:dyDescent="0.25">
      <c r="A136" s="728" t="str">
        <f t="shared" si="15"/>
        <v>Don't Show</v>
      </c>
      <c r="B136" s="677" t="s">
        <v>2546</v>
      </c>
      <c r="C136" s="966" t="str">
        <f>IFERROR(INDEX('PR Expenditure_7A import-export'!A$62:A$108,MATCH($B136,'PR Expenditure_7A import-export'!$N$62:$N$108,0)),"")</f>
        <v/>
      </c>
      <c r="D136" s="1318" t="str">
        <f>IFERROR(INDEX('PR Expenditure_7A import-export'!B$62:B$108,MATCH($B136,'PR Expenditure_7A import-export'!$N$62:$N$108,0)),"")</f>
        <v/>
      </c>
      <c r="E136" s="1313" t="str">
        <f>IFERROR(INDEX('PR Expenditure_7A import-export'!C$62:C$108,MATCH($B136,'PR Expenditure_7A import-export'!$N$62:$N$108,0)),"")</f>
        <v/>
      </c>
      <c r="F136" s="1314"/>
      <c r="G136" s="1313">
        <f t="shared" si="20"/>
        <v>0</v>
      </c>
      <c r="H136" s="1315" t="e">
        <f t="shared" si="21"/>
        <v>#VALUE!</v>
      </c>
      <c r="I136" s="1319"/>
      <c r="J136" s="1312"/>
      <c r="K136" s="1313" t="str">
        <f>IFERROR(INDEX('PR Expenditure_7A import-export'!I$62:I$108,MATCH($B136,'PR Expenditure_7A import-export'!$N$62:$N$108,0)),"")</f>
        <v/>
      </c>
      <c r="L136" s="1314"/>
      <c r="M136" s="1313">
        <f t="shared" si="22"/>
        <v>0</v>
      </c>
      <c r="N136" s="1317" t="e">
        <f t="shared" si="23"/>
        <v>#VALUE!</v>
      </c>
      <c r="O136" s="758"/>
      <c r="P136" s="438"/>
      <c r="Q136" s="284"/>
      <c r="R136" s="746"/>
      <c r="S136" s="284"/>
      <c r="T136" s="284"/>
      <c r="U136" s="259"/>
      <c r="V136" s="259"/>
      <c r="W136" s="63"/>
    </row>
    <row r="137" spans="1:23" s="257" customFormat="1" ht="15.75" hidden="1" x14ac:dyDescent="0.25">
      <c r="A137" s="728" t="str">
        <f t="shared" si="15"/>
        <v>Don't Show</v>
      </c>
      <c r="B137" s="677" t="s">
        <v>2547</v>
      </c>
      <c r="C137" s="966" t="str">
        <f>IFERROR(INDEX('PR Expenditure_7A import-export'!A$62:A$108,MATCH($B137,'PR Expenditure_7A import-export'!$N$62:$N$108,0)),"")</f>
        <v/>
      </c>
      <c r="D137" s="1318" t="str">
        <f>IFERROR(INDEX('PR Expenditure_7A import-export'!B$62:B$108,MATCH($B137,'PR Expenditure_7A import-export'!$N$62:$N$108,0)),"")</f>
        <v/>
      </c>
      <c r="E137" s="1313" t="str">
        <f>IFERROR(INDEX('PR Expenditure_7A import-export'!C$62:C$108,MATCH($B137,'PR Expenditure_7A import-export'!$N$62:$N$108,0)),"")</f>
        <v/>
      </c>
      <c r="F137" s="1314"/>
      <c r="G137" s="1313">
        <f t="shared" si="20"/>
        <v>0</v>
      </c>
      <c r="H137" s="1315" t="e">
        <f t="shared" si="21"/>
        <v>#VALUE!</v>
      </c>
      <c r="I137" s="1319"/>
      <c r="J137" s="1312"/>
      <c r="K137" s="1313" t="str">
        <f>IFERROR(INDEX('PR Expenditure_7A import-export'!I$62:I$108,MATCH($B137,'PR Expenditure_7A import-export'!$N$62:$N$108,0)),"")</f>
        <v/>
      </c>
      <c r="L137" s="1314"/>
      <c r="M137" s="1313">
        <f t="shared" si="22"/>
        <v>0</v>
      </c>
      <c r="N137" s="1317" t="e">
        <f t="shared" si="23"/>
        <v>#VALUE!</v>
      </c>
      <c r="O137" s="758"/>
      <c r="P137" s="438"/>
      <c r="Q137" s="284"/>
      <c r="R137" s="746"/>
      <c r="S137" s="284"/>
      <c r="T137" s="284"/>
      <c r="U137" s="259"/>
      <c r="V137" s="259"/>
      <c r="W137" s="63"/>
    </row>
    <row r="138" spans="1:23" s="257" customFormat="1" ht="15.75" hidden="1" x14ac:dyDescent="0.25">
      <c r="A138" s="728" t="str">
        <f t="shared" si="15"/>
        <v>Don't Show</v>
      </c>
      <c r="B138" s="677" t="s">
        <v>2548</v>
      </c>
      <c r="C138" s="966" t="str">
        <f>IFERROR(INDEX('PR Expenditure_7A import-export'!A$62:A$108,MATCH($B138,'PR Expenditure_7A import-export'!$N$62:$N$108,0)),"")</f>
        <v/>
      </c>
      <c r="D138" s="1318" t="str">
        <f>IFERROR(INDEX('PR Expenditure_7A import-export'!B$62:B$108,MATCH($B138,'PR Expenditure_7A import-export'!$N$62:$N$108,0)),"")</f>
        <v/>
      </c>
      <c r="E138" s="1313" t="str">
        <f>IFERROR(INDEX('PR Expenditure_7A import-export'!C$62:C$108,MATCH($B138,'PR Expenditure_7A import-export'!$N$62:$N$108,0)),"")</f>
        <v/>
      </c>
      <c r="F138" s="1314"/>
      <c r="G138" s="1313">
        <f t="shared" si="20"/>
        <v>0</v>
      </c>
      <c r="H138" s="1315" t="e">
        <f t="shared" si="21"/>
        <v>#VALUE!</v>
      </c>
      <c r="I138" s="1319"/>
      <c r="J138" s="1312"/>
      <c r="K138" s="1313" t="str">
        <f>IFERROR(INDEX('PR Expenditure_7A import-export'!I$62:I$108,MATCH($B138,'PR Expenditure_7A import-export'!$N$62:$N$108,0)),"")</f>
        <v/>
      </c>
      <c r="L138" s="1314"/>
      <c r="M138" s="1313">
        <f t="shared" si="22"/>
        <v>0</v>
      </c>
      <c r="N138" s="1317" t="e">
        <f t="shared" si="23"/>
        <v>#VALUE!</v>
      </c>
      <c r="O138" s="758"/>
      <c r="P138" s="438"/>
      <c r="Q138" s="284"/>
      <c r="R138" s="746"/>
      <c r="S138" s="284"/>
      <c r="T138" s="284"/>
      <c r="U138" s="259"/>
      <c r="V138" s="259"/>
      <c r="W138" s="63"/>
    </row>
    <row r="139" spans="1:23" s="257" customFormat="1" ht="15.75" hidden="1" x14ac:dyDescent="0.25">
      <c r="A139" s="728" t="str">
        <f t="shared" si="15"/>
        <v>Don't Show</v>
      </c>
      <c r="B139" s="677" t="s">
        <v>2549</v>
      </c>
      <c r="C139" s="966" t="str">
        <f>IFERROR(INDEX('PR Expenditure_7A import-export'!A$62:A$108,MATCH($B139,'PR Expenditure_7A import-export'!$N$62:$N$108,0)),"")</f>
        <v/>
      </c>
      <c r="D139" s="1318" t="str">
        <f>IFERROR(INDEX('PR Expenditure_7A import-export'!B$62:B$108,MATCH($B139,'PR Expenditure_7A import-export'!$N$62:$N$108,0)),"")</f>
        <v/>
      </c>
      <c r="E139" s="1313" t="str">
        <f>IFERROR(INDEX('PR Expenditure_7A import-export'!C$62:C$108,MATCH($B139,'PR Expenditure_7A import-export'!$N$62:$N$108,0)),"")</f>
        <v/>
      </c>
      <c r="F139" s="1314"/>
      <c r="G139" s="1313">
        <f t="shared" si="20"/>
        <v>0</v>
      </c>
      <c r="H139" s="1315" t="e">
        <f t="shared" si="21"/>
        <v>#VALUE!</v>
      </c>
      <c r="I139" s="1319"/>
      <c r="J139" s="1312"/>
      <c r="K139" s="1313" t="str">
        <f>IFERROR(INDEX('PR Expenditure_7A import-export'!I$62:I$108,MATCH($B139,'PR Expenditure_7A import-export'!$N$62:$N$108,0)),"")</f>
        <v/>
      </c>
      <c r="L139" s="1314"/>
      <c r="M139" s="1313">
        <f t="shared" si="22"/>
        <v>0</v>
      </c>
      <c r="N139" s="1317" t="e">
        <f t="shared" si="23"/>
        <v>#VALUE!</v>
      </c>
      <c r="O139" s="758"/>
      <c r="P139" s="438"/>
      <c r="Q139" s="284"/>
      <c r="R139" s="746"/>
      <c r="S139" s="284"/>
      <c r="T139" s="284"/>
      <c r="U139" s="259"/>
      <c r="V139" s="259"/>
      <c r="W139" s="63"/>
    </row>
    <row r="140" spans="1:23" s="257" customFormat="1" ht="15.75" hidden="1" x14ac:dyDescent="0.25">
      <c r="A140" s="728" t="str">
        <f t="shared" si="15"/>
        <v>Don't Show</v>
      </c>
      <c r="B140" s="677" t="s">
        <v>2550</v>
      </c>
      <c r="C140" s="966" t="str">
        <f>IFERROR(INDEX('PR Expenditure_7A import-export'!A$62:A$108,MATCH($B140,'PR Expenditure_7A import-export'!$N$62:$N$108,0)),"")</f>
        <v/>
      </c>
      <c r="D140" s="1318" t="str">
        <f>IFERROR(INDEX('PR Expenditure_7A import-export'!B$62:B$108,MATCH($B140,'PR Expenditure_7A import-export'!$N$62:$N$108,0)),"")</f>
        <v/>
      </c>
      <c r="E140" s="1313" t="str">
        <f>IFERROR(INDEX('PR Expenditure_7A import-export'!C$62:C$108,MATCH($B140,'PR Expenditure_7A import-export'!$N$62:$N$108,0)),"")</f>
        <v/>
      </c>
      <c r="F140" s="1314"/>
      <c r="G140" s="1313">
        <f t="shared" si="20"/>
        <v>0</v>
      </c>
      <c r="H140" s="1315" t="e">
        <f t="shared" si="21"/>
        <v>#VALUE!</v>
      </c>
      <c r="I140" s="1319"/>
      <c r="J140" s="1312"/>
      <c r="K140" s="1313" t="str">
        <f>IFERROR(INDEX('PR Expenditure_7A import-export'!I$62:I$108,MATCH($B140,'PR Expenditure_7A import-export'!$N$62:$N$108,0)),"")</f>
        <v/>
      </c>
      <c r="L140" s="1314"/>
      <c r="M140" s="1313">
        <f t="shared" si="22"/>
        <v>0</v>
      </c>
      <c r="N140" s="1317" t="e">
        <f t="shared" si="23"/>
        <v>#VALUE!</v>
      </c>
      <c r="O140" s="758"/>
      <c r="P140" s="438"/>
      <c r="Q140" s="284"/>
      <c r="R140" s="746"/>
      <c r="S140" s="284"/>
      <c r="T140" s="284"/>
      <c r="U140" s="259"/>
      <c r="V140" s="259"/>
      <c r="W140" s="63"/>
    </row>
    <row r="141" spans="1:23" s="257" customFormat="1" ht="15.75" hidden="1" x14ac:dyDescent="0.25">
      <c r="A141" s="728" t="str">
        <f t="shared" si="15"/>
        <v>Don't Show</v>
      </c>
      <c r="B141" s="677" t="s">
        <v>2551</v>
      </c>
      <c r="C141" s="966" t="str">
        <f>IFERROR(INDEX('PR Expenditure_7A import-export'!A$62:A$108,MATCH($B141,'PR Expenditure_7A import-export'!$N$62:$N$108,0)),"")</f>
        <v/>
      </c>
      <c r="D141" s="1318" t="str">
        <f>IFERROR(INDEX('PR Expenditure_7A import-export'!B$62:B$108,MATCH($B141,'PR Expenditure_7A import-export'!$N$62:$N$108,0)),"")</f>
        <v/>
      </c>
      <c r="E141" s="1313" t="str">
        <f>IFERROR(INDEX('PR Expenditure_7A import-export'!C$62:C$108,MATCH($B141,'PR Expenditure_7A import-export'!$N$62:$N$108,0)),"")</f>
        <v/>
      </c>
      <c r="F141" s="1314"/>
      <c r="G141" s="1313">
        <f t="shared" si="20"/>
        <v>0</v>
      </c>
      <c r="H141" s="1315" t="e">
        <f t="shared" si="21"/>
        <v>#VALUE!</v>
      </c>
      <c r="I141" s="1319"/>
      <c r="J141" s="1312"/>
      <c r="K141" s="1313" t="str">
        <f>IFERROR(INDEX('PR Expenditure_7A import-export'!I$62:I$108,MATCH($B141,'PR Expenditure_7A import-export'!$N$62:$N$108,0)),"")</f>
        <v/>
      </c>
      <c r="L141" s="1314"/>
      <c r="M141" s="1313">
        <f t="shared" si="22"/>
        <v>0</v>
      </c>
      <c r="N141" s="1317" t="e">
        <f t="shared" si="23"/>
        <v>#VALUE!</v>
      </c>
      <c r="O141" s="758"/>
      <c r="P141" s="438"/>
      <c r="Q141" s="284"/>
      <c r="R141" s="746"/>
      <c r="S141" s="284"/>
      <c r="T141" s="284"/>
      <c r="U141" s="259"/>
      <c r="V141" s="259"/>
      <c r="W141" s="63"/>
    </row>
    <row r="142" spans="1:23" s="257" customFormat="1" ht="15.75" hidden="1" x14ac:dyDescent="0.25">
      <c r="A142" s="728" t="str">
        <f t="shared" si="15"/>
        <v>Don't Show</v>
      </c>
      <c r="B142" s="677" t="s">
        <v>2552</v>
      </c>
      <c r="C142" s="966" t="str">
        <f>IFERROR(INDEX('PR Expenditure_7A import-export'!A$62:A$108,MATCH($B142,'PR Expenditure_7A import-export'!$N$62:$N$108,0)),"")</f>
        <v/>
      </c>
      <c r="D142" s="1318" t="str">
        <f>IFERROR(INDEX('PR Expenditure_7A import-export'!B$62:B$108,MATCH($B142,'PR Expenditure_7A import-export'!$N$62:$N$108,0)),"")</f>
        <v/>
      </c>
      <c r="E142" s="1313" t="str">
        <f>IFERROR(INDEX('PR Expenditure_7A import-export'!C$62:C$108,MATCH($B142,'PR Expenditure_7A import-export'!$N$62:$N$108,0)),"")</f>
        <v/>
      </c>
      <c r="F142" s="1314"/>
      <c r="G142" s="1313">
        <f t="shared" si="20"/>
        <v>0</v>
      </c>
      <c r="H142" s="1315" t="e">
        <f t="shared" si="21"/>
        <v>#VALUE!</v>
      </c>
      <c r="I142" s="1319"/>
      <c r="J142" s="1312"/>
      <c r="K142" s="1313" t="str">
        <f>IFERROR(INDEX('PR Expenditure_7A import-export'!I$62:I$108,MATCH($B142,'PR Expenditure_7A import-export'!$N$62:$N$108,0)),"")</f>
        <v/>
      </c>
      <c r="L142" s="1314"/>
      <c r="M142" s="1313">
        <f t="shared" si="22"/>
        <v>0</v>
      </c>
      <c r="N142" s="1317" t="e">
        <f t="shared" si="23"/>
        <v>#VALUE!</v>
      </c>
      <c r="O142" s="758"/>
      <c r="P142" s="438"/>
      <c r="Q142" s="284"/>
      <c r="R142" s="746"/>
      <c r="S142" s="284"/>
      <c r="T142" s="284"/>
      <c r="U142" s="259"/>
      <c r="V142" s="259"/>
      <c r="W142" s="63"/>
    </row>
    <row r="143" spans="1:23" s="257" customFormat="1" ht="15.75" hidden="1" x14ac:dyDescent="0.25">
      <c r="A143" s="728" t="str">
        <f t="shared" si="15"/>
        <v>Don't Show</v>
      </c>
      <c r="B143" s="677" t="s">
        <v>2553</v>
      </c>
      <c r="C143" s="966" t="str">
        <f>IFERROR(INDEX('PR Expenditure_7A import-export'!A$62:A$108,MATCH($B143,'PR Expenditure_7A import-export'!$N$62:$N$108,0)),"")</f>
        <v/>
      </c>
      <c r="D143" s="1318" t="str">
        <f>IFERROR(INDEX('PR Expenditure_7A import-export'!B$62:B$108,MATCH($B143,'PR Expenditure_7A import-export'!$N$62:$N$108,0)),"")</f>
        <v/>
      </c>
      <c r="E143" s="1313" t="str">
        <f>IFERROR(INDEX('PR Expenditure_7A import-export'!C$62:C$108,MATCH($B143,'PR Expenditure_7A import-export'!$N$62:$N$108,0)),"")</f>
        <v/>
      </c>
      <c r="F143" s="1314"/>
      <c r="G143" s="1313">
        <f t="shared" si="20"/>
        <v>0</v>
      </c>
      <c r="H143" s="1315" t="e">
        <f t="shared" si="21"/>
        <v>#VALUE!</v>
      </c>
      <c r="I143" s="1319"/>
      <c r="J143" s="1312"/>
      <c r="K143" s="1313" t="str">
        <f>IFERROR(INDEX('PR Expenditure_7A import-export'!I$62:I$108,MATCH($B143,'PR Expenditure_7A import-export'!$N$62:$N$108,0)),"")</f>
        <v/>
      </c>
      <c r="L143" s="1314"/>
      <c r="M143" s="1313">
        <f t="shared" si="22"/>
        <v>0</v>
      </c>
      <c r="N143" s="1317" t="e">
        <f t="shared" si="23"/>
        <v>#VALUE!</v>
      </c>
      <c r="O143" s="758"/>
      <c r="P143" s="438"/>
      <c r="Q143" s="284"/>
      <c r="R143" s="746"/>
      <c r="S143" s="284"/>
      <c r="T143" s="284"/>
      <c r="U143" s="259"/>
      <c r="V143" s="259"/>
      <c r="W143" s="63"/>
    </row>
    <row r="144" spans="1:23" s="257" customFormat="1" ht="15.75" hidden="1" x14ac:dyDescent="0.25">
      <c r="A144" s="728" t="str">
        <f t="shared" si="15"/>
        <v>Don't Show</v>
      </c>
      <c r="B144" s="677" t="s">
        <v>2554</v>
      </c>
      <c r="C144" s="966" t="str">
        <f>IFERROR(INDEX('PR Expenditure_7A import-export'!A$62:A$108,MATCH($B144,'PR Expenditure_7A import-export'!$N$62:$N$108,0)),"")</f>
        <v/>
      </c>
      <c r="D144" s="1318" t="str">
        <f>IFERROR(INDEX('PR Expenditure_7A import-export'!B$62:B$108,MATCH($B144,'PR Expenditure_7A import-export'!$N$62:$N$108,0)),"")</f>
        <v/>
      </c>
      <c r="E144" s="1313" t="str">
        <f>IFERROR(INDEX('PR Expenditure_7A import-export'!C$62:C$108,MATCH($B144,'PR Expenditure_7A import-export'!$N$62:$N$108,0)),"")</f>
        <v/>
      </c>
      <c r="F144" s="1314"/>
      <c r="G144" s="1313">
        <f t="shared" si="20"/>
        <v>0</v>
      </c>
      <c r="H144" s="1315" t="e">
        <f t="shared" si="21"/>
        <v>#VALUE!</v>
      </c>
      <c r="I144" s="1319"/>
      <c r="J144" s="1312"/>
      <c r="K144" s="1313" t="str">
        <f>IFERROR(INDEX('PR Expenditure_7A import-export'!I$62:I$108,MATCH($B144,'PR Expenditure_7A import-export'!$N$62:$N$108,0)),"")</f>
        <v/>
      </c>
      <c r="L144" s="1314"/>
      <c r="M144" s="1313">
        <f t="shared" si="22"/>
        <v>0</v>
      </c>
      <c r="N144" s="1317" t="e">
        <f t="shared" si="23"/>
        <v>#VALUE!</v>
      </c>
      <c r="O144" s="758"/>
      <c r="P144" s="438"/>
      <c r="Q144" s="284"/>
      <c r="R144" s="746"/>
      <c r="S144" s="284"/>
      <c r="T144" s="284"/>
      <c r="U144" s="259"/>
      <c r="V144" s="259"/>
      <c r="W144" s="63"/>
    </row>
    <row r="145" spans="1:23" s="257" customFormat="1" ht="15.75" hidden="1" x14ac:dyDescent="0.25">
      <c r="A145" s="728" t="str">
        <f t="shared" si="15"/>
        <v>Don't Show</v>
      </c>
      <c r="B145" s="677" t="s">
        <v>2555</v>
      </c>
      <c r="C145" s="966" t="str">
        <f>IFERROR(INDEX('PR Expenditure_7A import-export'!A$62:A$108,MATCH($B145,'PR Expenditure_7A import-export'!$N$62:$N$108,0)),"")</f>
        <v/>
      </c>
      <c r="D145" s="1318" t="str">
        <f>IFERROR(INDEX('PR Expenditure_7A import-export'!B$62:B$108,MATCH($B145,'PR Expenditure_7A import-export'!$N$62:$N$108,0)),"")</f>
        <v/>
      </c>
      <c r="E145" s="1313" t="str">
        <f>IFERROR(INDEX('PR Expenditure_7A import-export'!C$62:C$108,MATCH($B145,'PR Expenditure_7A import-export'!$N$62:$N$108,0)),"")</f>
        <v/>
      </c>
      <c r="F145" s="1314"/>
      <c r="G145" s="1313">
        <f t="shared" si="20"/>
        <v>0</v>
      </c>
      <c r="H145" s="1315" t="e">
        <f t="shared" si="21"/>
        <v>#VALUE!</v>
      </c>
      <c r="I145" s="1319"/>
      <c r="J145" s="1312"/>
      <c r="K145" s="1313" t="str">
        <f>IFERROR(INDEX('PR Expenditure_7A import-export'!I$62:I$108,MATCH($B145,'PR Expenditure_7A import-export'!$N$62:$N$108,0)),"")</f>
        <v/>
      </c>
      <c r="L145" s="1314"/>
      <c r="M145" s="1313">
        <f t="shared" si="22"/>
        <v>0</v>
      </c>
      <c r="N145" s="1317" t="e">
        <f t="shared" si="23"/>
        <v>#VALUE!</v>
      </c>
      <c r="O145" s="758"/>
      <c r="P145" s="438"/>
      <c r="Q145" s="284"/>
      <c r="R145" s="746"/>
      <c r="S145" s="284"/>
      <c r="T145" s="284"/>
      <c r="U145" s="259"/>
      <c r="V145" s="259"/>
      <c r="W145" s="63"/>
    </row>
    <row r="146" spans="1:23" s="257" customFormat="1" ht="15.75" hidden="1" x14ac:dyDescent="0.25">
      <c r="A146" s="728" t="str">
        <f t="shared" si="15"/>
        <v>Don't Show</v>
      </c>
      <c r="B146" s="677" t="s">
        <v>2556</v>
      </c>
      <c r="C146" s="966" t="str">
        <f>IFERROR(INDEX('PR Expenditure_7A import-export'!A$62:A$108,MATCH($B146,'PR Expenditure_7A import-export'!$N$62:$N$108,0)),"")</f>
        <v/>
      </c>
      <c r="D146" s="1318" t="str">
        <f>IFERROR(INDEX('PR Expenditure_7A import-export'!B$62:B$108,MATCH($B146,'PR Expenditure_7A import-export'!$N$62:$N$108,0)),"")</f>
        <v/>
      </c>
      <c r="E146" s="1313" t="str">
        <f>IFERROR(INDEX('PR Expenditure_7A import-export'!C$62:C$108,MATCH($B146,'PR Expenditure_7A import-export'!$N$62:$N$108,0)),"")</f>
        <v/>
      </c>
      <c r="F146" s="1314"/>
      <c r="G146" s="1313">
        <f t="shared" si="20"/>
        <v>0</v>
      </c>
      <c r="H146" s="1315" t="e">
        <f t="shared" si="21"/>
        <v>#VALUE!</v>
      </c>
      <c r="I146" s="1319"/>
      <c r="J146" s="1312"/>
      <c r="K146" s="1313" t="str">
        <f>IFERROR(INDEX('PR Expenditure_7A import-export'!I$62:I$108,MATCH($B146,'PR Expenditure_7A import-export'!$N$62:$N$108,0)),"")</f>
        <v/>
      </c>
      <c r="L146" s="1314"/>
      <c r="M146" s="1313">
        <f t="shared" si="22"/>
        <v>0</v>
      </c>
      <c r="N146" s="1317" t="e">
        <f t="shared" si="23"/>
        <v>#VALUE!</v>
      </c>
      <c r="O146" s="758"/>
      <c r="P146" s="438"/>
      <c r="Q146" s="284"/>
      <c r="R146" s="746"/>
      <c r="S146" s="284"/>
      <c r="T146" s="284"/>
      <c r="U146" s="259"/>
      <c r="V146" s="259"/>
      <c r="W146" s="63"/>
    </row>
    <row r="147" spans="1:23" s="257" customFormat="1" ht="15.75" hidden="1" x14ac:dyDescent="0.25">
      <c r="A147" s="728" t="str">
        <f t="shared" si="15"/>
        <v>Don't Show</v>
      </c>
      <c r="B147" s="677" t="s">
        <v>2557</v>
      </c>
      <c r="C147" s="966" t="str">
        <f>IFERROR(INDEX('PR Expenditure_7A import-export'!A$62:A$108,MATCH($B147,'PR Expenditure_7A import-export'!$N$62:$N$108,0)),"")</f>
        <v/>
      </c>
      <c r="D147" s="1318" t="str">
        <f>IFERROR(INDEX('PR Expenditure_7A import-export'!B$62:B$108,MATCH($B147,'PR Expenditure_7A import-export'!$N$62:$N$108,0)),"")</f>
        <v/>
      </c>
      <c r="E147" s="1313" t="str">
        <f>IFERROR(INDEX('PR Expenditure_7A import-export'!C$62:C$108,MATCH($B147,'PR Expenditure_7A import-export'!$N$62:$N$108,0)),"")</f>
        <v/>
      </c>
      <c r="F147" s="1314"/>
      <c r="G147" s="1313">
        <f t="shared" si="20"/>
        <v>0</v>
      </c>
      <c r="H147" s="1315" t="e">
        <f t="shared" si="21"/>
        <v>#VALUE!</v>
      </c>
      <c r="I147" s="1319"/>
      <c r="J147" s="1312"/>
      <c r="K147" s="1313" t="str">
        <f>IFERROR(INDEX('PR Expenditure_7A import-export'!I$62:I$108,MATCH($B147,'PR Expenditure_7A import-export'!$N$62:$N$108,0)),"")</f>
        <v/>
      </c>
      <c r="L147" s="1314"/>
      <c r="M147" s="1313">
        <f t="shared" si="22"/>
        <v>0</v>
      </c>
      <c r="N147" s="1317" t="e">
        <f t="shared" si="23"/>
        <v>#VALUE!</v>
      </c>
      <c r="O147" s="758"/>
      <c r="P147" s="438"/>
      <c r="Q147" s="284"/>
      <c r="R147" s="746"/>
      <c r="S147" s="284"/>
      <c r="T147" s="284"/>
      <c r="U147" s="259"/>
      <c r="V147" s="259"/>
      <c r="W147" s="63"/>
    </row>
    <row r="148" spans="1:23" s="257" customFormat="1" ht="15.75" hidden="1" x14ac:dyDescent="0.25">
      <c r="A148" s="728" t="str">
        <f t="shared" si="15"/>
        <v>Don't Show</v>
      </c>
      <c r="B148" s="677" t="s">
        <v>2558</v>
      </c>
      <c r="C148" s="966" t="str">
        <f>IFERROR(INDEX('PR Expenditure_7A import-export'!A$62:A$108,MATCH($B148,'PR Expenditure_7A import-export'!$N$62:$N$108,0)),"")</f>
        <v/>
      </c>
      <c r="D148" s="1318" t="str">
        <f>IFERROR(INDEX('PR Expenditure_7A import-export'!B$62:B$108,MATCH($B148,'PR Expenditure_7A import-export'!$N$62:$N$108,0)),"")</f>
        <v/>
      </c>
      <c r="E148" s="1313" t="str">
        <f>IFERROR(INDEX('PR Expenditure_7A import-export'!C$62:C$108,MATCH($B148,'PR Expenditure_7A import-export'!$N$62:$N$108,0)),"")</f>
        <v/>
      </c>
      <c r="F148" s="1314"/>
      <c r="G148" s="1313">
        <f t="shared" si="20"/>
        <v>0</v>
      </c>
      <c r="H148" s="1315" t="e">
        <f t="shared" si="21"/>
        <v>#VALUE!</v>
      </c>
      <c r="I148" s="1319"/>
      <c r="J148" s="1312"/>
      <c r="K148" s="1313" t="str">
        <f>IFERROR(INDEX('PR Expenditure_7A import-export'!I$62:I$108,MATCH($B148,'PR Expenditure_7A import-export'!$N$62:$N$108,0)),"")</f>
        <v/>
      </c>
      <c r="L148" s="1314"/>
      <c r="M148" s="1313">
        <f t="shared" si="22"/>
        <v>0</v>
      </c>
      <c r="N148" s="1317" t="e">
        <f t="shared" si="23"/>
        <v>#VALUE!</v>
      </c>
      <c r="O148" s="758"/>
      <c r="P148" s="438"/>
      <c r="Q148" s="284"/>
      <c r="R148" s="746"/>
      <c r="S148" s="284"/>
      <c r="T148" s="284"/>
      <c r="U148" s="259"/>
      <c r="V148" s="259"/>
      <c r="W148" s="63"/>
    </row>
    <row r="149" spans="1:23" s="257" customFormat="1" ht="15.75" hidden="1" x14ac:dyDescent="0.25">
      <c r="A149" s="728" t="str">
        <f t="shared" si="15"/>
        <v>Don't Show</v>
      </c>
      <c r="B149" s="677" t="s">
        <v>2559</v>
      </c>
      <c r="C149" s="966" t="str">
        <f>IFERROR(INDEX('PR Expenditure_7A import-export'!A$62:A$108,MATCH($B149,'PR Expenditure_7A import-export'!$N$62:$N$108,0)),"")</f>
        <v/>
      </c>
      <c r="D149" s="1318" t="str">
        <f>IFERROR(INDEX('PR Expenditure_7A import-export'!B$62:B$108,MATCH($B149,'PR Expenditure_7A import-export'!$N$62:$N$108,0)),"")</f>
        <v/>
      </c>
      <c r="E149" s="1313" t="str">
        <f>IFERROR(INDEX('PR Expenditure_7A import-export'!C$62:C$108,MATCH($B149,'PR Expenditure_7A import-export'!$N$62:$N$108,0)),"")</f>
        <v/>
      </c>
      <c r="F149" s="1314"/>
      <c r="G149" s="1313">
        <f t="shared" si="20"/>
        <v>0</v>
      </c>
      <c r="H149" s="1315" t="e">
        <f t="shared" si="21"/>
        <v>#VALUE!</v>
      </c>
      <c r="I149" s="1319"/>
      <c r="J149" s="1312"/>
      <c r="K149" s="1313" t="str">
        <f>IFERROR(INDEX('PR Expenditure_7A import-export'!I$62:I$108,MATCH($B149,'PR Expenditure_7A import-export'!$N$62:$N$108,0)),"")</f>
        <v/>
      </c>
      <c r="L149" s="1314"/>
      <c r="M149" s="1313">
        <f t="shared" si="22"/>
        <v>0</v>
      </c>
      <c r="N149" s="1317" t="e">
        <f t="shared" si="23"/>
        <v>#VALUE!</v>
      </c>
      <c r="O149" s="758"/>
      <c r="P149" s="438"/>
      <c r="Q149" s="284"/>
      <c r="R149" s="746"/>
      <c r="S149" s="284"/>
      <c r="T149" s="284"/>
      <c r="U149" s="259"/>
      <c r="V149" s="259"/>
      <c r="W149" s="63"/>
    </row>
    <row r="150" spans="1:23" s="257" customFormat="1" ht="15.75" hidden="1" x14ac:dyDescent="0.25">
      <c r="A150" s="728" t="str">
        <f t="shared" si="15"/>
        <v>Don't Show</v>
      </c>
      <c r="B150" s="677" t="s">
        <v>2560</v>
      </c>
      <c r="C150" s="966" t="str">
        <f>IFERROR(INDEX('PR Expenditure_7A import-export'!A$62:A$108,MATCH($B150,'PR Expenditure_7A import-export'!$N$62:$N$108,0)),"")</f>
        <v/>
      </c>
      <c r="D150" s="1318" t="str">
        <f>IFERROR(INDEX('PR Expenditure_7A import-export'!B$62:B$108,MATCH($B150,'PR Expenditure_7A import-export'!$N$62:$N$108,0)),"")</f>
        <v/>
      </c>
      <c r="E150" s="1313" t="str">
        <f>IFERROR(INDEX('PR Expenditure_7A import-export'!C$62:C$108,MATCH($B150,'PR Expenditure_7A import-export'!$N$62:$N$108,0)),"")</f>
        <v/>
      </c>
      <c r="F150" s="1314"/>
      <c r="G150" s="1313">
        <f t="shared" si="20"/>
        <v>0</v>
      </c>
      <c r="H150" s="1315" t="e">
        <f t="shared" si="21"/>
        <v>#VALUE!</v>
      </c>
      <c r="I150" s="1319"/>
      <c r="J150" s="1312"/>
      <c r="K150" s="1313" t="str">
        <f>IFERROR(INDEX('PR Expenditure_7A import-export'!I$62:I$108,MATCH($B150,'PR Expenditure_7A import-export'!$N$62:$N$108,0)),"")</f>
        <v/>
      </c>
      <c r="L150" s="1314"/>
      <c r="M150" s="1313">
        <f t="shared" si="22"/>
        <v>0</v>
      </c>
      <c r="N150" s="1317" t="e">
        <f t="shared" si="23"/>
        <v>#VALUE!</v>
      </c>
      <c r="O150" s="758"/>
      <c r="P150" s="438"/>
      <c r="Q150" s="284"/>
      <c r="R150" s="746"/>
      <c r="S150" s="284"/>
      <c r="T150" s="284"/>
      <c r="U150" s="259"/>
      <c r="V150" s="259"/>
      <c r="W150" s="63"/>
    </row>
    <row r="151" spans="1:23" s="257" customFormat="1" ht="15.75" hidden="1" x14ac:dyDescent="0.25">
      <c r="A151" s="728" t="str">
        <f t="shared" si="15"/>
        <v>Don't Show</v>
      </c>
      <c r="B151" s="677" t="s">
        <v>2561</v>
      </c>
      <c r="C151" s="966" t="str">
        <f>IFERROR(INDEX('PR Expenditure_7A import-export'!A$62:A$108,MATCH($B151,'PR Expenditure_7A import-export'!$N$62:$N$108,0)),"")</f>
        <v/>
      </c>
      <c r="D151" s="1318" t="str">
        <f>IFERROR(INDEX('PR Expenditure_7A import-export'!B$62:B$108,MATCH($B151,'PR Expenditure_7A import-export'!$N$62:$N$108,0)),"")</f>
        <v/>
      </c>
      <c r="E151" s="1313" t="str">
        <f>IFERROR(INDEX('PR Expenditure_7A import-export'!C$62:C$108,MATCH($B151,'PR Expenditure_7A import-export'!$N$62:$N$108,0)),"")</f>
        <v/>
      </c>
      <c r="F151" s="1314"/>
      <c r="G151" s="1313">
        <f t="shared" si="20"/>
        <v>0</v>
      </c>
      <c r="H151" s="1315" t="e">
        <f t="shared" si="21"/>
        <v>#VALUE!</v>
      </c>
      <c r="I151" s="1319"/>
      <c r="J151" s="1312"/>
      <c r="K151" s="1313" t="str">
        <f>IFERROR(INDEX('PR Expenditure_7A import-export'!I$62:I$108,MATCH($B151,'PR Expenditure_7A import-export'!$N$62:$N$108,0)),"")</f>
        <v/>
      </c>
      <c r="L151" s="1314"/>
      <c r="M151" s="1313">
        <f t="shared" si="22"/>
        <v>0</v>
      </c>
      <c r="N151" s="1317" t="e">
        <f t="shared" si="23"/>
        <v>#VALUE!</v>
      </c>
      <c r="O151" s="758"/>
      <c r="P151" s="438"/>
      <c r="Q151" s="284"/>
      <c r="R151" s="746"/>
      <c r="S151" s="284"/>
      <c r="T151" s="284"/>
      <c r="U151" s="259"/>
      <c r="V151" s="259"/>
      <c r="W151" s="63"/>
    </row>
    <row r="152" spans="1:23" s="257" customFormat="1" ht="15.75" hidden="1" x14ac:dyDescent="0.25">
      <c r="A152" s="728" t="str">
        <f t="shared" si="15"/>
        <v>Don't Show</v>
      </c>
      <c r="B152" s="677" t="s">
        <v>2562</v>
      </c>
      <c r="C152" s="966" t="str">
        <f>IFERROR(INDEX('PR Expenditure_7A import-export'!A$62:A$108,MATCH($B152,'PR Expenditure_7A import-export'!$N$62:$N$108,0)),"")</f>
        <v/>
      </c>
      <c r="D152" s="1318" t="str">
        <f>IFERROR(INDEX('PR Expenditure_7A import-export'!B$62:B$108,MATCH($B152,'PR Expenditure_7A import-export'!$N$62:$N$108,0)),"")</f>
        <v/>
      </c>
      <c r="E152" s="1313" t="str">
        <f>IFERROR(INDEX('PR Expenditure_7A import-export'!C$62:C$108,MATCH($B152,'PR Expenditure_7A import-export'!$N$62:$N$108,0)),"")</f>
        <v/>
      </c>
      <c r="F152" s="1314"/>
      <c r="G152" s="1313">
        <f t="shared" si="20"/>
        <v>0</v>
      </c>
      <c r="H152" s="1315" t="e">
        <f t="shared" si="21"/>
        <v>#VALUE!</v>
      </c>
      <c r="I152" s="1319"/>
      <c r="J152" s="1312"/>
      <c r="K152" s="1313" t="str">
        <f>IFERROR(INDEX('PR Expenditure_7A import-export'!I$62:I$108,MATCH($B152,'PR Expenditure_7A import-export'!$N$62:$N$108,0)),"")</f>
        <v/>
      </c>
      <c r="L152" s="1314"/>
      <c r="M152" s="1313">
        <f t="shared" si="22"/>
        <v>0</v>
      </c>
      <c r="N152" s="1317" t="e">
        <f t="shared" si="23"/>
        <v>#VALUE!</v>
      </c>
      <c r="O152" s="758"/>
      <c r="P152" s="438"/>
      <c r="Q152" s="284"/>
      <c r="R152" s="746"/>
      <c r="S152" s="284"/>
      <c r="T152" s="284"/>
      <c r="U152" s="259"/>
      <c r="V152" s="259"/>
      <c r="W152" s="63"/>
    </row>
    <row r="153" spans="1:23" s="257" customFormat="1" ht="15.75" hidden="1" x14ac:dyDescent="0.25">
      <c r="A153" s="728" t="str">
        <f t="shared" si="15"/>
        <v>Don't Show</v>
      </c>
      <c r="B153" s="677" t="s">
        <v>2563</v>
      </c>
      <c r="C153" s="966" t="str">
        <f>IFERROR(INDEX('PR Expenditure_7A import-export'!A$62:A$108,MATCH($B153,'PR Expenditure_7A import-export'!$N$62:$N$108,0)),"")</f>
        <v/>
      </c>
      <c r="D153" s="1318" t="str">
        <f>IFERROR(INDEX('PR Expenditure_7A import-export'!B$62:B$108,MATCH($B153,'PR Expenditure_7A import-export'!$N$62:$N$108,0)),"")</f>
        <v/>
      </c>
      <c r="E153" s="1313" t="str">
        <f>IFERROR(INDEX('PR Expenditure_7A import-export'!C$62:C$108,MATCH($B153,'PR Expenditure_7A import-export'!$N$62:$N$108,0)),"")</f>
        <v/>
      </c>
      <c r="F153" s="1314"/>
      <c r="G153" s="1313">
        <f t="shared" si="20"/>
        <v>0</v>
      </c>
      <c r="H153" s="1315" t="e">
        <f t="shared" si="21"/>
        <v>#VALUE!</v>
      </c>
      <c r="I153" s="1319"/>
      <c r="J153" s="1312"/>
      <c r="K153" s="1313" t="str">
        <f>IFERROR(INDEX('PR Expenditure_7A import-export'!I$62:I$108,MATCH($B153,'PR Expenditure_7A import-export'!$N$62:$N$108,0)),"")</f>
        <v/>
      </c>
      <c r="L153" s="1314"/>
      <c r="M153" s="1313">
        <f t="shared" si="22"/>
        <v>0</v>
      </c>
      <c r="N153" s="1317" t="e">
        <f t="shared" si="23"/>
        <v>#VALUE!</v>
      </c>
      <c r="O153" s="758"/>
      <c r="P153" s="438"/>
      <c r="Q153" s="284"/>
      <c r="R153" s="746"/>
      <c r="S153" s="284"/>
      <c r="T153" s="284"/>
      <c r="U153" s="259"/>
      <c r="V153" s="259"/>
      <c r="W153" s="63"/>
    </row>
    <row r="154" spans="1:23" s="257" customFormat="1" ht="15.75" hidden="1" x14ac:dyDescent="0.25">
      <c r="A154" s="728" t="str">
        <f t="shared" si="15"/>
        <v>Don't Show</v>
      </c>
      <c r="B154" s="677" t="s">
        <v>2564</v>
      </c>
      <c r="C154" s="966" t="str">
        <f>IFERROR(INDEX('PR Expenditure_7A import-export'!A$62:A$108,MATCH($B154,'PR Expenditure_7A import-export'!$N$62:$N$108,0)),"")</f>
        <v/>
      </c>
      <c r="D154" s="1318" t="str">
        <f>IFERROR(INDEX('PR Expenditure_7A import-export'!B$62:B$108,MATCH($B154,'PR Expenditure_7A import-export'!$N$62:$N$108,0)),"")</f>
        <v/>
      </c>
      <c r="E154" s="1313" t="str">
        <f>IFERROR(INDEX('PR Expenditure_7A import-export'!C$62:C$108,MATCH($B154,'PR Expenditure_7A import-export'!$N$62:$N$108,0)),"")</f>
        <v/>
      </c>
      <c r="F154" s="1314"/>
      <c r="G154" s="1313">
        <f t="shared" si="20"/>
        <v>0</v>
      </c>
      <c r="H154" s="1315" t="e">
        <f t="shared" si="21"/>
        <v>#VALUE!</v>
      </c>
      <c r="I154" s="1319"/>
      <c r="J154" s="1312"/>
      <c r="K154" s="1313" t="str">
        <f>IFERROR(INDEX('PR Expenditure_7A import-export'!I$62:I$108,MATCH($B154,'PR Expenditure_7A import-export'!$N$62:$N$108,0)),"")</f>
        <v/>
      </c>
      <c r="L154" s="1314"/>
      <c r="M154" s="1313">
        <f t="shared" si="22"/>
        <v>0</v>
      </c>
      <c r="N154" s="1317" t="e">
        <f t="shared" si="23"/>
        <v>#VALUE!</v>
      </c>
      <c r="O154" s="758"/>
      <c r="P154" s="438"/>
      <c r="Q154" s="284"/>
      <c r="R154" s="746"/>
      <c r="S154" s="284"/>
      <c r="T154" s="284"/>
      <c r="U154" s="259"/>
      <c r="V154" s="259"/>
      <c r="W154" s="63"/>
    </row>
    <row r="155" spans="1:23" s="257" customFormat="1" ht="15.75" hidden="1" x14ac:dyDescent="0.25">
      <c r="A155" s="728" t="str">
        <f t="shared" si="15"/>
        <v>Don't Show</v>
      </c>
      <c r="B155" s="677" t="s">
        <v>2565</v>
      </c>
      <c r="C155" s="966" t="str">
        <f>IFERROR(INDEX('PR Expenditure_7A import-export'!A$62:A$108,MATCH($B155,'PR Expenditure_7A import-export'!$N$62:$N$108,0)),"")</f>
        <v/>
      </c>
      <c r="D155" s="1318" t="str">
        <f>IFERROR(INDEX('PR Expenditure_7A import-export'!B$62:B$108,MATCH($B155,'PR Expenditure_7A import-export'!$N$62:$N$108,0)),"")</f>
        <v/>
      </c>
      <c r="E155" s="1313" t="str">
        <f>IFERROR(INDEX('PR Expenditure_7A import-export'!C$62:C$108,MATCH($B155,'PR Expenditure_7A import-export'!$N$62:$N$108,0)),"")</f>
        <v/>
      </c>
      <c r="F155" s="1314"/>
      <c r="G155" s="1313">
        <f t="shared" ref="G155:G183" si="24">IFERROR(E155-F155,0)</f>
        <v>0</v>
      </c>
      <c r="H155" s="1315" t="e">
        <f t="shared" ref="H155:H183" si="25">IF(AND(E155=0,F155=0),"N/A",IF(AND(E155=0,F155&lt;&gt;0),"Not Budgeted",F155/E155))</f>
        <v>#VALUE!</v>
      </c>
      <c r="I155" s="1319"/>
      <c r="J155" s="1312"/>
      <c r="K155" s="1313" t="str">
        <f>IFERROR(INDEX('PR Expenditure_7A import-export'!I$62:I$108,MATCH($B155,'PR Expenditure_7A import-export'!$N$62:$N$108,0)),"")</f>
        <v/>
      </c>
      <c r="L155" s="1314"/>
      <c r="M155" s="1313">
        <f t="shared" ref="M155:M183" si="26">IFERROR(K155-L155,0)</f>
        <v>0</v>
      </c>
      <c r="N155" s="1317" t="e">
        <f t="shared" ref="N155:N183" si="27">IF(AND(K155=0,L155=0),"N/A",IF(AND(K155=0,L155&lt;&gt;0),"Not Budgeted",L155/K155))</f>
        <v>#VALUE!</v>
      </c>
      <c r="O155" s="758"/>
      <c r="P155" s="438"/>
      <c r="Q155" s="284"/>
      <c r="R155" s="746"/>
      <c r="S155" s="284"/>
      <c r="T155" s="284"/>
      <c r="U155" s="259"/>
      <c r="V155" s="259"/>
      <c r="W155" s="63"/>
    </row>
    <row r="156" spans="1:23" s="257" customFormat="1" ht="15.75" hidden="1" x14ac:dyDescent="0.25">
      <c r="A156" s="728" t="str">
        <f t="shared" si="15"/>
        <v>Don't Show</v>
      </c>
      <c r="B156" s="677" t="s">
        <v>2566</v>
      </c>
      <c r="C156" s="966" t="str">
        <f>IFERROR(INDEX('PR Expenditure_7A import-export'!A$62:A$108,MATCH($B156,'PR Expenditure_7A import-export'!$N$62:$N$108,0)),"")</f>
        <v/>
      </c>
      <c r="D156" s="1318" t="str">
        <f>IFERROR(INDEX('PR Expenditure_7A import-export'!B$62:B$108,MATCH($B156,'PR Expenditure_7A import-export'!$N$62:$N$108,0)),"")</f>
        <v/>
      </c>
      <c r="E156" s="1313" t="str">
        <f>IFERROR(INDEX('PR Expenditure_7A import-export'!C$62:C$108,MATCH($B156,'PR Expenditure_7A import-export'!$N$62:$N$108,0)),"")</f>
        <v/>
      </c>
      <c r="F156" s="1314"/>
      <c r="G156" s="1313">
        <f t="shared" si="24"/>
        <v>0</v>
      </c>
      <c r="H156" s="1315" t="e">
        <f t="shared" si="25"/>
        <v>#VALUE!</v>
      </c>
      <c r="I156" s="1319"/>
      <c r="J156" s="1312"/>
      <c r="K156" s="1313" t="str">
        <f>IFERROR(INDEX('PR Expenditure_7A import-export'!I$62:I$108,MATCH($B156,'PR Expenditure_7A import-export'!$N$62:$N$108,0)),"")</f>
        <v/>
      </c>
      <c r="L156" s="1314"/>
      <c r="M156" s="1313">
        <f t="shared" si="26"/>
        <v>0</v>
      </c>
      <c r="N156" s="1317" t="e">
        <f t="shared" si="27"/>
        <v>#VALUE!</v>
      </c>
      <c r="O156" s="758"/>
      <c r="P156" s="438"/>
      <c r="Q156" s="284"/>
      <c r="R156" s="746"/>
      <c r="S156" s="284"/>
      <c r="T156" s="284"/>
      <c r="U156" s="259"/>
      <c r="V156" s="259"/>
      <c r="W156" s="63"/>
    </row>
    <row r="157" spans="1:23" s="257" customFormat="1" ht="15.75" hidden="1" x14ac:dyDescent="0.25">
      <c r="A157" s="728" t="str">
        <f t="shared" si="15"/>
        <v>Don't Show</v>
      </c>
      <c r="B157" s="677" t="s">
        <v>2567</v>
      </c>
      <c r="C157" s="966" t="str">
        <f>IFERROR(INDEX('PR Expenditure_7A import-export'!A$62:A$108,MATCH($B157,'PR Expenditure_7A import-export'!$N$62:$N$108,0)),"")</f>
        <v/>
      </c>
      <c r="D157" s="1318" t="str">
        <f>IFERROR(INDEX('PR Expenditure_7A import-export'!B$62:B$108,MATCH($B157,'PR Expenditure_7A import-export'!$N$62:$N$108,0)),"")</f>
        <v/>
      </c>
      <c r="E157" s="1313" t="str">
        <f>IFERROR(INDEX('PR Expenditure_7A import-export'!C$62:C$108,MATCH($B157,'PR Expenditure_7A import-export'!$N$62:$N$108,0)),"")</f>
        <v/>
      </c>
      <c r="F157" s="1314"/>
      <c r="G157" s="1313">
        <f t="shared" si="24"/>
        <v>0</v>
      </c>
      <c r="H157" s="1315" t="e">
        <f t="shared" si="25"/>
        <v>#VALUE!</v>
      </c>
      <c r="I157" s="1319"/>
      <c r="J157" s="1312"/>
      <c r="K157" s="1313" t="str">
        <f>IFERROR(INDEX('PR Expenditure_7A import-export'!I$62:I$108,MATCH($B157,'PR Expenditure_7A import-export'!$N$62:$N$108,0)),"")</f>
        <v/>
      </c>
      <c r="L157" s="1314"/>
      <c r="M157" s="1313">
        <f t="shared" si="26"/>
        <v>0</v>
      </c>
      <c r="N157" s="1317" t="e">
        <f t="shared" si="27"/>
        <v>#VALUE!</v>
      </c>
      <c r="O157" s="758"/>
      <c r="P157" s="438"/>
      <c r="Q157" s="284"/>
      <c r="R157" s="746"/>
      <c r="S157" s="284"/>
      <c r="T157" s="284"/>
      <c r="U157" s="259"/>
      <c r="V157" s="259"/>
      <c r="W157" s="63"/>
    </row>
    <row r="158" spans="1:23" s="257" customFormat="1" ht="15.75" hidden="1" x14ac:dyDescent="0.25">
      <c r="A158" s="728" t="str">
        <f t="shared" si="15"/>
        <v>Don't Show</v>
      </c>
      <c r="B158" s="677" t="s">
        <v>2568</v>
      </c>
      <c r="C158" s="966" t="str">
        <f>IFERROR(INDEX('PR Expenditure_7A import-export'!A$62:A$108,MATCH($B158,'PR Expenditure_7A import-export'!$N$62:$N$108,0)),"")</f>
        <v/>
      </c>
      <c r="D158" s="1318" t="str">
        <f>IFERROR(INDEX('PR Expenditure_7A import-export'!B$62:B$108,MATCH($B158,'PR Expenditure_7A import-export'!$N$62:$N$108,0)),"")</f>
        <v/>
      </c>
      <c r="E158" s="1313" t="str">
        <f>IFERROR(INDEX('PR Expenditure_7A import-export'!C$62:C$108,MATCH($B158,'PR Expenditure_7A import-export'!$N$62:$N$108,0)),"")</f>
        <v/>
      </c>
      <c r="F158" s="1314"/>
      <c r="G158" s="1313">
        <f t="shared" si="24"/>
        <v>0</v>
      </c>
      <c r="H158" s="1315" t="e">
        <f t="shared" si="25"/>
        <v>#VALUE!</v>
      </c>
      <c r="I158" s="1319"/>
      <c r="J158" s="1312"/>
      <c r="K158" s="1313" t="str">
        <f>IFERROR(INDEX('PR Expenditure_7A import-export'!I$62:I$108,MATCH($B158,'PR Expenditure_7A import-export'!$N$62:$N$108,0)),"")</f>
        <v/>
      </c>
      <c r="L158" s="1314"/>
      <c r="M158" s="1313">
        <f t="shared" si="26"/>
        <v>0</v>
      </c>
      <c r="N158" s="1317" t="e">
        <f t="shared" si="27"/>
        <v>#VALUE!</v>
      </c>
      <c r="O158" s="758"/>
      <c r="P158" s="438"/>
      <c r="Q158" s="284"/>
      <c r="R158" s="746"/>
      <c r="S158" s="284"/>
      <c r="T158" s="284"/>
      <c r="U158" s="259"/>
      <c r="V158" s="259"/>
      <c r="W158" s="63"/>
    </row>
    <row r="159" spans="1:23" s="257" customFormat="1" ht="15.75" hidden="1" x14ac:dyDescent="0.25">
      <c r="A159" s="728" t="str">
        <f t="shared" si="15"/>
        <v>Don't Show</v>
      </c>
      <c r="B159" s="677" t="s">
        <v>2569</v>
      </c>
      <c r="C159" s="966" t="str">
        <f>IFERROR(INDEX('PR Expenditure_7A import-export'!A$62:A$108,MATCH($B159,'PR Expenditure_7A import-export'!$N$62:$N$108,0)),"")</f>
        <v/>
      </c>
      <c r="D159" s="1318" t="str">
        <f>IFERROR(INDEX('PR Expenditure_7A import-export'!B$62:B$108,MATCH($B159,'PR Expenditure_7A import-export'!$N$62:$N$108,0)),"")</f>
        <v/>
      </c>
      <c r="E159" s="1313" t="str">
        <f>IFERROR(INDEX('PR Expenditure_7A import-export'!C$62:C$108,MATCH($B159,'PR Expenditure_7A import-export'!$N$62:$N$108,0)),"")</f>
        <v/>
      </c>
      <c r="F159" s="1314"/>
      <c r="G159" s="1313">
        <f t="shared" si="24"/>
        <v>0</v>
      </c>
      <c r="H159" s="1315" t="e">
        <f t="shared" si="25"/>
        <v>#VALUE!</v>
      </c>
      <c r="I159" s="1319"/>
      <c r="J159" s="1312"/>
      <c r="K159" s="1313" t="str">
        <f>IFERROR(INDEX('PR Expenditure_7A import-export'!I$62:I$108,MATCH($B159,'PR Expenditure_7A import-export'!$N$62:$N$108,0)),"")</f>
        <v/>
      </c>
      <c r="L159" s="1314"/>
      <c r="M159" s="1313">
        <f t="shared" si="26"/>
        <v>0</v>
      </c>
      <c r="N159" s="1317" t="e">
        <f t="shared" si="27"/>
        <v>#VALUE!</v>
      </c>
      <c r="O159" s="758"/>
      <c r="P159" s="438"/>
      <c r="Q159" s="284"/>
      <c r="R159" s="746"/>
      <c r="S159" s="284"/>
      <c r="T159" s="284"/>
      <c r="U159" s="259"/>
      <c r="V159" s="259"/>
      <c r="W159" s="63"/>
    </row>
    <row r="160" spans="1:23" s="257" customFormat="1" ht="15.75" hidden="1" x14ac:dyDescent="0.25">
      <c r="A160" s="728" t="str">
        <f t="shared" si="15"/>
        <v>Don't Show</v>
      </c>
      <c r="B160" s="677" t="s">
        <v>2570</v>
      </c>
      <c r="C160" s="966" t="str">
        <f>IFERROR(INDEX('PR Expenditure_7A import-export'!A$62:A$108,MATCH($B160,'PR Expenditure_7A import-export'!$N$62:$N$108,0)),"")</f>
        <v/>
      </c>
      <c r="D160" s="1318" t="str">
        <f>IFERROR(INDEX('PR Expenditure_7A import-export'!B$62:B$108,MATCH($B160,'PR Expenditure_7A import-export'!$N$62:$N$108,0)),"")</f>
        <v/>
      </c>
      <c r="E160" s="1313" t="str">
        <f>IFERROR(INDEX('PR Expenditure_7A import-export'!C$62:C$108,MATCH($B160,'PR Expenditure_7A import-export'!$N$62:$N$108,0)),"")</f>
        <v/>
      </c>
      <c r="F160" s="1314"/>
      <c r="G160" s="1313">
        <f t="shared" si="24"/>
        <v>0</v>
      </c>
      <c r="H160" s="1315" t="e">
        <f t="shared" si="25"/>
        <v>#VALUE!</v>
      </c>
      <c r="I160" s="1319"/>
      <c r="J160" s="1312"/>
      <c r="K160" s="1313" t="str">
        <f>IFERROR(INDEX('PR Expenditure_7A import-export'!I$62:I$108,MATCH($B160,'PR Expenditure_7A import-export'!$N$62:$N$108,0)),"")</f>
        <v/>
      </c>
      <c r="L160" s="1314"/>
      <c r="M160" s="1313">
        <f t="shared" si="26"/>
        <v>0</v>
      </c>
      <c r="N160" s="1317" t="e">
        <f t="shared" si="27"/>
        <v>#VALUE!</v>
      </c>
      <c r="O160" s="758"/>
      <c r="P160" s="438"/>
      <c r="Q160" s="284"/>
      <c r="R160" s="746"/>
      <c r="S160" s="284"/>
      <c r="T160" s="284"/>
      <c r="U160" s="259"/>
      <c r="V160" s="259"/>
      <c r="W160" s="63"/>
    </row>
    <row r="161" spans="1:23" s="257" customFormat="1" ht="15.75" hidden="1" x14ac:dyDescent="0.25">
      <c r="A161" s="728" t="str">
        <f t="shared" si="15"/>
        <v>Don't Show</v>
      </c>
      <c r="B161" s="677" t="s">
        <v>2571</v>
      </c>
      <c r="C161" s="966" t="str">
        <f>IFERROR(INDEX('PR Expenditure_7A import-export'!A$62:A$108,MATCH($B161,'PR Expenditure_7A import-export'!$N$62:$N$108,0)),"")</f>
        <v/>
      </c>
      <c r="D161" s="1318" t="str">
        <f>IFERROR(INDEX('PR Expenditure_7A import-export'!B$62:B$108,MATCH($B161,'PR Expenditure_7A import-export'!$N$62:$N$108,0)),"")</f>
        <v/>
      </c>
      <c r="E161" s="1313" t="str">
        <f>IFERROR(INDEX('PR Expenditure_7A import-export'!C$62:C$108,MATCH($B161,'PR Expenditure_7A import-export'!$N$62:$N$108,0)),"")</f>
        <v/>
      </c>
      <c r="F161" s="1314"/>
      <c r="G161" s="1313">
        <f t="shared" si="24"/>
        <v>0</v>
      </c>
      <c r="H161" s="1315" t="e">
        <f t="shared" si="25"/>
        <v>#VALUE!</v>
      </c>
      <c r="I161" s="1319"/>
      <c r="J161" s="1312"/>
      <c r="K161" s="1313" t="str">
        <f>IFERROR(INDEX('PR Expenditure_7A import-export'!I$62:I$108,MATCH($B161,'PR Expenditure_7A import-export'!$N$62:$N$108,0)),"")</f>
        <v/>
      </c>
      <c r="L161" s="1314"/>
      <c r="M161" s="1313">
        <f t="shared" si="26"/>
        <v>0</v>
      </c>
      <c r="N161" s="1317" t="e">
        <f t="shared" si="27"/>
        <v>#VALUE!</v>
      </c>
      <c r="O161" s="758"/>
      <c r="P161" s="438"/>
      <c r="Q161" s="284"/>
      <c r="R161" s="746"/>
      <c r="S161" s="284"/>
      <c r="T161" s="284"/>
      <c r="U161" s="259"/>
      <c r="V161" s="259"/>
      <c r="W161" s="63"/>
    </row>
    <row r="162" spans="1:23" s="257" customFormat="1" ht="15.75" hidden="1" x14ac:dyDescent="0.25">
      <c r="A162" s="728" t="str">
        <f t="shared" si="15"/>
        <v>Don't Show</v>
      </c>
      <c r="B162" s="677" t="s">
        <v>2572</v>
      </c>
      <c r="C162" s="966" t="str">
        <f>IFERROR(INDEX('PR Expenditure_7A import-export'!A$62:A$108,MATCH($B162,'PR Expenditure_7A import-export'!$N$62:$N$108,0)),"")</f>
        <v/>
      </c>
      <c r="D162" s="1318" t="str">
        <f>IFERROR(INDEX('PR Expenditure_7A import-export'!B$62:B$108,MATCH($B162,'PR Expenditure_7A import-export'!$N$62:$N$108,0)),"")</f>
        <v/>
      </c>
      <c r="E162" s="1313" t="str">
        <f>IFERROR(INDEX('PR Expenditure_7A import-export'!C$62:C$108,MATCH($B162,'PR Expenditure_7A import-export'!$N$62:$N$108,0)),"")</f>
        <v/>
      </c>
      <c r="F162" s="1314"/>
      <c r="G162" s="1313">
        <f t="shared" si="24"/>
        <v>0</v>
      </c>
      <c r="H162" s="1315" t="e">
        <f t="shared" si="25"/>
        <v>#VALUE!</v>
      </c>
      <c r="I162" s="1319"/>
      <c r="J162" s="1312"/>
      <c r="K162" s="1313" t="str">
        <f>IFERROR(INDEX('PR Expenditure_7A import-export'!I$62:I$108,MATCH($B162,'PR Expenditure_7A import-export'!$N$62:$N$108,0)),"")</f>
        <v/>
      </c>
      <c r="L162" s="1314"/>
      <c r="M162" s="1313">
        <f t="shared" si="26"/>
        <v>0</v>
      </c>
      <c r="N162" s="1317" t="e">
        <f t="shared" si="27"/>
        <v>#VALUE!</v>
      </c>
      <c r="O162" s="758"/>
      <c r="P162" s="438"/>
      <c r="Q162" s="284"/>
      <c r="R162" s="746"/>
      <c r="S162" s="284"/>
      <c r="T162" s="284"/>
      <c r="U162" s="259"/>
      <c r="V162" s="259"/>
      <c r="W162" s="63"/>
    </row>
    <row r="163" spans="1:23" s="257" customFormat="1" ht="15.75" hidden="1" x14ac:dyDescent="0.25">
      <c r="A163" s="728" t="str">
        <f t="shared" si="15"/>
        <v>Don't Show</v>
      </c>
      <c r="B163" s="677" t="s">
        <v>2573</v>
      </c>
      <c r="C163" s="966" t="str">
        <f>IFERROR(INDEX('PR Expenditure_7A import-export'!A$62:A$108,MATCH($B163,'PR Expenditure_7A import-export'!$N$62:$N$108,0)),"")</f>
        <v/>
      </c>
      <c r="D163" s="1318" t="str">
        <f>IFERROR(INDEX('PR Expenditure_7A import-export'!B$62:B$108,MATCH($B163,'PR Expenditure_7A import-export'!$N$62:$N$108,0)),"")</f>
        <v/>
      </c>
      <c r="E163" s="1313" t="str">
        <f>IFERROR(INDEX('PR Expenditure_7A import-export'!C$62:C$108,MATCH($B163,'PR Expenditure_7A import-export'!$N$62:$N$108,0)),"")</f>
        <v/>
      </c>
      <c r="F163" s="1314"/>
      <c r="G163" s="1313">
        <f t="shared" si="24"/>
        <v>0</v>
      </c>
      <c r="H163" s="1315" t="e">
        <f t="shared" si="25"/>
        <v>#VALUE!</v>
      </c>
      <c r="I163" s="1319"/>
      <c r="J163" s="1312"/>
      <c r="K163" s="1313" t="str">
        <f>IFERROR(INDEX('PR Expenditure_7A import-export'!I$62:I$108,MATCH($B163,'PR Expenditure_7A import-export'!$N$62:$N$108,0)),"")</f>
        <v/>
      </c>
      <c r="L163" s="1314"/>
      <c r="M163" s="1313">
        <f t="shared" si="26"/>
        <v>0</v>
      </c>
      <c r="N163" s="1317" t="e">
        <f t="shared" si="27"/>
        <v>#VALUE!</v>
      </c>
      <c r="O163" s="758"/>
      <c r="P163" s="438"/>
      <c r="Q163" s="284"/>
      <c r="R163" s="746"/>
      <c r="S163" s="284"/>
      <c r="T163" s="284"/>
      <c r="U163" s="259"/>
      <c r="V163" s="259"/>
      <c r="W163" s="63"/>
    </row>
    <row r="164" spans="1:23" s="257" customFormat="1" ht="15.75" hidden="1" x14ac:dyDescent="0.25">
      <c r="A164" s="728" t="str">
        <f t="shared" si="15"/>
        <v>Don't Show</v>
      </c>
      <c r="B164" s="677" t="s">
        <v>2574</v>
      </c>
      <c r="C164" s="966" t="str">
        <f>IFERROR(INDEX('PR Expenditure_7A import-export'!A$62:A$108,MATCH($B164,'PR Expenditure_7A import-export'!$N$62:$N$108,0)),"")</f>
        <v/>
      </c>
      <c r="D164" s="1318" t="str">
        <f>IFERROR(INDEX('PR Expenditure_7A import-export'!B$62:B$108,MATCH($B164,'PR Expenditure_7A import-export'!$N$62:$N$108,0)),"")</f>
        <v/>
      </c>
      <c r="E164" s="1313" t="str">
        <f>IFERROR(INDEX('PR Expenditure_7A import-export'!C$62:C$108,MATCH($B164,'PR Expenditure_7A import-export'!$N$62:$N$108,0)),"")</f>
        <v/>
      </c>
      <c r="F164" s="1314"/>
      <c r="G164" s="1313">
        <f t="shared" si="24"/>
        <v>0</v>
      </c>
      <c r="H164" s="1315" t="e">
        <f t="shared" si="25"/>
        <v>#VALUE!</v>
      </c>
      <c r="I164" s="1319"/>
      <c r="J164" s="1312"/>
      <c r="K164" s="1313" t="str">
        <f>IFERROR(INDEX('PR Expenditure_7A import-export'!I$62:I$108,MATCH($B164,'PR Expenditure_7A import-export'!$N$62:$N$108,0)),"")</f>
        <v/>
      </c>
      <c r="L164" s="1314"/>
      <c r="M164" s="1313">
        <f t="shared" si="26"/>
        <v>0</v>
      </c>
      <c r="N164" s="1317" t="e">
        <f t="shared" si="27"/>
        <v>#VALUE!</v>
      </c>
      <c r="O164" s="758"/>
      <c r="P164" s="438"/>
      <c r="Q164" s="284"/>
      <c r="R164" s="746"/>
      <c r="S164" s="284"/>
      <c r="T164" s="284"/>
      <c r="U164" s="259"/>
      <c r="V164" s="259"/>
      <c r="W164" s="63"/>
    </row>
    <row r="165" spans="1:23" s="257" customFormat="1" ht="15.75" hidden="1" x14ac:dyDescent="0.25">
      <c r="A165" s="728" t="str">
        <f t="shared" si="15"/>
        <v>Don't Show</v>
      </c>
      <c r="B165" s="677" t="s">
        <v>2575</v>
      </c>
      <c r="C165" s="966" t="str">
        <f>IFERROR(INDEX('PR Expenditure_7A import-export'!A$62:A$108,MATCH($B165,'PR Expenditure_7A import-export'!$N$62:$N$108,0)),"")</f>
        <v/>
      </c>
      <c r="D165" s="1318" t="str">
        <f>IFERROR(INDEX('PR Expenditure_7A import-export'!B$62:B$108,MATCH($B165,'PR Expenditure_7A import-export'!$N$62:$N$108,0)),"")</f>
        <v/>
      </c>
      <c r="E165" s="1313" t="str">
        <f>IFERROR(INDEX('PR Expenditure_7A import-export'!C$62:C$108,MATCH($B165,'PR Expenditure_7A import-export'!$N$62:$N$108,0)),"")</f>
        <v/>
      </c>
      <c r="F165" s="1314"/>
      <c r="G165" s="1313">
        <f t="shared" si="24"/>
        <v>0</v>
      </c>
      <c r="H165" s="1315" t="e">
        <f t="shared" si="25"/>
        <v>#VALUE!</v>
      </c>
      <c r="I165" s="1319"/>
      <c r="J165" s="1312"/>
      <c r="K165" s="1313" t="str">
        <f>IFERROR(INDEX('PR Expenditure_7A import-export'!I$62:I$108,MATCH($B165,'PR Expenditure_7A import-export'!$N$62:$N$108,0)),"")</f>
        <v/>
      </c>
      <c r="L165" s="1314"/>
      <c r="M165" s="1313">
        <f t="shared" si="26"/>
        <v>0</v>
      </c>
      <c r="N165" s="1317" t="e">
        <f t="shared" si="27"/>
        <v>#VALUE!</v>
      </c>
      <c r="O165" s="758"/>
      <c r="P165" s="438"/>
      <c r="Q165" s="284"/>
      <c r="R165" s="746"/>
      <c r="S165" s="284"/>
      <c r="T165" s="284"/>
      <c r="U165" s="259"/>
      <c r="V165" s="259"/>
      <c r="W165" s="63"/>
    </row>
    <row r="166" spans="1:23" s="257" customFormat="1" ht="15.75" hidden="1" x14ac:dyDescent="0.25">
      <c r="A166" s="728" t="str">
        <f t="shared" si="15"/>
        <v>Don't Show</v>
      </c>
      <c r="B166" s="677" t="s">
        <v>2576</v>
      </c>
      <c r="C166" s="966" t="str">
        <f>IFERROR(INDEX('PR Expenditure_7A import-export'!A$62:A$108,MATCH($B166,'PR Expenditure_7A import-export'!$N$62:$N$108,0)),"")</f>
        <v/>
      </c>
      <c r="D166" s="1318" t="str">
        <f>IFERROR(INDEX('PR Expenditure_7A import-export'!B$62:B$108,MATCH($B166,'PR Expenditure_7A import-export'!$N$62:$N$108,0)),"")</f>
        <v/>
      </c>
      <c r="E166" s="1313" t="str">
        <f>IFERROR(INDEX('PR Expenditure_7A import-export'!C$62:C$108,MATCH($B166,'PR Expenditure_7A import-export'!$N$62:$N$108,0)),"")</f>
        <v/>
      </c>
      <c r="F166" s="1314"/>
      <c r="G166" s="1313">
        <f t="shared" si="24"/>
        <v>0</v>
      </c>
      <c r="H166" s="1315" t="e">
        <f t="shared" si="25"/>
        <v>#VALUE!</v>
      </c>
      <c r="I166" s="1319"/>
      <c r="J166" s="1312"/>
      <c r="K166" s="1313" t="str">
        <f>IFERROR(INDEX('PR Expenditure_7A import-export'!I$62:I$108,MATCH($B166,'PR Expenditure_7A import-export'!$N$62:$N$108,0)),"")</f>
        <v/>
      </c>
      <c r="L166" s="1314"/>
      <c r="M166" s="1313">
        <f t="shared" si="26"/>
        <v>0</v>
      </c>
      <c r="N166" s="1317" t="e">
        <f t="shared" si="27"/>
        <v>#VALUE!</v>
      </c>
      <c r="O166" s="758"/>
      <c r="P166" s="438"/>
      <c r="Q166" s="284"/>
      <c r="R166" s="746"/>
      <c r="S166" s="284"/>
      <c r="T166" s="284"/>
      <c r="U166" s="259"/>
      <c r="V166" s="259"/>
      <c r="W166" s="63"/>
    </row>
    <row r="167" spans="1:23" s="257" customFormat="1" ht="15.75" hidden="1" x14ac:dyDescent="0.25">
      <c r="A167" s="728" t="str">
        <f t="shared" si="15"/>
        <v>Don't Show</v>
      </c>
      <c r="B167" s="677" t="s">
        <v>2577</v>
      </c>
      <c r="C167" s="966" t="str">
        <f>IFERROR(INDEX('PR Expenditure_7A import-export'!A$62:A$108,MATCH($B167,'PR Expenditure_7A import-export'!$N$62:$N$108,0)),"")</f>
        <v/>
      </c>
      <c r="D167" s="1318" t="str">
        <f>IFERROR(INDEX('PR Expenditure_7A import-export'!B$62:B$108,MATCH($B167,'PR Expenditure_7A import-export'!$N$62:$N$108,0)),"")</f>
        <v/>
      </c>
      <c r="E167" s="1313" t="str">
        <f>IFERROR(INDEX('PR Expenditure_7A import-export'!C$62:C$108,MATCH($B167,'PR Expenditure_7A import-export'!$N$62:$N$108,0)),"")</f>
        <v/>
      </c>
      <c r="F167" s="1314"/>
      <c r="G167" s="1313">
        <f t="shared" si="24"/>
        <v>0</v>
      </c>
      <c r="H167" s="1315" t="e">
        <f t="shared" si="25"/>
        <v>#VALUE!</v>
      </c>
      <c r="I167" s="1319"/>
      <c r="J167" s="1312"/>
      <c r="K167" s="1313" t="str">
        <f>IFERROR(INDEX('PR Expenditure_7A import-export'!I$62:I$108,MATCH($B167,'PR Expenditure_7A import-export'!$N$62:$N$108,0)),"")</f>
        <v/>
      </c>
      <c r="L167" s="1314"/>
      <c r="M167" s="1313">
        <f t="shared" si="26"/>
        <v>0</v>
      </c>
      <c r="N167" s="1317" t="e">
        <f t="shared" si="27"/>
        <v>#VALUE!</v>
      </c>
      <c r="O167" s="758"/>
      <c r="P167" s="438"/>
      <c r="Q167" s="284"/>
      <c r="R167" s="746"/>
      <c r="S167" s="284"/>
      <c r="T167" s="284"/>
      <c r="U167" s="259"/>
      <c r="V167" s="259"/>
      <c r="W167" s="63"/>
    </row>
    <row r="168" spans="1:23" s="257" customFormat="1" ht="15.75" hidden="1" x14ac:dyDescent="0.25">
      <c r="A168" s="728" t="str">
        <f t="shared" si="15"/>
        <v>Don't Show</v>
      </c>
      <c r="B168" s="677" t="s">
        <v>2578</v>
      </c>
      <c r="C168" s="966" t="str">
        <f>IFERROR(INDEX('PR Expenditure_7A import-export'!A$62:A$108,MATCH($B168,'PR Expenditure_7A import-export'!$N$62:$N$108,0)),"")</f>
        <v/>
      </c>
      <c r="D168" s="1318" t="str">
        <f>IFERROR(INDEX('PR Expenditure_7A import-export'!B$62:B$108,MATCH($B168,'PR Expenditure_7A import-export'!$N$62:$N$108,0)),"")</f>
        <v/>
      </c>
      <c r="E168" s="1313" t="str">
        <f>IFERROR(INDEX('PR Expenditure_7A import-export'!C$62:C$108,MATCH($B168,'PR Expenditure_7A import-export'!$N$62:$N$108,0)),"")</f>
        <v/>
      </c>
      <c r="F168" s="1314"/>
      <c r="G168" s="1313">
        <f t="shared" si="24"/>
        <v>0</v>
      </c>
      <c r="H168" s="1315" t="e">
        <f t="shared" si="25"/>
        <v>#VALUE!</v>
      </c>
      <c r="I168" s="1319"/>
      <c r="J168" s="1312"/>
      <c r="K168" s="1313" t="str">
        <f>IFERROR(INDEX('PR Expenditure_7A import-export'!I$62:I$108,MATCH($B168,'PR Expenditure_7A import-export'!$N$62:$N$108,0)),"")</f>
        <v/>
      </c>
      <c r="L168" s="1314"/>
      <c r="M168" s="1313">
        <f t="shared" si="26"/>
        <v>0</v>
      </c>
      <c r="N168" s="1317" t="e">
        <f t="shared" si="27"/>
        <v>#VALUE!</v>
      </c>
      <c r="O168" s="758"/>
      <c r="P168" s="438"/>
      <c r="Q168" s="284"/>
      <c r="R168" s="746"/>
      <c r="S168" s="284"/>
      <c r="T168" s="284"/>
      <c r="U168" s="259"/>
      <c r="V168" s="259"/>
      <c r="W168" s="63"/>
    </row>
    <row r="169" spans="1:23" s="257" customFormat="1" ht="15.75" hidden="1" x14ac:dyDescent="0.25">
      <c r="A169" s="728" t="str">
        <f t="shared" si="15"/>
        <v>Don't Show</v>
      </c>
      <c r="B169" s="677" t="s">
        <v>2579</v>
      </c>
      <c r="C169" s="966" t="str">
        <f>IFERROR(INDEX('PR Expenditure_7A import-export'!A$62:A$108,MATCH($B169,'PR Expenditure_7A import-export'!$N$62:$N$108,0)),"")</f>
        <v/>
      </c>
      <c r="D169" s="1318" t="str">
        <f>IFERROR(INDEX('PR Expenditure_7A import-export'!B$62:B$108,MATCH($B169,'PR Expenditure_7A import-export'!$N$62:$N$108,0)),"")</f>
        <v/>
      </c>
      <c r="E169" s="1313" t="str">
        <f>IFERROR(INDEX('PR Expenditure_7A import-export'!C$62:C$108,MATCH($B169,'PR Expenditure_7A import-export'!$N$62:$N$108,0)),"")</f>
        <v/>
      </c>
      <c r="F169" s="1314"/>
      <c r="G169" s="1313">
        <f t="shared" si="24"/>
        <v>0</v>
      </c>
      <c r="H169" s="1315" t="e">
        <f t="shared" si="25"/>
        <v>#VALUE!</v>
      </c>
      <c r="I169" s="1319"/>
      <c r="J169" s="1312"/>
      <c r="K169" s="1313" t="str">
        <f>IFERROR(INDEX('PR Expenditure_7A import-export'!I$62:I$108,MATCH($B169,'PR Expenditure_7A import-export'!$N$62:$N$108,0)),"")</f>
        <v/>
      </c>
      <c r="L169" s="1314"/>
      <c r="M169" s="1313">
        <f t="shared" si="26"/>
        <v>0</v>
      </c>
      <c r="N169" s="1317" t="e">
        <f t="shared" si="27"/>
        <v>#VALUE!</v>
      </c>
      <c r="O169" s="758"/>
      <c r="P169" s="438"/>
      <c r="Q169" s="284"/>
      <c r="R169" s="746"/>
      <c r="S169" s="284"/>
      <c r="T169" s="284"/>
      <c r="U169" s="259"/>
      <c r="V169" s="259"/>
      <c r="W169" s="63"/>
    </row>
    <row r="170" spans="1:23" s="257" customFormat="1" ht="15.75" hidden="1" x14ac:dyDescent="0.25">
      <c r="A170" s="728" t="str">
        <f t="shared" si="15"/>
        <v>Don't Show</v>
      </c>
      <c r="B170" s="677" t="s">
        <v>2580</v>
      </c>
      <c r="C170" s="966" t="str">
        <f>IFERROR(INDEX('PR Expenditure_7A import-export'!A$62:A$108,MATCH($B170,'PR Expenditure_7A import-export'!$N$62:$N$108,0)),"")</f>
        <v/>
      </c>
      <c r="D170" s="1318" t="str">
        <f>IFERROR(INDEX('PR Expenditure_7A import-export'!B$62:B$108,MATCH($B170,'PR Expenditure_7A import-export'!$N$62:$N$108,0)),"")</f>
        <v/>
      </c>
      <c r="E170" s="1313" t="str">
        <f>IFERROR(INDEX('PR Expenditure_7A import-export'!C$62:C$108,MATCH($B170,'PR Expenditure_7A import-export'!$N$62:$N$108,0)),"")</f>
        <v/>
      </c>
      <c r="F170" s="1314"/>
      <c r="G170" s="1313">
        <f t="shared" si="24"/>
        <v>0</v>
      </c>
      <c r="H170" s="1315" t="e">
        <f t="shared" si="25"/>
        <v>#VALUE!</v>
      </c>
      <c r="I170" s="1319"/>
      <c r="J170" s="1312"/>
      <c r="K170" s="1313" t="str">
        <f>IFERROR(INDEX('PR Expenditure_7A import-export'!I$62:I$108,MATCH($B170,'PR Expenditure_7A import-export'!$N$62:$N$108,0)),"")</f>
        <v/>
      </c>
      <c r="L170" s="1314"/>
      <c r="M170" s="1313">
        <f t="shared" si="26"/>
        <v>0</v>
      </c>
      <c r="N170" s="1317" t="e">
        <f t="shared" si="27"/>
        <v>#VALUE!</v>
      </c>
      <c r="O170" s="758"/>
      <c r="P170" s="438"/>
      <c r="Q170" s="284"/>
      <c r="R170" s="746"/>
      <c r="S170" s="284"/>
      <c r="T170" s="284"/>
      <c r="U170" s="259"/>
      <c r="V170" s="259"/>
      <c r="W170" s="63"/>
    </row>
    <row r="171" spans="1:23" s="257" customFormat="1" ht="15.75" hidden="1" x14ac:dyDescent="0.25">
      <c r="A171" s="728" t="str">
        <f t="shared" si="15"/>
        <v>Don't Show</v>
      </c>
      <c r="B171" s="677" t="s">
        <v>2581</v>
      </c>
      <c r="C171" s="966" t="str">
        <f>IFERROR(INDEX('PR Expenditure_7A import-export'!A$62:A$108,MATCH($B171,'PR Expenditure_7A import-export'!$N$62:$N$108,0)),"")</f>
        <v/>
      </c>
      <c r="D171" s="1318" t="str">
        <f>IFERROR(INDEX('PR Expenditure_7A import-export'!B$62:B$108,MATCH($B171,'PR Expenditure_7A import-export'!$N$62:$N$108,0)),"")</f>
        <v/>
      </c>
      <c r="E171" s="1313" t="str">
        <f>IFERROR(INDEX('PR Expenditure_7A import-export'!C$62:C$108,MATCH($B171,'PR Expenditure_7A import-export'!$N$62:$N$108,0)),"")</f>
        <v/>
      </c>
      <c r="F171" s="1314"/>
      <c r="G171" s="1313">
        <f t="shared" si="24"/>
        <v>0</v>
      </c>
      <c r="H171" s="1315" t="e">
        <f t="shared" si="25"/>
        <v>#VALUE!</v>
      </c>
      <c r="I171" s="1319"/>
      <c r="J171" s="1312"/>
      <c r="K171" s="1313" t="str">
        <f>IFERROR(INDEX('PR Expenditure_7A import-export'!I$62:I$108,MATCH($B171,'PR Expenditure_7A import-export'!$N$62:$N$108,0)),"")</f>
        <v/>
      </c>
      <c r="L171" s="1314"/>
      <c r="M171" s="1313">
        <f t="shared" si="26"/>
        <v>0</v>
      </c>
      <c r="N171" s="1317" t="e">
        <f t="shared" si="27"/>
        <v>#VALUE!</v>
      </c>
      <c r="O171" s="758"/>
      <c r="P171" s="438"/>
      <c r="Q171" s="284"/>
      <c r="R171" s="746"/>
      <c r="S171" s="284"/>
      <c r="T171" s="284"/>
      <c r="U171" s="259"/>
      <c r="V171" s="259"/>
      <c r="W171" s="63"/>
    </row>
    <row r="172" spans="1:23" s="257" customFormat="1" ht="15.75" hidden="1" x14ac:dyDescent="0.25">
      <c r="A172" s="728" t="str">
        <f t="shared" si="15"/>
        <v>Don't Show</v>
      </c>
      <c r="B172" s="677" t="s">
        <v>2582</v>
      </c>
      <c r="C172" s="966" t="str">
        <f>IFERROR(INDEX('PR Expenditure_7A import-export'!A$62:A$108,MATCH($B172,'PR Expenditure_7A import-export'!$N$62:$N$108,0)),"")</f>
        <v/>
      </c>
      <c r="D172" s="1318" t="str">
        <f>IFERROR(INDEX('PR Expenditure_7A import-export'!B$62:B$108,MATCH($B172,'PR Expenditure_7A import-export'!$N$62:$N$108,0)),"")</f>
        <v/>
      </c>
      <c r="E172" s="1313" t="str">
        <f>IFERROR(INDEX('PR Expenditure_7A import-export'!C$62:C$108,MATCH($B172,'PR Expenditure_7A import-export'!$N$62:$N$108,0)),"")</f>
        <v/>
      </c>
      <c r="F172" s="1314"/>
      <c r="G172" s="1313">
        <f t="shared" si="24"/>
        <v>0</v>
      </c>
      <c r="H172" s="1315" t="e">
        <f t="shared" si="25"/>
        <v>#VALUE!</v>
      </c>
      <c r="I172" s="1319"/>
      <c r="J172" s="1312"/>
      <c r="K172" s="1313" t="str">
        <f>IFERROR(INDEX('PR Expenditure_7A import-export'!I$62:I$108,MATCH($B172,'PR Expenditure_7A import-export'!$N$62:$N$108,0)),"")</f>
        <v/>
      </c>
      <c r="L172" s="1314"/>
      <c r="M172" s="1313">
        <f t="shared" si="26"/>
        <v>0</v>
      </c>
      <c r="N172" s="1317" t="e">
        <f t="shared" si="27"/>
        <v>#VALUE!</v>
      </c>
      <c r="O172" s="758"/>
      <c r="P172" s="438"/>
      <c r="Q172" s="284"/>
      <c r="R172" s="746"/>
      <c r="S172" s="284"/>
      <c r="T172" s="284"/>
      <c r="U172" s="259"/>
      <c r="V172" s="259"/>
      <c r="W172" s="63"/>
    </row>
    <row r="173" spans="1:23" s="257" customFormat="1" ht="15.75" hidden="1" x14ac:dyDescent="0.25">
      <c r="A173" s="728" t="str">
        <f t="shared" si="15"/>
        <v>Don't Show</v>
      </c>
      <c r="B173" s="677" t="s">
        <v>2583</v>
      </c>
      <c r="C173" s="966" t="str">
        <f>IFERROR(INDEX('PR Expenditure_7A import-export'!A$62:A$108,MATCH($B173,'PR Expenditure_7A import-export'!$N$62:$N$108,0)),"")</f>
        <v/>
      </c>
      <c r="D173" s="1318" t="str">
        <f>IFERROR(INDEX('PR Expenditure_7A import-export'!B$62:B$108,MATCH($B173,'PR Expenditure_7A import-export'!$N$62:$N$108,0)),"")</f>
        <v/>
      </c>
      <c r="E173" s="1313" t="str">
        <f>IFERROR(INDEX('PR Expenditure_7A import-export'!C$62:C$108,MATCH($B173,'PR Expenditure_7A import-export'!$N$62:$N$108,0)),"")</f>
        <v/>
      </c>
      <c r="F173" s="1314"/>
      <c r="G173" s="1313">
        <f t="shared" si="24"/>
        <v>0</v>
      </c>
      <c r="H173" s="1315" t="e">
        <f t="shared" si="25"/>
        <v>#VALUE!</v>
      </c>
      <c r="I173" s="1319"/>
      <c r="J173" s="1312"/>
      <c r="K173" s="1313" t="str">
        <f>IFERROR(INDEX('PR Expenditure_7A import-export'!I$62:I$108,MATCH($B173,'PR Expenditure_7A import-export'!$N$62:$N$108,0)),"")</f>
        <v/>
      </c>
      <c r="L173" s="1314"/>
      <c r="M173" s="1313">
        <f t="shared" si="26"/>
        <v>0</v>
      </c>
      <c r="N173" s="1317" t="e">
        <f t="shared" si="27"/>
        <v>#VALUE!</v>
      </c>
      <c r="O173" s="758"/>
      <c r="P173" s="438"/>
      <c r="Q173" s="284"/>
      <c r="R173" s="746"/>
      <c r="S173" s="284"/>
      <c r="T173" s="284"/>
      <c r="U173" s="259"/>
      <c r="V173" s="259"/>
      <c r="W173" s="63"/>
    </row>
    <row r="174" spans="1:23" s="257" customFormat="1" ht="15.75" hidden="1" x14ac:dyDescent="0.25">
      <c r="A174" s="728" t="str">
        <f t="shared" si="15"/>
        <v>Don't Show</v>
      </c>
      <c r="B174" s="677" t="s">
        <v>2584</v>
      </c>
      <c r="C174" s="966" t="str">
        <f>IFERROR(INDEX('PR Expenditure_7A import-export'!A$62:A$108,MATCH($B174,'PR Expenditure_7A import-export'!$N$62:$N$108,0)),"")</f>
        <v/>
      </c>
      <c r="D174" s="1318" t="str">
        <f>IFERROR(INDEX('PR Expenditure_7A import-export'!B$62:B$108,MATCH($B174,'PR Expenditure_7A import-export'!$N$62:$N$108,0)),"")</f>
        <v/>
      </c>
      <c r="E174" s="1313" t="str">
        <f>IFERROR(INDEX('PR Expenditure_7A import-export'!C$62:C$108,MATCH($B174,'PR Expenditure_7A import-export'!$N$62:$N$108,0)),"")</f>
        <v/>
      </c>
      <c r="F174" s="1314"/>
      <c r="G174" s="1313">
        <f t="shared" si="24"/>
        <v>0</v>
      </c>
      <c r="H174" s="1315" t="e">
        <f t="shared" si="25"/>
        <v>#VALUE!</v>
      </c>
      <c r="I174" s="1319"/>
      <c r="J174" s="1312"/>
      <c r="K174" s="1313" t="str">
        <f>IFERROR(INDEX('PR Expenditure_7A import-export'!I$62:I$108,MATCH($B174,'PR Expenditure_7A import-export'!$N$62:$N$108,0)),"")</f>
        <v/>
      </c>
      <c r="L174" s="1314"/>
      <c r="M174" s="1313">
        <f t="shared" si="26"/>
        <v>0</v>
      </c>
      <c r="N174" s="1317" t="e">
        <f t="shared" si="27"/>
        <v>#VALUE!</v>
      </c>
      <c r="O174" s="758"/>
      <c r="P174" s="438"/>
      <c r="Q174" s="284"/>
      <c r="R174" s="746"/>
      <c r="S174" s="284"/>
      <c r="T174" s="284"/>
      <c r="U174" s="259"/>
      <c r="V174" s="259"/>
      <c r="W174" s="63"/>
    </row>
    <row r="175" spans="1:23" s="257" customFormat="1" ht="15.75" hidden="1" x14ac:dyDescent="0.25">
      <c r="A175" s="728" t="str">
        <f t="shared" si="15"/>
        <v>Don't Show</v>
      </c>
      <c r="B175" s="677" t="s">
        <v>2585</v>
      </c>
      <c r="C175" s="966" t="str">
        <f>IFERROR(INDEX('PR Expenditure_7A import-export'!A$62:A$108,MATCH($B175,'PR Expenditure_7A import-export'!$N$62:$N$108,0)),"")</f>
        <v/>
      </c>
      <c r="D175" s="1318" t="str">
        <f>IFERROR(INDEX('PR Expenditure_7A import-export'!B$62:B$108,MATCH($B175,'PR Expenditure_7A import-export'!$N$62:$N$108,0)),"")</f>
        <v/>
      </c>
      <c r="E175" s="1313" t="str">
        <f>IFERROR(INDEX('PR Expenditure_7A import-export'!C$62:C$108,MATCH($B175,'PR Expenditure_7A import-export'!$N$62:$N$108,0)),"")</f>
        <v/>
      </c>
      <c r="F175" s="1314"/>
      <c r="G175" s="1313">
        <f t="shared" si="24"/>
        <v>0</v>
      </c>
      <c r="H175" s="1315" t="e">
        <f t="shared" si="25"/>
        <v>#VALUE!</v>
      </c>
      <c r="I175" s="1319"/>
      <c r="J175" s="1312"/>
      <c r="K175" s="1313" t="str">
        <f>IFERROR(INDEX('PR Expenditure_7A import-export'!I$62:I$108,MATCH($B175,'PR Expenditure_7A import-export'!$N$62:$N$108,0)),"")</f>
        <v/>
      </c>
      <c r="L175" s="1314"/>
      <c r="M175" s="1313">
        <f t="shared" si="26"/>
        <v>0</v>
      </c>
      <c r="N175" s="1317" t="e">
        <f t="shared" si="27"/>
        <v>#VALUE!</v>
      </c>
      <c r="O175" s="758"/>
      <c r="P175" s="438"/>
      <c r="Q175" s="284"/>
      <c r="R175" s="746"/>
      <c r="S175" s="284"/>
      <c r="T175" s="284"/>
      <c r="U175" s="259"/>
      <c r="V175" s="259"/>
      <c r="W175" s="63"/>
    </row>
    <row r="176" spans="1:23" s="257" customFormat="1" ht="15.75" hidden="1" x14ac:dyDescent="0.25">
      <c r="A176" s="728" t="str">
        <f t="shared" si="15"/>
        <v>Don't Show</v>
      </c>
      <c r="B176" s="677" t="s">
        <v>2586</v>
      </c>
      <c r="C176" s="966" t="str">
        <f>IFERROR(INDEX('PR Expenditure_7A import-export'!A$62:A$108,MATCH($B176,'PR Expenditure_7A import-export'!$N$62:$N$108,0)),"")</f>
        <v/>
      </c>
      <c r="D176" s="1318" t="str">
        <f>IFERROR(INDEX('PR Expenditure_7A import-export'!B$62:B$108,MATCH($B176,'PR Expenditure_7A import-export'!$N$62:$N$108,0)),"")</f>
        <v/>
      </c>
      <c r="E176" s="1313" t="str">
        <f>IFERROR(INDEX('PR Expenditure_7A import-export'!C$62:C$108,MATCH($B176,'PR Expenditure_7A import-export'!$N$62:$N$108,0)),"")</f>
        <v/>
      </c>
      <c r="F176" s="1314"/>
      <c r="G176" s="1313">
        <f t="shared" si="24"/>
        <v>0</v>
      </c>
      <c r="H176" s="1315" t="e">
        <f t="shared" si="25"/>
        <v>#VALUE!</v>
      </c>
      <c r="I176" s="1319"/>
      <c r="J176" s="1312"/>
      <c r="K176" s="1313" t="str">
        <f>IFERROR(INDEX('PR Expenditure_7A import-export'!I$62:I$108,MATCH($B176,'PR Expenditure_7A import-export'!$N$62:$N$108,0)),"")</f>
        <v/>
      </c>
      <c r="L176" s="1314"/>
      <c r="M176" s="1313">
        <f t="shared" si="26"/>
        <v>0</v>
      </c>
      <c r="N176" s="1317" t="e">
        <f t="shared" si="27"/>
        <v>#VALUE!</v>
      </c>
      <c r="O176" s="758"/>
      <c r="P176" s="438"/>
      <c r="Q176" s="284"/>
      <c r="R176" s="746"/>
      <c r="S176" s="284"/>
      <c r="T176" s="284"/>
      <c r="U176" s="259"/>
      <c r="V176" s="259"/>
      <c r="W176" s="63"/>
    </row>
    <row r="177" spans="1:23" s="257" customFormat="1" ht="15.75" hidden="1" x14ac:dyDescent="0.25">
      <c r="A177" s="728" t="str">
        <f t="shared" si="15"/>
        <v>Don't Show</v>
      </c>
      <c r="B177" s="677" t="s">
        <v>2587</v>
      </c>
      <c r="C177" s="966" t="str">
        <f>IFERROR(INDEX('PR Expenditure_7A import-export'!A$62:A$108,MATCH($B177,'PR Expenditure_7A import-export'!$N$62:$N$108,0)),"")</f>
        <v/>
      </c>
      <c r="D177" s="1318" t="str">
        <f>IFERROR(INDEX('PR Expenditure_7A import-export'!B$62:B$108,MATCH($B177,'PR Expenditure_7A import-export'!$N$62:$N$108,0)),"")</f>
        <v/>
      </c>
      <c r="E177" s="1313" t="str">
        <f>IFERROR(INDEX('PR Expenditure_7A import-export'!C$62:C$108,MATCH($B177,'PR Expenditure_7A import-export'!$N$62:$N$108,0)),"")</f>
        <v/>
      </c>
      <c r="F177" s="1314"/>
      <c r="G177" s="1313">
        <f t="shared" si="24"/>
        <v>0</v>
      </c>
      <c r="H177" s="1315" t="e">
        <f t="shared" si="25"/>
        <v>#VALUE!</v>
      </c>
      <c r="I177" s="1319"/>
      <c r="J177" s="1312"/>
      <c r="K177" s="1313" t="str">
        <f>IFERROR(INDEX('PR Expenditure_7A import-export'!I$62:I$108,MATCH($B177,'PR Expenditure_7A import-export'!$N$62:$N$108,0)),"")</f>
        <v/>
      </c>
      <c r="L177" s="1314"/>
      <c r="M177" s="1313">
        <f t="shared" si="26"/>
        <v>0</v>
      </c>
      <c r="N177" s="1317" t="e">
        <f t="shared" si="27"/>
        <v>#VALUE!</v>
      </c>
      <c r="O177" s="758"/>
      <c r="P177" s="438"/>
      <c r="Q177" s="284"/>
      <c r="R177" s="746"/>
      <c r="S177" s="284"/>
      <c r="T177" s="284"/>
      <c r="U177" s="259"/>
      <c r="V177" s="259"/>
      <c r="W177" s="63"/>
    </row>
    <row r="178" spans="1:23" s="257" customFormat="1" ht="15.75" hidden="1" x14ac:dyDescent="0.25">
      <c r="A178" s="728" t="str">
        <f t="shared" si="15"/>
        <v>Don't Show</v>
      </c>
      <c r="B178" s="677" t="s">
        <v>2588</v>
      </c>
      <c r="C178" s="966" t="str">
        <f>IFERROR(INDEX('PR Expenditure_7A import-export'!A$62:A$108,MATCH($B178,'PR Expenditure_7A import-export'!$N$62:$N$108,0)),"")</f>
        <v/>
      </c>
      <c r="D178" s="1318" t="str">
        <f>IFERROR(INDEX('PR Expenditure_7A import-export'!B$62:B$108,MATCH($B178,'PR Expenditure_7A import-export'!$N$62:$N$108,0)),"")</f>
        <v/>
      </c>
      <c r="E178" s="1313" t="str">
        <f>IFERROR(INDEX('PR Expenditure_7A import-export'!C$62:C$108,MATCH($B178,'PR Expenditure_7A import-export'!$N$62:$N$108,0)),"")</f>
        <v/>
      </c>
      <c r="F178" s="1314"/>
      <c r="G178" s="1313">
        <f t="shared" si="24"/>
        <v>0</v>
      </c>
      <c r="H178" s="1315" t="e">
        <f t="shared" si="25"/>
        <v>#VALUE!</v>
      </c>
      <c r="I178" s="1319"/>
      <c r="J178" s="1312"/>
      <c r="K178" s="1313" t="str">
        <f>IFERROR(INDEX('PR Expenditure_7A import-export'!I$62:I$108,MATCH($B178,'PR Expenditure_7A import-export'!$N$62:$N$108,0)),"")</f>
        <v/>
      </c>
      <c r="L178" s="1314"/>
      <c r="M178" s="1313">
        <f t="shared" si="26"/>
        <v>0</v>
      </c>
      <c r="N178" s="1317" t="e">
        <f t="shared" si="27"/>
        <v>#VALUE!</v>
      </c>
      <c r="O178" s="758"/>
      <c r="P178" s="438"/>
      <c r="Q178" s="284"/>
      <c r="R178" s="746"/>
      <c r="S178" s="284"/>
      <c r="T178" s="284"/>
      <c r="U178" s="259"/>
      <c r="V178" s="259"/>
      <c r="W178" s="63"/>
    </row>
    <row r="179" spans="1:23" s="257" customFormat="1" ht="15.75" hidden="1" x14ac:dyDescent="0.25">
      <c r="A179" s="728" t="str">
        <f t="shared" si="15"/>
        <v>Don't Show</v>
      </c>
      <c r="B179" s="677" t="s">
        <v>2589</v>
      </c>
      <c r="C179" s="966" t="str">
        <f>IFERROR(INDEX('PR Expenditure_7A import-export'!A$62:A$108,MATCH($B179,'PR Expenditure_7A import-export'!$N$62:$N$108,0)),"")</f>
        <v/>
      </c>
      <c r="D179" s="1318" t="str">
        <f>IFERROR(INDEX('PR Expenditure_7A import-export'!B$62:B$108,MATCH($B179,'PR Expenditure_7A import-export'!$N$62:$N$108,0)),"")</f>
        <v/>
      </c>
      <c r="E179" s="1313" t="str">
        <f>IFERROR(INDEX('PR Expenditure_7A import-export'!C$62:C$108,MATCH($B179,'PR Expenditure_7A import-export'!$N$62:$N$108,0)),"")</f>
        <v/>
      </c>
      <c r="F179" s="1314"/>
      <c r="G179" s="1313">
        <f t="shared" si="24"/>
        <v>0</v>
      </c>
      <c r="H179" s="1315" t="e">
        <f t="shared" si="25"/>
        <v>#VALUE!</v>
      </c>
      <c r="I179" s="1319"/>
      <c r="J179" s="1312"/>
      <c r="K179" s="1313" t="str">
        <f>IFERROR(INDEX('PR Expenditure_7A import-export'!I$62:I$108,MATCH($B179,'PR Expenditure_7A import-export'!$N$62:$N$108,0)),"")</f>
        <v/>
      </c>
      <c r="L179" s="1314"/>
      <c r="M179" s="1313">
        <f t="shared" si="26"/>
        <v>0</v>
      </c>
      <c r="N179" s="1317" t="e">
        <f t="shared" si="27"/>
        <v>#VALUE!</v>
      </c>
      <c r="O179" s="758"/>
      <c r="P179" s="438"/>
      <c r="Q179" s="284"/>
      <c r="R179" s="746"/>
      <c r="S179" s="284"/>
      <c r="T179" s="284"/>
      <c r="U179" s="259"/>
      <c r="V179" s="259"/>
      <c r="W179" s="63"/>
    </row>
    <row r="180" spans="1:23" s="257" customFormat="1" ht="15.75" hidden="1" x14ac:dyDescent="0.25">
      <c r="A180" s="728" t="str">
        <f t="shared" si="15"/>
        <v>Don't Show</v>
      </c>
      <c r="B180" s="677" t="s">
        <v>2590</v>
      </c>
      <c r="C180" s="966" t="str">
        <f>IFERROR(INDEX('PR Expenditure_7A import-export'!A$62:A$108,MATCH($B180,'PR Expenditure_7A import-export'!$N$62:$N$108,0)),"")</f>
        <v/>
      </c>
      <c r="D180" s="1318" t="str">
        <f>IFERROR(INDEX('PR Expenditure_7A import-export'!B$62:B$108,MATCH($B180,'PR Expenditure_7A import-export'!$N$62:$N$108,0)),"")</f>
        <v/>
      </c>
      <c r="E180" s="1313" t="str">
        <f>IFERROR(INDEX('PR Expenditure_7A import-export'!C$62:C$108,MATCH($B180,'PR Expenditure_7A import-export'!$N$62:$N$108,0)),"")</f>
        <v/>
      </c>
      <c r="F180" s="1314"/>
      <c r="G180" s="1313">
        <f t="shared" si="24"/>
        <v>0</v>
      </c>
      <c r="H180" s="1315" t="e">
        <f t="shared" si="25"/>
        <v>#VALUE!</v>
      </c>
      <c r="I180" s="1319"/>
      <c r="J180" s="1312"/>
      <c r="K180" s="1313" t="str">
        <f>IFERROR(INDEX('PR Expenditure_7A import-export'!I$62:I$108,MATCH($B180,'PR Expenditure_7A import-export'!$N$62:$N$108,0)),"")</f>
        <v/>
      </c>
      <c r="L180" s="1314"/>
      <c r="M180" s="1313">
        <f t="shared" si="26"/>
        <v>0</v>
      </c>
      <c r="N180" s="1317" t="e">
        <f t="shared" si="27"/>
        <v>#VALUE!</v>
      </c>
      <c r="O180" s="758"/>
      <c r="P180" s="438"/>
      <c r="Q180" s="284"/>
      <c r="R180" s="746"/>
      <c r="S180" s="284"/>
      <c r="T180" s="284"/>
      <c r="U180" s="259"/>
      <c r="V180" s="259"/>
      <c r="W180" s="63"/>
    </row>
    <row r="181" spans="1:23" s="257" customFormat="1" ht="15.75" hidden="1" x14ac:dyDescent="0.25">
      <c r="A181" s="728" t="str">
        <f t="shared" si="15"/>
        <v>Don't Show</v>
      </c>
      <c r="B181" s="677" t="s">
        <v>2591</v>
      </c>
      <c r="C181" s="966" t="str">
        <f>IFERROR(INDEX('PR Expenditure_7A import-export'!A$62:A$108,MATCH($B181,'PR Expenditure_7A import-export'!$N$62:$N$108,0)),"")</f>
        <v/>
      </c>
      <c r="D181" s="1318" t="str">
        <f>IFERROR(INDEX('PR Expenditure_7A import-export'!B$62:B$108,MATCH($B181,'PR Expenditure_7A import-export'!$N$62:$N$108,0)),"")</f>
        <v/>
      </c>
      <c r="E181" s="1313" t="str">
        <f>IFERROR(INDEX('PR Expenditure_7A import-export'!C$62:C$108,MATCH($B181,'PR Expenditure_7A import-export'!$N$62:$N$108,0)),"")</f>
        <v/>
      </c>
      <c r="F181" s="1314"/>
      <c r="G181" s="1313">
        <f t="shared" si="24"/>
        <v>0</v>
      </c>
      <c r="H181" s="1315" t="e">
        <f t="shared" si="25"/>
        <v>#VALUE!</v>
      </c>
      <c r="I181" s="1319"/>
      <c r="J181" s="1312"/>
      <c r="K181" s="1313" t="str">
        <f>IFERROR(INDEX('PR Expenditure_7A import-export'!I$62:I$108,MATCH($B181,'PR Expenditure_7A import-export'!$N$62:$N$108,0)),"")</f>
        <v/>
      </c>
      <c r="L181" s="1314"/>
      <c r="M181" s="1313">
        <f t="shared" si="26"/>
        <v>0</v>
      </c>
      <c r="N181" s="1317" t="e">
        <f t="shared" si="27"/>
        <v>#VALUE!</v>
      </c>
      <c r="O181" s="758"/>
      <c r="P181" s="438"/>
      <c r="Q181" s="284"/>
      <c r="R181" s="746"/>
      <c r="S181" s="284"/>
      <c r="T181" s="284"/>
      <c r="U181" s="259"/>
      <c r="V181" s="259"/>
      <c r="W181" s="63"/>
    </row>
    <row r="182" spans="1:23" s="257" customFormat="1" ht="15.75" hidden="1" x14ac:dyDescent="0.25">
      <c r="A182" s="728" t="str">
        <f t="shared" si="15"/>
        <v>Don't Show</v>
      </c>
      <c r="B182" s="677" t="s">
        <v>2592</v>
      </c>
      <c r="C182" s="966" t="str">
        <f>IFERROR(INDEX('PR Expenditure_7A import-export'!A$62:A$108,MATCH($B182,'PR Expenditure_7A import-export'!$N$62:$N$108,0)),"")</f>
        <v/>
      </c>
      <c r="D182" s="1318" t="str">
        <f>IFERROR(INDEX('PR Expenditure_7A import-export'!B$62:B$108,MATCH($B182,'PR Expenditure_7A import-export'!$N$62:$N$108,0)),"")</f>
        <v/>
      </c>
      <c r="E182" s="1313" t="str">
        <f>IFERROR(INDEX('PR Expenditure_7A import-export'!C$62:C$108,MATCH($B182,'PR Expenditure_7A import-export'!$N$62:$N$108,0)),"")</f>
        <v/>
      </c>
      <c r="F182" s="1314"/>
      <c r="G182" s="1313">
        <f t="shared" si="24"/>
        <v>0</v>
      </c>
      <c r="H182" s="1315" t="e">
        <f t="shared" si="25"/>
        <v>#VALUE!</v>
      </c>
      <c r="I182" s="1319"/>
      <c r="J182" s="1312"/>
      <c r="K182" s="1313" t="str">
        <f>IFERROR(INDEX('PR Expenditure_7A import-export'!I$62:I$108,MATCH($B182,'PR Expenditure_7A import-export'!$N$62:$N$108,0)),"")</f>
        <v/>
      </c>
      <c r="L182" s="1314"/>
      <c r="M182" s="1313">
        <f t="shared" si="26"/>
        <v>0</v>
      </c>
      <c r="N182" s="1317" t="e">
        <f t="shared" si="27"/>
        <v>#VALUE!</v>
      </c>
      <c r="O182" s="758"/>
      <c r="P182" s="438"/>
      <c r="Q182" s="284"/>
      <c r="R182" s="746"/>
      <c r="S182" s="284"/>
      <c r="T182" s="284"/>
      <c r="U182" s="259"/>
      <c r="V182" s="259"/>
      <c r="W182" s="63"/>
    </row>
    <row r="183" spans="1:23" s="257" customFormat="1" ht="15.75" hidden="1" x14ac:dyDescent="0.25">
      <c r="A183" s="728" t="str">
        <f t="shared" si="15"/>
        <v>Don't Show</v>
      </c>
      <c r="B183" s="677" t="s">
        <v>2593</v>
      </c>
      <c r="C183" s="966" t="str">
        <f>IFERROR(INDEX('PR Expenditure_7A import-export'!A$62:A$108,MATCH($B183,'PR Expenditure_7A import-export'!$N$62:$N$108,0)),"")</f>
        <v/>
      </c>
      <c r="D183" s="1318" t="str">
        <f>IFERROR(INDEX('PR Expenditure_7A import-export'!B$62:B$108,MATCH($B183,'PR Expenditure_7A import-export'!$N$62:$N$108,0)),"")</f>
        <v/>
      </c>
      <c r="E183" s="1313" t="str">
        <f>IFERROR(INDEX('PR Expenditure_7A import-export'!C$62:C$108,MATCH($B183,'PR Expenditure_7A import-export'!$N$62:$N$108,0)),"")</f>
        <v/>
      </c>
      <c r="F183" s="1314"/>
      <c r="G183" s="1313">
        <f t="shared" si="24"/>
        <v>0</v>
      </c>
      <c r="H183" s="1315" t="e">
        <f t="shared" si="25"/>
        <v>#VALUE!</v>
      </c>
      <c r="I183" s="1319"/>
      <c r="J183" s="1312"/>
      <c r="K183" s="1313" t="str">
        <f>IFERROR(INDEX('PR Expenditure_7A import-export'!I$62:I$108,MATCH($B183,'PR Expenditure_7A import-export'!$N$62:$N$108,0)),"")</f>
        <v/>
      </c>
      <c r="L183" s="1314"/>
      <c r="M183" s="1313">
        <f t="shared" si="26"/>
        <v>0</v>
      </c>
      <c r="N183" s="1317" t="e">
        <f t="shared" si="27"/>
        <v>#VALUE!</v>
      </c>
      <c r="O183" s="758"/>
      <c r="P183" s="438"/>
      <c r="Q183" s="284"/>
      <c r="R183" s="746"/>
      <c r="S183" s="284"/>
      <c r="T183" s="284"/>
      <c r="U183" s="259"/>
      <c r="V183" s="259"/>
      <c r="W183" s="63"/>
    </row>
    <row r="184" spans="1:23" s="257" customFormat="1" ht="15.75" x14ac:dyDescent="0.25">
      <c r="A184" s="728" t="s">
        <v>2337</v>
      </c>
      <c r="B184" s="677" t="s">
        <v>2594</v>
      </c>
      <c r="C184" s="965"/>
      <c r="D184" s="1320"/>
      <c r="E184" s="1313">
        <v>0</v>
      </c>
      <c r="F184" s="1314"/>
      <c r="G184" s="1313">
        <f>IFERROR(E184-F184,0)</f>
        <v>0</v>
      </c>
      <c r="H184" s="1313" t="str">
        <f>IF(AND(E184=0,F184=0),"N/A",IF(AND(E184=0,F184&lt;&gt;0),"Not Budgeted",F184/E184))</f>
        <v>N/A</v>
      </c>
      <c r="I184" s="1319"/>
      <c r="J184" s="1312"/>
      <c r="K184" s="1313">
        <v>0</v>
      </c>
      <c r="L184" s="1314"/>
      <c r="M184" s="1313">
        <f>IFERROR(K184-L184,0)</f>
        <v>0</v>
      </c>
      <c r="N184" s="1321" t="str">
        <f>IF(AND(K184=0,L184=0),"N/A",IF(AND(K184=0,L184&lt;&gt;0),"Not Budgeted",L184/K184))</f>
        <v>N/A</v>
      </c>
      <c r="O184" s="758" t="str">
        <f>IFERROR(IF(VLOOKUP(C184,'Reference Records'!$B$13:$D$48,3,FALSE)=0,"",VLOOKUP(C184,'Reference Records'!$B$13:$D$48,3,FALSE)),"")</f>
        <v/>
      </c>
      <c r="P184" s="438"/>
      <c r="Q184" s="284" t="str">
        <f>'PR Expenditure_7A import-export'!O109</f>
        <v/>
      </c>
      <c r="R184" s="746"/>
      <c r="S184" s="284" t="str">
        <f>_7268c752_e187_487c_ae1f_8d8e309992e6</f>
        <v>[Record ID]</v>
      </c>
      <c r="T184" s="284"/>
      <c r="U184" s="259"/>
      <c r="V184" s="259"/>
      <c r="W184" s="63"/>
    </row>
    <row r="185" spans="1:23" s="257" customFormat="1" ht="15.75" x14ac:dyDescent="0.25">
      <c r="A185" s="728" t="s">
        <v>2337</v>
      </c>
      <c r="B185" s="677" t="s">
        <v>2595</v>
      </c>
      <c r="C185" s="965"/>
      <c r="D185" s="1320"/>
      <c r="E185" s="1313">
        <v>0</v>
      </c>
      <c r="F185" s="1314"/>
      <c r="G185" s="1313">
        <f t="shared" ref="G185:G199" si="28">IFERROR(E185-F185,0)</f>
        <v>0</v>
      </c>
      <c r="H185" s="1313" t="str">
        <f t="shared" ref="H185:H199" si="29">IF(AND(E185=0,F185=0),"N/A",IF(AND(E185=0,F185&lt;&gt;0),"Not Budgeted",F185/E185))</f>
        <v>N/A</v>
      </c>
      <c r="I185" s="1319"/>
      <c r="J185" s="1312"/>
      <c r="K185" s="1313">
        <v>0</v>
      </c>
      <c r="L185" s="1314"/>
      <c r="M185" s="1313">
        <f t="shared" ref="M185:M199" si="30">IFERROR(K185-L185,0)</f>
        <v>0</v>
      </c>
      <c r="N185" s="1321" t="str">
        <f t="shared" ref="N185:N199" si="31">IF(AND(K185=0,L185=0),"N/A",IF(AND(K185=0,L185&lt;&gt;0),"Not Budgeted",L185/K185))</f>
        <v>N/A</v>
      </c>
      <c r="O185" s="758" t="str">
        <f>IFERROR(IF(VLOOKUP(C185,'Reference Records'!$B$13:$D$48,3,FALSE)=0,"",VLOOKUP(C185,'Reference Records'!$B$13:$D$48,3,FALSE)),"")</f>
        <v/>
      </c>
      <c r="P185" s="438"/>
      <c r="Q185" s="284"/>
      <c r="R185" s="746"/>
      <c r="S185" s="284"/>
      <c r="T185" s="284"/>
      <c r="U185" s="259"/>
      <c r="V185" s="259"/>
      <c r="W185" s="63"/>
    </row>
    <row r="186" spans="1:23" s="257" customFormat="1" ht="15.75" x14ac:dyDescent="0.25">
      <c r="A186" s="728" t="s">
        <v>2337</v>
      </c>
      <c r="B186" s="677" t="s">
        <v>2596</v>
      </c>
      <c r="C186" s="965"/>
      <c r="D186" s="1320"/>
      <c r="E186" s="1313">
        <v>0</v>
      </c>
      <c r="F186" s="1314"/>
      <c r="G186" s="1313">
        <f t="shared" si="28"/>
        <v>0</v>
      </c>
      <c r="H186" s="1313" t="str">
        <f t="shared" si="29"/>
        <v>N/A</v>
      </c>
      <c r="I186" s="1319"/>
      <c r="J186" s="1312"/>
      <c r="K186" s="1313">
        <v>0</v>
      </c>
      <c r="L186" s="1314"/>
      <c r="M186" s="1313">
        <f t="shared" si="30"/>
        <v>0</v>
      </c>
      <c r="N186" s="1321" t="str">
        <f t="shared" si="31"/>
        <v>N/A</v>
      </c>
      <c r="O186" s="758" t="str">
        <f>IFERROR(IF(VLOOKUP(C186,'Reference Records'!$B$13:$D$48,3,FALSE)=0,"",VLOOKUP(C186,'Reference Records'!$B$13:$D$48,3,FALSE)),"")</f>
        <v/>
      </c>
      <c r="P186" s="438"/>
      <c r="Q186" s="284"/>
      <c r="R186" s="746"/>
      <c r="S186" s="284"/>
      <c r="T186" s="284"/>
      <c r="U186" s="259"/>
      <c r="V186" s="259"/>
      <c r="W186" s="63"/>
    </row>
    <row r="187" spans="1:23" s="257" customFormat="1" ht="15.75" x14ac:dyDescent="0.25">
      <c r="A187" s="728" t="s">
        <v>2337</v>
      </c>
      <c r="B187" s="677" t="s">
        <v>2597</v>
      </c>
      <c r="C187" s="965"/>
      <c r="D187" s="1320"/>
      <c r="E187" s="1313">
        <v>0</v>
      </c>
      <c r="F187" s="1314"/>
      <c r="G187" s="1313">
        <f t="shared" si="28"/>
        <v>0</v>
      </c>
      <c r="H187" s="1313" t="str">
        <f t="shared" si="29"/>
        <v>N/A</v>
      </c>
      <c r="I187" s="1319"/>
      <c r="J187" s="1312"/>
      <c r="K187" s="1313">
        <v>0</v>
      </c>
      <c r="L187" s="1314"/>
      <c r="M187" s="1313">
        <f t="shared" si="30"/>
        <v>0</v>
      </c>
      <c r="N187" s="1321" t="str">
        <f t="shared" si="31"/>
        <v>N/A</v>
      </c>
      <c r="O187" s="758" t="str">
        <f>IFERROR(IF(VLOOKUP(C187,'Reference Records'!$B$13:$D$48,3,FALSE)=0,"",VLOOKUP(C187,'Reference Records'!$B$13:$D$48,3,FALSE)),"")</f>
        <v/>
      </c>
      <c r="P187" s="438"/>
      <c r="Q187" s="284"/>
      <c r="R187" s="746"/>
      <c r="S187" s="284"/>
      <c r="T187" s="284"/>
      <c r="U187" s="259"/>
      <c r="V187" s="259"/>
      <c r="W187" s="63"/>
    </row>
    <row r="188" spans="1:23" s="257" customFormat="1" ht="15.75" x14ac:dyDescent="0.25">
      <c r="A188" s="728" t="s">
        <v>2337</v>
      </c>
      <c r="B188" s="677" t="s">
        <v>2598</v>
      </c>
      <c r="C188" s="965"/>
      <c r="D188" s="1320"/>
      <c r="E188" s="1313">
        <v>0</v>
      </c>
      <c r="F188" s="1314"/>
      <c r="G188" s="1313">
        <f t="shared" si="28"/>
        <v>0</v>
      </c>
      <c r="H188" s="1313" t="str">
        <f t="shared" si="29"/>
        <v>N/A</v>
      </c>
      <c r="I188" s="1319"/>
      <c r="J188" s="1312"/>
      <c r="K188" s="1313">
        <v>0</v>
      </c>
      <c r="L188" s="1314"/>
      <c r="M188" s="1313">
        <f t="shared" si="30"/>
        <v>0</v>
      </c>
      <c r="N188" s="1321" t="str">
        <f t="shared" si="31"/>
        <v>N/A</v>
      </c>
      <c r="O188" s="758" t="str">
        <f>IFERROR(IF(VLOOKUP(C188,'Reference Records'!$B$13:$D$48,3,FALSE)=0,"",VLOOKUP(C188,'Reference Records'!$B$13:$D$48,3,FALSE)),"")</f>
        <v/>
      </c>
      <c r="P188" s="438"/>
      <c r="Q188" s="284"/>
      <c r="R188" s="746"/>
      <c r="S188" s="284"/>
      <c r="T188" s="284"/>
      <c r="U188" s="259"/>
      <c r="V188" s="259"/>
      <c r="W188" s="63"/>
    </row>
    <row r="189" spans="1:23" s="257" customFormat="1" ht="15.75" x14ac:dyDescent="0.25">
      <c r="A189" s="728" t="s">
        <v>2337</v>
      </c>
      <c r="B189" s="677" t="s">
        <v>2599</v>
      </c>
      <c r="C189" s="965"/>
      <c r="D189" s="1320"/>
      <c r="E189" s="1313">
        <v>0</v>
      </c>
      <c r="F189" s="1314"/>
      <c r="G189" s="1313">
        <f t="shared" si="28"/>
        <v>0</v>
      </c>
      <c r="H189" s="1313" t="str">
        <f t="shared" si="29"/>
        <v>N/A</v>
      </c>
      <c r="I189" s="1319"/>
      <c r="J189" s="1312"/>
      <c r="K189" s="1313">
        <v>0</v>
      </c>
      <c r="L189" s="1314"/>
      <c r="M189" s="1313">
        <f t="shared" si="30"/>
        <v>0</v>
      </c>
      <c r="N189" s="1321" t="str">
        <f t="shared" si="31"/>
        <v>N/A</v>
      </c>
      <c r="O189" s="758" t="str">
        <f>IFERROR(IF(VLOOKUP(C189,'Reference Records'!$B$13:$D$48,3,FALSE)=0,"",VLOOKUP(C189,'Reference Records'!$B$13:$D$48,3,FALSE)),"")</f>
        <v/>
      </c>
      <c r="P189" s="438"/>
      <c r="Q189" s="284"/>
      <c r="R189" s="746"/>
      <c r="S189" s="284"/>
      <c r="T189" s="284"/>
      <c r="U189" s="259"/>
      <c r="V189" s="259"/>
      <c r="W189" s="63"/>
    </row>
    <row r="190" spans="1:23" s="257" customFormat="1" ht="15.75" x14ac:dyDescent="0.25">
      <c r="A190" s="728" t="s">
        <v>2337</v>
      </c>
      <c r="B190" s="677" t="s">
        <v>2600</v>
      </c>
      <c r="C190" s="965"/>
      <c r="D190" s="1320"/>
      <c r="E190" s="1313">
        <v>0</v>
      </c>
      <c r="F190" s="1314"/>
      <c r="G190" s="1313">
        <f t="shared" si="28"/>
        <v>0</v>
      </c>
      <c r="H190" s="1313" t="str">
        <f t="shared" si="29"/>
        <v>N/A</v>
      </c>
      <c r="I190" s="1319"/>
      <c r="J190" s="1312"/>
      <c r="K190" s="1313">
        <v>0</v>
      </c>
      <c r="L190" s="1314"/>
      <c r="M190" s="1313">
        <f t="shared" si="30"/>
        <v>0</v>
      </c>
      <c r="N190" s="1321" t="str">
        <f t="shared" si="31"/>
        <v>N/A</v>
      </c>
      <c r="O190" s="758" t="str">
        <f>IFERROR(IF(VLOOKUP(C190,'Reference Records'!$B$13:$D$48,3,FALSE)=0,"",VLOOKUP(C190,'Reference Records'!$B$13:$D$48,3,FALSE)),"")</f>
        <v/>
      </c>
      <c r="P190" s="438"/>
      <c r="Q190" s="284"/>
      <c r="R190" s="746"/>
      <c r="S190" s="284"/>
      <c r="T190" s="284"/>
      <c r="U190" s="259"/>
      <c r="V190" s="259"/>
      <c r="W190" s="63"/>
    </row>
    <row r="191" spans="1:23" s="257" customFormat="1" ht="15.75" x14ac:dyDescent="0.25">
      <c r="A191" s="728" t="s">
        <v>2337</v>
      </c>
      <c r="B191" s="677" t="s">
        <v>2601</v>
      </c>
      <c r="C191" s="965"/>
      <c r="D191" s="1320"/>
      <c r="E191" s="1313">
        <v>0</v>
      </c>
      <c r="F191" s="1314"/>
      <c r="G191" s="1313">
        <f t="shared" si="28"/>
        <v>0</v>
      </c>
      <c r="H191" s="1313" t="str">
        <f t="shared" si="29"/>
        <v>N/A</v>
      </c>
      <c r="I191" s="1319"/>
      <c r="J191" s="1312"/>
      <c r="K191" s="1313">
        <v>0</v>
      </c>
      <c r="L191" s="1314"/>
      <c r="M191" s="1313">
        <f t="shared" si="30"/>
        <v>0</v>
      </c>
      <c r="N191" s="1321" t="str">
        <f t="shared" si="31"/>
        <v>N/A</v>
      </c>
      <c r="O191" s="758" t="str">
        <f>IFERROR(IF(VLOOKUP(C191,'Reference Records'!$B$13:$D$48,3,FALSE)=0,"",VLOOKUP(C191,'Reference Records'!$B$13:$D$48,3,FALSE)),"")</f>
        <v/>
      </c>
      <c r="P191" s="438"/>
      <c r="Q191" s="284"/>
      <c r="R191" s="746"/>
      <c r="S191" s="284"/>
      <c r="T191" s="284"/>
      <c r="U191" s="259"/>
      <c r="V191" s="259"/>
      <c r="W191" s="63"/>
    </row>
    <row r="192" spans="1:23" s="257" customFormat="1" ht="15.75" x14ac:dyDescent="0.25">
      <c r="A192" s="728" t="s">
        <v>2337</v>
      </c>
      <c r="B192" s="677" t="s">
        <v>2602</v>
      </c>
      <c r="C192" s="965"/>
      <c r="D192" s="1320"/>
      <c r="E192" s="1313">
        <v>0</v>
      </c>
      <c r="F192" s="1314"/>
      <c r="G192" s="1313">
        <f t="shared" si="28"/>
        <v>0</v>
      </c>
      <c r="H192" s="1313" t="str">
        <f t="shared" si="29"/>
        <v>N/A</v>
      </c>
      <c r="I192" s="1319"/>
      <c r="J192" s="1312"/>
      <c r="K192" s="1313">
        <v>0</v>
      </c>
      <c r="L192" s="1314"/>
      <c r="M192" s="1313">
        <f t="shared" si="30"/>
        <v>0</v>
      </c>
      <c r="N192" s="1321" t="str">
        <f t="shared" si="31"/>
        <v>N/A</v>
      </c>
      <c r="O192" s="758" t="str">
        <f>IFERROR(IF(VLOOKUP(C192,'Reference Records'!$B$13:$D$48,3,FALSE)=0,"",VLOOKUP(C192,'Reference Records'!$B$13:$D$48,3,FALSE)),"")</f>
        <v/>
      </c>
      <c r="P192" s="438"/>
      <c r="Q192" s="284"/>
      <c r="R192" s="746"/>
      <c r="S192" s="284"/>
      <c r="T192" s="284"/>
      <c r="U192" s="259"/>
      <c r="V192" s="259"/>
      <c r="W192" s="63"/>
    </row>
    <row r="193" spans="1:30" s="257" customFormat="1" ht="15.75" x14ac:dyDescent="0.25">
      <c r="A193" s="728" t="s">
        <v>2337</v>
      </c>
      <c r="B193" s="677" t="s">
        <v>2603</v>
      </c>
      <c r="C193" s="965"/>
      <c r="D193" s="1320"/>
      <c r="E193" s="1313">
        <v>0</v>
      </c>
      <c r="F193" s="1314"/>
      <c r="G193" s="1313">
        <f t="shared" si="28"/>
        <v>0</v>
      </c>
      <c r="H193" s="1313" t="str">
        <f t="shared" si="29"/>
        <v>N/A</v>
      </c>
      <c r="I193" s="1319"/>
      <c r="J193" s="1312"/>
      <c r="K193" s="1313">
        <v>0</v>
      </c>
      <c r="L193" s="1314"/>
      <c r="M193" s="1313">
        <f t="shared" si="30"/>
        <v>0</v>
      </c>
      <c r="N193" s="1321" t="str">
        <f t="shared" si="31"/>
        <v>N/A</v>
      </c>
      <c r="O193" s="758" t="str">
        <f>IFERROR(IF(VLOOKUP(C193,'Reference Records'!$B$13:$D$48,3,FALSE)=0,"",VLOOKUP(C193,'Reference Records'!$B$13:$D$48,3,FALSE)),"")</f>
        <v/>
      </c>
      <c r="P193" s="438"/>
      <c r="Q193" s="284"/>
      <c r="R193" s="746"/>
      <c r="S193" s="284"/>
      <c r="T193" s="284"/>
      <c r="U193" s="259"/>
      <c r="V193" s="259"/>
      <c r="W193" s="63"/>
    </row>
    <row r="194" spans="1:30" s="257" customFormat="1" ht="15.75" x14ac:dyDescent="0.25">
      <c r="A194" s="728" t="s">
        <v>2337</v>
      </c>
      <c r="B194" s="677" t="s">
        <v>2604</v>
      </c>
      <c r="C194" s="965"/>
      <c r="D194" s="1320"/>
      <c r="E194" s="1313">
        <v>0</v>
      </c>
      <c r="F194" s="1314"/>
      <c r="G194" s="1313">
        <f t="shared" si="28"/>
        <v>0</v>
      </c>
      <c r="H194" s="1313" t="str">
        <f t="shared" si="29"/>
        <v>N/A</v>
      </c>
      <c r="I194" s="1319"/>
      <c r="J194" s="1312"/>
      <c r="K194" s="1313">
        <v>0</v>
      </c>
      <c r="L194" s="1314"/>
      <c r="M194" s="1313">
        <f t="shared" si="30"/>
        <v>0</v>
      </c>
      <c r="N194" s="1321" t="str">
        <f t="shared" si="31"/>
        <v>N/A</v>
      </c>
      <c r="O194" s="758" t="str">
        <f>IFERROR(IF(VLOOKUP(C194,'Reference Records'!$B$13:$D$48,3,FALSE)=0,"",VLOOKUP(C194,'Reference Records'!$B$13:$D$48,3,FALSE)),"")</f>
        <v/>
      </c>
      <c r="P194" s="438"/>
      <c r="Q194" s="284"/>
      <c r="R194" s="746"/>
      <c r="S194" s="284"/>
      <c r="T194" s="284"/>
      <c r="U194" s="259"/>
      <c r="V194" s="259"/>
      <c r="W194" s="63"/>
    </row>
    <row r="195" spans="1:30" s="257" customFormat="1" ht="15.75" x14ac:dyDescent="0.25">
      <c r="A195" s="728" t="s">
        <v>2337</v>
      </c>
      <c r="B195" s="677" t="s">
        <v>2605</v>
      </c>
      <c r="C195" s="965"/>
      <c r="D195" s="1320"/>
      <c r="E195" s="1313">
        <v>0</v>
      </c>
      <c r="F195" s="1314"/>
      <c r="G195" s="1313">
        <f t="shared" si="28"/>
        <v>0</v>
      </c>
      <c r="H195" s="1313" t="str">
        <f t="shared" si="29"/>
        <v>N/A</v>
      </c>
      <c r="I195" s="1319"/>
      <c r="J195" s="1312"/>
      <c r="K195" s="1313">
        <v>0</v>
      </c>
      <c r="L195" s="1314"/>
      <c r="M195" s="1313">
        <f t="shared" si="30"/>
        <v>0</v>
      </c>
      <c r="N195" s="1321" t="str">
        <f t="shared" si="31"/>
        <v>N/A</v>
      </c>
      <c r="O195" s="758" t="str">
        <f>IFERROR(IF(VLOOKUP(C195,'Reference Records'!$B$13:$D$48,3,FALSE)=0,"",VLOOKUP(C195,'Reference Records'!$B$13:$D$48,3,FALSE)),"")</f>
        <v/>
      </c>
      <c r="P195" s="438"/>
      <c r="Q195" s="284"/>
      <c r="R195" s="746"/>
      <c r="S195" s="284"/>
      <c r="T195" s="284"/>
      <c r="U195" s="259"/>
      <c r="V195" s="259"/>
      <c r="W195" s="63"/>
    </row>
    <row r="196" spans="1:30" s="257" customFormat="1" ht="15.75" x14ac:dyDescent="0.25">
      <c r="A196" s="728" t="s">
        <v>2337</v>
      </c>
      <c r="B196" s="677" t="s">
        <v>2606</v>
      </c>
      <c r="C196" s="965"/>
      <c r="D196" s="1320"/>
      <c r="E196" s="1313">
        <v>0</v>
      </c>
      <c r="F196" s="1314"/>
      <c r="G196" s="1313">
        <f t="shared" si="28"/>
        <v>0</v>
      </c>
      <c r="H196" s="1313" t="str">
        <f t="shared" si="29"/>
        <v>N/A</v>
      </c>
      <c r="I196" s="1319"/>
      <c r="J196" s="1312"/>
      <c r="K196" s="1313">
        <v>0</v>
      </c>
      <c r="L196" s="1314"/>
      <c r="M196" s="1313">
        <f t="shared" si="30"/>
        <v>0</v>
      </c>
      <c r="N196" s="1321" t="str">
        <f t="shared" si="31"/>
        <v>N/A</v>
      </c>
      <c r="O196" s="758" t="str">
        <f>IFERROR(IF(VLOOKUP(C196,'Reference Records'!$B$13:$D$48,3,FALSE)=0,"",VLOOKUP(C196,'Reference Records'!$B$13:$D$48,3,FALSE)),"")</f>
        <v/>
      </c>
      <c r="P196" s="438"/>
      <c r="Q196" s="284"/>
      <c r="R196" s="746"/>
      <c r="S196" s="284"/>
      <c r="T196" s="284"/>
      <c r="U196" s="259"/>
      <c r="V196" s="259"/>
      <c r="W196" s="63"/>
    </row>
    <row r="197" spans="1:30" s="257" customFormat="1" ht="15.75" x14ac:dyDescent="0.25">
      <c r="A197" s="728" t="s">
        <v>2337</v>
      </c>
      <c r="B197" s="677" t="s">
        <v>2607</v>
      </c>
      <c r="C197" s="965"/>
      <c r="D197" s="1320"/>
      <c r="E197" s="1313">
        <v>0</v>
      </c>
      <c r="F197" s="1314"/>
      <c r="G197" s="1313">
        <f t="shared" si="28"/>
        <v>0</v>
      </c>
      <c r="H197" s="1313" t="str">
        <f t="shared" si="29"/>
        <v>N/A</v>
      </c>
      <c r="I197" s="1319"/>
      <c r="J197" s="1312"/>
      <c r="K197" s="1313">
        <v>0</v>
      </c>
      <c r="L197" s="1314"/>
      <c r="M197" s="1313">
        <f t="shared" si="30"/>
        <v>0</v>
      </c>
      <c r="N197" s="1321" t="str">
        <f t="shared" si="31"/>
        <v>N/A</v>
      </c>
      <c r="O197" s="758" t="str">
        <f>IFERROR(IF(VLOOKUP(C197,'Reference Records'!$B$13:$D$48,3,FALSE)=0,"",VLOOKUP(C197,'Reference Records'!$B$13:$D$48,3,FALSE)),"")</f>
        <v/>
      </c>
      <c r="P197" s="438"/>
      <c r="Q197" s="284"/>
      <c r="R197" s="746"/>
      <c r="S197" s="284"/>
      <c r="T197" s="284"/>
      <c r="U197" s="259"/>
      <c r="V197" s="259"/>
      <c r="W197" s="63"/>
    </row>
    <row r="198" spans="1:30" s="257" customFormat="1" ht="15.75" x14ac:dyDescent="0.25">
      <c r="A198" s="728" t="s">
        <v>2337</v>
      </c>
      <c r="B198" s="677" t="s">
        <v>2608</v>
      </c>
      <c r="C198" s="965"/>
      <c r="D198" s="1320"/>
      <c r="E198" s="1313">
        <v>0</v>
      </c>
      <c r="F198" s="1314"/>
      <c r="G198" s="1313">
        <f t="shared" si="28"/>
        <v>0</v>
      </c>
      <c r="H198" s="1313" t="str">
        <f t="shared" si="29"/>
        <v>N/A</v>
      </c>
      <c r="I198" s="1319"/>
      <c r="J198" s="1312"/>
      <c r="K198" s="1313">
        <v>0</v>
      </c>
      <c r="L198" s="1314"/>
      <c r="M198" s="1313">
        <f t="shared" si="30"/>
        <v>0</v>
      </c>
      <c r="N198" s="1321" t="str">
        <f t="shared" si="31"/>
        <v>N/A</v>
      </c>
      <c r="O198" s="758" t="str">
        <f>IFERROR(IF(VLOOKUP(C198,'Reference Records'!$B$13:$D$48,3,FALSE)=0,"",VLOOKUP(C198,'Reference Records'!$B$13:$D$48,3,FALSE)),"")</f>
        <v/>
      </c>
      <c r="P198" s="438"/>
      <c r="Q198" s="284"/>
      <c r="R198" s="746"/>
      <c r="S198" s="284"/>
      <c r="T198" s="284"/>
      <c r="U198" s="259"/>
      <c r="V198" s="259"/>
      <c r="W198" s="63"/>
    </row>
    <row r="199" spans="1:30" s="257" customFormat="1" ht="15.75" hidden="1" x14ac:dyDescent="0.25">
      <c r="A199" s="728" t="s">
        <v>2609</v>
      </c>
      <c r="B199" s="677" t="s">
        <v>2610</v>
      </c>
      <c r="C199" s="965"/>
      <c r="D199" s="1320"/>
      <c r="E199" s="1313">
        <v>0</v>
      </c>
      <c r="F199" s="1314"/>
      <c r="G199" s="1313">
        <f t="shared" si="28"/>
        <v>0</v>
      </c>
      <c r="H199" s="1313" t="str">
        <f t="shared" si="29"/>
        <v>N/A</v>
      </c>
      <c r="I199" s="1319"/>
      <c r="J199" s="1312"/>
      <c r="K199" s="1313">
        <v>0</v>
      </c>
      <c r="L199" s="1314"/>
      <c r="M199" s="1313">
        <f t="shared" si="30"/>
        <v>0</v>
      </c>
      <c r="N199" s="1321" t="str">
        <f t="shared" si="31"/>
        <v>N/A</v>
      </c>
      <c r="O199" s="758" t="str">
        <f>IFERROR(IF(VLOOKUP(C199,'Reference Records'!$B$13:$D$48,3,FALSE)=0,"",VLOOKUP(C199,'Reference Records'!$B$13:$D$48,3,FALSE)),"")</f>
        <v/>
      </c>
      <c r="P199" s="438"/>
      <c r="Q199" s="284"/>
      <c r="R199" s="746"/>
      <c r="S199" s="284"/>
      <c r="T199" s="284"/>
      <c r="U199" s="259"/>
      <c r="V199" s="259"/>
      <c r="W199" s="63"/>
    </row>
    <row r="200" spans="1:30" s="257" customFormat="1" ht="26.25" customHeight="1" thickBot="1" x14ac:dyDescent="0.3">
      <c r="A200" s="728" t="s">
        <v>2337</v>
      </c>
      <c r="B200" s="677"/>
      <c r="C200" s="1796" t="s">
        <v>2449</v>
      </c>
      <c r="D200" s="1797"/>
      <c r="E200" s="1322">
        <f>ROUND(SUM(E84:E199),2)</f>
        <v>11755487.67</v>
      </c>
      <c r="F200" s="1322">
        <f>ROUND(SUM(F84:F199),2)</f>
        <v>11276916.42</v>
      </c>
      <c r="G200" s="1322">
        <f>ROUND(SUM(G84:G199),2)</f>
        <v>478571.25</v>
      </c>
      <c r="H200" s="285">
        <f>(F200/E200)</f>
        <v>0.95928954515248965</v>
      </c>
      <c r="I200" s="1322"/>
      <c r="J200" s="1322"/>
      <c r="K200" s="1322">
        <f>ROUND(SUM(K84:K199),2)</f>
        <v>20014677.120000001</v>
      </c>
      <c r="L200" s="1322">
        <f>ROUND(SUM(L84:L199),2)</f>
        <v>17341199.109999999</v>
      </c>
      <c r="M200" s="1322">
        <f>ROUND(SUM(M84:M199),2)</f>
        <v>2673478.0099999998</v>
      </c>
      <c r="N200" s="1323">
        <f>(L200/K200)</f>
        <v>0.86642412495735521</v>
      </c>
      <c r="O200" s="758"/>
      <c r="P200" s="438"/>
      <c r="Q200" s="284"/>
      <c r="R200" s="746"/>
      <c r="S200" s="284"/>
      <c r="T200" s="284"/>
      <c r="U200" s="259"/>
      <c r="V200" s="259"/>
      <c r="W200" s="63"/>
    </row>
    <row r="201" spans="1:30" ht="15.75" x14ac:dyDescent="0.25">
      <c r="A201" s="728" t="s">
        <v>2337</v>
      </c>
      <c r="O201" s="758"/>
      <c r="P201" s="438"/>
      <c r="Q201" s="318"/>
      <c r="R201" s="744"/>
      <c r="S201" s="318"/>
      <c r="T201" s="318"/>
      <c r="U201" s="280"/>
      <c r="V201" s="280"/>
      <c r="W201" s="61"/>
    </row>
    <row r="202" spans="1:30" s="257" customFormat="1" ht="16.5" thickBot="1" x14ac:dyDescent="0.3">
      <c r="A202" s="728" t="s">
        <v>2337</v>
      </c>
      <c r="B202" s="677"/>
      <c r="C202" s="279" t="str">
        <f>VLOOKUP(Translations!B650,Translations!B3:H893,4,0)</f>
        <v>C. VENTILATION PAR ENTITÉ DE MISE EN ŒUVRE</v>
      </c>
      <c r="D202" s="278"/>
      <c r="E202" s="278"/>
      <c r="F202" s="279"/>
      <c r="G202" s="278"/>
      <c r="H202" s="278"/>
      <c r="I202" s="278"/>
      <c r="J202" s="278"/>
      <c r="K202" s="278"/>
      <c r="L202" s="278"/>
      <c r="M202" s="278"/>
      <c r="N202" s="278"/>
      <c r="O202" s="758"/>
      <c r="P202" s="438"/>
      <c r="Q202" s="284"/>
      <c r="R202" s="746"/>
      <c r="S202" s="284"/>
      <c r="T202" s="284"/>
      <c r="U202" s="259"/>
      <c r="V202" s="259"/>
      <c r="W202" s="63"/>
    </row>
    <row r="203" spans="1:30" s="257" customFormat="1" ht="18.75" customHeight="1" thickBot="1" x14ac:dyDescent="0.3">
      <c r="A203" s="728" t="s">
        <v>2337</v>
      </c>
      <c r="B203" s="677"/>
      <c r="C203" s="277"/>
      <c r="D203" s="64"/>
      <c r="E203" s="64"/>
      <c r="F203" s="64"/>
      <c r="G203" s="64"/>
      <c r="H203" s="64"/>
      <c r="I203" s="64"/>
      <c r="J203" s="276"/>
      <c r="K203" s="64"/>
      <c r="L203" s="64"/>
      <c r="M203" s="64"/>
      <c r="N203" s="276"/>
      <c r="O203" s="758"/>
      <c r="P203" s="438"/>
      <c r="Q203" s="284"/>
      <c r="R203" s="746"/>
      <c r="S203" s="284"/>
      <c r="T203" s="284"/>
      <c r="U203" s="259"/>
      <c r="V203" s="259"/>
      <c r="W203" s="63"/>
      <c r="AC203" s="258"/>
      <c r="AD203" s="258"/>
    </row>
    <row r="204" spans="1:30" s="272" customFormat="1" ht="74.45" customHeight="1" x14ac:dyDescent="0.25">
      <c r="A204" s="728" t="s">
        <v>2337</v>
      </c>
      <c r="B204" s="678"/>
      <c r="C204" s="670" t="str">
        <f>VLOOKUP(Translations!B647,Translations!B3:H893,4,0)</f>
        <v>Entité de mise en œuvre</v>
      </c>
      <c r="D204" s="671" t="s">
        <v>2611</v>
      </c>
      <c r="E204" s="672" t="str">
        <f>E83</f>
        <v>Budget pour la période de rapport</v>
      </c>
      <c r="F204" s="672" t="str">
        <f t="shared" ref="F204:I204" si="32">F83</f>
        <v>Dépenses réelles</v>
      </c>
      <c r="G204" s="672" t="str">
        <f t="shared" si="32"/>
        <v>Écarts budget - dépenses réelles</v>
      </c>
      <c r="H204" s="672" t="str">
        <f t="shared" si="32"/>
        <v>Taux d’absorption</v>
      </c>
      <c r="I204" s="672" t="str">
        <f t="shared" si="32"/>
        <v>Explication des écarts (obligatoire si les dépenses sont inférieures ou supérieures au budget de plus de 5 %)</v>
      </c>
      <c r="J204" s="673"/>
      <c r="K204" s="672" t="str">
        <f>K83</f>
        <v>Budget cumulé</v>
      </c>
      <c r="L204" s="672" t="str">
        <f t="shared" ref="L204:N204" si="33">L83</f>
        <v>Dépenses réelles cumulées</v>
      </c>
      <c r="M204" s="672" t="str">
        <f t="shared" si="33"/>
        <v>Écarts budget cumulé - dép. réelles cumulées</v>
      </c>
      <c r="N204" s="672" t="str">
        <f t="shared" si="33"/>
        <v>Taux d’absorption</v>
      </c>
      <c r="O204" s="758"/>
      <c r="P204" s="438"/>
      <c r="Q204" s="295"/>
      <c r="R204" s="747"/>
      <c r="S204" s="295"/>
      <c r="T204" s="295"/>
      <c r="U204" s="274"/>
      <c r="V204" s="274"/>
      <c r="W204" s="99"/>
      <c r="AC204" s="273"/>
      <c r="AD204" s="273"/>
    </row>
    <row r="205" spans="1:30" s="272" customFormat="1" ht="280.5" customHeight="1" x14ac:dyDescent="0.25">
      <c r="A205" s="729" t="str">
        <f>IF(C205&lt;&gt;"","Show","Don't Show")</f>
        <v>Show</v>
      </c>
      <c r="B205" s="678" t="s">
        <v>2612</v>
      </c>
      <c r="C205" s="966" t="str">
        <f>IFERROR(INDEX('PR Expenditure_7A import-export'!A$127:A$132,MATCH('PR Expenditure_7A'!$B205,'PR Expenditure_7A import-export'!$N$127:$N$132,0)),"")</f>
        <v>Red Cross Burundi</v>
      </c>
      <c r="D205" s="1318" t="str">
        <f>IFERROR(INDEX('PR Expenditure_7A import-export'!B$127:B$132,MATCH('PR Expenditure_7A'!$B205,'PR Expenditure_7A import-export'!$N$127:$N$132,0)),"")</f>
        <v>-</v>
      </c>
      <c r="E205" s="1313">
        <f>IFERROR(INDEX('PR Expenditure_7A import-export'!C$127:C$132,MATCH('PR Expenditure_7A'!$B205,'PR Expenditure_7A import-export'!$N$127:$N$132,0)),"")</f>
        <v>2078161.0190789199</v>
      </c>
      <c r="F205" s="1314">
        <v>1826961.2794977755</v>
      </c>
      <c r="G205" s="1313">
        <f t="shared" ref="G205:G254" si="34">IFERROR(E205-F205,0)</f>
        <v>251199.73958114441</v>
      </c>
      <c r="H205" s="1315">
        <f t="shared" ref="H205:H254" si="35">IF(AND(E205=0,F205=0),"N/A",IF(AND(E205=0,F205&lt;&gt;0),"Not Budgeted",F205/E205))</f>
        <v>0.87912402490713604</v>
      </c>
      <c r="I205" s="1319" t="s">
        <v>2613</v>
      </c>
      <c r="J205" s="1312"/>
      <c r="K205" s="1313">
        <f>IFERROR(INDEX('PR Expenditure_7A import-export'!I$127:I$132,MATCH('PR Expenditure_7A'!$B205,'PR Expenditure_7A import-export'!$N$127:$N$132,0)),"")</f>
        <v>4040600.2997711198</v>
      </c>
      <c r="L205" s="1314">
        <f>1515070.78+F205</f>
        <v>3342032.0594977755</v>
      </c>
      <c r="M205" s="1313">
        <f t="shared" ref="M205:M254" si="36">IFERROR(K205-L205,0)</f>
        <v>698568.24027334433</v>
      </c>
      <c r="N205" s="1317">
        <f t="shared" ref="N205:N254" si="37">IF(AND(K205=0,L205=0),"N/A",IF(AND(K205=0,L205&lt;&gt;0),"Not Budgeted",L205/K205))</f>
        <v>0.82711275839064935</v>
      </c>
      <c r="O205" s="758"/>
      <c r="P205" s="438"/>
      <c r="Q205" s="295"/>
      <c r="R205" s="747"/>
      <c r="S205" s="295"/>
      <c r="T205" s="295"/>
      <c r="U205" s="274"/>
      <c r="V205" s="274"/>
      <c r="W205" s="99"/>
      <c r="AC205" s="273"/>
      <c r="AD205" s="273"/>
    </row>
    <row r="206" spans="1:30" s="272" customFormat="1" ht="219.75" customHeight="1" x14ac:dyDescent="0.25">
      <c r="A206" s="729" t="str">
        <f t="shared" ref="A206:A254" si="38">IF(C206&lt;&gt;"","Show","Don't Show")</f>
        <v>Show</v>
      </c>
      <c r="B206" s="678" t="s">
        <v>2614</v>
      </c>
      <c r="C206" s="966" t="str">
        <f>IFERROR(INDEX('PR Expenditure_7A import-export'!A$127:A$132,MATCH('PR Expenditure_7A'!$B206,'PR Expenditure_7A import-export'!$N$127:$N$132,0)),"")</f>
        <v>PNILT</v>
      </c>
      <c r="D206" s="1318" t="str">
        <f>IFERROR(INDEX('PR Expenditure_7A import-export'!B$127:B$132,MATCH('PR Expenditure_7A'!$B206,'PR Expenditure_7A import-export'!$N$127:$N$132,0)),"")</f>
        <v>-</v>
      </c>
      <c r="E206" s="1313">
        <f>IFERROR(INDEX('PR Expenditure_7A import-export'!C$127:C$132,MATCH('PR Expenditure_7A'!$B206,'PR Expenditure_7A import-export'!$N$127:$N$132,0)),"")</f>
        <v>523850.94752477901</v>
      </c>
      <c r="F206" s="1314">
        <v>573270.56536585395</v>
      </c>
      <c r="G206" s="1313">
        <f t="shared" si="34"/>
        <v>-49419.617841074942</v>
      </c>
      <c r="H206" s="1315">
        <f t="shared" si="35"/>
        <v>1.0943390826619386</v>
      </c>
      <c r="I206" s="1319" t="s">
        <v>2615</v>
      </c>
      <c r="J206" s="1312"/>
      <c r="K206" s="1313">
        <f>IFERROR(INDEX('PR Expenditure_7A import-export'!I$127:I$132,MATCH('PR Expenditure_7A'!$B206,'PR Expenditure_7A import-export'!$N$127:$N$132,0)),"")</f>
        <v>1225260.09197323</v>
      </c>
      <c r="L206" s="1314">
        <f>279701.9+F206</f>
        <v>852972.46536585398</v>
      </c>
      <c r="M206" s="1313">
        <f t="shared" si="36"/>
        <v>372287.62660737603</v>
      </c>
      <c r="N206" s="1317">
        <f t="shared" si="37"/>
        <v>0.69615624548105337</v>
      </c>
      <c r="O206" s="758"/>
      <c r="P206" s="438"/>
      <c r="Q206" s="295"/>
      <c r="R206" s="747"/>
      <c r="S206" s="295"/>
      <c r="T206" s="295"/>
      <c r="U206" s="274"/>
      <c r="V206" s="274"/>
      <c r="W206" s="99"/>
      <c r="AC206" s="273"/>
      <c r="AD206" s="273"/>
    </row>
    <row r="207" spans="1:30" s="272" customFormat="1" ht="409.5" customHeight="1" x14ac:dyDescent="0.25">
      <c r="A207" s="729" t="str">
        <f t="shared" si="38"/>
        <v>Show</v>
      </c>
      <c r="B207" s="678" t="s">
        <v>2616</v>
      </c>
      <c r="C207" s="966" t="str">
        <f>IFERROR(INDEX('PR Expenditure_7A import-export'!A$127:A$132,MATCH('PR Expenditure_7A'!$B207,'PR Expenditure_7A import-export'!$N$127:$N$132,0)),"")</f>
        <v>United Nations Development Programme</v>
      </c>
      <c r="D207" s="1318" t="str">
        <f>IFERROR(INDEX('PR Expenditure_7A import-export'!B$127:B$132,MATCH('PR Expenditure_7A'!$B207,'PR Expenditure_7A import-export'!$N$127:$N$132,0)),"")</f>
        <v>-</v>
      </c>
      <c r="E207" s="1313">
        <f>IFERROR(INDEX('PR Expenditure_7A import-export'!C$127:C$132,MATCH('PR Expenditure_7A'!$B207,'PR Expenditure_7A import-export'!$N$127:$N$132,0)),"")</f>
        <v>7663870.2379326597</v>
      </c>
      <c r="F207" s="1314">
        <v>7614979.5492160507</v>
      </c>
      <c r="G207" s="1313">
        <f t="shared" si="34"/>
        <v>48890.688716609031</v>
      </c>
      <c r="H207" s="1315">
        <f t="shared" si="35"/>
        <v>0.99362062675922902</v>
      </c>
      <c r="I207" s="1319" t="s">
        <v>2617</v>
      </c>
      <c r="J207" s="1312"/>
      <c r="K207" s="1313">
        <f>IFERROR(INDEX('PR Expenditure_7A import-export'!I$127:I$132,MATCH('PR Expenditure_7A'!$B207,'PR Expenditure_7A import-export'!$N$127:$N$132,0)),"")</f>
        <v>11578068.930232599</v>
      </c>
      <c r="L207" s="1314">
        <f>3585293.62+F207</f>
        <v>11200273.169216052</v>
      </c>
      <c r="M207" s="1313">
        <f t="shared" si="36"/>
        <v>377795.76101654768</v>
      </c>
      <c r="N207" s="1317">
        <f t="shared" si="37"/>
        <v>0.96736970877500572</v>
      </c>
      <c r="O207" s="758"/>
      <c r="P207" s="438"/>
      <c r="Q207" s="295"/>
      <c r="R207" s="747"/>
      <c r="S207" s="295"/>
      <c r="T207" s="295"/>
      <c r="U207" s="274"/>
      <c r="V207" s="274"/>
      <c r="W207" s="99"/>
      <c r="AC207" s="273"/>
      <c r="AD207" s="273"/>
    </row>
    <row r="208" spans="1:30" s="272" customFormat="1" ht="283.5" customHeight="1" x14ac:dyDescent="0.25">
      <c r="A208" s="729" t="str">
        <f t="shared" si="38"/>
        <v>Show</v>
      </c>
      <c r="B208" s="678" t="s">
        <v>2618</v>
      </c>
      <c r="C208" s="966" t="str">
        <f>IFERROR(INDEX('PR Expenditure_7A import-export'!A$127:A$132,MATCH('PR Expenditure_7A'!$B208,'PR Expenditure_7A import-export'!$N$127:$N$132,0)),"")</f>
        <v>PNLS /IST</v>
      </c>
      <c r="D208" s="1318" t="str">
        <f>IFERROR(INDEX('PR Expenditure_7A import-export'!B$127:B$132,MATCH('PR Expenditure_7A'!$B208,'PR Expenditure_7A import-export'!$N$127:$N$132,0)),"")</f>
        <v>-</v>
      </c>
      <c r="E208" s="1313">
        <f>IFERROR(INDEX('PR Expenditure_7A import-export'!C$127:C$132,MATCH('PR Expenditure_7A'!$B208,'PR Expenditure_7A import-export'!$N$127:$N$132,0)),"")</f>
        <v>1489605.46196596</v>
      </c>
      <c r="F208" s="1314">
        <v>1261705.0225085274</v>
      </c>
      <c r="G208" s="1313">
        <f t="shared" si="34"/>
        <v>227900.4394574326</v>
      </c>
      <c r="H208" s="1315">
        <f t="shared" si="35"/>
        <v>0.84700617359669661</v>
      </c>
      <c r="I208" s="1319" t="s">
        <v>2619</v>
      </c>
      <c r="J208" s="1312"/>
      <c r="K208" s="1313">
        <f>IFERROR(INDEX('PR Expenditure_7A import-export'!I$127:I$132,MATCH('PR Expenditure_7A'!$B208,'PR Expenditure_7A import-export'!$N$127:$N$132,0)),"")</f>
        <v>3170747.7941492898</v>
      </c>
      <c r="L208" s="1314">
        <f>684216.39+F208</f>
        <v>1945921.4125085273</v>
      </c>
      <c r="M208" s="1313">
        <f t="shared" si="36"/>
        <v>1224826.3816407626</v>
      </c>
      <c r="N208" s="1317">
        <f t="shared" si="37"/>
        <v>0.61371056256797529</v>
      </c>
      <c r="O208" s="758"/>
      <c r="P208" s="438"/>
      <c r="Q208" s="295"/>
      <c r="R208" s="747"/>
      <c r="S208" s="295"/>
      <c r="T208" s="295"/>
      <c r="U208" s="274"/>
      <c r="V208" s="274"/>
      <c r="W208" s="99"/>
      <c r="AC208" s="273"/>
      <c r="AD208" s="273"/>
    </row>
    <row r="209" spans="1:30" s="272" customFormat="1" ht="39.950000000000003" hidden="1" customHeight="1" x14ac:dyDescent="0.25">
      <c r="A209" s="729" t="str">
        <f t="shared" si="38"/>
        <v>Don't Show</v>
      </c>
      <c r="B209" s="678" t="s">
        <v>2620</v>
      </c>
      <c r="C209" s="966" t="str">
        <f>IFERROR(INDEX('PR Expenditure_7A import-export'!A$127:A$132,MATCH('PR Expenditure_7A'!$B209,'PR Expenditure_7A import-export'!$N$127:$N$132,0)),"")</f>
        <v/>
      </c>
      <c r="D209" s="1318" t="str">
        <f>IFERROR(INDEX('PR Expenditure_7A import-export'!B$127:B$132,MATCH('PR Expenditure_7A'!$B209,'PR Expenditure_7A import-export'!$N$127:$N$132,0)),"")</f>
        <v/>
      </c>
      <c r="E209" s="1313" t="str">
        <f>IFERROR(INDEX('PR Expenditure_7A import-export'!C$127:C$132,MATCH('PR Expenditure_7A'!$B209,'PR Expenditure_7A import-export'!$N$127:$N$132,0)),"")</f>
        <v/>
      </c>
      <c r="F209" s="1314"/>
      <c r="G209" s="1313">
        <f t="shared" si="34"/>
        <v>0</v>
      </c>
      <c r="H209" s="1315" t="e">
        <f t="shared" si="35"/>
        <v>#VALUE!</v>
      </c>
      <c r="I209" s="1319"/>
      <c r="J209" s="1312"/>
      <c r="K209" s="1313" t="str">
        <f>IFERROR(INDEX('PR Expenditure_7A import-export'!I$127:I$132,MATCH('PR Expenditure_7A'!$B209,'PR Expenditure_7A import-export'!$N$127:$N$132,0)),"")</f>
        <v/>
      </c>
      <c r="L209" s="1314"/>
      <c r="M209" s="1313">
        <f t="shared" si="36"/>
        <v>0</v>
      </c>
      <c r="N209" s="1317" t="e">
        <f t="shared" si="37"/>
        <v>#VALUE!</v>
      </c>
      <c r="O209" s="758"/>
      <c r="P209" s="438"/>
      <c r="Q209" s="295"/>
      <c r="R209" s="747"/>
      <c r="S209" s="295"/>
      <c r="T209" s="295"/>
      <c r="U209" s="274"/>
      <c r="V209" s="274"/>
      <c r="W209" s="99"/>
      <c r="AC209" s="273"/>
      <c r="AD209" s="273"/>
    </row>
    <row r="210" spans="1:30" s="272" customFormat="1" ht="39.950000000000003" hidden="1" customHeight="1" x14ac:dyDescent="0.25">
      <c r="A210" s="729" t="str">
        <f t="shared" si="38"/>
        <v>Don't Show</v>
      </c>
      <c r="B210" s="678" t="s">
        <v>2621</v>
      </c>
      <c r="C210" s="966" t="str">
        <f>IFERROR(INDEX('PR Expenditure_7A import-export'!A$127:A$132,MATCH('PR Expenditure_7A'!$B210,'PR Expenditure_7A import-export'!$N$127:$N$132,0)),"")</f>
        <v/>
      </c>
      <c r="D210" s="1318" t="str">
        <f>IFERROR(INDEX('PR Expenditure_7A import-export'!B$127:B$132,MATCH('PR Expenditure_7A'!$B210,'PR Expenditure_7A import-export'!$N$127:$N$132,0)),"")</f>
        <v/>
      </c>
      <c r="E210" s="1313" t="str">
        <f>IFERROR(INDEX('PR Expenditure_7A import-export'!C$127:C$132,MATCH('PR Expenditure_7A'!$B210,'PR Expenditure_7A import-export'!$N$127:$N$132,0)),"")</f>
        <v/>
      </c>
      <c r="F210" s="1314"/>
      <c r="G210" s="1313">
        <f t="shared" si="34"/>
        <v>0</v>
      </c>
      <c r="H210" s="1315" t="e">
        <f t="shared" si="35"/>
        <v>#VALUE!</v>
      </c>
      <c r="I210" s="1319"/>
      <c r="J210" s="1312"/>
      <c r="K210" s="1313" t="str">
        <f>IFERROR(INDEX('PR Expenditure_7A import-export'!I$127:I$132,MATCH('PR Expenditure_7A'!$B210,'PR Expenditure_7A import-export'!$N$127:$N$132,0)),"")</f>
        <v/>
      </c>
      <c r="L210" s="1314"/>
      <c r="M210" s="1313">
        <f t="shared" si="36"/>
        <v>0</v>
      </c>
      <c r="N210" s="1317" t="e">
        <f t="shared" si="37"/>
        <v>#VALUE!</v>
      </c>
      <c r="O210" s="758"/>
      <c r="P210" s="438"/>
      <c r="Q210" s="295"/>
      <c r="R210" s="747"/>
      <c r="S210" s="295"/>
      <c r="T210" s="295"/>
      <c r="U210" s="274"/>
      <c r="V210" s="274"/>
      <c r="W210" s="99"/>
      <c r="AC210" s="273"/>
      <c r="AD210" s="273"/>
    </row>
    <row r="211" spans="1:30" s="272" customFormat="1" ht="39.950000000000003" hidden="1" customHeight="1" x14ac:dyDescent="0.25">
      <c r="A211" s="729" t="str">
        <f t="shared" si="38"/>
        <v>Don't Show</v>
      </c>
      <c r="B211" s="678" t="s">
        <v>2622</v>
      </c>
      <c r="C211" s="966" t="str">
        <f>IFERROR(INDEX('PR Expenditure_7A import-export'!A$127:A$132,MATCH('PR Expenditure_7A'!$B211,'PR Expenditure_7A import-export'!$N$127:$N$132,0)),"")</f>
        <v/>
      </c>
      <c r="D211" s="1318" t="str">
        <f>IFERROR(INDEX('PR Expenditure_7A import-export'!B$127:B$132,MATCH('PR Expenditure_7A'!$B211,'PR Expenditure_7A import-export'!$N$127:$N$132,0)),"")</f>
        <v/>
      </c>
      <c r="E211" s="1313" t="str">
        <f>IFERROR(INDEX('PR Expenditure_7A import-export'!C$127:C$132,MATCH('PR Expenditure_7A'!$B211,'PR Expenditure_7A import-export'!$N$127:$N$132,0)),"")</f>
        <v/>
      </c>
      <c r="F211" s="1314"/>
      <c r="G211" s="1313">
        <f t="shared" si="34"/>
        <v>0</v>
      </c>
      <c r="H211" s="1315" t="e">
        <f t="shared" si="35"/>
        <v>#VALUE!</v>
      </c>
      <c r="I211" s="1319"/>
      <c r="J211" s="1312"/>
      <c r="K211" s="1313" t="str">
        <f>IFERROR(INDEX('PR Expenditure_7A import-export'!I$127:I$132,MATCH('PR Expenditure_7A'!$B211,'PR Expenditure_7A import-export'!$N$127:$N$132,0)),"")</f>
        <v/>
      </c>
      <c r="L211" s="1314"/>
      <c r="M211" s="1313">
        <f t="shared" si="36"/>
        <v>0</v>
      </c>
      <c r="N211" s="1317" t="e">
        <f t="shared" si="37"/>
        <v>#VALUE!</v>
      </c>
      <c r="O211" s="758"/>
      <c r="P211" s="438"/>
      <c r="Q211" s="295"/>
      <c r="R211" s="747"/>
      <c r="S211" s="295"/>
      <c r="T211" s="295"/>
      <c r="U211" s="274"/>
      <c r="V211" s="274"/>
      <c r="W211" s="99"/>
      <c r="AC211" s="273"/>
      <c r="AD211" s="273"/>
    </row>
    <row r="212" spans="1:30" s="272" customFormat="1" ht="39.950000000000003" hidden="1" customHeight="1" x14ac:dyDescent="0.25">
      <c r="A212" s="729" t="str">
        <f t="shared" si="38"/>
        <v>Don't Show</v>
      </c>
      <c r="B212" s="678" t="s">
        <v>2623</v>
      </c>
      <c r="C212" s="966" t="str">
        <f>IFERROR(INDEX('PR Expenditure_7A import-export'!A$127:A$132,MATCH('PR Expenditure_7A'!$B212,'PR Expenditure_7A import-export'!$N$127:$N$132,0)),"")</f>
        <v/>
      </c>
      <c r="D212" s="1318" t="str">
        <f>IFERROR(INDEX('PR Expenditure_7A import-export'!B$127:B$132,MATCH('PR Expenditure_7A'!$B212,'PR Expenditure_7A import-export'!$N$127:$N$132,0)),"")</f>
        <v/>
      </c>
      <c r="E212" s="1313" t="str">
        <f>IFERROR(INDEX('PR Expenditure_7A import-export'!C$127:C$132,MATCH('PR Expenditure_7A'!$B212,'PR Expenditure_7A import-export'!$N$127:$N$132,0)),"")</f>
        <v/>
      </c>
      <c r="F212" s="1314"/>
      <c r="G212" s="1313">
        <f t="shared" si="34"/>
        <v>0</v>
      </c>
      <c r="H212" s="1315" t="e">
        <f t="shared" si="35"/>
        <v>#VALUE!</v>
      </c>
      <c r="I212" s="1319"/>
      <c r="J212" s="1312"/>
      <c r="K212" s="1313" t="str">
        <f>IFERROR(INDEX('PR Expenditure_7A import-export'!I$127:I$132,MATCH('PR Expenditure_7A'!$B212,'PR Expenditure_7A import-export'!$N$127:$N$132,0)),"")</f>
        <v/>
      </c>
      <c r="L212" s="1314"/>
      <c r="M212" s="1313">
        <f t="shared" si="36"/>
        <v>0</v>
      </c>
      <c r="N212" s="1317" t="e">
        <f t="shared" si="37"/>
        <v>#VALUE!</v>
      </c>
      <c r="O212" s="758"/>
      <c r="P212" s="438"/>
      <c r="Q212" s="295"/>
      <c r="R212" s="747"/>
      <c r="S212" s="295"/>
      <c r="T212" s="295"/>
      <c r="U212" s="274"/>
      <c r="V212" s="274"/>
      <c r="W212" s="99"/>
      <c r="AC212" s="273"/>
      <c r="AD212" s="273"/>
    </row>
    <row r="213" spans="1:30" s="272" customFormat="1" ht="39.950000000000003" hidden="1" customHeight="1" x14ac:dyDescent="0.25">
      <c r="A213" s="729" t="str">
        <f t="shared" si="38"/>
        <v>Don't Show</v>
      </c>
      <c r="B213" s="678" t="s">
        <v>2624</v>
      </c>
      <c r="C213" s="966" t="str">
        <f>IFERROR(INDEX('PR Expenditure_7A import-export'!A$127:A$132,MATCH('PR Expenditure_7A'!$B213,'PR Expenditure_7A import-export'!$N$127:$N$132,0)),"")</f>
        <v/>
      </c>
      <c r="D213" s="1318" t="str">
        <f>IFERROR(INDEX('PR Expenditure_7A import-export'!B$127:B$132,MATCH('PR Expenditure_7A'!$B213,'PR Expenditure_7A import-export'!$N$127:$N$132,0)),"")</f>
        <v/>
      </c>
      <c r="E213" s="1313" t="str">
        <f>IFERROR(INDEX('PR Expenditure_7A import-export'!C$127:C$132,MATCH('PR Expenditure_7A'!$B213,'PR Expenditure_7A import-export'!$N$127:$N$132,0)),"")</f>
        <v/>
      </c>
      <c r="F213" s="1314"/>
      <c r="G213" s="1313">
        <f t="shared" si="34"/>
        <v>0</v>
      </c>
      <c r="H213" s="1315" t="e">
        <f t="shared" si="35"/>
        <v>#VALUE!</v>
      </c>
      <c r="I213" s="1319"/>
      <c r="J213" s="1312"/>
      <c r="K213" s="1313" t="str">
        <f>IFERROR(INDEX('PR Expenditure_7A import-export'!I$127:I$132,MATCH('PR Expenditure_7A'!$B213,'PR Expenditure_7A import-export'!$N$127:$N$132,0)),"")</f>
        <v/>
      </c>
      <c r="L213" s="1314"/>
      <c r="M213" s="1313">
        <f t="shared" si="36"/>
        <v>0</v>
      </c>
      <c r="N213" s="1317" t="e">
        <f t="shared" si="37"/>
        <v>#VALUE!</v>
      </c>
      <c r="O213" s="758"/>
      <c r="P213" s="438"/>
      <c r="Q213" s="295"/>
      <c r="R213" s="747"/>
      <c r="S213" s="295"/>
      <c r="T213" s="295"/>
      <c r="U213" s="274"/>
      <c r="V213" s="274"/>
      <c r="W213" s="99"/>
      <c r="AC213" s="273"/>
      <c r="AD213" s="273"/>
    </row>
    <row r="214" spans="1:30" s="272" customFormat="1" ht="39.950000000000003" hidden="1" customHeight="1" x14ac:dyDescent="0.25">
      <c r="A214" s="729" t="str">
        <f t="shared" si="38"/>
        <v>Don't Show</v>
      </c>
      <c r="B214" s="678" t="s">
        <v>2625</v>
      </c>
      <c r="C214" s="966" t="str">
        <f>IFERROR(INDEX('PR Expenditure_7A import-export'!A$127:A$132,MATCH('PR Expenditure_7A'!$B214,'PR Expenditure_7A import-export'!$N$127:$N$132,0)),"")</f>
        <v/>
      </c>
      <c r="D214" s="1318" t="str">
        <f>IFERROR(INDEX('PR Expenditure_7A import-export'!B$127:B$132,MATCH('PR Expenditure_7A'!$B214,'PR Expenditure_7A import-export'!$N$127:$N$132,0)),"")</f>
        <v/>
      </c>
      <c r="E214" s="1313" t="str">
        <f>IFERROR(INDEX('PR Expenditure_7A import-export'!C$127:C$132,MATCH('PR Expenditure_7A'!$B214,'PR Expenditure_7A import-export'!$N$127:$N$132,0)),"")</f>
        <v/>
      </c>
      <c r="F214" s="1314"/>
      <c r="G214" s="1313">
        <f t="shared" si="34"/>
        <v>0</v>
      </c>
      <c r="H214" s="1315" t="e">
        <f t="shared" si="35"/>
        <v>#VALUE!</v>
      </c>
      <c r="I214" s="1319"/>
      <c r="J214" s="1312"/>
      <c r="K214" s="1313" t="str">
        <f>IFERROR(INDEX('PR Expenditure_7A import-export'!I$127:I$132,MATCH('PR Expenditure_7A'!$B214,'PR Expenditure_7A import-export'!$N$127:$N$132,0)),"")</f>
        <v/>
      </c>
      <c r="L214" s="1314"/>
      <c r="M214" s="1313">
        <f t="shared" si="36"/>
        <v>0</v>
      </c>
      <c r="N214" s="1317" t="e">
        <f t="shared" si="37"/>
        <v>#VALUE!</v>
      </c>
      <c r="O214" s="758"/>
      <c r="P214" s="438"/>
      <c r="Q214" s="295"/>
      <c r="R214" s="747"/>
      <c r="S214" s="295"/>
      <c r="T214" s="295"/>
      <c r="U214" s="274"/>
      <c r="V214" s="274"/>
      <c r="W214" s="99"/>
      <c r="AC214" s="273"/>
      <c r="AD214" s="273"/>
    </row>
    <row r="215" spans="1:30" s="272" customFormat="1" ht="39.950000000000003" hidden="1" customHeight="1" x14ac:dyDescent="0.25">
      <c r="A215" s="729" t="str">
        <f t="shared" si="38"/>
        <v>Don't Show</v>
      </c>
      <c r="B215" s="678" t="s">
        <v>2626</v>
      </c>
      <c r="C215" s="966" t="str">
        <f>IFERROR(INDEX('PR Expenditure_7A import-export'!A$127:A$132,MATCH('PR Expenditure_7A'!$B215,'PR Expenditure_7A import-export'!$N$127:$N$132,0)),"")</f>
        <v/>
      </c>
      <c r="D215" s="1318" t="str">
        <f>IFERROR(INDEX('PR Expenditure_7A import-export'!B$127:B$132,MATCH('PR Expenditure_7A'!$B215,'PR Expenditure_7A import-export'!$N$127:$N$132,0)),"")</f>
        <v/>
      </c>
      <c r="E215" s="1313" t="str">
        <f>IFERROR(INDEX('PR Expenditure_7A import-export'!C$127:C$132,MATCH('PR Expenditure_7A'!$B215,'PR Expenditure_7A import-export'!$N$127:$N$132,0)),"")</f>
        <v/>
      </c>
      <c r="F215" s="1314"/>
      <c r="G215" s="1313">
        <f t="shared" si="34"/>
        <v>0</v>
      </c>
      <c r="H215" s="1315" t="e">
        <f t="shared" si="35"/>
        <v>#VALUE!</v>
      </c>
      <c r="I215" s="1319"/>
      <c r="J215" s="1312"/>
      <c r="K215" s="1313" t="str">
        <f>IFERROR(INDEX('PR Expenditure_7A import-export'!I$127:I$132,MATCH('PR Expenditure_7A'!$B215,'PR Expenditure_7A import-export'!$N$127:$N$132,0)),"")</f>
        <v/>
      </c>
      <c r="L215" s="1314"/>
      <c r="M215" s="1313">
        <f t="shared" si="36"/>
        <v>0</v>
      </c>
      <c r="N215" s="1317" t="e">
        <f t="shared" si="37"/>
        <v>#VALUE!</v>
      </c>
      <c r="O215" s="758"/>
      <c r="P215" s="438"/>
      <c r="Q215" s="295"/>
      <c r="R215" s="747"/>
      <c r="S215" s="295"/>
      <c r="T215" s="295"/>
      <c r="U215" s="274"/>
      <c r="V215" s="274"/>
      <c r="W215" s="99"/>
      <c r="AC215" s="273"/>
      <c r="AD215" s="273"/>
    </row>
    <row r="216" spans="1:30" s="272" customFormat="1" ht="39.950000000000003" hidden="1" customHeight="1" x14ac:dyDescent="0.25">
      <c r="A216" s="729" t="str">
        <f t="shared" si="38"/>
        <v>Don't Show</v>
      </c>
      <c r="B216" s="678" t="s">
        <v>2627</v>
      </c>
      <c r="C216" s="966" t="str">
        <f>IFERROR(INDEX('PR Expenditure_7A import-export'!A$127:A$132,MATCH('PR Expenditure_7A'!$B216,'PR Expenditure_7A import-export'!$N$127:$N$132,0)),"")</f>
        <v/>
      </c>
      <c r="D216" s="1318" t="str">
        <f>IFERROR(INDEX('PR Expenditure_7A import-export'!B$127:B$132,MATCH('PR Expenditure_7A'!$B216,'PR Expenditure_7A import-export'!$N$127:$N$132,0)),"")</f>
        <v/>
      </c>
      <c r="E216" s="1313" t="str">
        <f>IFERROR(INDEX('PR Expenditure_7A import-export'!C$127:C$132,MATCH('PR Expenditure_7A'!$B216,'PR Expenditure_7A import-export'!$N$127:$N$132,0)),"")</f>
        <v/>
      </c>
      <c r="F216" s="1314"/>
      <c r="G216" s="1313">
        <f t="shared" si="34"/>
        <v>0</v>
      </c>
      <c r="H216" s="1315" t="e">
        <f t="shared" si="35"/>
        <v>#VALUE!</v>
      </c>
      <c r="I216" s="1319"/>
      <c r="J216" s="1312"/>
      <c r="K216" s="1313" t="str">
        <f>IFERROR(INDEX('PR Expenditure_7A import-export'!I$127:I$132,MATCH('PR Expenditure_7A'!$B216,'PR Expenditure_7A import-export'!$N$127:$N$132,0)),"")</f>
        <v/>
      </c>
      <c r="L216" s="1314"/>
      <c r="M216" s="1313">
        <f t="shared" si="36"/>
        <v>0</v>
      </c>
      <c r="N216" s="1317" t="e">
        <f t="shared" si="37"/>
        <v>#VALUE!</v>
      </c>
      <c r="O216" s="758"/>
      <c r="P216" s="438"/>
      <c r="Q216" s="295"/>
      <c r="R216" s="747"/>
      <c r="S216" s="295"/>
      <c r="T216" s="295"/>
      <c r="U216" s="274"/>
      <c r="V216" s="274"/>
      <c r="W216" s="99"/>
      <c r="AC216" s="273"/>
      <c r="AD216" s="273"/>
    </row>
    <row r="217" spans="1:30" s="272" customFormat="1" ht="39.950000000000003" hidden="1" customHeight="1" x14ac:dyDescent="0.25">
      <c r="A217" s="729" t="str">
        <f t="shared" si="38"/>
        <v>Don't Show</v>
      </c>
      <c r="B217" s="678" t="s">
        <v>2628</v>
      </c>
      <c r="C217" s="966" t="str">
        <f>IFERROR(INDEX('PR Expenditure_7A import-export'!A$127:A$132,MATCH('PR Expenditure_7A'!$B217,'PR Expenditure_7A import-export'!$N$127:$N$132,0)),"")</f>
        <v/>
      </c>
      <c r="D217" s="1318" t="str">
        <f>IFERROR(INDEX('PR Expenditure_7A import-export'!B$127:B$132,MATCH('PR Expenditure_7A'!$B217,'PR Expenditure_7A import-export'!$N$127:$N$132,0)),"")</f>
        <v/>
      </c>
      <c r="E217" s="1313" t="str">
        <f>IFERROR(INDEX('PR Expenditure_7A import-export'!C$127:C$132,MATCH('PR Expenditure_7A'!$B217,'PR Expenditure_7A import-export'!$N$127:$N$132,0)),"")</f>
        <v/>
      </c>
      <c r="F217" s="1314"/>
      <c r="G217" s="1313">
        <f t="shared" si="34"/>
        <v>0</v>
      </c>
      <c r="H217" s="1315" t="e">
        <f t="shared" si="35"/>
        <v>#VALUE!</v>
      </c>
      <c r="I217" s="1319"/>
      <c r="J217" s="1312"/>
      <c r="K217" s="1313" t="str">
        <f>IFERROR(INDEX('PR Expenditure_7A import-export'!I$127:I$132,MATCH('PR Expenditure_7A'!$B217,'PR Expenditure_7A import-export'!$N$127:$N$132,0)),"")</f>
        <v/>
      </c>
      <c r="L217" s="1314"/>
      <c r="M217" s="1313">
        <f t="shared" si="36"/>
        <v>0</v>
      </c>
      <c r="N217" s="1317" t="e">
        <f t="shared" si="37"/>
        <v>#VALUE!</v>
      </c>
      <c r="O217" s="758"/>
      <c r="P217" s="438"/>
      <c r="Q217" s="295"/>
      <c r="R217" s="747"/>
      <c r="S217" s="295"/>
      <c r="T217" s="295"/>
      <c r="U217" s="274"/>
      <c r="V217" s="274"/>
      <c r="W217" s="99"/>
      <c r="AC217" s="273"/>
      <c r="AD217" s="273"/>
    </row>
    <row r="218" spans="1:30" s="272" customFormat="1" ht="39.950000000000003" hidden="1" customHeight="1" x14ac:dyDescent="0.25">
      <c r="A218" s="729" t="str">
        <f t="shared" si="38"/>
        <v>Don't Show</v>
      </c>
      <c r="B218" s="678" t="s">
        <v>2629</v>
      </c>
      <c r="C218" s="966" t="str">
        <f>IFERROR(INDEX('PR Expenditure_7A import-export'!A$127:A$132,MATCH('PR Expenditure_7A'!$B218,'PR Expenditure_7A import-export'!$N$127:$N$132,0)),"")</f>
        <v/>
      </c>
      <c r="D218" s="1318" t="str">
        <f>IFERROR(INDEX('PR Expenditure_7A import-export'!B$127:B$132,MATCH('PR Expenditure_7A'!$B218,'PR Expenditure_7A import-export'!$N$127:$N$132,0)),"")</f>
        <v/>
      </c>
      <c r="E218" s="1313" t="str">
        <f>IFERROR(INDEX('PR Expenditure_7A import-export'!C$127:C$132,MATCH('PR Expenditure_7A'!$B218,'PR Expenditure_7A import-export'!$N$127:$N$132,0)),"")</f>
        <v/>
      </c>
      <c r="F218" s="1314"/>
      <c r="G218" s="1313">
        <f t="shared" si="34"/>
        <v>0</v>
      </c>
      <c r="H218" s="1315" t="e">
        <f t="shared" si="35"/>
        <v>#VALUE!</v>
      </c>
      <c r="I218" s="1319"/>
      <c r="J218" s="1312"/>
      <c r="K218" s="1313" t="str">
        <f>IFERROR(INDEX('PR Expenditure_7A import-export'!I$127:I$132,MATCH('PR Expenditure_7A'!$B218,'PR Expenditure_7A import-export'!$N$127:$N$132,0)),"")</f>
        <v/>
      </c>
      <c r="L218" s="1314"/>
      <c r="M218" s="1313">
        <f t="shared" si="36"/>
        <v>0</v>
      </c>
      <c r="N218" s="1317" t="e">
        <f t="shared" si="37"/>
        <v>#VALUE!</v>
      </c>
      <c r="O218" s="758"/>
      <c r="P218" s="438"/>
      <c r="Q218" s="295"/>
      <c r="R218" s="747"/>
      <c r="S218" s="295"/>
      <c r="T218" s="295"/>
      <c r="U218" s="274"/>
      <c r="V218" s="274"/>
      <c r="W218" s="99"/>
      <c r="AC218" s="273"/>
      <c r="AD218" s="273"/>
    </row>
    <row r="219" spans="1:30" s="272" customFormat="1" ht="39.950000000000003" hidden="1" customHeight="1" x14ac:dyDescent="0.25">
      <c r="A219" s="729" t="str">
        <f t="shared" si="38"/>
        <v>Don't Show</v>
      </c>
      <c r="B219" s="678" t="s">
        <v>2630</v>
      </c>
      <c r="C219" s="966" t="str">
        <f>IFERROR(INDEX('PR Expenditure_7A import-export'!A$127:A$132,MATCH('PR Expenditure_7A'!$B219,'PR Expenditure_7A import-export'!$N$127:$N$132,0)),"")</f>
        <v/>
      </c>
      <c r="D219" s="1318" t="str">
        <f>IFERROR(INDEX('PR Expenditure_7A import-export'!B$127:B$132,MATCH('PR Expenditure_7A'!$B219,'PR Expenditure_7A import-export'!$N$127:$N$132,0)),"")</f>
        <v/>
      </c>
      <c r="E219" s="1313" t="str">
        <f>IFERROR(INDEX('PR Expenditure_7A import-export'!C$127:C$132,MATCH('PR Expenditure_7A'!$B219,'PR Expenditure_7A import-export'!$N$127:$N$132,0)),"")</f>
        <v/>
      </c>
      <c r="F219" s="1314"/>
      <c r="G219" s="1313">
        <f t="shared" si="34"/>
        <v>0</v>
      </c>
      <c r="H219" s="1315" t="e">
        <f t="shared" si="35"/>
        <v>#VALUE!</v>
      </c>
      <c r="I219" s="1319"/>
      <c r="J219" s="1312"/>
      <c r="K219" s="1313" t="str">
        <f>IFERROR(INDEX('PR Expenditure_7A import-export'!I$127:I$132,MATCH('PR Expenditure_7A'!$B219,'PR Expenditure_7A import-export'!$N$127:$N$132,0)),"")</f>
        <v/>
      </c>
      <c r="L219" s="1314"/>
      <c r="M219" s="1313">
        <f t="shared" si="36"/>
        <v>0</v>
      </c>
      <c r="N219" s="1317" t="e">
        <f t="shared" si="37"/>
        <v>#VALUE!</v>
      </c>
      <c r="O219" s="758"/>
      <c r="P219" s="438"/>
      <c r="Q219" s="295"/>
      <c r="R219" s="747"/>
      <c r="S219" s="295"/>
      <c r="T219" s="295"/>
      <c r="U219" s="274"/>
      <c r="V219" s="274"/>
      <c r="W219" s="99"/>
      <c r="AC219" s="273"/>
      <c r="AD219" s="273"/>
    </row>
    <row r="220" spans="1:30" s="272" customFormat="1" ht="39.950000000000003" hidden="1" customHeight="1" x14ac:dyDescent="0.25">
      <c r="A220" s="729" t="str">
        <f t="shared" si="38"/>
        <v>Don't Show</v>
      </c>
      <c r="B220" s="678" t="s">
        <v>2631</v>
      </c>
      <c r="C220" s="966" t="str">
        <f>IFERROR(INDEX('PR Expenditure_7A import-export'!A$127:A$132,MATCH('PR Expenditure_7A'!$B220,'PR Expenditure_7A import-export'!$N$127:$N$132,0)),"")</f>
        <v/>
      </c>
      <c r="D220" s="1318" t="str">
        <f>IFERROR(INDEX('PR Expenditure_7A import-export'!B$127:B$132,MATCH('PR Expenditure_7A'!$B220,'PR Expenditure_7A import-export'!$N$127:$N$132,0)),"")</f>
        <v/>
      </c>
      <c r="E220" s="1313" t="str">
        <f>IFERROR(INDEX('PR Expenditure_7A import-export'!C$127:C$132,MATCH('PR Expenditure_7A'!$B220,'PR Expenditure_7A import-export'!$N$127:$N$132,0)),"")</f>
        <v/>
      </c>
      <c r="F220" s="1314"/>
      <c r="G220" s="1313">
        <f t="shared" si="34"/>
        <v>0</v>
      </c>
      <c r="H220" s="1315" t="e">
        <f t="shared" si="35"/>
        <v>#VALUE!</v>
      </c>
      <c r="I220" s="1319"/>
      <c r="J220" s="1312"/>
      <c r="K220" s="1313" t="str">
        <f>IFERROR(INDEX('PR Expenditure_7A import-export'!I$127:I$132,MATCH('PR Expenditure_7A'!$B220,'PR Expenditure_7A import-export'!$N$127:$N$132,0)),"")</f>
        <v/>
      </c>
      <c r="L220" s="1314"/>
      <c r="M220" s="1313">
        <f t="shared" si="36"/>
        <v>0</v>
      </c>
      <c r="N220" s="1317" t="e">
        <f t="shared" si="37"/>
        <v>#VALUE!</v>
      </c>
      <c r="O220" s="758"/>
      <c r="P220" s="438"/>
      <c r="Q220" s="295"/>
      <c r="R220" s="747"/>
      <c r="S220" s="295"/>
      <c r="T220" s="295"/>
      <c r="U220" s="274"/>
      <c r="V220" s="274"/>
      <c r="W220" s="99"/>
      <c r="AC220" s="273"/>
      <c r="AD220" s="273"/>
    </row>
    <row r="221" spans="1:30" s="272" customFormat="1" ht="39.950000000000003" hidden="1" customHeight="1" x14ac:dyDescent="0.25">
      <c r="A221" s="729" t="str">
        <f t="shared" si="38"/>
        <v>Don't Show</v>
      </c>
      <c r="B221" s="678" t="s">
        <v>2632</v>
      </c>
      <c r="C221" s="966" t="str">
        <f>IFERROR(INDEX('PR Expenditure_7A import-export'!A$127:A$132,MATCH('PR Expenditure_7A'!$B221,'PR Expenditure_7A import-export'!$N$127:$N$132,0)),"")</f>
        <v/>
      </c>
      <c r="D221" s="1318" t="str">
        <f>IFERROR(INDEX('PR Expenditure_7A import-export'!B$127:B$132,MATCH('PR Expenditure_7A'!$B221,'PR Expenditure_7A import-export'!$N$127:$N$132,0)),"")</f>
        <v/>
      </c>
      <c r="E221" s="1313" t="str">
        <f>IFERROR(INDEX('PR Expenditure_7A import-export'!C$127:C$132,MATCH('PR Expenditure_7A'!$B221,'PR Expenditure_7A import-export'!$N$127:$N$132,0)),"")</f>
        <v/>
      </c>
      <c r="F221" s="1314"/>
      <c r="G221" s="1313">
        <f t="shared" si="34"/>
        <v>0</v>
      </c>
      <c r="H221" s="1315" t="e">
        <f t="shared" si="35"/>
        <v>#VALUE!</v>
      </c>
      <c r="I221" s="1319"/>
      <c r="J221" s="1312"/>
      <c r="K221" s="1313" t="str">
        <f>IFERROR(INDEX('PR Expenditure_7A import-export'!I$127:I$132,MATCH('PR Expenditure_7A'!$B221,'PR Expenditure_7A import-export'!$N$127:$N$132,0)),"")</f>
        <v/>
      </c>
      <c r="L221" s="1314"/>
      <c r="M221" s="1313">
        <f t="shared" si="36"/>
        <v>0</v>
      </c>
      <c r="N221" s="1317" t="e">
        <f t="shared" si="37"/>
        <v>#VALUE!</v>
      </c>
      <c r="O221" s="758"/>
      <c r="P221" s="438"/>
      <c r="Q221" s="295"/>
      <c r="R221" s="747"/>
      <c r="S221" s="295"/>
      <c r="T221" s="295"/>
      <c r="U221" s="274"/>
      <c r="V221" s="274"/>
      <c r="W221" s="99"/>
      <c r="AC221" s="273"/>
      <c r="AD221" s="273"/>
    </row>
    <row r="222" spans="1:30" s="272" customFormat="1" ht="39.950000000000003" hidden="1" customHeight="1" x14ac:dyDescent="0.25">
      <c r="A222" s="729" t="str">
        <f t="shared" si="38"/>
        <v>Don't Show</v>
      </c>
      <c r="B222" s="678" t="s">
        <v>2633</v>
      </c>
      <c r="C222" s="966" t="str">
        <f>IFERROR(INDEX('PR Expenditure_7A import-export'!A$127:A$132,MATCH('PR Expenditure_7A'!$B222,'PR Expenditure_7A import-export'!$N$127:$N$132,0)),"")</f>
        <v/>
      </c>
      <c r="D222" s="1318" t="str">
        <f>IFERROR(INDEX('PR Expenditure_7A import-export'!B$127:B$132,MATCH('PR Expenditure_7A'!$B222,'PR Expenditure_7A import-export'!$N$127:$N$132,0)),"")</f>
        <v/>
      </c>
      <c r="E222" s="1313" t="str">
        <f>IFERROR(INDEX('PR Expenditure_7A import-export'!C$127:C$132,MATCH('PR Expenditure_7A'!$B222,'PR Expenditure_7A import-export'!$N$127:$N$132,0)),"")</f>
        <v/>
      </c>
      <c r="F222" s="1314"/>
      <c r="G222" s="1313">
        <f t="shared" si="34"/>
        <v>0</v>
      </c>
      <c r="H222" s="1315" t="e">
        <f t="shared" si="35"/>
        <v>#VALUE!</v>
      </c>
      <c r="I222" s="1319"/>
      <c r="J222" s="1312"/>
      <c r="K222" s="1313" t="str">
        <f>IFERROR(INDEX('PR Expenditure_7A import-export'!I$127:I$132,MATCH('PR Expenditure_7A'!$B222,'PR Expenditure_7A import-export'!$N$127:$N$132,0)),"")</f>
        <v/>
      </c>
      <c r="L222" s="1314"/>
      <c r="M222" s="1313">
        <f t="shared" si="36"/>
        <v>0</v>
      </c>
      <c r="N222" s="1317" t="e">
        <f t="shared" si="37"/>
        <v>#VALUE!</v>
      </c>
      <c r="O222" s="758"/>
      <c r="P222" s="438"/>
      <c r="Q222" s="295"/>
      <c r="R222" s="747"/>
      <c r="S222" s="295"/>
      <c r="T222" s="295"/>
      <c r="U222" s="274"/>
      <c r="V222" s="274"/>
      <c r="W222" s="99"/>
      <c r="AC222" s="273"/>
      <c r="AD222" s="273"/>
    </row>
    <row r="223" spans="1:30" s="272" customFormat="1" ht="39.950000000000003" hidden="1" customHeight="1" x14ac:dyDescent="0.25">
      <c r="A223" s="729" t="str">
        <f t="shared" si="38"/>
        <v>Don't Show</v>
      </c>
      <c r="B223" s="678" t="s">
        <v>2634</v>
      </c>
      <c r="C223" s="966" t="str">
        <f>IFERROR(INDEX('PR Expenditure_7A import-export'!A$127:A$132,MATCH('PR Expenditure_7A'!$B223,'PR Expenditure_7A import-export'!$N$127:$N$132,0)),"")</f>
        <v/>
      </c>
      <c r="D223" s="1318" t="str">
        <f>IFERROR(INDEX('PR Expenditure_7A import-export'!B$127:B$132,MATCH('PR Expenditure_7A'!$B223,'PR Expenditure_7A import-export'!$N$127:$N$132,0)),"")</f>
        <v/>
      </c>
      <c r="E223" s="1313" t="str">
        <f>IFERROR(INDEX('PR Expenditure_7A import-export'!C$127:C$132,MATCH('PR Expenditure_7A'!$B223,'PR Expenditure_7A import-export'!$N$127:$N$132,0)),"")</f>
        <v/>
      </c>
      <c r="F223" s="1314"/>
      <c r="G223" s="1313">
        <f t="shared" si="34"/>
        <v>0</v>
      </c>
      <c r="H223" s="1315" t="e">
        <f t="shared" si="35"/>
        <v>#VALUE!</v>
      </c>
      <c r="I223" s="1319"/>
      <c r="J223" s="1312"/>
      <c r="K223" s="1313" t="str">
        <f>IFERROR(INDEX('PR Expenditure_7A import-export'!I$127:I$132,MATCH('PR Expenditure_7A'!$B223,'PR Expenditure_7A import-export'!$N$127:$N$132,0)),"")</f>
        <v/>
      </c>
      <c r="L223" s="1314"/>
      <c r="M223" s="1313">
        <f t="shared" si="36"/>
        <v>0</v>
      </c>
      <c r="N223" s="1317" t="e">
        <f t="shared" si="37"/>
        <v>#VALUE!</v>
      </c>
      <c r="O223" s="758"/>
      <c r="P223" s="438"/>
      <c r="Q223" s="295"/>
      <c r="R223" s="747"/>
      <c r="S223" s="295"/>
      <c r="T223" s="295"/>
      <c r="U223" s="274"/>
      <c r="V223" s="274"/>
      <c r="W223" s="99"/>
      <c r="AC223" s="273"/>
      <c r="AD223" s="273"/>
    </row>
    <row r="224" spans="1:30" s="272" customFormat="1" ht="39.950000000000003" hidden="1" customHeight="1" x14ac:dyDescent="0.25">
      <c r="A224" s="729" t="str">
        <f t="shared" si="38"/>
        <v>Don't Show</v>
      </c>
      <c r="B224" s="678" t="s">
        <v>2635</v>
      </c>
      <c r="C224" s="966" t="str">
        <f>IFERROR(INDEX('PR Expenditure_7A import-export'!A$127:A$132,MATCH('PR Expenditure_7A'!$B224,'PR Expenditure_7A import-export'!$N$127:$N$132,0)),"")</f>
        <v/>
      </c>
      <c r="D224" s="1318" t="str">
        <f>IFERROR(INDEX('PR Expenditure_7A import-export'!B$127:B$132,MATCH('PR Expenditure_7A'!$B224,'PR Expenditure_7A import-export'!$N$127:$N$132,0)),"")</f>
        <v/>
      </c>
      <c r="E224" s="1313" t="str">
        <f>IFERROR(INDEX('PR Expenditure_7A import-export'!C$127:C$132,MATCH('PR Expenditure_7A'!$B224,'PR Expenditure_7A import-export'!$N$127:$N$132,0)),"")</f>
        <v/>
      </c>
      <c r="F224" s="1314"/>
      <c r="G224" s="1313">
        <f t="shared" si="34"/>
        <v>0</v>
      </c>
      <c r="H224" s="1315" t="e">
        <f t="shared" si="35"/>
        <v>#VALUE!</v>
      </c>
      <c r="I224" s="1319"/>
      <c r="J224" s="1312"/>
      <c r="K224" s="1313" t="str">
        <f>IFERROR(INDEX('PR Expenditure_7A import-export'!I$127:I$132,MATCH('PR Expenditure_7A'!$B224,'PR Expenditure_7A import-export'!$N$127:$N$132,0)),"")</f>
        <v/>
      </c>
      <c r="L224" s="1314"/>
      <c r="M224" s="1313">
        <f t="shared" si="36"/>
        <v>0</v>
      </c>
      <c r="N224" s="1317" t="e">
        <f t="shared" si="37"/>
        <v>#VALUE!</v>
      </c>
      <c r="O224" s="758"/>
      <c r="P224" s="438"/>
      <c r="Q224" s="295"/>
      <c r="R224" s="747"/>
      <c r="S224" s="295"/>
      <c r="T224" s="295"/>
      <c r="U224" s="274"/>
      <c r="V224" s="274"/>
      <c r="W224" s="99"/>
      <c r="AC224" s="273"/>
      <c r="AD224" s="273"/>
    </row>
    <row r="225" spans="1:30" s="272" customFormat="1" ht="39.950000000000003" hidden="1" customHeight="1" x14ac:dyDescent="0.25">
      <c r="A225" s="729" t="str">
        <f t="shared" si="38"/>
        <v>Don't Show</v>
      </c>
      <c r="B225" s="678" t="s">
        <v>2636</v>
      </c>
      <c r="C225" s="966" t="str">
        <f>IFERROR(INDEX('PR Expenditure_7A import-export'!A$127:A$132,MATCH('PR Expenditure_7A'!$B225,'PR Expenditure_7A import-export'!$N$127:$N$132,0)),"")</f>
        <v/>
      </c>
      <c r="D225" s="1318" t="str">
        <f>IFERROR(INDEX('PR Expenditure_7A import-export'!B$127:B$132,MATCH('PR Expenditure_7A'!$B225,'PR Expenditure_7A import-export'!$N$127:$N$132,0)),"")</f>
        <v/>
      </c>
      <c r="E225" s="1313" t="str">
        <f>IFERROR(INDEX('PR Expenditure_7A import-export'!C$127:C$132,MATCH('PR Expenditure_7A'!$B225,'PR Expenditure_7A import-export'!$N$127:$N$132,0)),"")</f>
        <v/>
      </c>
      <c r="F225" s="1314"/>
      <c r="G225" s="1313">
        <f t="shared" si="34"/>
        <v>0</v>
      </c>
      <c r="H225" s="1315" t="e">
        <f t="shared" si="35"/>
        <v>#VALUE!</v>
      </c>
      <c r="I225" s="1319"/>
      <c r="J225" s="1312"/>
      <c r="K225" s="1313" t="str">
        <f>IFERROR(INDEX('PR Expenditure_7A import-export'!I$127:I$132,MATCH('PR Expenditure_7A'!$B225,'PR Expenditure_7A import-export'!$N$127:$N$132,0)),"")</f>
        <v/>
      </c>
      <c r="L225" s="1314"/>
      <c r="M225" s="1313">
        <f t="shared" si="36"/>
        <v>0</v>
      </c>
      <c r="N225" s="1317" t="e">
        <f t="shared" si="37"/>
        <v>#VALUE!</v>
      </c>
      <c r="O225" s="758"/>
      <c r="P225" s="438"/>
      <c r="Q225" s="295"/>
      <c r="R225" s="747"/>
      <c r="S225" s="295"/>
      <c r="T225" s="295"/>
      <c r="U225" s="274"/>
      <c r="V225" s="274"/>
      <c r="W225" s="99"/>
      <c r="AC225" s="273"/>
      <c r="AD225" s="273"/>
    </row>
    <row r="226" spans="1:30" s="272" customFormat="1" ht="39.950000000000003" hidden="1" customHeight="1" x14ac:dyDescent="0.25">
      <c r="A226" s="729" t="str">
        <f t="shared" si="38"/>
        <v>Don't Show</v>
      </c>
      <c r="B226" s="678" t="s">
        <v>2637</v>
      </c>
      <c r="C226" s="966" t="str">
        <f>IFERROR(INDEX('PR Expenditure_7A import-export'!A$127:A$132,MATCH('PR Expenditure_7A'!$B226,'PR Expenditure_7A import-export'!$N$127:$N$132,0)),"")</f>
        <v/>
      </c>
      <c r="D226" s="1318" t="str">
        <f>IFERROR(INDEX('PR Expenditure_7A import-export'!B$127:B$132,MATCH('PR Expenditure_7A'!$B226,'PR Expenditure_7A import-export'!$N$127:$N$132,0)),"")</f>
        <v/>
      </c>
      <c r="E226" s="1313" t="str">
        <f>IFERROR(INDEX('PR Expenditure_7A import-export'!C$127:C$132,MATCH('PR Expenditure_7A'!$B226,'PR Expenditure_7A import-export'!$N$127:$N$132,0)),"")</f>
        <v/>
      </c>
      <c r="F226" s="1314"/>
      <c r="G226" s="1313">
        <f t="shared" si="34"/>
        <v>0</v>
      </c>
      <c r="H226" s="1315" t="e">
        <f t="shared" si="35"/>
        <v>#VALUE!</v>
      </c>
      <c r="I226" s="1319"/>
      <c r="J226" s="1312"/>
      <c r="K226" s="1313" t="str">
        <f>IFERROR(INDEX('PR Expenditure_7A import-export'!I$127:I$132,MATCH('PR Expenditure_7A'!$B226,'PR Expenditure_7A import-export'!$N$127:$N$132,0)),"")</f>
        <v/>
      </c>
      <c r="L226" s="1314"/>
      <c r="M226" s="1313">
        <f t="shared" si="36"/>
        <v>0</v>
      </c>
      <c r="N226" s="1317" t="e">
        <f t="shared" si="37"/>
        <v>#VALUE!</v>
      </c>
      <c r="O226" s="758"/>
      <c r="P226" s="438"/>
      <c r="Q226" s="295"/>
      <c r="R226" s="747"/>
      <c r="S226" s="295"/>
      <c r="T226" s="295"/>
      <c r="U226" s="274"/>
      <c r="V226" s="274"/>
      <c r="W226" s="99"/>
      <c r="AC226" s="273"/>
      <c r="AD226" s="273"/>
    </row>
    <row r="227" spans="1:30" s="272" customFormat="1" ht="39.950000000000003" hidden="1" customHeight="1" x14ac:dyDescent="0.25">
      <c r="A227" s="729" t="str">
        <f t="shared" si="38"/>
        <v>Don't Show</v>
      </c>
      <c r="B227" s="678" t="s">
        <v>2638</v>
      </c>
      <c r="C227" s="966" t="str">
        <f>IFERROR(INDEX('PR Expenditure_7A import-export'!A$127:A$132,MATCH('PR Expenditure_7A'!$B227,'PR Expenditure_7A import-export'!$N$127:$N$132,0)),"")</f>
        <v/>
      </c>
      <c r="D227" s="1318" t="str">
        <f>IFERROR(INDEX('PR Expenditure_7A import-export'!B$127:B$132,MATCH('PR Expenditure_7A'!$B227,'PR Expenditure_7A import-export'!$N$127:$N$132,0)),"")</f>
        <v/>
      </c>
      <c r="E227" s="1313" t="str">
        <f>IFERROR(INDEX('PR Expenditure_7A import-export'!C$127:C$132,MATCH('PR Expenditure_7A'!$B227,'PR Expenditure_7A import-export'!$N$127:$N$132,0)),"")</f>
        <v/>
      </c>
      <c r="F227" s="1314"/>
      <c r="G227" s="1313">
        <f t="shared" si="34"/>
        <v>0</v>
      </c>
      <c r="H227" s="1315" t="e">
        <f t="shared" si="35"/>
        <v>#VALUE!</v>
      </c>
      <c r="I227" s="1319"/>
      <c r="J227" s="1312"/>
      <c r="K227" s="1313" t="str">
        <f>IFERROR(INDEX('PR Expenditure_7A import-export'!I$127:I$132,MATCH('PR Expenditure_7A'!$B227,'PR Expenditure_7A import-export'!$N$127:$N$132,0)),"")</f>
        <v/>
      </c>
      <c r="L227" s="1314"/>
      <c r="M227" s="1313">
        <f t="shared" si="36"/>
        <v>0</v>
      </c>
      <c r="N227" s="1317" t="e">
        <f t="shared" si="37"/>
        <v>#VALUE!</v>
      </c>
      <c r="O227" s="758"/>
      <c r="P227" s="438"/>
      <c r="Q227" s="295"/>
      <c r="R227" s="747"/>
      <c r="S227" s="295"/>
      <c r="T227" s="295"/>
      <c r="U227" s="274"/>
      <c r="V227" s="274"/>
      <c r="W227" s="99"/>
      <c r="AC227" s="273"/>
      <c r="AD227" s="273"/>
    </row>
    <row r="228" spans="1:30" s="272" customFormat="1" ht="39.950000000000003" hidden="1" customHeight="1" x14ac:dyDescent="0.25">
      <c r="A228" s="729" t="str">
        <f t="shared" si="38"/>
        <v>Don't Show</v>
      </c>
      <c r="B228" s="678" t="s">
        <v>2639</v>
      </c>
      <c r="C228" s="966" t="str">
        <f>IFERROR(INDEX('PR Expenditure_7A import-export'!A$127:A$132,MATCH('PR Expenditure_7A'!$B228,'PR Expenditure_7A import-export'!$N$127:$N$132,0)),"")</f>
        <v/>
      </c>
      <c r="D228" s="1318" t="str">
        <f>IFERROR(INDEX('PR Expenditure_7A import-export'!B$127:B$132,MATCH('PR Expenditure_7A'!$B228,'PR Expenditure_7A import-export'!$N$127:$N$132,0)),"")</f>
        <v/>
      </c>
      <c r="E228" s="1313" t="str">
        <f>IFERROR(INDEX('PR Expenditure_7A import-export'!C$127:C$132,MATCH('PR Expenditure_7A'!$B228,'PR Expenditure_7A import-export'!$N$127:$N$132,0)),"")</f>
        <v/>
      </c>
      <c r="F228" s="1314"/>
      <c r="G228" s="1313">
        <f t="shared" si="34"/>
        <v>0</v>
      </c>
      <c r="H228" s="1315" t="e">
        <f t="shared" si="35"/>
        <v>#VALUE!</v>
      </c>
      <c r="I228" s="1319"/>
      <c r="J228" s="1312"/>
      <c r="K228" s="1313" t="str">
        <f>IFERROR(INDEX('PR Expenditure_7A import-export'!I$127:I$132,MATCH('PR Expenditure_7A'!$B228,'PR Expenditure_7A import-export'!$N$127:$N$132,0)),"")</f>
        <v/>
      </c>
      <c r="L228" s="1314"/>
      <c r="M228" s="1313">
        <f t="shared" si="36"/>
        <v>0</v>
      </c>
      <c r="N228" s="1317" t="e">
        <f t="shared" si="37"/>
        <v>#VALUE!</v>
      </c>
      <c r="O228" s="758"/>
      <c r="P228" s="438"/>
      <c r="Q228" s="295"/>
      <c r="R228" s="747"/>
      <c r="S228" s="295"/>
      <c r="T228" s="295"/>
      <c r="U228" s="274"/>
      <c r="V228" s="274"/>
      <c r="W228" s="99"/>
      <c r="AC228" s="273"/>
      <c r="AD228" s="273"/>
    </row>
    <row r="229" spans="1:30" s="272" customFormat="1" ht="39.950000000000003" hidden="1" customHeight="1" x14ac:dyDescent="0.25">
      <c r="A229" s="729" t="str">
        <f t="shared" si="38"/>
        <v>Don't Show</v>
      </c>
      <c r="B229" s="678" t="s">
        <v>2640</v>
      </c>
      <c r="C229" s="966" t="str">
        <f>IFERROR(INDEX('PR Expenditure_7A import-export'!A$127:A$132,MATCH('PR Expenditure_7A'!$B229,'PR Expenditure_7A import-export'!$N$127:$N$132,0)),"")</f>
        <v/>
      </c>
      <c r="D229" s="1318" t="str">
        <f>IFERROR(INDEX('PR Expenditure_7A import-export'!B$127:B$132,MATCH('PR Expenditure_7A'!$B229,'PR Expenditure_7A import-export'!$N$127:$N$132,0)),"")</f>
        <v/>
      </c>
      <c r="E229" s="1313" t="str">
        <f>IFERROR(INDEX('PR Expenditure_7A import-export'!C$127:C$132,MATCH('PR Expenditure_7A'!$B229,'PR Expenditure_7A import-export'!$N$127:$N$132,0)),"")</f>
        <v/>
      </c>
      <c r="F229" s="1314"/>
      <c r="G229" s="1313">
        <f t="shared" si="34"/>
        <v>0</v>
      </c>
      <c r="H229" s="1315" t="e">
        <f t="shared" si="35"/>
        <v>#VALUE!</v>
      </c>
      <c r="I229" s="1319"/>
      <c r="J229" s="1312"/>
      <c r="K229" s="1313" t="str">
        <f>IFERROR(INDEX('PR Expenditure_7A import-export'!I$127:I$132,MATCH('PR Expenditure_7A'!$B229,'PR Expenditure_7A import-export'!$N$127:$N$132,0)),"")</f>
        <v/>
      </c>
      <c r="L229" s="1314"/>
      <c r="M229" s="1313">
        <f t="shared" si="36"/>
        <v>0</v>
      </c>
      <c r="N229" s="1317" t="e">
        <f t="shared" si="37"/>
        <v>#VALUE!</v>
      </c>
      <c r="O229" s="758"/>
      <c r="P229" s="438"/>
      <c r="Q229" s="295"/>
      <c r="R229" s="747"/>
      <c r="S229" s="295"/>
      <c r="T229" s="295"/>
      <c r="U229" s="274"/>
      <c r="V229" s="274"/>
      <c r="W229" s="99"/>
      <c r="AC229" s="273"/>
      <c r="AD229" s="273"/>
    </row>
    <row r="230" spans="1:30" s="272" customFormat="1" ht="39.950000000000003" hidden="1" customHeight="1" x14ac:dyDescent="0.25">
      <c r="A230" s="729" t="str">
        <f t="shared" si="38"/>
        <v>Don't Show</v>
      </c>
      <c r="B230" s="678" t="s">
        <v>2641</v>
      </c>
      <c r="C230" s="966" t="str">
        <f>IFERROR(INDEX('PR Expenditure_7A import-export'!A$127:A$132,MATCH('PR Expenditure_7A'!$B230,'PR Expenditure_7A import-export'!$N$127:$N$132,0)),"")</f>
        <v/>
      </c>
      <c r="D230" s="1318" t="str">
        <f>IFERROR(INDEX('PR Expenditure_7A import-export'!B$127:B$132,MATCH('PR Expenditure_7A'!$B230,'PR Expenditure_7A import-export'!$N$127:$N$132,0)),"")</f>
        <v/>
      </c>
      <c r="E230" s="1313" t="str">
        <f>IFERROR(INDEX('PR Expenditure_7A import-export'!C$127:C$132,MATCH('PR Expenditure_7A'!$B230,'PR Expenditure_7A import-export'!$N$127:$N$132,0)),"")</f>
        <v/>
      </c>
      <c r="F230" s="1314"/>
      <c r="G230" s="1313">
        <f t="shared" si="34"/>
        <v>0</v>
      </c>
      <c r="H230" s="1315" t="e">
        <f t="shared" si="35"/>
        <v>#VALUE!</v>
      </c>
      <c r="I230" s="1319"/>
      <c r="J230" s="1312"/>
      <c r="K230" s="1313" t="str">
        <f>IFERROR(INDEX('PR Expenditure_7A import-export'!I$127:I$132,MATCH('PR Expenditure_7A'!$B230,'PR Expenditure_7A import-export'!$N$127:$N$132,0)),"")</f>
        <v/>
      </c>
      <c r="L230" s="1314"/>
      <c r="M230" s="1313">
        <f t="shared" si="36"/>
        <v>0</v>
      </c>
      <c r="N230" s="1317" t="e">
        <f t="shared" si="37"/>
        <v>#VALUE!</v>
      </c>
      <c r="O230" s="758"/>
      <c r="P230" s="438"/>
      <c r="Q230" s="295"/>
      <c r="R230" s="747"/>
      <c r="S230" s="295"/>
      <c r="T230" s="295"/>
      <c r="U230" s="274"/>
      <c r="V230" s="274"/>
      <c r="W230" s="99"/>
      <c r="AC230" s="273"/>
      <c r="AD230" s="273"/>
    </row>
    <row r="231" spans="1:30" s="272" customFormat="1" ht="39.950000000000003" hidden="1" customHeight="1" x14ac:dyDescent="0.25">
      <c r="A231" s="729" t="str">
        <f t="shared" si="38"/>
        <v>Don't Show</v>
      </c>
      <c r="B231" s="678" t="s">
        <v>2642</v>
      </c>
      <c r="C231" s="966" t="str">
        <f>IFERROR(INDEX('PR Expenditure_7A import-export'!A$127:A$132,MATCH('PR Expenditure_7A'!$B231,'PR Expenditure_7A import-export'!$N$127:$N$132,0)),"")</f>
        <v/>
      </c>
      <c r="D231" s="1318" t="str">
        <f>IFERROR(INDEX('PR Expenditure_7A import-export'!B$127:B$132,MATCH('PR Expenditure_7A'!$B231,'PR Expenditure_7A import-export'!$N$127:$N$132,0)),"")</f>
        <v/>
      </c>
      <c r="E231" s="1313" t="str">
        <f>IFERROR(INDEX('PR Expenditure_7A import-export'!C$127:C$132,MATCH('PR Expenditure_7A'!$B231,'PR Expenditure_7A import-export'!$N$127:$N$132,0)),"")</f>
        <v/>
      </c>
      <c r="F231" s="1314"/>
      <c r="G231" s="1313">
        <f t="shared" si="34"/>
        <v>0</v>
      </c>
      <c r="H231" s="1315" t="e">
        <f t="shared" si="35"/>
        <v>#VALUE!</v>
      </c>
      <c r="I231" s="1319"/>
      <c r="J231" s="1312"/>
      <c r="K231" s="1313" t="str">
        <f>IFERROR(INDEX('PR Expenditure_7A import-export'!I$127:I$132,MATCH('PR Expenditure_7A'!$B231,'PR Expenditure_7A import-export'!$N$127:$N$132,0)),"")</f>
        <v/>
      </c>
      <c r="L231" s="1314"/>
      <c r="M231" s="1313">
        <f t="shared" si="36"/>
        <v>0</v>
      </c>
      <c r="N231" s="1317" t="e">
        <f t="shared" si="37"/>
        <v>#VALUE!</v>
      </c>
      <c r="O231" s="758"/>
      <c r="P231" s="438"/>
      <c r="Q231" s="295"/>
      <c r="R231" s="747"/>
      <c r="S231" s="295"/>
      <c r="T231" s="295"/>
      <c r="U231" s="274"/>
      <c r="V231" s="274"/>
      <c r="W231" s="99"/>
      <c r="AC231" s="273"/>
      <c r="AD231" s="273"/>
    </row>
    <row r="232" spans="1:30" s="272" customFormat="1" ht="39.950000000000003" hidden="1" customHeight="1" x14ac:dyDescent="0.25">
      <c r="A232" s="729" t="str">
        <f t="shared" si="38"/>
        <v>Don't Show</v>
      </c>
      <c r="B232" s="678" t="s">
        <v>2643</v>
      </c>
      <c r="C232" s="966" t="str">
        <f>IFERROR(INDEX('PR Expenditure_7A import-export'!A$127:A$132,MATCH('PR Expenditure_7A'!$B232,'PR Expenditure_7A import-export'!$N$127:$N$132,0)),"")</f>
        <v/>
      </c>
      <c r="D232" s="1318" t="str">
        <f>IFERROR(INDEX('PR Expenditure_7A import-export'!B$127:B$132,MATCH('PR Expenditure_7A'!$B232,'PR Expenditure_7A import-export'!$N$127:$N$132,0)),"")</f>
        <v/>
      </c>
      <c r="E232" s="1313" t="str">
        <f>IFERROR(INDEX('PR Expenditure_7A import-export'!C$127:C$132,MATCH('PR Expenditure_7A'!$B232,'PR Expenditure_7A import-export'!$N$127:$N$132,0)),"")</f>
        <v/>
      </c>
      <c r="F232" s="1314"/>
      <c r="G232" s="1313">
        <f t="shared" si="34"/>
        <v>0</v>
      </c>
      <c r="H232" s="1315" t="e">
        <f t="shared" si="35"/>
        <v>#VALUE!</v>
      </c>
      <c r="I232" s="1319"/>
      <c r="J232" s="1312"/>
      <c r="K232" s="1313" t="str">
        <f>IFERROR(INDEX('PR Expenditure_7A import-export'!I$127:I$132,MATCH('PR Expenditure_7A'!$B232,'PR Expenditure_7A import-export'!$N$127:$N$132,0)),"")</f>
        <v/>
      </c>
      <c r="L232" s="1314"/>
      <c r="M232" s="1313">
        <f t="shared" si="36"/>
        <v>0</v>
      </c>
      <c r="N232" s="1317" t="e">
        <f t="shared" si="37"/>
        <v>#VALUE!</v>
      </c>
      <c r="O232" s="758"/>
      <c r="P232" s="438"/>
      <c r="Q232" s="295"/>
      <c r="R232" s="747"/>
      <c r="S232" s="295"/>
      <c r="T232" s="295"/>
      <c r="U232" s="274"/>
      <c r="V232" s="274"/>
      <c r="W232" s="99"/>
      <c r="AC232" s="273"/>
      <c r="AD232" s="273"/>
    </row>
    <row r="233" spans="1:30" s="272" customFormat="1" ht="39.950000000000003" hidden="1" customHeight="1" x14ac:dyDescent="0.25">
      <c r="A233" s="729" t="str">
        <f t="shared" si="38"/>
        <v>Don't Show</v>
      </c>
      <c r="B233" s="678" t="s">
        <v>2644</v>
      </c>
      <c r="C233" s="966" t="str">
        <f>IFERROR(INDEX('PR Expenditure_7A import-export'!A$127:A$132,MATCH('PR Expenditure_7A'!$B233,'PR Expenditure_7A import-export'!$N$127:$N$132,0)),"")</f>
        <v/>
      </c>
      <c r="D233" s="1318" t="str">
        <f>IFERROR(INDEX('PR Expenditure_7A import-export'!B$127:B$132,MATCH('PR Expenditure_7A'!$B233,'PR Expenditure_7A import-export'!$N$127:$N$132,0)),"")</f>
        <v/>
      </c>
      <c r="E233" s="1313" t="str">
        <f>IFERROR(INDEX('PR Expenditure_7A import-export'!C$127:C$132,MATCH('PR Expenditure_7A'!$B233,'PR Expenditure_7A import-export'!$N$127:$N$132,0)),"")</f>
        <v/>
      </c>
      <c r="F233" s="1314"/>
      <c r="G233" s="1313">
        <f t="shared" si="34"/>
        <v>0</v>
      </c>
      <c r="H233" s="1315" t="e">
        <f t="shared" si="35"/>
        <v>#VALUE!</v>
      </c>
      <c r="I233" s="1319"/>
      <c r="J233" s="1312"/>
      <c r="K233" s="1313" t="str">
        <f>IFERROR(INDEX('PR Expenditure_7A import-export'!I$127:I$132,MATCH('PR Expenditure_7A'!$B233,'PR Expenditure_7A import-export'!$N$127:$N$132,0)),"")</f>
        <v/>
      </c>
      <c r="L233" s="1314"/>
      <c r="M233" s="1313">
        <f t="shared" si="36"/>
        <v>0</v>
      </c>
      <c r="N233" s="1317" t="e">
        <f t="shared" si="37"/>
        <v>#VALUE!</v>
      </c>
      <c r="O233" s="758"/>
      <c r="P233" s="438"/>
      <c r="Q233" s="295"/>
      <c r="R233" s="747"/>
      <c r="S233" s="295"/>
      <c r="T233" s="295"/>
      <c r="U233" s="274"/>
      <c r="V233" s="274"/>
      <c r="W233" s="99"/>
      <c r="AC233" s="273"/>
      <c r="AD233" s="273"/>
    </row>
    <row r="234" spans="1:30" s="272" customFormat="1" ht="39.950000000000003" hidden="1" customHeight="1" x14ac:dyDescent="0.25">
      <c r="A234" s="729" t="str">
        <f t="shared" si="38"/>
        <v>Don't Show</v>
      </c>
      <c r="B234" s="678" t="s">
        <v>2645</v>
      </c>
      <c r="C234" s="966" t="str">
        <f>IFERROR(INDEX('PR Expenditure_7A import-export'!A$127:A$132,MATCH('PR Expenditure_7A'!$B234,'PR Expenditure_7A import-export'!$N$127:$N$132,0)),"")</f>
        <v/>
      </c>
      <c r="D234" s="1318" t="str">
        <f>IFERROR(INDEX('PR Expenditure_7A import-export'!B$127:B$132,MATCH('PR Expenditure_7A'!$B234,'PR Expenditure_7A import-export'!$N$127:$N$132,0)),"")</f>
        <v/>
      </c>
      <c r="E234" s="1313" t="str">
        <f>IFERROR(INDEX('PR Expenditure_7A import-export'!C$127:C$132,MATCH('PR Expenditure_7A'!$B234,'PR Expenditure_7A import-export'!$N$127:$N$132,0)),"")</f>
        <v/>
      </c>
      <c r="F234" s="1314"/>
      <c r="G234" s="1313">
        <f t="shared" si="34"/>
        <v>0</v>
      </c>
      <c r="H234" s="1315" t="e">
        <f t="shared" si="35"/>
        <v>#VALUE!</v>
      </c>
      <c r="I234" s="1319"/>
      <c r="J234" s="1312"/>
      <c r="K234" s="1313" t="str">
        <f>IFERROR(INDEX('PR Expenditure_7A import-export'!I$127:I$132,MATCH('PR Expenditure_7A'!$B234,'PR Expenditure_7A import-export'!$N$127:$N$132,0)),"")</f>
        <v/>
      </c>
      <c r="L234" s="1314"/>
      <c r="M234" s="1313">
        <f t="shared" si="36"/>
        <v>0</v>
      </c>
      <c r="N234" s="1317" t="e">
        <f t="shared" si="37"/>
        <v>#VALUE!</v>
      </c>
      <c r="O234" s="758"/>
      <c r="P234" s="438"/>
      <c r="Q234" s="295"/>
      <c r="R234" s="747"/>
      <c r="S234" s="295"/>
      <c r="T234" s="295"/>
      <c r="U234" s="274"/>
      <c r="V234" s="274"/>
      <c r="W234" s="99"/>
      <c r="AC234" s="273"/>
      <c r="AD234" s="273"/>
    </row>
    <row r="235" spans="1:30" s="272" customFormat="1" ht="39.950000000000003" hidden="1" customHeight="1" x14ac:dyDescent="0.25">
      <c r="A235" s="729" t="str">
        <f t="shared" si="38"/>
        <v>Don't Show</v>
      </c>
      <c r="B235" s="678" t="s">
        <v>2646</v>
      </c>
      <c r="C235" s="966" t="str">
        <f>IFERROR(INDEX('PR Expenditure_7A import-export'!A$127:A$132,MATCH('PR Expenditure_7A'!$B235,'PR Expenditure_7A import-export'!$N$127:$N$132,0)),"")</f>
        <v/>
      </c>
      <c r="D235" s="1318" t="str">
        <f>IFERROR(INDEX('PR Expenditure_7A import-export'!B$127:B$132,MATCH('PR Expenditure_7A'!$B235,'PR Expenditure_7A import-export'!$N$127:$N$132,0)),"")</f>
        <v/>
      </c>
      <c r="E235" s="1313" t="str">
        <f>IFERROR(INDEX('PR Expenditure_7A import-export'!C$127:C$132,MATCH('PR Expenditure_7A'!$B235,'PR Expenditure_7A import-export'!$N$127:$N$132,0)),"")</f>
        <v/>
      </c>
      <c r="F235" s="1314"/>
      <c r="G235" s="1313">
        <f t="shared" si="34"/>
        <v>0</v>
      </c>
      <c r="H235" s="1315" t="e">
        <f t="shared" si="35"/>
        <v>#VALUE!</v>
      </c>
      <c r="I235" s="1319"/>
      <c r="J235" s="1312"/>
      <c r="K235" s="1313" t="str">
        <f>IFERROR(INDEX('PR Expenditure_7A import-export'!I$127:I$132,MATCH('PR Expenditure_7A'!$B235,'PR Expenditure_7A import-export'!$N$127:$N$132,0)),"")</f>
        <v/>
      </c>
      <c r="L235" s="1314"/>
      <c r="M235" s="1313">
        <f t="shared" si="36"/>
        <v>0</v>
      </c>
      <c r="N235" s="1317" t="e">
        <f t="shared" si="37"/>
        <v>#VALUE!</v>
      </c>
      <c r="O235" s="758"/>
      <c r="P235" s="438"/>
      <c r="Q235" s="295"/>
      <c r="R235" s="747"/>
      <c r="S235" s="295"/>
      <c r="T235" s="295"/>
      <c r="U235" s="274"/>
      <c r="V235" s="274"/>
      <c r="W235" s="99"/>
      <c r="AC235" s="273"/>
      <c r="AD235" s="273"/>
    </row>
    <row r="236" spans="1:30" s="272" customFormat="1" ht="39.950000000000003" hidden="1" customHeight="1" x14ac:dyDescent="0.25">
      <c r="A236" s="729" t="str">
        <f t="shared" si="38"/>
        <v>Don't Show</v>
      </c>
      <c r="B236" s="678" t="s">
        <v>2647</v>
      </c>
      <c r="C236" s="966" t="str">
        <f>IFERROR(INDEX('PR Expenditure_7A import-export'!A$127:A$132,MATCH('PR Expenditure_7A'!$B236,'PR Expenditure_7A import-export'!$N$127:$N$132,0)),"")</f>
        <v/>
      </c>
      <c r="D236" s="1318" t="str">
        <f>IFERROR(INDEX('PR Expenditure_7A import-export'!B$127:B$132,MATCH('PR Expenditure_7A'!$B236,'PR Expenditure_7A import-export'!$N$127:$N$132,0)),"")</f>
        <v/>
      </c>
      <c r="E236" s="1313" t="str">
        <f>IFERROR(INDEX('PR Expenditure_7A import-export'!C$127:C$132,MATCH('PR Expenditure_7A'!$B236,'PR Expenditure_7A import-export'!$N$127:$N$132,0)),"")</f>
        <v/>
      </c>
      <c r="F236" s="1314"/>
      <c r="G236" s="1313">
        <f t="shared" si="34"/>
        <v>0</v>
      </c>
      <c r="H236" s="1315" t="e">
        <f t="shared" si="35"/>
        <v>#VALUE!</v>
      </c>
      <c r="I236" s="1319"/>
      <c r="J236" s="1312"/>
      <c r="K236" s="1313" t="str">
        <f>IFERROR(INDEX('PR Expenditure_7A import-export'!I$127:I$132,MATCH('PR Expenditure_7A'!$B236,'PR Expenditure_7A import-export'!$N$127:$N$132,0)),"")</f>
        <v/>
      </c>
      <c r="L236" s="1314"/>
      <c r="M236" s="1313">
        <f t="shared" si="36"/>
        <v>0</v>
      </c>
      <c r="N236" s="1317" t="e">
        <f t="shared" si="37"/>
        <v>#VALUE!</v>
      </c>
      <c r="O236" s="758"/>
      <c r="P236" s="438"/>
      <c r="Q236" s="295"/>
      <c r="R236" s="747"/>
      <c r="S236" s="295"/>
      <c r="T236" s="295"/>
      <c r="U236" s="274"/>
      <c r="V236" s="274"/>
      <c r="W236" s="99"/>
      <c r="AC236" s="273"/>
      <c r="AD236" s="273"/>
    </row>
    <row r="237" spans="1:30" s="272" customFormat="1" ht="39.950000000000003" hidden="1" customHeight="1" x14ac:dyDescent="0.25">
      <c r="A237" s="729" t="str">
        <f t="shared" si="38"/>
        <v>Don't Show</v>
      </c>
      <c r="B237" s="678" t="s">
        <v>2648</v>
      </c>
      <c r="C237" s="966" t="str">
        <f>IFERROR(INDEX('PR Expenditure_7A import-export'!A$127:A$132,MATCH('PR Expenditure_7A'!$B237,'PR Expenditure_7A import-export'!$N$127:$N$132,0)),"")</f>
        <v/>
      </c>
      <c r="D237" s="1318" t="str">
        <f>IFERROR(INDEX('PR Expenditure_7A import-export'!B$127:B$132,MATCH('PR Expenditure_7A'!$B237,'PR Expenditure_7A import-export'!$N$127:$N$132,0)),"")</f>
        <v/>
      </c>
      <c r="E237" s="1313" t="str">
        <f>IFERROR(INDEX('PR Expenditure_7A import-export'!C$127:C$132,MATCH('PR Expenditure_7A'!$B237,'PR Expenditure_7A import-export'!$N$127:$N$132,0)),"")</f>
        <v/>
      </c>
      <c r="F237" s="1314"/>
      <c r="G237" s="1313">
        <f t="shared" si="34"/>
        <v>0</v>
      </c>
      <c r="H237" s="1315" t="e">
        <f t="shared" si="35"/>
        <v>#VALUE!</v>
      </c>
      <c r="I237" s="1319"/>
      <c r="J237" s="1312"/>
      <c r="K237" s="1313" t="str">
        <f>IFERROR(INDEX('PR Expenditure_7A import-export'!I$127:I$132,MATCH('PR Expenditure_7A'!$B237,'PR Expenditure_7A import-export'!$N$127:$N$132,0)),"")</f>
        <v/>
      </c>
      <c r="L237" s="1314"/>
      <c r="M237" s="1313">
        <f t="shared" si="36"/>
        <v>0</v>
      </c>
      <c r="N237" s="1317" t="e">
        <f t="shared" si="37"/>
        <v>#VALUE!</v>
      </c>
      <c r="O237" s="758"/>
      <c r="P237" s="438"/>
      <c r="Q237" s="295"/>
      <c r="R237" s="747"/>
      <c r="S237" s="295"/>
      <c r="T237" s="295"/>
      <c r="U237" s="274"/>
      <c r="V237" s="274"/>
      <c r="W237" s="99"/>
      <c r="AC237" s="273"/>
      <c r="AD237" s="273"/>
    </row>
    <row r="238" spans="1:30" s="272" customFormat="1" ht="39.950000000000003" hidden="1" customHeight="1" x14ac:dyDescent="0.25">
      <c r="A238" s="729" t="str">
        <f t="shared" si="38"/>
        <v>Don't Show</v>
      </c>
      <c r="B238" s="678" t="s">
        <v>2649</v>
      </c>
      <c r="C238" s="966" t="str">
        <f>IFERROR(INDEX('PR Expenditure_7A import-export'!A$127:A$132,MATCH('PR Expenditure_7A'!$B238,'PR Expenditure_7A import-export'!$N$127:$N$132,0)),"")</f>
        <v/>
      </c>
      <c r="D238" s="1318" t="str">
        <f>IFERROR(INDEX('PR Expenditure_7A import-export'!B$127:B$132,MATCH('PR Expenditure_7A'!$B238,'PR Expenditure_7A import-export'!$N$127:$N$132,0)),"")</f>
        <v/>
      </c>
      <c r="E238" s="1313" t="str">
        <f>IFERROR(INDEX('PR Expenditure_7A import-export'!C$127:C$132,MATCH('PR Expenditure_7A'!$B238,'PR Expenditure_7A import-export'!$N$127:$N$132,0)),"")</f>
        <v/>
      </c>
      <c r="F238" s="1314"/>
      <c r="G238" s="1313">
        <f t="shared" si="34"/>
        <v>0</v>
      </c>
      <c r="H238" s="1315" t="e">
        <f t="shared" si="35"/>
        <v>#VALUE!</v>
      </c>
      <c r="I238" s="1319"/>
      <c r="J238" s="1312"/>
      <c r="K238" s="1313" t="str">
        <f>IFERROR(INDEX('PR Expenditure_7A import-export'!I$127:I$132,MATCH('PR Expenditure_7A'!$B238,'PR Expenditure_7A import-export'!$N$127:$N$132,0)),"")</f>
        <v/>
      </c>
      <c r="L238" s="1314"/>
      <c r="M238" s="1313">
        <f t="shared" si="36"/>
        <v>0</v>
      </c>
      <c r="N238" s="1317" t="e">
        <f t="shared" si="37"/>
        <v>#VALUE!</v>
      </c>
      <c r="O238" s="758"/>
      <c r="P238" s="438"/>
      <c r="Q238" s="295"/>
      <c r="R238" s="747"/>
      <c r="S238" s="295"/>
      <c r="T238" s="295"/>
      <c r="U238" s="274"/>
      <c r="V238" s="274"/>
      <c r="W238" s="99"/>
      <c r="AC238" s="273"/>
      <c r="AD238" s="273"/>
    </row>
    <row r="239" spans="1:30" s="272" customFormat="1" ht="39.950000000000003" hidden="1" customHeight="1" x14ac:dyDescent="0.25">
      <c r="A239" s="729" t="str">
        <f t="shared" si="38"/>
        <v>Don't Show</v>
      </c>
      <c r="B239" s="678" t="s">
        <v>2650</v>
      </c>
      <c r="C239" s="966" t="str">
        <f>IFERROR(INDEX('PR Expenditure_7A import-export'!A$127:A$132,MATCH('PR Expenditure_7A'!$B239,'PR Expenditure_7A import-export'!$N$127:$N$132,0)),"")</f>
        <v/>
      </c>
      <c r="D239" s="1318" t="str">
        <f>IFERROR(INDEX('PR Expenditure_7A import-export'!B$127:B$132,MATCH('PR Expenditure_7A'!$B239,'PR Expenditure_7A import-export'!$N$127:$N$132,0)),"")</f>
        <v/>
      </c>
      <c r="E239" s="1313" t="str">
        <f>IFERROR(INDEX('PR Expenditure_7A import-export'!C$127:C$132,MATCH('PR Expenditure_7A'!$B239,'PR Expenditure_7A import-export'!$N$127:$N$132,0)),"")</f>
        <v/>
      </c>
      <c r="F239" s="1314"/>
      <c r="G239" s="1313">
        <f t="shared" si="34"/>
        <v>0</v>
      </c>
      <c r="H239" s="1315" t="e">
        <f t="shared" si="35"/>
        <v>#VALUE!</v>
      </c>
      <c r="I239" s="1319"/>
      <c r="J239" s="1312"/>
      <c r="K239" s="1313" t="str">
        <f>IFERROR(INDEX('PR Expenditure_7A import-export'!I$127:I$132,MATCH('PR Expenditure_7A'!$B239,'PR Expenditure_7A import-export'!$N$127:$N$132,0)),"")</f>
        <v/>
      </c>
      <c r="L239" s="1314"/>
      <c r="M239" s="1313">
        <f t="shared" si="36"/>
        <v>0</v>
      </c>
      <c r="N239" s="1317" t="e">
        <f t="shared" si="37"/>
        <v>#VALUE!</v>
      </c>
      <c r="O239" s="758"/>
      <c r="P239" s="438"/>
      <c r="Q239" s="295"/>
      <c r="R239" s="747"/>
      <c r="S239" s="295"/>
      <c r="T239" s="295"/>
      <c r="U239" s="274"/>
      <c r="V239" s="274"/>
      <c r="W239" s="99"/>
      <c r="AC239" s="273"/>
      <c r="AD239" s="273"/>
    </row>
    <row r="240" spans="1:30" s="272" customFormat="1" ht="39.950000000000003" hidden="1" customHeight="1" x14ac:dyDescent="0.25">
      <c r="A240" s="729" t="str">
        <f t="shared" si="38"/>
        <v>Don't Show</v>
      </c>
      <c r="B240" s="678" t="s">
        <v>2651</v>
      </c>
      <c r="C240" s="966" t="str">
        <f>IFERROR(INDEX('PR Expenditure_7A import-export'!A$127:A$132,MATCH('PR Expenditure_7A'!$B240,'PR Expenditure_7A import-export'!$N$127:$N$132,0)),"")</f>
        <v/>
      </c>
      <c r="D240" s="1318" t="str">
        <f>IFERROR(INDEX('PR Expenditure_7A import-export'!B$127:B$132,MATCH('PR Expenditure_7A'!$B240,'PR Expenditure_7A import-export'!$N$127:$N$132,0)),"")</f>
        <v/>
      </c>
      <c r="E240" s="1313" t="str">
        <f>IFERROR(INDEX('PR Expenditure_7A import-export'!C$127:C$132,MATCH('PR Expenditure_7A'!$B240,'PR Expenditure_7A import-export'!$N$127:$N$132,0)),"")</f>
        <v/>
      </c>
      <c r="F240" s="1314"/>
      <c r="G240" s="1313">
        <f t="shared" si="34"/>
        <v>0</v>
      </c>
      <c r="H240" s="1315" t="e">
        <f t="shared" si="35"/>
        <v>#VALUE!</v>
      </c>
      <c r="I240" s="1319"/>
      <c r="J240" s="1312"/>
      <c r="K240" s="1313" t="str">
        <f>IFERROR(INDEX('PR Expenditure_7A import-export'!I$127:I$132,MATCH('PR Expenditure_7A'!$B240,'PR Expenditure_7A import-export'!$N$127:$N$132,0)),"")</f>
        <v/>
      </c>
      <c r="L240" s="1314"/>
      <c r="M240" s="1313">
        <f t="shared" si="36"/>
        <v>0</v>
      </c>
      <c r="N240" s="1317" t="e">
        <f t="shared" si="37"/>
        <v>#VALUE!</v>
      </c>
      <c r="O240" s="758"/>
      <c r="P240" s="438"/>
      <c r="Q240" s="295"/>
      <c r="R240" s="747"/>
      <c r="S240" s="295"/>
      <c r="T240" s="295"/>
      <c r="U240" s="274"/>
      <c r="V240" s="274"/>
      <c r="W240" s="99"/>
      <c r="AC240" s="273"/>
      <c r="AD240" s="273"/>
    </row>
    <row r="241" spans="1:30" s="272" customFormat="1" ht="39.950000000000003" hidden="1" customHeight="1" x14ac:dyDescent="0.25">
      <c r="A241" s="729" t="str">
        <f t="shared" si="38"/>
        <v>Don't Show</v>
      </c>
      <c r="B241" s="678" t="s">
        <v>2652</v>
      </c>
      <c r="C241" s="966" t="str">
        <f>IFERROR(INDEX('PR Expenditure_7A import-export'!A$127:A$132,MATCH('PR Expenditure_7A'!$B241,'PR Expenditure_7A import-export'!$N$127:$N$132,0)),"")</f>
        <v/>
      </c>
      <c r="D241" s="1318" t="str">
        <f>IFERROR(INDEX('PR Expenditure_7A import-export'!B$127:B$132,MATCH('PR Expenditure_7A'!$B241,'PR Expenditure_7A import-export'!$N$127:$N$132,0)),"")</f>
        <v/>
      </c>
      <c r="E241" s="1313" t="str">
        <f>IFERROR(INDEX('PR Expenditure_7A import-export'!C$127:C$132,MATCH('PR Expenditure_7A'!$B241,'PR Expenditure_7A import-export'!$N$127:$N$132,0)),"")</f>
        <v/>
      </c>
      <c r="F241" s="1314"/>
      <c r="G241" s="1313">
        <f t="shared" si="34"/>
        <v>0</v>
      </c>
      <c r="H241" s="1315" t="e">
        <f t="shared" si="35"/>
        <v>#VALUE!</v>
      </c>
      <c r="I241" s="1319"/>
      <c r="J241" s="1312"/>
      <c r="K241" s="1313" t="str">
        <f>IFERROR(INDEX('PR Expenditure_7A import-export'!I$127:I$132,MATCH('PR Expenditure_7A'!$B241,'PR Expenditure_7A import-export'!$N$127:$N$132,0)),"")</f>
        <v/>
      </c>
      <c r="L241" s="1314"/>
      <c r="M241" s="1313">
        <f t="shared" si="36"/>
        <v>0</v>
      </c>
      <c r="N241" s="1317" t="e">
        <f t="shared" si="37"/>
        <v>#VALUE!</v>
      </c>
      <c r="O241" s="758"/>
      <c r="P241" s="438"/>
      <c r="Q241" s="295"/>
      <c r="R241" s="747"/>
      <c r="S241" s="295"/>
      <c r="T241" s="295"/>
      <c r="U241" s="274"/>
      <c r="V241" s="274"/>
      <c r="W241" s="99"/>
      <c r="AC241" s="273"/>
      <c r="AD241" s="273"/>
    </row>
    <row r="242" spans="1:30" s="272" customFormat="1" ht="39.950000000000003" hidden="1" customHeight="1" x14ac:dyDescent="0.25">
      <c r="A242" s="729" t="str">
        <f t="shared" si="38"/>
        <v>Don't Show</v>
      </c>
      <c r="B242" s="678" t="s">
        <v>2653</v>
      </c>
      <c r="C242" s="966" t="str">
        <f>IFERROR(INDEX('PR Expenditure_7A import-export'!A$127:A$132,MATCH('PR Expenditure_7A'!$B242,'PR Expenditure_7A import-export'!$N$127:$N$132,0)),"")</f>
        <v/>
      </c>
      <c r="D242" s="1318" t="str">
        <f>IFERROR(INDEX('PR Expenditure_7A import-export'!B$127:B$132,MATCH('PR Expenditure_7A'!$B242,'PR Expenditure_7A import-export'!$N$127:$N$132,0)),"")</f>
        <v/>
      </c>
      <c r="E242" s="1313" t="str">
        <f>IFERROR(INDEX('PR Expenditure_7A import-export'!C$127:C$132,MATCH('PR Expenditure_7A'!$B242,'PR Expenditure_7A import-export'!$N$127:$N$132,0)),"")</f>
        <v/>
      </c>
      <c r="F242" s="1314"/>
      <c r="G242" s="1313">
        <f t="shared" si="34"/>
        <v>0</v>
      </c>
      <c r="H242" s="1315" t="e">
        <f t="shared" si="35"/>
        <v>#VALUE!</v>
      </c>
      <c r="I242" s="1319"/>
      <c r="J242" s="1312"/>
      <c r="K242" s="1313" t="str">
        <f>IFERROR(INDEX('PR Expenditure_7A import-export'!I$127:I$132,MATCH('PR Expenditure_7A'!$B242,'PR Expenditure_7A import-export'!$N$127:$N$132,0)),"")</f>
        <v/>
      </c>
      <c r="L242" s="1314"/>
      <c r="M242" s="1313">
        <f t="shared" si="36"/>
        <v>0</v>
      </c>
      <c r="N242" s="1317" t="e">
        <f t="shared" si="37"/>
        <v>#VALUE!</v>
      </c>
      <c r="O242" s="758"/>
      <c r="P242" s="438"/>
      <c r="Q242" s="295"/>
      <c r="R242" s="747"/>
      <c r="S242" s="295"/>
      <c r="T242" s="295"/>
      <c r="U242" s="274"/>
      <c r="V242" s="274"/>
      <c r="W242" s="99"/>
      <c r="AC242" s="273"/>
      <c r="AD242" s="273"/>
    </row>
    <row r="243" spans="1:30" s="272" customFormat="1" ht="39.950000000000003" hidden="1" customHeight="1" x14ac:dyDescent="0.25">
      <c r="A243" s="729" t="str">
        <f t="shared" si="38"/>
        <v>Don't Show</v>
      </c>
      <c r="B243" s="678" t="s">
        <v>2654</v>
      </c>
      <c r="C243" s="966" t="str">
        <f>IFERROR(INDEX('PR Expenditure_7A import-export'!A$127:A$132,MATCH('PR Expenditure_7A'!$B243,'PR Expenditure_7A import-export'!$N$127:$N$132,0)),"")</f>
        <v/>
      </c>
      <c r="D243" s="1318" t="str">
        <f>IFERROR(INDEX('PR Expenditure_7A import-export'!B$127:B$132,MATCH('PR Expenditure_7A'!$B243,'PR Expenditure_7A import-export'!$N$127:$N$132,0)),"")</f>
        <v/>
      </c>
      <c r="E243" s="1313" t="str">
        <f>IFERROR(INDEX('PR Expenditure_7A import-export'!C$127:C$132,MATCH('PR Expenditure_7A'!$B243,'PR Expenditure_7A import-export'!$N$127:$N$132,0)),"")</f>
        <v/>
      </c>
      <c r="F243" s="1314"/>
      <c r="G243" s="1313">
        <f t="shared" si="34"/>
        <v>0</v>
      </c>
      <c r="H243" s="1315" t="e">
        <f t="shared" si="35"/>
        <v>#VALUE!</v>
      </c>
      <c r="I243" s="1319"/>
      <c r="J243" s="1312"/>
      <c r="K243" s="1313" t="str">
        <f>IFERROR(INDEX('PR Expenditure_7A import-export'!I$127:I$132,MATCH('PR Expenditure_7A'!$B243,'PR Expenditure_7A import-export'!$N$127:$N$132,0)),"")</f>
        <v/>
      </c>
      <c r="L243" s="1314"/>
      <c r="M243" s="1313">
        <f t="shared" si="36"/>
        <v>0</v>
      </c>
      <c r="N243" s="1317" t="e">
        <f t="shared" si="37"/>
        <v>#VALUE!</v>
      </c>
      <c r="O243" s="758"/>
      <c r="P243" s="438"/>
      <c r="Q243" s="295"/>
      <c r="R243" s="747"/>
      <c r="S243" s="295"/>
      <c r="T243" s="295"/>
      <c r="U243" s="274"/>
      <c r="V243" s="274"/>
      <c r="W243" s="99"/>
      <c r="AC243" s="273"/>
      <c r="AD243" s="273"/>
    </row>
    <row r="244" spans="1:30" s="272" customFormat="1" ht="39.950000000000003" hidden="1" customHeight="1" x14ac:dyDescent="0.25">
      <c r="A244" s="729" t="str">
        <f t="shared" si="38"/>
        <v>Don't Show</v>
      </c>
      <c r="B244" s="678" t="s">
        <v>2655</v>
      </c>
      <c r="C244" s="966" t="str">
        <f>IFERROR(INDEX('PR Expenditure_7A import-export'!A$127:A$132,MATCH('PR Expenditure_7A'!$B244,'PR Expenditure_7A import-export'!$N$127:$N$132,0)),"")</f>
        <v/>
      </c>
      <c r="D244" s="1318" t="str">
        <f>IFERROR(INDEX('PR Expenditure_7A import-export'!B$127:B$132,MATCH('PR Expenditure_7A'!$B244,'PR Expenditure_7A import-export'!$N$127:$N$132,0)),"")</f>
        <v/>
      </c>
      <c r="E244" s="1313" t="str">
        <f>IFERROR(INDEX('PR Expenditure_7A import-export'!C$127:C$132,MATCH('PR Expenditure_7A'!$B244,'PR Expenditure_7A import-export'!$N$127:$N$132,0)),"")</f>
        <v/>
      </c>
      <c r="F244" s="1314"/>
      <c r="G244" s="1313">
        <f t="shared" si="34"/>
        <v>0</v>
      </c>
      <c r="H244" s="1315" t="e">
        <f t="shared" si="35"/>
        <v>#VALUE!</v>
      </c>
      <c r="I244" s="1319"/>
      <c r="J244" s="1312"/>
      <c r="K244" s="1313" t="str">
        <f>IFERROR(INDEX('PR Expenditure_7A import-export'!I$127:I$132,MATCH('PR Expenditure_7A'!$B244,'PR Expenditure_7A import-export'!$N$127:$N$132,0)),"")</f>
        <v/>
      </c>
      <c r="L244" s="1314"/>
      <c r="M244" s="1313">
        <f t="shared" si="36"/>
        <v>0</v>
      </c>
      <c r="N244" s="1317" t="e">
        <f t="shared" si="37"/>
        <v>#VALUE!</v>
      </c>
      <c r="O244" s="758"/>
      <c r="P244" s="438"/>
      <c r="Q244" s="295"/>
      <c r="R244" s="747"/>
      <c r="S244" s="295"/>
      <c r="T244" s="295"/>
      <c r="U244" s="274"/>
      <c r="V244" s="274"/>
      <c r="W244" s="99"/>
      <c r="AC244" s="273"/>
      <c r="AD244" s="273"/>
    </row>
    <row r="245" spans="1:30" s="272" customFormat="1" ht="39.950000000000003" hidden="1" customHeight="1" x14ac:dyDescent="0.25">
      <c r="A245" s="729" t="str">
        <f t="shared" si="38"/>
        <v>Don't Show</v>
      </c>
      <c r="B245" s="678" t="s">
        <v>2656</v>
      </c>
      <c r="C245" s="966" t="str">
        <f>IFERROR(INDEX('PR Expenditure_7A import-export'!A$127:A$132,MATCH('PR Expenditure_7A'!$B245,'PR Expenditure_7A import-export'!$N$127:$N$132,0)),"")</f>
        <v/>
      </c>
      <c r="D245" s="1318" t="str">
        <f>IFERROR(INDEX('PR Expenditure_7A import-export'!B$127:B$132,MATCH('PR Expenditure_7A'!$B245,'PR Expenditure_7A import-export'!$N$127:$N$132,0)),"")</f>
        <v/>
      </c>
      <c r="E245" s="1313" t="str">
        <f>IFERROR(INDEX('PR Expenditure_7A import-export'!C$127:C$132,MATCH('PR Expenditure_7A'!$B245,'PR Expenditure_7A import-export'!$N$127:$N$132,0)),"")</f>
        <v/>
      </c>
      <c r="F245" s="1314"/>
      <c r="G245" s="1313">
        <f t="shared" si="34"/>
        <v>0</v>
      </c>
      <c r="H245" s="1315" t="e">
        <f t="shared" si="35"/>
        <v>#VALUE!</v>
      </c>
      <c r="I245" s="1319"/>
      <c r="J245" s="1312"/>
      <c r="K245" s="1313" t="str">
        <f>IFERROR(INDEX('PR Expenditure_7A import-export'!I$127:I$132,MATCH('PR Expenditure_7A'!$B245,'PR Expenditure_7A import-export'!$N$127:$N$132,0)),"")</f>
        <v/>
      </c>
      <c r="L245" s="1314"/>
      <c r="M245" s="1313">
        <f t="shared" si="36"/>
        <v>0</v>
      </c>
      <c r="N245" s="1317" t="e">
        <f t="shared" si="37"/>
        <v>#VALUE!</v>
      </c>
      <c r="O245" s="758"/>
      <c r="P245" s="438"/>
      <c r="Q245" s="295"/>
      <c r="R245" s="747"/>
      <c r="S245" s="295"/>
      <c r="T245" s="295"/>
      <c r="U245" s="274"/>
      <c r="V245" s="274"/>
      <c r="W245" s="99"/>
      <c r="AC245" s="273"/>
      <c r="AD245" s="273"/>
    </row>
    <row r="246" spans="1:30" s="272" customFormat="1" ht="39.950000000000003" hidden="1" customHeight="1" x14ac:dyDescent="0.25">
      <c r="A246" s="729" t="str">
        <f t="shared" si="38"/>
        <v>Don't Show</v>
      </c>
      <c r="B246" s="678" t="s">
        <v>2657</v>
      </c>
      <c r="C246" s="966" t="str">
        <f>IFERROR(INDEX('PR Expenditure_7A import-export'!A$127:A$132,MATCH('PR Expenditure_7A'!$B246,'PR Expenditure_7A import-export'!$N$127:$N$132,0)),"")</f>
        <v/>
      </c>
      <c r="D246" s="1318" t="str">
        <f>IFERROR(INDEX('PR Expenditure_7A import-export'!B$127:B$132,MATCH('PR Expenditure_7A'!$B246,'PR Expenditure_7A import-export'!$N$127:$N$132,0)),"")</f>
        <v/>
      </c>
      <c r="E246" s="1313" t="str">
        <f>IFERROR(INDEX('PR Expenditure_7A import-export'!C$127:C$132,MATCH('PR Expenditure_7A'!$B246,'PR Expenditure_7A import-export'!$N$127:$N$132,0)),"")</f>
        <v/>
      </c>
      <c r="F246" s="1314"/>
      <c r="G246" s="1313">
        <f t="shared" si="34"/>
        <v>0</v>
      </c>
      <c r="H246" s="1315" t="e">
        <f t="shared" si="35"/>
        <v>#VALUE!</v>
      </c>
      <c r="I246" s="1319"/>
      <c r="J246" s="1312"/>
      <c r="K246" s="1313" t="str">
        <f>IFERROR(INDEX('PR Expenditure_7A import-export'!I$127:I$132,MATCH('PR Expenditure_7A'!$B246,'PR Expenditure_7A import-export'!$N$127:$N$132,0)),"")</f>
        <v/>
      </c>
      <c r="L246" s="1314"/>
      <c r="M246" s="1313">
        <f t="shared" si="36"/>
        <v>0</v>
      </c>
      <c r="N246" s="1317" t="e">
        <f t="shared" si="37"/>
        <v>#VALUE!</v>
      </c>
      <c r="O246" s="758"/>
      <c r="P246" s="438"/>
      <c r="Q246" s="295"/>
      <c r="R246" s="747"/>
      <c r="S246" s="295"/>
      <c r="T246" s="295"/>
      <c r="U246" s="274"/>
      <c r="V246" s="274"/>
      <c r="W246" s="99"/>
      <c r="AC246" s="273"/>
      <c r="AD246" s="273"/>
    </row>
    <row r="247" spans="1:30" s="272" customFormat="1" ht="39.950000000000003" hidden="1" customHeight="1" x14ac:dyDescent="0.25">
      <c r="A247" s="729" t="str">
        <f t="shared" si="38"/>
        <v>Don't Show</v>
      </c>
      <c r="B247" s="678" t="s">
        <v>2658</v>
      </c>
      <c r="C247" s="966" t="str">
        <f>IFERROR(INDEX('PR Expenditure_7A import-export'!A$127:A$132,MATCH('PR Expenditure_7A'!$B247,'PR Expenditure_7A import-export'!$N$127:$N$132,0)),"")</f>
        <v/>
      </c>
      <c r="D247" s="1318" t="str">
        <f>IFERROR(INDEX('PR Expenditure_7A import-export'!B$127:B$132,MATCH('PR Expenditure_7A'!$B247,'PR Expenditure_7A import-export'!$N$127:$N$132,0)),"")</f>
        <v/>
      </c>
      <c r="E247" s="1313" t="str">
        <f>IFERROR(INDEX('PR Expenditure_7A import-export'!C$127:C$132,MATCH('PR Expenditure_7A'!$B247,'PR Expenditure_7A import-export'!$N$127:$N$132,0)),"")</f>
        <v/>
      </c>
      <c r="F247" s="1314"/>
      <c r="G247" s="1313">
        <f t="shared" si="34"/>
        <v>0</v>
      </c>
      <c r="H247" s="1315" t="e">
        <f t="shared" si="35"/>
        <v>#VALUE!</v>
      </c>
      <c r="I247" s="1319"/>
      <c r="J247" s="1312"/>
      <c r="K247" s="1313" t="str">
        <f>IFERROR(INDEX('PR Expenditure_7A import-export'!I$127:I$132,MATCH('PR Expenditure_7A'!$B247,'PR Expenditure_7A import-export'!$N$127:$N$132,0)),"")</f>
        <v/>
      </c>
      <c r="L247" s="1314"/>
      <c r="M247" s="1313">
        <f t="shared" si="36"/>
        <v>0</v>
      </c>
      <c r="N247" s="1317" t="e">
        <f t="shared" si="37"/>
        <v>#VALUE!</v>
      </c>
      <c r="O247" s="758"/>
      <c r="P247" s="438"/>
      <c r="Q247" s="295"/>
      <c r="R247" s="747"/>
      <c r="S247" s="295"/>
      <c r="T247" s="295"/>
      <c r="U247" s="274"/>
      <c r="V247" s="274"/>
      <c r="W247" s="99"/>
      <c r="AC247" s="273"/>
      <c r="AD247" s="273"/>
    </row>
    <row r="248" spans="1:30" s="272" customFormat="1" ht="39.950000000000003" hidden="1" customHeight="1" x14ac:dyDescent="0.25">
      <c r="A248" s="729" t="str">
        <f t="shared" si="38"/>
        <v>Don't Show</v>
      </c>
      <c r="B248" s="678" t="s">
        <v>2659</v>
      </c>
      <c r="C248" s="966" t="str">
        <f>IFERROR(INDEX('PR Expenditure_7A import-export'!A$127:A$132,MATCH('PR Expenditure_7A'!$B248,'PR Expenditure_7A import-export'!$N$127:$N$132,0)),"")</f>
        <v/>
      </c>
      <c r="D248" s="1318" t="str">
        <f>IFERROR(INDEX('PR Expenditure_7A import-export'!B$127:B$132,MATCH('PR Expenditure_7A'!$B248,'PR Expenditure_7A import-export'!$N$127:$N$132,0)),"")</f>
        <v/>
      </c>
      <c r="E248" s="1313" t="str">
        <f>IFERROR(INDEX('PR Expenditure_7A import-export'!C$127:C$132,MATCH('PR Expenditure_7A'!$B248,'PR Expenditure_7A import-export'!$N$127:$N$132,0)),"")</f>
        <v/>
      </c>
      <c r="F248" s="1314"/>
      <c r="G248" s="1313">
        <f t="shared" si="34"/>
        <v>0</v>
      </c>
      <c r="H248" s="1315" t="e">
        <f t="shared" si="35"/>
        <v>#VALUE!</v>
      </c>
      <c r="I248" s="1319"/>
      <c r="J248" s="1312"/>
      <c r="K248" s="1313" t="str">
        <f>IFERROR(INDEX('PR Expenditure_7A import-export'!I$127:I$132,MATCH('PR Expenditure_7A'!$B248,'PR Expenditure_7A import-export'!$N$127:$N$132,0)),"")</f>
        <v/>
      </c>
      <c r="L248" s="1314"/>
      <c r="M248" s="1313">
        <f t="shared" si="36"/>
        <v>0</v>
      </c>
      <c r="N248" s="1317" t="e">
        <f t="shared" si="37"/>
        <v>#VALUE!</v>
      </c>
      <c r="O248" s="758"/>
      <c r="P248" s="438"/>
      <c r="Q248" s="295"/>
      <c r="R248" s="747"/>
      <c r="S248" s="295"/>
      <c r="T248" s="295"/>
      <c r="U248" s="274"/>
      <c r="V248" s="274"/>
      <c r="W248" s="99"/>
      <c r="AC248" s="273"/>
      <c r="AD248" s="273"/>
    </row>
    <row r="249" spans="1:30" s="272" customFormat="1" ht="39.950000000000003" hidden="1" customHeight="1" x14ac:dyDescent="0.25">
      <c r="A249" s="729" t="str">
        <f t="shared" si="38"/>
        <v>Don't Show</v>
      </c>
      <c r="B249" s="678" t="s">
        <v>2660</v>
      </c>
      <c r="C249" s="966" t="str">
        <f>IFERROR(INDEX('PR Expenditure_7A import-export'!A$127:A$132,MATCH('PR Expenditure_7A'!$B249,'PR Expenditure_7A import-export'!$N$127:$N$132,0)),"")</f>
        <v/>
      </c>
      <c r="D249" s="1318" t="str">
        <f>IFERROR(INDEX('PR Expenditure_7A import-export'!B$127:B$132,MATCH('PR Expenditure_7A'!$B249,'PR Expenditure_7A import-export'!$N$127:$N$132,0)),"")</f>
        <v/>
      </c>
      <c r="E249" s="1313" t="str">
        <f>IFERROR(INDEX('PR Expenditure_7A import-export'!C$127:C$132,MATCH('PR Expenditure_7A'!$B249,'PR Expenditure_7A import-export'!$N$127:$N$132,0)),"")</f>
        <v/>
      </c>
      <c r="F249" s="1314"/>
      <c r="G249" s="1313">
        <f t="shared" si="34"/>
        <v>0</v>
      </c>
      <c r="H249" s="1315" t="e">
        <f t="shared" si="35"/>
        <v>#VALUE!</v>
      </c>
      <c r="I249" s="1319"/>
      <c r="J249" s="1312"/>
      <c r="K249" s="1313" t="str">
        <f>IFERROR(INDEX('PR Expenditure_7A import-export'!I$127:I$132,MATCH('PR Expenditure_7A'!$B249,'PR Expenditure_7A import-export'!$N$127:$N$132,0)),"")</f>
        <v/>
      </c>
      <c r="L249" s="1314"/>
      <c r="M249" s="1313">
        <f t="shared" si="36"/>
        <v>0</v>
      </c>
      <c r="N249" s="1317" t="e">
        <f t="shared" si="37"/>
        <v>#VALUE!</v>
      </c>
      <c r="O249" s="758"/>
      <c r="P249" s="438"/>
      <c r="Q249" s="295"/>
      <c r="R249" s="747"/>
      <c r="S249" s="295"/>
      <c r="T249" s="295"/>
      <c r="U249" s="274"/>
      <c r="V249" s="274"/>
      <c r="W249" s="99"/>
      <c r="AC249" s="273"/>
      <c r="AD249" s="273"/>
    </row>
    <row r="250" spans="1:30" s="272" customFormat="1" ht="39.950000000000003" hidden="1" customHeight="1" x14ac:dyDescent="0.25">
      <c r="A250" s="729" t="str">
        <f t="shared" si="38"/>
        <v>Don't Show</v>
      </c>
      <c r="B250" s="678" t="s">
        <v>2661</v>
      </c>
      <c r="C250" s="966" t="str">
        <f>IFERROR(INDEX('PR Expenditure_7A import-export'!A$127:A$132,MATCH('PR Expenditure_7A'!$B250,'PR Expenditure_7A import-export'!$N$127:$N$132,0)),"")</f>
        <v/>
      </c>
      <c r="D250" s="1318" t="str">
        <f>IFERROR(INDEX('PR Expenditure_7A import-export'!B$127:B$132,MATCH('PR Expenditure_7A'!$B250,'PR Expenditure_7A import-export'!$N$127:$N$132,0)),"")</f>
        <v/>
      </c>
      <c r="E250" s="1313" t="str">
        <f>IFERROR(INDEX('PR Expenditure_7A import-export'!C$127:C$132,MATCH('PR Expenditure_7A'!$B250,'PR Expenditure_7A import-export'!$N$127:$N$132,0)),"")</f>
        <v/>
      </c>
      <c r="F250" s="1314"/>
      <c r="G250" s="1313">
        <f t="shared" si="34"/>
        <v>0</v>
      </c>
      <c r="H250" s="1315" t="e">
        <f t="shared" si="35"/>
        <v>#VALUE!</v>
      </c>
      <c r="I250" s="1319"/>
      <c r="J250" s="1312"/>
      <c r="K250" s="1313" t="str">
        <f>IFERROR(INDEX('PR Expenditure_7A import-export'!I$127:I$132,MATCH('PR Expenditure_7A'!$B250,'PR Expenditure_7A import-export'!$N$127:$N$132,0)),"")</f>
        <v/>
      </c>
      <c r="L250" s="1314"/>
      <c r="M250" s="1313">
        <f t="shared" si="36"/>
        <v>0</v>
      </c>
      <c r="N250" s="1317" t="e">
        <f t="shared" si="37"/>
        <v>#VALUE!</v>
      </c>
      <c r="O250" s="758"/>
      <c r="P250" s="438"/>
      <c r="Q250" s="295"/>
      <c r="R250" s="747"/>
      <c r="S250" s="295"/>
      <c r="T250" s="295"/>
      <c r="U250" s="274"/>
      <c r="V250" s="274"/>
      <c r="W250" s="99"/>
      <c r="AC250" s="273"/>
      <c r="AD250" s="273"/>
    </row>
    <row r="251" spans="1:30" s="272" customFormat="1" ht="39.950000000000003" hidden="1" customHeight="1" x14ac:dyDescent="0.25">
      <c r="A251" s="729" t="str">
        <f t="shared" si="38"/>
        <v>Don't Show</v>
      </c>
      <c r="B251" s="678" t="s">
        <v>2662</v>
      </c>
      <c r="C251" s="966" t="str">
        <f>IFERROR(INDEX('PR Expenditure_7A import-export'!A$127:A$132,MATCH('PR Expenditure_7A'!$B251,'PR Expenditure_7A import-export'!$N$127:$N$132,0)),"")</f>
        <v/>
      </c>
      <c r="D251" s="1318" t="str">
        <f>IFERROR(INDEX('PR Expenditure_7A import-export'!B$127:B$132,MATCH('PR Expenditure_7A'!$B251,'PR Expenditure_7A import-export'!$N$127:$N$132,0)),"")</f>
        <v/>
      </c>
      <c r="E251" s="1313" t="str">
        <f>IFERROR(INDEX('PR Expenditure_7A import-export'!C$127:C$132,MATCH('PR Expenditure_7A'!$B251,'PR Expenditure_7A import-export'!$N$127:$N$132,0)),"")</f>
        <v/>
      </c>
      <c r="F251" s="1314"/>
      <c r="G251" s="1313">
        <f t="shared" si="34"/>
        <v>0</v>
      </c>
      <c r="H251" s="1315" t="e">
        <f t="shared" si="35"/>
        <v>#VALUE!</v>
      </c>
      <c r="I251" s="1319"/>
      <c r="J251" s="1312"/>
      <c r="K251" s="1313" t="str">
        <f>IFERROR(INDEX('PR Expenditure_7A import-export'!I$127:I$132,MATCH('PR Expenditure_7A'!$B251,'PR Expenditure_7A import-export'!$N$127:$N$132,0)),"")</f>
        <v/>
      </c>
      <c r="L251" s="1314"/>
      <c r="M251" s="1313">
        <f t="shared" si="36"/>
        <v>0</v>
      </c>
      <c r="N251" s="1317" t="e">
        <f t="shared" si="37"/>
        <v>#VALUE!</v>
      </c>
      <c r="O251" s="758"/>
      <c r="P251" s="438"/>
      <c r="Q251" s="295"/>
      <c r="R251" s="747"/>
      <c r="S251" s="295"/>
      <c r="T251" s="295"/>
      <c r="U251" s="274"/>
      <c r="V251" s="274"/>
      <c r="W251" s="99"/>
      <c r="AC251" s="273"/>
      <c r="AD251" s="273"/>
    </row>
    <row r="252" spans="1:30" s="272" customFormat="1" ht="39.950000000000003" hidden="1" customHeight="1" x14ac:dyDescent="0.25">
      <c r="A252" s="729" t="str">
        <f t="shared" si="38"/>
        <v>Don't Show</v>
      </c>
      <c r="B252" s="678" t="s">
        <v>2663</v>
      </c>
      <c r="C252" s="966" t="str">
        <f>IFERROR(INDEX('PR Expenditure_7A import-export'!A$127:A$132,MATCH('PR Expenditure_7A'!$B252,'PR Expenditure_7A import-export'!$N$127:$N$132,0)),"")</f>
        <v/>
      </c>
      <c r="D252" s="1318" t="str">
        <f>IFERROR(INDEX('PR Expenditure_7A import-export'!B$127:B$132,MATCH('PR Expenditure_7A'!$B252,'PR Expenditure_7A import-export'!$N$127:$N$132,0)),"")</f>
        <v/>
      </c>
      <c r="E252" s="1313" t="str">
        <f>IFERROR(INDEX('PR Expenditure_7A import-export'!C$127:C$132,MATCH('PR Expenditure_7A'!$B252,'PR Expenditure_7A import-export'!$N$127:$N$132,0)),"")</f>
        <v/>
      </c>
      <c r="F252" s="1314"/>
      <c r="G252" s="1313">
        <f t="shared" si="34"/>
        <v>0</v>
      </c>
      <c r="H252" s="1315" t="e">
        <f t="shared" si="35"/>
        <v>#VALUE!</v>
      </c>
      <c r="I252" s="1319"/>
      <c r="J252" s="1312"/>
      <c r="K252" s="1313" t="str">
        <f>IFERROR(INDEX('PR Expenditure_7A import-export'!I$127:I$132,MATCH('PR Expenditure_7A'!$B252,'PR Expenditure_7A import-export'!$N$127:$N$132,0)),"")</f>
        <v/>
      </c>
      <c r="L252" s="1314"/>
      <c r="M252" s="1313">
        <f t="shared" si="36"/>
        <v>0</v>
      </c>
      <c r="N252" s="1317" t="e">
        <f t="shared" si="37"/>
        <v>#VALUE!</v>
      </c>
      <c r="O252" s="758"/>
      <c r="P252" s="438"/>
      <c r="Q252" s="295"/>
      <c r="R252" s="747"/>
      <c r="S252" s="295"/>
      <c r="T252" s="295"/>
      <c r="U252" s="274"/>
      <c r="V252" s="274"/>
      <c r="W252" s="99"/>
      <c r="AC252" s="273"/>
      <c r="AD252" s="273"/>
    </row>
    <row r="253" spans="1:30" s="272" customFormat="1" ht="39.950000000000003" hidden="1" customHeight="1" x14ac:dyDescent="0.25">
      <c r="A253" s="729" t="str">
        <f t="shared" si="38"/>
        <v>Don't Show</v>
      </c>
      <c r="B253" s="678" t="s">
        <v>2664</v>
      </c>
      <c r="C253" s="966" t="str">
        <f>IFERROR(INDEX('PR Expenditure_7A import-export'!A$127:A$132,MATCH('PR Expenditure_7A'!$B253,'PR Expenditure_7A import-export'!$N$127:$N$132,0)),"")</f>
        <v/>
      </c>
      <c r="D253" s="1318" t="str">
        <f>IFERROR(INDEX('PR Expenditure_7A import-export'!B$127:B$132,MATCH('PR Expenditure_7A'!$B253,'PR Expenditure_7A import-export'!$N$127:$N$132,0)),"")</f>
        <v/>
      </c>
      <c r="E253" s="1313" t="str">
        <f>IFERROR(INDEX('PR Expenditure_7A import-export'!C$127:C$132,MATCH('PR Expenditure_7A'!$B253,'PR Expenditure_7A import-export'!$N$127:$N$132,0)),"")</f>
        <v/>
      </c>
      <c r="F253" s="1314"/>
      <c r="G253" s="1313">
        <f t="shared" si="34"/>
        <v>0</v>
      </c>
      <c r="H253" s="1315" t="e">
        <f t="shared" si="35"/>
        <v>#VALUE!</v>
      </c>
      <c r="I253" s="1319"/>
      <c r="J253" s="1312"/>
      <c r="K253" s="1313" t="str">
        <f>IFERROR(INDEX('PR Expenditure_7A import-export'!I$127:I$132,MATCH('PR Expenditure_7A'!$B253,'PR Expenditure_7A import-export'!$N$127:$N$132,0)),"")</f>
        <v/>
      </c>
      <c r="L253" s="1314"/>
      <c r="M253" s="1313">
        <f t="shared" si="36"/>
        <v>0</v>
      </c>
      <c r="N253" s="1317" t="e">
        <f t="shared" si="37"/>
        <v>#VALUE!</v>
      </c>
      <c r="O253" s="758"/>
      <c r="P253" s="438"/>
      <c r="Q253" s="295"/>
      <c r="R253" s="747"/>
      <c r="S253" s="295"/>
      <c r="T253" s="295"/>
      <c r="U253" s="274"/>
      <c r="V253" s="274"/>
      <c r="W253" s="99"/>
      <c r="AC253" s="273"/>
      <c r="AD253" s="273"/>
    </row>
    <row r="254" spans="1:30" s="272" customFormat="1" ht="39.950000000000003" hidden="1" customHeight="1" x14ac:dyDescent="0.25">
      <c r="A254" s="729" t="str">
        <f t="shared" si="38"/>
        <v>Don't Show</v>
      </c>
      <c r="B254" s="678" t="s">
        <v>2665</v>
      </c>
      <c r="C254" s="966" t="str">
        <f>IFERROR(INDEX('PR Expenditure_7A import-export'!A$127:A$132,MATCH('PR Expenditure_7A'!$B254,'PR Expenditure_7A import-export'!$N$127:$N$132,0)),"")</f>
        <v/>
      </c>
      <c r="D254" s="1318" t="str">
        <f>IFERROR(INDEX('PR Expenditure_7A import-export'!B$127:B$132,MATCH('PR Expenditure_7A'!$B254,'PR Expenditure_7A import-export'!$N$127:$N$132,0)),"")</f>
        <v/>
      </c>
      <c r="E254" s="1313" t="str">
        <f>IFERROR(INDEX('PR Expenditure_7A import-export'!C$127:C$132,MATCH('PR Expenditure_7A'!$B254,'PR Expenditure_7A import-export'!$N$127:$N$132,0)),"")</f>
        <v/>
      </c>
      <c r="F254" s="1314"/>
      <c r="G254" s="1313">
        <f t="shared" si="34"/>
        <v>0</v>
      </c>
      <c r="H254" s="1315" t="e">
        <f t="shared" si="35"/>
        <v>#VALUE!</v>
      </c>
      <c r="I254" s="1319"/>
      <c r="J254" s="1312"/>
      <c r="K254" s="1313" t="str">
        <f>IFERROR(INDEX('PR Expenditure_7A import-export'!I$127:I$132,MATCH('PR Expenditure_7A'!$B254,'PR Expenditure_7A import-export'!$N$127:$N$132,0)),"")</f>
        <v/>
      </c>
      <c r="L254" s="1314"/>
      <c r="M254" s="1313">
        <f t="shared" si="36"/>
        <v>0</v>
      </c>
      <c r="N254" s="1317" t="e">
        <f t="shared" si="37"/>
        <v>#VALUE!</v>
      </c>
      <c r="O254" s="758"/>
      <c r="P254" s="438"/>
      <c r="Q254" s="295"/>
      <c r="R254" s="747"/>
      <c r="S254" s="295"/>
      <c r="T254" s="295"/>
      <c r="U254" s="274"/>
      <c r="V254" s="274"/>
      <c r="W254" s="99"/>
      <c r="AC254" s="273"/>
      <c r="AD254" s="273"/>
    </row>
    <row r="255" spans="1:30" s="257" customFormat="1" ht="27.6" customHeight="1" thickBot="1" x14ac:dyDescent="0.3">
      <c r="A255" s="728" t="s">
        <v>2337</v>
      </c>
      <c r="B255" s="677"/>
      <c r="C255" s="1796" t="s">
        <v>2449</v>
      </c>
      <c r="D255" s="1797"/>
      <c r="E255" s="1322">
        <f>ROUND(SUM(E205:E254),2)</f>
        <v>11755487.67</v>
      </c>
      <c r="F255" s="1322">
        <f>ROUND(SUM(F205:F254),2)</f>
        <v>11276916.42</v>
      </c>
      <c r="G255" s="1322">
        <f>ROUND(SUM(G205:G254),2)</f>
        <v>478571.25</v>
      </c>
      <c r="H255" s="1324">
        <f>(F255/E255)</f>
        <v>0.95928954515248965</v>
      </c>
      <c r="I255" s="1324"/>
      <c r="J255" s="1325"/>
      <c r="K255" s="1322">
        <f>ROUND(SUM(K205:K254),2)</f>
        <v>20014677.120000001</v>
      </c>
      <c r="L255" s="1322">
        <f>ROUND(SUM(L205:L254),2)</f>
        <v>17341199.109999999</v>
      </c>
      <c r="M255" s="1322">
        <f>ROUND(SUM(M205:M254),2)</f>
        <v>2673478.0099999998</v>
      </c>
      <c r="N255" s="1323">
        <f>(L255/K255)</f>
        <v>0.86642412495735521</v>
      </c>
      <c r="O255" s="758"/>
      <c r="P255" s="438"/>
      <c r="Q255" s="284"/>
      <c r="R255" s="746"/>
      <c r="S255" s="284"/>
      <c r="T255" s="284"/>
      <c r="U255" s="259"/>
      <c r="V255" s="259"/>
      <c r="W255" s="63"/>
      <c r="AC255" s="258"/>
      <c r="AD255" s="258"/>
    </row>
    <row r="256" spans="1:30" s="257" customFormat="1" ht="0.75" hidden="1" customHeight="1" thickBot="1" x14ac:dyDescent="0.3">
      <c r="A256" s="728"/>
      <c r="B256" s="677"/>
      <c r="C256" s="265"/>
      <c r="D256" s="264"/>
      <c r="E256" s="264"/>
      <c r="F256" s="264"/>
      <c r="G256" s="264"/>
      <c r="H256" s="264"/>
      <c r="I256" s="264"/>
      <c r="J256" s="263"/>
      <c r="K256" s="264"/>
      <c r="L256" s="264"/>
      <c r="M256" s="264"/>
      <c r="N256" s="264"/>
      <c r="O256" s="758"/>
      <c r="P256" s="438"/>
      <c r="Q256" s="284"/>
      <c r="R256" s="746"/>
      <c r="S256" s="284"/>
      <c r="T256" s="284"/>
      <c r="U256" s="259"/>
      <c r="V256" s="259"/>
      <c r="W256" s="63"/>
      <c r="AC256" s="258"/>
      <c r="AD256" s="258"/>
    </row>
    <row r="257" spans="1:30" s="257" customFormat="1" ht="15.75" x14ac:dyDescent="0.25">
      <c r="A257" s="728" t="s">
        <v>2337</v>
      </c>
      <c r="B257" s="677"/>
      <c r="O257" s="758"/>
      <c r="P257" s="438"/>
      <c r="Q257" s="284"/>
      <c r="R257" s="746"/>
      <c r="S257" s="284"/>
      <c r="T257" s="284"/>
      <c r="U257" s="259"/>
      <c r="V257" s="259"/>
      <c r="W257" s="63"/>
      <c r="AC257" s="258"/>
      <c r="AD257" s="258"/>
    </row>
    <row r="258" spans="1:30" s="257" customFormat="1" ht="66.599999999999994" customHeight="1" x14ac:dyDescent="0.2">
      <c r="A258" s="728" t="s">
        <v>2337</v>
      </c>
      <c r="B258" s="677"/>
      <c r="C258" s="262" t="s">
        <v>2666</v>
      </c>
      <c r="E258" s="260" t="str">
        <f>IF(AND(ROUND(E79,0)=ROUND(E200,0),ROUND(E200,0)=ROUND(E255,0)),"OK","WARNING - Sum of the three tables not matching")</f>
        <v>OK</v>
      </c>
      <c r="F258" s="260" t="str">
        <f>IF(AND(ROUND(F79,0)=ROUND(F200,0),ROUND(F200,0)=ROUND(F255,0)),"OK","WARNING - Sum of the three tables not matching")</f>
        <v>OK</v>
      </c>
      <c r="G258" s="65"/>
      <c r="H258" s="65"/>
      <c r="I258" s="65"/>
      <c r="J258" s="261"/>
      <c r="K258" s="260" t="str">
        <f>IF(AND(ROUND(K79,0)=ROUND(K200,0),ROUND(K200,0)=ROUND(K255,0)),"OK","WARNING - Sum of the three tables not matching")</f>
        <v>OK</v>
      </c>
      <c r="L258" s="260" t="str">
        <f>IF(AND(ROUND(L79,0)=ROUND(L200,0),ROUND(L200,0)=ROUND(L255,0)),"OK","WARNING - Sum of the three tables not matching")</f>
        <v>OK</v>
      </c>
      <c r="M258" s="63"/>
      <c r="N258" s="63"/>
      <c r="O258" s="761"/>
      <c r="P258" s="283"/>
      <c r="Q258" s="284"/>
      <c r="R258" s="746"/>
      <c r="S258" s="284"/>
      <c r="T258" s="284"/>
      <c r="U258" s="259"/>
      <c r="V258" s="259"/>
      <c r="W258" s="63"/>
      <c r="AC258" s="258"/>
      <c r="AD258" s="258"/>
    </row>
    <row r="259" spans="1:30" s="257" customFormat="1" x14ac:dyDescent="0.2">
      <c r="A259" s="728"/>
      <c r="B259" s="677"/>
      <c r="C259" s="63"/>
      <c r="D259" s="63"/>
      <c r="E259" s="63"/>
      <c r="F259" s="63"/>
      <c r="G259" s="63"/>
      <c r="H259" s="63"/>
      <c r="I259" s="63"/>
      <c r="K259" s="63"/>
      <c r="L259" s="63"/>
      <c r="M259" s="63"/>
      <c r="O259" s="761"/>
      <c r="P259" s="283"/>
      <c r="Q259" s="283"/>
      <c r="R259" s="748"/>
      <c r="S259" s="283"/>
      <c r="T259" s="283"/>
      <c r="AC259" s="258"/>
      <c r="AD259" s="258"/>
    </row>
    <row r="260" spans="1:30" s="257" customFormat="1" x14ac:dyDescent="0.2">
      <c r="A260" s="728"/>
      <c r="B260" s="677"/>
      <c r="C260" s="63"/>
      <c r="D260" s="63"/>
      <c r="E260" s="63"/>
      <c r="F260" s="63"/>
      <c r="G260" s="63"/>
      <c r="H260" s="63"/>
      <c r="I260" s="63"/>
      <c r="K260" s="63"/>
      <c r="L260" s="63"/>
      <c r="M260" s="63"/>
      <c r="O260" s="761"/>
      <c r="P260" s="283"/>
      <c r="Q260" s="283"/>
      <c r="R260" s="748"/>
      <c r="S260" s="283"/>
      <c r="T260" s="283"/>
      <c r="AC260" s="258"/>
      <c r="AD260" s="258"/>
    </row>
    <row r="261" spans="1:30" s="257" customFormat="1" x14ac:dyDescent="0.2">
      <c r="A261" s="728"/>
      <c r="B261" s="677"/>
      <c r="C261" s="63"/>
      <c r="D261" s="63"/>
      <c r="E261" s="63"/>
      <c r="F261" s="63"/>
      <c r="G261" s="63"/>
      <c r="H261" s="63"/>
      <c r="I261" s="63"/>
      <c r="K261" s="63"/>
      <c r="L261" s="63"/>
      <c r="M261" s="63"/>
      <c r="O261" s="761"/>
      <c r="P261" s="283"/>
      <c r="Q261" s="283"/>
      <c r="R261" s="748"/>
      <c r="S261" s="283"/>
      <c r="T261" s="283"/>
      <c r="AC261" s="258"/>
      <c r="AD261" s="258"/>
    </row>
    <row r="262" spans="1:30" s="257" customFormat="1" x14ac:dyDescent="0.2">
      <c r="A262" s="728"/>
      <c r="B262" s="677"/>
      <c r="C262" s="63"/>
      <c r="D262" s="63"/>
      <c r="E262" s="63"/>
      <c r="F262" s="63"/>
      <c r="G262" s="63"/>
      <c r="H262" s="63"/>
      <c r="I262" s="63"/>
      <c r="K262" s="63"/>
      <c r="L262" s="63"/>
      <c r="M262" s="63"/>
      <c r="O262" s="761"/>
      <c r="P262" s="283"/>
      <c r="Q262" s="283"/>
      <c r="R262" s="748"/>
      <c r="S262" s="283"/>
      <c r="T262" s="283"/>
      <c r="AC262" s="258"/>
      <c r="AD262" s="258"/>
    </row>
    <row r="263" spans="1:30" s="257" customFormat="1" x14ac:dyDescent="0.2">
      <c r="A263" s="728"/>
      <c r="B263" s="677"/>
      <c r="C263" s="63"/>
      <c r="D263" s="63"/>
      <c r="E263" s="63"/>
      <c r="F263" s="63"/>
      <c r="G263" s="63"/>
      <c r="H263" s="63"/>
      <c r="I263" s="63"/>
      <c r="K263" s="63"/>
      <c r="L263" s="63"/>
      <c r="M263" s="63"/>
      <c r="O263" s="761"/>
      <c r="P263" s="283"/>
      <c r="Q263" s="283"/>
      <c r="R263" s="748"/>
      <c r="S263" s="283"/>
      <c r="T263" s="283"/>
      <c r="AC263" s="258"/>
      <c r="AD263" s="258"/>
    </row>
    <row r="264" spans="1:30" s="257" customFormat="1" x14ac:dyDescent="0.2">
      <c r="A264" s="728"/>
      <c r="B264" s="677"/>
      <c r="C264" s="63"/>
      <c r="D264" s="63"/>
      <c r="E264" s="63"/>
      <c r="F264" s="63"/>
      <c r="G264" s="63"/>
      <c r="H264" s="63"/>
      <c r="I264" s="63"/>
      <c r="K264" s="63"/>
      <c r="L264" s="63"/>
      <c r="M264" s="63"/>
      <c r="O264" s="761"/>
      <c r="P264" s="283"/>
      <c r="Q264" s="283"/>
      <c r="R264" s="748"/>
      <c r="S264" s="283"/>
      <c r="T264" s="283"/>
      <c r="AC264" s="258"/>
      <c r="AD264" s="258"/>
    </row>
    <row r="265" spans="1:30" s="257" customFormat="1" x14ac:dyDescent="0.2">
      <c r="A265" s="728"/>
      <c r="B265" s="677"/>
      <c r="C265" s="63"/>
      <c r="D265" s="63"/>
      <c r="E265" s="63"/>
      <c r="F265" s="63"/>
      <c r="G265" s="63"/>
      <c r="H265" s="63"/>
      <c r="I265" s="63"/>
      <c r="K265" s="63"/>
      <c r="L265" s="63"/>
      <c r="M265" s="63"/>
      <c r="O265" s="761"/>
      <c r="P265" s="283"/>
      <c r="Q265" s="283"/>
      <c r="R265" s="748"/>
      <c r="S265" s="283"/>
      <c r="T265" s="283"/>
      <c r="AC265" s="258"/>
      <c r="AD265" s="258"/>
    </row>
    <row r="266" spans="1:30" s="257" customFormat="1" x14ac:dyDescent="0.2">
      <c r="A266" s="728"/>
      <c r="B266" s="677"/>
      <c r="C266" s="63"/>
      <c r="D266" s="63"/>
      <c r="E266" s="63"/>
      <c r="F266" s="63"/>
      <c r="G266" s="63"/>
      <c r="H266" s="63"/>
      <c r="I266" s="63"/>
      <c r="K266" s="63"/>
      <c r="L266" s="63"/>
      <c r="M266" s="63"/>
      <c r="O266" s="761"/>
      <c r="P266" s="283"/>
      <c r="Q266" s="283"/>
      <c r="R266" s="748"/>
      <c r="S266" s="283"/>
      <c r="T266" s="283"/>
      <c r="AC266" s="258"/>
      <c r="AD266" s="258"/>
    </row>
    <row r="267" spans="1:30" s="257" customFormat="1" x14ac:dyDescent="0.2">
      <c r="A267" s="728"/>
      <c r="B267" s="677"/>
      <c r="C267" s="63"/>
      <c r="D267" s="63"/>
      <c r="E267" s="63"/>
      <c r="F267" s="63"/>
      <c r="G267" s="63"/>
      <c r="H267" s="63"/>
      <c r="I267" s="63"/>
      <c r="K267" s="63"/>
      <c r="L267" s="63"/>
      <c r="M267" s="63"/>
      <c r="O267" s="761"/>
      <c r="P267" s="283"/>
      <c r="Q267" s="283"/>
      <c r="R267" s="748"/>
      <c r="S267" s="283"/>
      <c r="T267" s="283"/>
      <c r="AC267" s="258"/>
      <c r="AD267" s="258"/>
    </row>
    <row r="268" spans="1:30" s="257" customFormat="1" x14ac:dyDescent="0.2">
      <c r="A268" s="728"/>
      <c r="B268" s="677"/>
      <c r="C268" s="63"/>
      <c r="D268" s="63"/>
      <c r="E268" s="63"/>
      <c r="F268" s="63"/>
      <c r="G268" s="63"/>
      <c r="H268" s="63"/>
      <c r="I268" s="63"/>
      <c r="K268" s="63"/>
      <c r="L268" s="63"/>
      <c r="M268" s="63"/>
      <c r="O268" s="761"/>
      <c r="P268" s="283"/>
      <c r="Q268" s="283"/>
      <c r="R268" s="748"/>
      <c r="S268" s="283"/>
      <c r="T268" s="283"/>
      <c r="AC268" s="258"/>
      <c r="AD268" s="258"/>
    </row>
    <row r="269" spans="1:30" s="257" customFormat="1" x14ac:dyDescent="0.2">
      <c r="A269" s="728"/>
      <c r="B269" s="677"/>
      <c r="C269" s="63"/>
      <c r="D269" s="63"/>
      <c r="E269" s="63"/>
      <c r="F269" s="63"/>
      <c r="G269" s="63"/>
      <c r="H269" s="63"/>
      <c r="I269" s="63"/>
      <c r="K269" s="63"/>
      <c r="L269" s="63"/>
      <c r="M269" s="63"/>
      <c r="O269" s="761"/>
      <c r="P269" s="283"/>
      <c r="Q269" s="283"/>
      <c r="R269" s="748"/>
      <c r="S269" s="283"/>
      <c r="T269" s="283"/>
      <c r="AC269" s="258"/>
      <c r="AD269" s="258"/>
    </row>
    <row r="270" spans="1:30" s="257" customFormat="1" x14ac:dyDescent="0.2">
      <c r="A270" s="728"/>
      <c r="B270" s="677"/>
      <c r="C270" s="63"/>
      <c r="D270" s="63"/>
      <c r="E270" s="63"/>
      <c r="F270" s="63"/>
      <c r="G270" s="63"/>
      <c r="H270" s="63"/>
      <c r="I270" s="63"/>
      <c r="K270" s="63"/>
      <c r="L270" s="63"/>
      <c r="M270" s="63"/>
      <c r="O270" s="761"/>
      <c r="P270" s="283"/>
      <c r="Q270" s="283"/>
      <c r="R270" s="748"/>
      <c r="S270" s="283"/>
      <c r="T270" s="283"/>
      <c r="AC270" s="258"/>
      <c r="AD270" s="258"/>
    </row>
    <row r="271" spans="1:30" s="257" customFormat="1" x14ac:dyDescent="0.2">
      <c r="A271" s="728"/>
      <c r="B271" s="677"/>
      <c r="C271" s="63"/>
      <c r="D271" s="63"/>
      <c r="E271" s="63"/>
      <c r="F271" s="63"/>
      <c r="G271" s="63"/>
      <c r="H271" s="63"/>
      <c r="I271" s="63"/>
      <c r="K271" s="63"/>
      <c r="L271" s="63"/>
      <c r="M271" s="63"/>
      <c r="O271" s="761"/>
      <c r="P271" s="283"/>
      <c r="Q271" s="283"/>
      <c r="R271" s="748"/>
      <c r="S271" s="283"/>
      <c r="T271" s="283"/>
      <c r="AC271" s="258"/>
      <c r="AD271" s="258"/>
    </row>
    <row r="272" spans="1:30" s="257" customFormat="1" x14ac:dyDescent="0.2">
      <c r="A272" s="728"/>
      <c r="B272" s="677"/>
      <c r="C272" s="63"/>
      <c r="D272" s="63"/>
      <c r="E272" s="63"/>
      <c r="F272" s="63"/>
      <c r="G272" s="63"/>
      <c r="H272" s="63"/>
      <c r="I272" s="63"/>
      <c r="K272" s="63"/>
      <c r="L272" s="63"/>
      <c r="M272" s="63"/>
      <c r="O272" s="761"/>
      <c r="P272" s="283"/>
      <c r="Q272" s="283"/>
      <c r="R272" s="748"/>
      <c r="S272" s="283"/>
      <c r="T272" s="283"/>
      <c r="AC272" s="258"/>
      <c r="AD272" s="258"/>
    </row>
    <row r="273" spans="1:30" s="257" customFormat="1" x14ac:dyDescent="0.2">
      <c r="A273" s="728"/>
      <c r="B273" s="677"/>
      <c r="C273" s="63"/>
      <c r="D273" s="63"/>
      <c r="E273" s="63"/>
      <c r="F273" s="63"/>
      <c r="G273" s="63"/>
      <c r="H273" s="63"/>
      <c r="I273" s="63"/>
      <c r="K273" s="63"/>
      <c r="L273" s="63"/>
      <c r="M273" s="63"/>
      <c r="O273" s="761"/>
      <c r="P273" s="283"/>
      <c r="Q273" s="283"/>
      <c r="R273" s="748"/>
      <c r="S273" s="283"/>
      <c r="T273" s="283"/>
      <c r="AC273" s="258"/>
      <c r="AD273" s="258"/>
    </row>
    <row r="274" spans="1:30" s="257" customFormat="1" x14ac:dyDescent="0.2">
      <c r="A274" s="728"/>
      <c r="B274" s="677"/>
      <c r="C274" s="63"/>
      <c r="D274" s="63"/>
      <c r="E274" s="63"/>
      <c r="F274" s="63"/>
      <c r="G274" s="63"/>
      <c r="H274" s="63"/>
      <c r="I274" s="63"/>
      <c r="K274" s="63"/>
      <c r="L274" s="63"/>
      <c r="M274" s="63"/>
      <c r="O274" s="761"/>
      <c r="P274" s="283"/>
      <c r="Q274" s="283"/>
      <c r="R274" s="748"/>
      <c r="S274" s="283"/>
      <c r="T274" s="283"/>
      <c r="AC274" s="258"/>
      <c r="AD274" s="258"/>
    </row>
    <row r="275" spans="1:30" s="257" customFormat="1" x14ac:dyDescent="0.2">
      <c r="A275" s="728"/>
      <c r="B275" s="677"/>
      <c r="C275" s="63"/>
      <c r="D275" s="63"/>
      <c r="E275" s="63"/>
      <c r="F275" s="63"/>
      <c r="G275" s="63"/>
      <c r="H275" s="63"/>
      <c r="I275" s="63"/>
      <c r="K275" s="63"/>
      <c r="L275" s="63"/>
      <c r="M275" s="63"/>
      <c r="O275" s="761"/>
      <c r="P275" s="283"/>
      <c r="Q275" s="283"/>
      <c r="R275" s="748"/>
      <c r="S275" s="283"/>
      <c r="T275" s="283"/>
      <c r="AC275" s="258"/>
      <c r="AD275" s="258"/>
    </row>
    <row r="276" spans="1:30" s="257" customFormat="1" x14ac:dyDescent="0.2">
      <c r="A276" s="728"/>
      <c r="B276" s="677"/>
      <c r="C276" s="63"/>
      <c r="D276" s="63"/>
      <c r="E276" s="63"/>
      <c r="F276" s="63"/>
      <c r="G276" s="63"/>
      <c r="H276" s="63"/>
      <c r="I276" s="63"/>
      <c r="K276" s="63"/>
      <c r="L276" s="63"/>
      <c r="M276" s="63"/>
      <c r="O276" s="761"/>
      <c r="P276" s="283"/>
      <c r="Q276" s="283"/>
      <c r="R276" s="748"/>
      <c r="S276" s="283"/>
      <c r="T276" s="283"/>
      <c r="AC276" s="258"/>
      <c r="AD276" s="258"/>
    </row>
    <row r="277" spans="1:30" s="257" customFormat="1" x14ac:dyDescent="0.2">
      <c r="A277" s="728"/>
      <c r="B277" s="677"/>
      <c r="C277" s="63"/>
      <c r="D277" s="63"/>
      <c r="E277" s="63"/>
      <c r="F277" s="63"/>
      <c r="G277" s="63"/>
      <c r="H277" s="63"/>
      <c r="I277" s="63"/>
      <c r="K277" s="63"/>
      <c r="L277" s="63"/>
      <c r="M277" s="63"/>
      <c r="O277" s="761"/>
      <c r="P277" s="283"/>
      <c r="Q277" s="283"/>
      <c r="R277" s="748"/>
      <c r="S277" s="283"/>
      <c r="T277" s="283"/>
      <c r="AC277" s="258"/>
      <c r="AD277" s="258"/>
    </row>
    <row r="278" spans="1:30" s="257" customFormat="1" x14ac:dyDescent="0.2">
      <c r="A278" s="728"/>
      <c r="B278" s="677"/>
      <c r="C278" s="63"/>
      <c r="D278" s="63"/>
      <c r="E278" s="63"/>
      <c r="F278" s="63"/>
      <c r="G278" s="63"/>
      <c r="H278" s="63"/>
      <c r="I278" s="63"/>
      <c r="K278" s="63"/>
      <c r="L278" s="63"/>
      <c r="M278" s="63"/>
      <c r="O278" s="761"/>
      <c r="P278" s="283"/>
      <c r="Q278" s="283"/>
      <c r="R278" s="748"/>
      <c r="S278" s="283"/>
      <c r="T278" s="283"/>
      <c r="AC278" s="258"/>
      <c r="AD278" s="258"/>
    </row>
    <row r="279" spans="1:30" s="257" customFormat="1" x14ac:dyDescent="0.2">
      <c r="A279" s="728"/>
      <c r="B279" s="677"/>
      <c r="C279" s="63"/>
      <c r="D279" s="63"/>
      <c r="E279" s="63"/>
      <c r="F279" s="63"/>
      <c r="G279" s="63"/>
      <c r="H279" s="63"/>
      <c r="I279" s="63"/>
      <c r="K279" s="63"/>
      <c r="L279" s="63"/>
      <c r="M279" s="63"/>
      <c r="O279" s="761"/>
      <c r="P279" s="283"/>
      <c r="Q279" s="283"/>
      <c r="R279" s="748"/>
      <c r="S279" s="283"/>
      <c r="T279" s="283"/>
      <c r="AC279" s="258"/>
      <c r="AD279" s="258"/>
    </row>
    <row r="280" spans="1:30" s="257" customFormat="1" x14ac:dyDescent="0.2">
      <c r="A280" s="728"/>
      <c r="B280" s="677"/>
      <c r="C280" s="63"/>
      <c r="D280" s="63"/>
      <c r="E280" s="63"/>
      <c r="F280" s="63"/>
      <c r="G280" s="63"/>
      <c r="H280" s="63"/>
      <c r="I280" s="63"/>
      <c r="K280" s="63"/>
      <c r="L280" s="63"/>
      <c r="M280" s="63"/>
      <c r="O280" s="761"/>
      <c r="P280" s="283"/>
      <c r="Q280" s="283"/>
      <c r="R280" s="748"/>
      <c r="S280" s="283"/>
      <c r="T280" s="283"/>
      <c r="AC280" s="258"/>
      <c r="AD280" s="258"/>
    </row>
    <row r="281" spans="1:30" s="257" customFormat="1" x14ac:dyDescent="0.2">
      <c r="A281" s="728"/>
      <c r="B281" s="677"/>
      <c r="C281" s="63"/>
      <c r="D281" s="63"/>
      <c r="E281" s="63"/>
      <c r="F281" s="63"/>
      <c r="G281" s="63"/>
      <c r="H281" s="63"/>
      <c r="I281" s="63"/>
      <c r="K281" s="63"/>
      <c r="L281" s="63"/>
      <c r="M281" s="63"/>
      <c r="O281" s="761"/>
      <c r="P281" s="283"/>
      <c r="Q281" s="283"/>
      <c r="R281" s="748"/>
      <c r="S281" s="283"/>
      <c r="T281" s="283"/>
      <c r="AC281" s="258"/>
      <c r="AD281" s="258"/>
    </row>
    <row r="282" spans="1:30" s="257" customFormat="1" x14ac:dyDescent="0.2">
      <c r="A282" s="728"/>
      <c r="B282" s="677"/>
      <c r="C282" s="63"/>
      <c r="D282" s="63"/>
      <c r="E282" s="63"/>
      <c r="F282" s="63"/>
      <c r="G282" s="63"/>
      <c r="H282" s="63"/>
      <c r="I282" s="63"/>
      <c r="K282" s="63"/>
      <c r="L282" s="63"/>
      <c r="M282" s="63"/>
      <c r="O282" s="761"/>
      <c r="P282" s="283"/>
      <c r="Q282" s="283"/>
      <c r="R282" s="748"/>
      <c r="S282" s="283"/>
      <c r="T282" s="283"/>
      <c r="AC282" s="258"/>
      <c r="AD282" s="258"/>
    </row>
    <row r="283" spans="1:30" s="257" customFormat="1" x14ac:dyDescent="0.2">
      <c r="A283" s="728"/>
      <c r="B283" s="677"/>
      <c r="C283" s="63"/>
      <c r="D283" s="63"/>
      <c r="E283" s="63"/>
      <c r="F283" s="63"/>
      <c r="G283" s="63"/>
      <c r="H283" s="63"/>
      <c r="I283" s="63"/>
      <c r="K283" s="63"/>
      <c r="L283" s="63"/>
      <c r="M283" s="63"/>
      <c r="O283" s="761"/>
      <c r="P283" s="283"/>
      <c r="Q283" s="283"/>
      <c r="R283" s="748"/>
      <c r="S283" s="283"/>
      <c r="T283" s="283"/>
      <c r="AC283" s="258"/>
      <c r="AD283" s="258"/>
    </row>
    <row r="284" spans="1:30" s="257" customFormat="1" x14ac:dyDescent="0.2">
      <c r="A284" s="728"/>
      <c r="B284" s="677"/>
      <c r="C284" s="63"/>
      <c r="D284" s="63"/>
      <c r="E284" s="63"/>
      <c r="F284" s="63"/>
      <c r="G284" s="63"/>
      <c r="H284" s="63"/>
      <c r="I284" s="63"/>
      <c r="K284" s="63"/>
      <c r="L284" s="63"/>
      <c r="M284" s="63"/>
      <c r="O284" s="761"/>
      <c r="P284" s="283"/>
      <c r="Q284" s="283"/>
      <c r="R284" s="748"/>
      <c r="S284" s="283"/>
      <c r="T284" s="283"/>
      <c r="AC284" s="258"/>
      <c r="AD284" s="258"/>
    </row>
    <row r="285" spans="1:30" s="257" customFormat="1" x14ac:dyDescent="0.2">
      <c r="A285" s="728"/>
      <c r="B285" s="677"/>
      <c r="C285" s="63"/>
      <c r="D285" s="63"/>
      <c r="E285" s="63"/>
      <c r="F285" s="63"/>
      <c r="G285" s="63"/>
      <c r="H285" s="63"/>
      <c r="I285" s="63"/>
      <c r="K285" s="63"/>
      <c r="L285" s="63"/>
      <c r="M285" s="63"/>
      <c r="O285" s="761"/>
      <c r="P285" s="283"/>
      <c r="Q285" s="283"/>
      <c r="R285" s="748"/>
      <c r="S285" s="283"/>
      <c r="T285" s="283"/>
      <c r="AC285" s="258"/>
      <c r="AD285" s="258"/>
    </row>
    <row r="286" spans="1:30" s="257" customFormat="1" x14ac:dyDescent="0.2">
      <c r="A286" s="728"/>
      <c r="B286" s="677"/>
      <c r="C286" s="63"/>
      <c r="D286" s="63"/>
      <c r="E286" s="63"/>
      <c r="F286" s="63"/>
      <c r="G286" s="63"/>
      <c r="H286" s="63"/>
      <c r="I286" s="63"/>
      <c r="K286" s="63"/>
      <c r="L286" s="63"/>
      <c r="M286" s="63"/>
      <c r="O286" s="761"/>
      <c r="P286" s="283"/>
      <c r="Q286" s="283"/>
      <c r="R286" s="748"/>
      <c r="S286" s="283"/>
      <c r="T286" s="283"/>
      <c r="AC286" s="258"/>
      <c r="AD286" s="258"/>
    </row>
    <row r="287" spans="1:30" s="257" customFormat="1" x14ac:dyDescent="0.2">
      <c r="A287" s="728"/>
      <c r="B287" s="677"/>
      <c r="C287" s="63"/>
      <c r="D287" s="63"/>
      <c r="E287" s="63"/>
      <c r="F287" s="63"/>
      <c r="G287" s="63"/>
      <c r="H287" s="63"/>
      <c r="I287" s="63"/>
      <c r="K287" s="63"/>
      <c r="L287" s="63"/>
      <c r="M287" s="63"/>
      <c r="O287" s="761"/>
      <c r="P287" s="283"/>
      <c r="Q287" s="283"/>
      <c r="R287" s="748"/>
      <c r="S287" s="283"/>
      <c r="T287" s="283"/>
      <c r="AC287" s="258"/>
      <c r="AD287" s="258"/>
    </row>
    <row r="288" spans="1:30" s="257" customFormat="1" x14ac:dyDescent="0.2">
      <c r="A288" s="728"/>
      <c r="B288" s="677"/>
      <c r="C288" s="63"/>
      <c r="D288" s="63"/>
      <c r="E288" s="63"/>
      <c r="F288" s="63"/>
      <c r="G288" s="63"/>
      <c r="H288" s="63"/>
      <c r="I288" s="63"/>
      <c r="K288" s="63"/>
      <c r="L288" s="63"/>
      <c r="M288" s="63"/>
      <c r="O288" s="761"/>
      <c r="P288" s="283"/>
      <c r="Q288" s="283"/>
      <c r="R288" s="748"/>
      <c r="S288" s="283"/>
      <c r="T288" s="283"/>
      <c r="AC288" s="258"/>
      <c r="AD288" s="258"/>
    </row>
    <row r="289" spans="1:30" s="257" customFormat="1" x14ac:dyDescent="0.2">
      <c r="A289" s="728"/>
      <c r="B289" s="677"/>
      <c r="C289" s="63"/>
      <c r="D289" s="63"/>
      <c r="E289" s="63"/>
      <c r="F289" s="63"/>
      <c r="G289" s="63"/>
      <c r="H289" s="63"/>
      <c r="I289" s="63"/>
      <c r="K289" s="63"/>
      <c r="L289" s="63"/>
      <c r="M289" s="63"/>
      <c r="O289" s="761"/>
      <c r="P289" s="283"/>
      <c r="Q289" s="283"/>
      <c r="R289" s="748"/>
      <c r="S289" s="283"/>
      <c r="T289" s="283"/>
      <c r="AC289" s="258"/>
      <c r="AD289" s="258"/>
    </row>
    <row r="290" spans="1:30" s="257" customFormat="1" x14ac:dyDescent="0.2">
      <c r="A290" s="728"/>
      <c r="B290" s="677"/>
      <c r="C290" s="63"/>
      <c r="D290" s="63"/>
      <c r="E290" s="63"/>
      <c r="F290" s="63"/>
      <c r="G290" s="63"/>
      <c r="H290" s="63"/>
      <c r="I290" s="63"/>
      <c r="K290" s="63"/>
      <c r="L290" s="63"/>
      <c r="M290" s="63"/>
      <c r="O290" s="761"/>
      <c r="P290" s="283"/>
      <c r="Q290" s="283"/>
      <c r="R290" s="748"/>
      <c r="S290" s="283"/>
      <c r="T290" s="283"/>
      <c r="AC290" s="258"/>
      <c r="AD290" s="258"/>
    </row>
    <row r="291" spans="1:30" s="257" customFormat="1" x14ac:dyDescent="0.2">
      <c r="A291" s="728"/>
      <c r="B291" s="677"/>
      <c r="C291" s="63"/>
      <c r="D291" s="63"/>
      <c r="E291" s="63"/>
      <c r="F291" s="63"/>
      <c r="G291" s="63"/>
      <c r="H291" s="63"/>
      <c r="I291" s="63"/>
      <c r="K291" s="63"/>
      <c r="L291" s="63"/>
      <c r="M291" s="63"/>
      <c r="O291" s="761"/>
      <c r="P291" s="283"/>
      <c r="Q291" s="283"/>
      <c r="R291" s="748"/>
      <c r="S291" s="283"/>
      <c r="T291" s="283"/>
      <c r="AC291" s="258"/>
      <c r="AD291" s="258"/>
    </row>
    <row r="292" spans="1:30" s="257" customFormat="1" x14ac:dyDescent="0.2">
      <c r="A292" s="728"/>
      <c r="B292" s="677"/>
      <c r="C292" s="63"/>
      <c r="D292" s="63"/>
      <c r="E292" s="63"/>
      <c r="F292" s="63"/>
      <c r="G292" s="63"/>
      <c r="H292" s="63"/>
      <c r="I292" s="63"/>
      <c r="K292" s="63"/>
      <c r="L292" s="63"/>
      <c r="M292" s="63"/>
      <c r="O292" s="761"/>
      <c r="P292" s="283"/>
      <c r="Q292" s="283"/>
      <c r="R292" s="748"/>
      <c r="S292" s="283"/>
      <c r="T292" s="283"/>
      <c r="AC292" s="258"/>
      <c r="AD292" s="258"/>
    </row>
    <row r="293" spans="1:30" s="257" customFormat="1" x14ac:dyDescent="0.2">
      <c r="A293" s="728"/>
      <c r="B293" s="677"/>
      <c r="C293" s="63"/>
      <c r="D293" s="63"/>
      <c r="E293" s="63"/>
      <c r="F293" s="63"/>
      <c r="G293" s="63"/>
      <c r="H293" s="63"/>
      <c r="I293" s="63"/>
      <c r="K293" s="63"/>
      <c r="L293" s="63"/>
      <c r="M293" s="63"/>
      <c r="O293" s="761"/>
      <c r="P293" s="283"/>
      <c r="Q293" s="283"/>
      <c r="R293" s="748"/>
      <c r="S293" s="283"/>
      <c r="T293" s="283"/>
      <c r="AC293" s="258"/>
      <c r="AD293" s="258"/>
    </row>
    <row r="294" spans="1:30" s="257" customFormat="1" x14ac:dyDescent="0.2">
      <c r="A294" s="728"/>
      <c r="B294" s="677"/>
      <c r="C294" s="63"/>
      <c r="D294" s="63"/>
      <c r="E294" s="63"/>
      <c r="F294" s="63"/>
      <c r="G294" s="63"/>
      <c r="H294" s="63"/>
      <c r="I294" s="63"/>
      <c r="K294" s="63"/>
      <c r="L294" s="63"/>
      <c r="M294" s="63"/>
      <c r="O294" s="761"/>
      <c r="P294" s="283"/>
      <c r="Q294" s="283"/>
      <c r="R294" s="748"/>
      <c r="S294" s="283"/>
      <c r="T294" s="283"/>
      <c r="AC294" s="258"/>
      <c r="AD294" s="258"/>
    </row>
    <row r="295" spans="1:30" s="257" customFormat="1" x14ac:dyDescent="0.2">
      <c r="A295" s="728"/>
      <c r="B295" s="677"/>
      <c r="C295" s="63"/>
      <c r="D295" s="63"/>
      <c r="E295" s="63"/>
      <c r="F295" s="63"/>
      <c r="G295" s="63"/>
      <c r="H295" s="63"/>
      <c r="I295" s="63"/>
      <c r="K295" s="63"/>
      <c r="L295" s="63"/>
      <c r="M295" s="63"/>
      <c r="O295" s="761"/>
      <c r="P295" s="283"/>
      <c r="Q295" s="283"/>
      <c r="R295" s="748"/>
      <c r="S295" s="283"/>
      <c r="T295" s="283"/>
      <c r="AC295" s="258"/>
      <c r="AD295" s="258"/>
    </row>
    <row r="296" spans="1:30" s="257" customFormat="1" x14ac:dyDescent="0.2">
      <c r="A296" s="728"/>
      <c r="B296" s="677"/>
      <c r="C296" s="63"/>
      <c r="D296" s="63"/>
      <c r="E296" s="63"/>
      <c r="F296" s="63"/>
      <c r="G296" s="63"/>
      <c r="H296" s="63"/>
      <c r="I296" s="63"/>
      <c r="K296" s="63"/>
      <c r="L296" s="63"/>
      <c r="M296" s="63"/>
      <c r="O296" s="761"/>
      <c r="P296" s="283"/>
      <c r="Q296" s="283"/>
      <c r="R296" s="748"/>
      <c r="S296" s="283"/>
      <c r="T296" s="283"/>
      <c r="AC296" s="258"/>
      <c r="AD296" s="258"/>
    </row>
    <row r="297" spans="1:30" s="257" customFormat="1" x14ac:dyDescent="0.2">
      <c r="A297" s="728"/>
      <c r="B297" s="677"/>
      <c r="C297" s="63"/>
      <c r="D297" s="63"/>
      <c r="E297" s="63"/>
      <c r="F297" s="63"/>
      <c r="G297" s="63"/>
      <c r="H297" s="63"/>
      <c r="I297" s="63"/>
      <c r="K297" s="63"/>
      <c r="L297" s="63"/>
      <c r="M297" s="63"/>
      <c r="O297" s="761"/>
      <c r="P297" s="283"/>
      <c r="Q297" s="283"/>
      <c r="R297" s="748"/>
      <c r="S297" s="283"/>
      <c r="T297" s="283"/>
      <c r="AC297" s="258"/>
      <c r="AD297" s="258"/>
    </row>
    <row r="298" spans="1:30" s="257" customFormat="1" x14ac:dyDescent="0.2">
      <c r="A298" s="728"/>
      <c r="B298" s="677"/>
      <c r="C298" s="63"/>
      <c r="D298" s="63"/>
      <c r="E298" s="63"/>
      <c r="F298" s="63"/>
      <c r="G298" s="63"/>
      <c r="H298" s="63"/>
      <c r="I298" s="63"/>
      <c r="K298" s="63"/>
      <c r="L298" s="63"/>
      <c r="M298" s="63"/>
      <c r="O298" s="761"/>
      <c r="P298" s="283"/>
      <c r="Q298" s="283"/>
      <c r="R298" s="748"/>
      <c r="S298" s="283"/>
      <c r="T298" s="283"/>
      <c r="AC298" s="258"/>
      <c r="AD298" s="258"/>
    </row>
    <row r="299" spans="1:30" s="257" customFormat="1" x14ac:dyDescent="0.2">
      <c r="A299" s="728"/>
      <c r="B299" s="677"/>
      <c r="C299" s="63"/>
      <c r="D299" s="63"/>
      <c r="E299" s="63"/>
      <c r="F299" s="63"/>
      <c r="G299" s="63"/>
      <c r="H299" s="63"/>
      <c r="I299" s="63"/>
      <c r="K299" s="63"/>
      <c r="L299" s="63"/>
      <c r="M299" s="63"/>
      <c r="O299" s="761"/>
      <c r="P299" s="283"/>
      <c r="Q299" s="283"/>
      <c r="R299" s="748"/>
      <c r="S299" s="283"/>
      <c r="T299" s="283"/>
      <c r="AC299" s="258"/>
      <c r="AD299" s="258"/>
    </row>
    <row r="300" spans="1:30" s="257" customFormat="1" x14ac:dyDescent="0.2">
      <c r="A300" s="728"/>
      <c r="B300" s="677"/>
      <c r="C300" s="63"/>
      <c r="D300" s="63"/>
      <c r="E300" s="63"/>
      <c r="F300" s="63"/>
      <c r="G300" s="63"/>
      <c r="H300" s="63"/>
      <c r="I300" s="63"/>
      <c r="K300" s="63"/>
      <c r="L300" s="63"/>
      <c r="M300" s="63"/>
      <c r="O300" s="761"/>
      <c r="P300" s="283"/>
      <c r="Q300" s="283"/>
      <c r="R300" s="748"/>
      <c r="S300" s="283"/>
      <c r="T300" s="283"/>
      <c r="AC300" s="258"/>
      <c r="AD300" s="258"/>
    </row>
    <row r="301" spans="1:30" s="257" customFormat="1" x14ac:dyDescent="0.2">
      <c r="A301" s="728"/>
      <c r="B301" s="677"/>
      <c r="C301" s="63"/>
      <c r="D301" s="63"/>
      <c r="E301" s="63"/>
      <c r="F301" s="63"/>
      <c r="G301" s="63"/>
      <c r="H301" s="63"/>
      <c r="I301" s="63"/>
      <c r="K301" s="63"/>
      <c r="L301" s="63"/>
      <c r="M301" s="63"/>
      <c r="O301" s="761"/>
      <c r="P301" s="283"/>
      <c r="Q301" s="283"/>
      <c r="R301" s="748"/>
      <c r="S301" s="283"/>
      <c r="T301" s="283"/>
      <c r="AC301" s="258"/>
      <c r="AD301" s="258"/>
    </row>
    <row r="302" spans="1:30" s="257" customFormat="1" x14ac:dyDescent="0.2">
      <c r="A302" s="728"/>
      <c r="B302" s="677"/>
      <c r="C302" s="63"/>
      <c r="D302" s="63"/>
      <c r="E302" s="63"/>
      <c r="F302" s="63"/>
      <c r="G302" s="63"/>
      <c r="H302" s="63"/>
      <c r="I302" s="63"/>
      <c r="K302" s="63"/>
      <c r="L302" s="63"/>
      <c r="M302" s="63"/>
      <c r="O302" s="761"/>
      <c r="P302" s="283"/>
      <c r="Q302" s="283"/>
      <c r="R302" s="748"/>
      <c r="S302" s="283"/>
      <c r="T302" s="283"/>
      <c r="AC302" s="258"/>
      <c r="AD302" s="258"/>
    </row>
    <row r="303" spans="1:30" s="257" customFormat="1" x14ac:dyDescent="0.2">
      <c r="A303" s="728"/>
      <c r="B303" s="677"/>
      <c r="C303" s="63"/>
      <c r="D303" s="63"/>
      <c r="E303" s="63"/>
      <c r="F303" s="63"/>
      <c r="G303" s="63"/>
      <c r="H303" s="63"/>
      <c r="I303" s="63"/>
      <c r="K303" s="63"/>
      <c r="L303" s="63"/>
      <c r="M303" s="63"/>
      <c r="O303" s="761"/>
      <c r="P303" s="283"/>
      <c r="Q303" s="283"/>
      <c r="R303" s="748"/>
      <c r="S303" s="283"/>
      <c r="T303" s="283"/>
      <c r="AC303" s="258"/>
      <c r="AD303" s="258"/>
    </row>
    <row r="304" spans="1:30" s="257" customFormat="1" x14ac:dyDescent="0.2">
      <c r="A304" s="728"/>
      <c r="B304" s="677"/>
      <c r="C304" s="63"/>
      <c r="D304" s="63"/>
      <c r="E304" s="63"/>
      <c r="F304" s="63"/>
      <c r="G304" s="63"/>
      <c r="H304" s="63"/>
      <c r="I304" s="63"/>
      <c r="K304" s="63"/>
      <c r="L304" s="63"/>
      <c r="M304" s="63"/>
      <c r="O304" s="761"/>
      <c r="P304" s="283"/>
      <c r="Q304" s="283"/>
      <c r="R304" s="748"/>
      <c r="S304" s="283"/>
      <c r="T304" s="283"/>
      <c r="AC304" s="258"/>
      <c r="AD304" s="258"/>
    </row>
    <row r="305" spans="1:30" s="257" customFormat="1" x14ac:dyDescent="0.2">
      <c r="A305" s="728"/>
      <c r="B305" s="677"/>
      <c r="C305" s="63"/>
      <c r="D305" s="63"/>
      <c r="E305" s="63"/>
      <c r="F305" s="63"/>
      <c r="G305" s="63"/>
      <c r="H305" s="63"/>
      <c r="I305" s="63"/>
      <c r="K305" s="63"/>
      <c r="L305" s="63"/>
      <c r="M305" s="63"/>
      <c r="O305" s="761"/>
      <c r="P305" s="283"/>
      <c r="Q305" s="283"/>
      <c r="R305" s="748"/>
      <c r="S305" s="283"/>
      <c r="T305" s="283"/>
      <c r="AC305" s="258"/>
      <c r="AD305" s="258"/>
    </row>
    <row r="306" spans="1:30" s="257" customFormat="1" x14ac:dyDescent="0.2">
      <c r="A306" s="728"/>
      <c r="B306" s="677"/>
      <c r="C306" s="63"/>
      <c r="D306" s="63"/>
      <c r="E306" s="63"/>
      <c r="F306" s="63"/>
      <c r="G306" s="63"/>
      <c r="H306" s="63"/>
      <c r="I306" s="63"/>
      <c r="K306" s="63"/>
      <c r="L306" s="63"/>
      <c r="M306" s="63"/>
      <c r="O306" s="761"/>
      <c r="P306" s="283"/>
      <c r="Q306" s="283"/>
      <c r="R306" s="748"/>
      <c r="S306" s="283"/>
      <c r="T306" s="283"/>
      <c r="AC306" s="258"/>
      <c r="AD306" s="258"/>
    </row>
    <row r="307" spans="1:30" s="257" customFormat="1" x14ac:dyDescent="0.2">
      <c r="A307" s="728"/>
      <c r="B307" s="677"/>
      <c r="C307" s="63"/>
      <c r="D307" s="63"/>
      <c r="E307" s="63"/>
      <c r="F307" s="63"/>
      <c r="G307" s="63"/>
      <c r="H307" s="63"/>
      <c r="I307" s="63"/>
      <c r="K307" s="63"/>
      <c r="L307" s="63"/>
      <c r="M307" s="63"/>
      <c r="O307" s="761"/>
      <c r="P307" s="283"/>
      <c r="Q307" s="283"/>
      <c r="R307" s="748"/>
      <c r="S307" s="283"/>
      <c r="T307" s="283"/>
    </row>
    <row r="308" spans="1:30" s="257" customFormat="1" x14ac:dyDescent="0.2">
      <c r="A308" s="728"/>
      <c r="B308" s="677"/>
      <c r="C308" s="63"/>
      <c r="D308" s="63"/>
      <c r="E308" s="63"/>
      <c r="F308" s="63"/>
      <c r="G308" s="63"/>
      <c r="H308" s="63"/>
      <c r="I308" s="63"/>
      <c r="K308" s="63"/>
      <c r="L308" s="63"/>
      <c r="M308" s="63"/>
      <c r="O308" s="761"/>
      <c r="P308" s="283"/>
      <c r="Q308" s="283"/>
      <c r="R308" s="748"/>
      <c r="S308" s="283"/>
      <c r="T308" s="283"/>
    </row>
    <row r="309" spans="1:30" s="257" customFormat="1" x14ac:dyDescent="0.2">
      <c r="A309" s="728"/>
      <c r="B309" s="677"/>
      <c r="C309" s="63"/>
      <c r="D309" s="63"/>
      <c r="E309" s="63"/>
      <c r="F309" s="63"/>
      <c r="G309" s="63"/>
      <c r="H309" s="63"/>
      <c r="I309" s="63"/>
      <c r="K309" s="63"/>
      <c r="L309" s="63"/>
      <c r="M309" s="63"/>
      <c r="O309" s="761"/>
      <c r="P309" s="283"/>
      <c r="Q309" s="283"/>
      <c r="R309" s="748"/>
      <c r="S309" s="283"/>
      <c r="T309" s="283"/>
    </row>
    <row r="310" spans="1:30" s="257" customFormat="1" x14ac:dyDescent="0.2">
      <c r="A310" s="728"/>
      <c r="B310" s="677"/>
      <c r="C310" s="63"/>
      <c r="D310" s="63"/>
      <c r="E310" s="63"/>
      <c r="F310" s="63"/>
      <c r="G310" s="63"/>
      <c r="H310" s="63"/>
      <c r="I310" s="63"/>
      <c r="K310" s="63"/>
      <c r="L310" s="63"/>
      <c r="M310" s="63"/>
      <c r="O310" s="761"/>
      <c r="P310" s="283"/>
      <c r="Q310" s="283"/>
      <c r="R310" s="748"/>
      <c r="S310" s="283"/>
      <c r="T310" s="283"/>
    </row>
    <row r="311" spans="1:30" s="257" customFormat="1" x14ac:dyDescent="0.2">
      <c r="A311" s="728"/>
      <c r="B311" s="677"/>
      <c r="C311" s="63"/>
      <c r="D311" s="63"/>
      <c r="E311" s="63"/>
      <c r="F311" s="63"/>
      <c r="G311" s="63"/>
      <c r="H311" s="63"/>
      <c r="I311" s="63"/>
      <c r="K311" s="63"/>
      <c r="L311" s="63"/>
      <c r="M311" s="63"/>
      <c r="O311" s="761"/>
      <c r="P311" s="283"/>
      <c r="Q311" s="283"/>
      <c r="R311" s="748"/>
      <c r="S311" s="283"/>
      <c r="T311" s="283"/>
    </row>
    <row r="312" spans="1:30" s="257" customFormat="1" x14ac:dyDescent="0.2">
      <c r="A312" s="728"/>
      <c r="B312" s="677"/>
      <c r="C312" s="63"/>
      <c r="D312" s="63"/>
      <c r="E312" s="63"/>
      <c r="F312" s="63"/>
      <c r="G312" s="63"/>
      <c r="H312" s="63"/>
      <c r="I312" s="63"/>
      <c r="K312" s="63"/>
      <c r="L312" s="63"/>
      <c r="M312" s="63"/>
      <c r="O312" s="761"/>
      <c r="P312" s="283"/>
      <c r="Q312" s="283"/>
      <c r="R312" s="748"/>
      <c r="S312" s="283"/>
      <c r="T312" s="283"/>
    </row>
    <row r="313" spans="1:30" s="257" customFormat="1" x14ac:dyDescent="0.2">
      <c r="A313" s="728"/>
      <c r="B313" s="677"/>
      <c r="C313" s="63"/>
      <c r="D313" s="63"/>
      <c r="E313" s="63"/>
      <c r="F313" s="63"/>
      <c r="G313" s="63"/>
      <c r="H313" s="63"/>
      <c r="I313" s="63"/>
      <c r="K313" s="63"/>
      <c r="L313" s="63"/>
      <c r="M313" s="63"/>
      <c r="O313" s="761"/>
      <c r="P313" s="283"/>
      <c r="Q313" s="283"/>
      <c r="R313" s="748"/>
      <c r="S313" s="283"/>
      <c r="T313" s="283"/>
    </row>
    <row r="314" spans="1:30" s="257" customFormat="1" x14ac:dyDescent="0.2">
      <c r="A314" s="728"/>
      <c r="B314" s="677"/>
      <c r="C314" s="63"/>
      <c r="D314" s="63"/>
      <c r="E314" s="63"/>
      <c r="F314" s="63"/>
      <c r="G314" s="63"/>
      <c r="H314" s="63"/>
      <c r="I314" s="63"/>
      <c r="K314" s="63"/>
      <c r="L314" s="63"/>
      <c r="M314" s="63"/>
      <c r="O314" s="761"/>
      <c r="P314" s="283"/>
      <c r="Q314" s="283"/>
      <c r="R314" s="748"/>
      <c r="S314" s="283"/>
      <c r="T314" s="283"/>
    </row>
    <row r="315" spans="1:30" s="257" customFormat="1" x14ac:dyDescent="0.2">
      <c r="A315" s="728"/>
      <c r="B315" s="677"/>
      <c r="C315" s="63"/>
      <c r="D315" s="63"/>
      <c r="E315" s="63"/>
      <c r="F315" s="63"/>
      <c r="G315" s="63"/>
      <c r="H315" s="63"/>
      <c r="I315" s="63"/>
      <c r="K315" s="63"/>
      <c r="L315" s="63"/>
      <c r="M315" s="63"/>
      <c r="O315" s="761"/>
      <c r="P315" s="283"/>
      <c r="Q315" s="283"/>
      <c r="R315" s="748"/>
      <c r="S315" s="283"/>
      <c r="T315" s="283"/>
    </row>
    <row r="316" spans="1:30" s="257" customFormat="1" x14ac:dyDescent="0.2">
      <c r="A316" s="728"/>
      <c r="B316" s="677"/>
      <c r="C316" s="63"/>
      <c r="D316" s="63"/>
      <c r="E316" s="63"/>
      <c r="F316" s="63"/>
      <c r="G316" s="63"/>
      <c r="H316" s="63"/>
      <c r="I316" s="63"/>
      <c r="K316" s="63"/>
      <c r="L316" s="63"/>
      <c r="M316" s="63"/>
      <c r="O316" s="761"/>
      <c r="P316" s="283"/>
      <c r="Q316" s="283"/>
      <c r="R316" s="748"/>
      <c r="S316" s="283"/>
      <c r="T316" s="283"/>
    </row>
    <row r="317" spans="1:30" s="257" customFormat="1" x14ac:dyDescent="0.2">
      <c r="A317" s="728"/>
      <c r="B317" s="677"/>
      <c r="C317" s="63"/>
      <c r="D317" s="63"/>
      <c r="E317" s="63"/>
      <c r="F317" s="63"/>
      <c r="G317" s="63"/>
      <c r="H317" s="63"/>
      <c r="I317" s="63"/>
      <c r="K317" s="63"/>
      <c r="L317" s="63"/>
      <c r="M317" s="63"/>
      <c r="O317" s="761"/>
      <c r="P317" s="283"/>
      <c r="Q317" s="283"/>
      <c r="R317" s="748"/>
      <c r="S317" s="283"/>
      <c r="T317" s="283"/>
    </row>
    <row r="318" spans="1:30" s="257" customFormat="1" x14ac:dyDescent="0.2">
      <c r="A318" s="728"/>
      <c r="B318" s="677"/>
      <c r="C318" s="63"/>
      <c r="D318" s="63"/>
      <c r="E318" s="63"/>
      <c r="F318" s="63"/>
      <c r="G318" s="63"/>
      <c r="H318" s="63"/>
      <c r="I318" s="63"/>
      <c r="K318" s="63"/>
      <c r="L318" s="63"/>
      <c r="M318" s="63"/>
      <c r="O318" s="761"/>
      <c r="P318" s="283"/>
      <c r="Q318" s="283"/>
      <c r="R318" s="748"/>
      <c r="S318" s="283"/>
      <c r="T318" s="283"/>
    </row>
    <row r="319" spans="1:30" s="257" customFormat="1" x14ac:dyDescent="0.2">
      <c r="A319" s="728"/>
      <c r="B319" s="677"/>
      <c r="C319" s="63"/>
      <c r="D319" s="63"/>
      <c r="E319" s="63"/>
      <c r="F319" s="63"/>
      <c r="G319" s="63"/>
      <c r="H319" s="63"/>
      <c r="I319" s="63"/>
      <c r="K319" s="63"/>
      <c r="L319" s="63"/>
      <c r="M319" s="63"/>
      <c r="O319" s="761"/>
      <c r="P319" s="283"/>
      <c r="Q319" s="283"/>
      <c r="R319" s="748"/>
      <c r="S319" s="283"/>
      <c r="T319" s="283"/>
    </row>
    <row r="320" spans="1:30" s="257" customFormat="1" x14ac:dyDescent="0.2">
      <c r="A320" s="728"/>
      <c r="B320" s="677"/>
      <c r="C320" s="63"/>
      <c r="D320" s="63"/>
      <c r="E320" s="63"/>
      <c r="F320" s="63"/>
      <c r="G320" s="63"/>
      <c r="H320" s="63"/>
      <c r="I320" s="63"/>
      <c r="K320" s="63"/>
      <c r="L320" s="63"/>
      <c r="M320" s="63"/>
      <c r="O320" s="761"/>
      <c r="P320" s="283"/>
      <c r="Q320" s="283"/>
      <c r="R320" s="748"/>
      <c r="S320" s="283"/>
      <c r="T320" s="283"/>
    </row>
    <row r="321" spans="1:20" s="257" customFormat="1" x14ac:dyDescent="0.2">
      <c r="A321" s="728"/>
      <c r="B321" s="677"/>
      <c r="C321" s="63"/>
      <c r="D321" s="63"/>
      <c r="E321" s="63"/>
      <c r="F321" s="63"/>
      <c r="G321" s="63"/>
      <c r="H321" s="63"/>
      <c r="I321" s="63"/>
      <c r="K321" s="63"/>
      <c r="L321" s="63"/>
      <c r="M321" s="63"/>
      <c r="O321" s="761"/>
      <c r="P321" s="283"/>
      <c r="Q321" s="283"/>
      <c r="R321" s="748"/>
      <c r="S321" s="283"/>
      <c r="T321" s="283"/>
    </row>
    <row r="322" spans="1:20" s="257" customFormat="1" x14ac:dyDescent="0.2">
      <c r="A322" s="728"/>
      <c r="B322" s="677"/>
      <c r="C322" s="63"/>
      <c r="D322" s="63"/>
      <c r="E322" s="63"/>
      <c r="F322" s="63"/>
      <c r="G322" s="63"/>
      <c r="H322" s="63"/>
      <c r="I322" s="63"/>
      <c r="K322" s="63"/>
      <c r="L322" s="63"/>
      <c r="M322" s="63"/>
      <c r="O322" s="761"/>
      <c r="P322" s="283"/>
      <c r="Q322" s="283"/>
      <c r="R322" s="748"/>
      <c r="S322" s="283"/>
      <c r="T322" s="283"/>
    </row>
    <row r="323" spans="1:20" s="257" customFormat="1" x14ac:dyDescent="0.2">
      <c r="A323" s="728"/>
      <c r="B323" s="677"/>
      <c r="C323" s="63"/>
      <c r="D323" s="63"/>
      <c r="E323" s="63"/>
      <c r="F323" s="63"/>
      <c r="G323" s="63"/>
      <c r="H323" s="63"/>
      <c r="I323" s="63"/>
      <c r="K323" s="63"/>
      <c r="L323" s="63"/>
      <c r="M323" s="63"/>
      <c r="O323" s="761"/>
      <c r="P323" s="283"/>
      <c r="Q323" s="283"/>
      <c r="R323" s="748"/>
      <c r="S323" s="283"/>
      <c r="T323" s="283"/>
    </row>
    <row r="324" spans="1:20" s="257" customFormat="1" x14ac:dyDescent="0.2">
      <c r="A324" s="728"/>
      <c r="B324" s="677"/>
      <c r="C324" s="63"/>
      <c r="D324" s="63"/>
      <c r="E324" s="63"/>
      <c r="F324" s="63"/>
      <c r="G324" s="63"/>
      <c r="H324" s="63"/>
      <c r="I324" s="63"/>
      <c r="K324" s="63"/>
      <c r="L324" s="63"/>
      <c r="M324" s="63"/>
      <c r="O324" s="761"/>
      <c r="P324" s="283"/>
      <c r="Q324" s="283"/>
      <c r="R324" s="748"/>
      <c r="S324" s="283"/>
      <c r="T324" s="283"/>
    </row>
    <row r="325" spans="1:20" s="257" customFormat="1" x14ac:dyDescent="0.2">
      <c r="A325" s="728"/>
      <c r="B325" s="677"/>
      <c r="C325" s="63"/>
      <c r="D325" s="63"/>
      <c r="E325" s="63"/>
      <c r="F325" s="63"/>
      <c r="G325" s="63"/>
      <c r="H325" s="63"/>
      <c r="I325" s="63"/>
      <c r="K325" s="63"/>
      <c r="L325" s="63"/>
      <c r="M325" s="63"/>
      <c r="O325" s="761"/>
      <c r="P325" s="283"/>
      <c r="Q325" s="283"/>
      <c r="R325" s="748"/>
      <c r="S325" s="283"/>
      <c r="T325" s="283"/>
    </row>
    <row r="326" spans="1:20" s="257" customFormat="1" x14ac:dyDescent="0.2">
      <c r="A326" s="728"/>
      <c r="B326" s="677"/>
      <c r="C326" s="63"/>
      <c r="D326" s="63"/>
      <c r="E326" s="63"/>
      <c r="F326" s="63"/>
      <c r="G326" s="63"/>
      <c r="H326" s="63"/>
      <c r="I326" s="63"/>
      <c r="K326" s="63"/>
      <c r="L326" s="63"/>
      <c r="M326" s="63"/>
      <c r="O326" s="761"/>
      <c r="P326" s="283"/>
      <c r="Q326" s="283"/>
      <c r="R326" s="748"/>
      <c r="S326" s="283"/>
      <c r="T326" s="283"/>
    </row>
    <row r="327" spans="1:20" s="257" customFormat="1" x14ac:dyDescent="0.2">
      <c r="A327" s="728"/>
      <c r="B327" s="677"/>
      <c r="C327" s="63"/>
      <c r="D327" s="63"/>
      <c r="E327" s="63"/>
      <c r="F327" s="63"/>
      <c r="G327" s="63"/>
      <c r="H327" s="63"/>
      <c r="I327" s="63"/>
      <c r="K327" s="63"/>
      <c r="L327" s="63"/>
      <c r="M327" s="63"/>
      <c r="O327" s="761"/>
      <c r="P327" s="283"/>
      <c r="Q327" s="283"/>
      <c r="R327" s="748"/>
      <c r="S327" s="283"/>
      <c r="T327" s="283"/>
    </row>
    <row r="328" spans="1:20" s="257" customFormat="1" x14ac:dyDescent="0.2">
      <c r="A328" s="728"/>
      <c r="B328" s="677"/>
      <c r="C328" s="63"/>
      <c r="D328" s="63"/>
      <c r="E328" s="63"/>
      <c r="F328" s="63"/>
      <c r="G328" s="63"/>
      <c r="H328" s="63"/>
      <c r="I328" s="63"/>
      <c r="K328" s="63"/>
      <c r="L328" s="63"/>
      <c r="M328" s="63"/>
      <c r="O328" s="761"/>
      <c r="P328" s="283"/>
      <c r="Q328" s="283"/>
      <c r="R328" s="748"/>
      <c r="S328" s="283"/>
      <c r="T328" s="283"/>
    </row>
    <row r="329" spans="1:20" s="257" customFormat="1" x14ac:dyDescent="0.2">
      <c r="A329" s="728"/>
      <c r="B329" s="677"/>
      <c r="C329" s="63"/>
      <c r="D329" s="63"/>
      <c r="E329" s="63"/>
      <c r="F329" s="63"/>
      <c r="G329" s="63"/>
      <c r="H329" s="63"/>
      <c r="I329" s="63"/>
      <c r="K329" s="63"/>
      <c r="L329" s="63"/>
      <c r="M329" s="63"/>
      <c r="O329" s="761"/>
      <c r="P329" s="283"/>
      <c r="Q329" s="283"/>
      <c r="R329" s="748"/>
      <c r="S329" s="283"/>
      <c r="T329" s="283"/>
    </row>
    <row r="330" spans="1:20" s="257" customFormat="1" x14ac:dyDescent="0.2">
      <c r="A330" s="728"/>
      <c r="B330" s="677"/>
      <c r="C330" s="63"/>
      <c r="D330" s="63"/>
      <c r="E330" s="63"/>
      <c r="F330" s="63"/>
      <c r="G330" s="63"/>
      <c r="H330" s="63"/>
      <c r="I330" s="63"/>
      <c r="K330" s="63"/>
      <c r="L330" s="63"/>
      <c r="M330" s="63"/>
      <c r="O330" s="761"/>
      <c r="P330" s="283"/>
      <c r="Q330" s="283"/>
      <c r="R330" s="748"/>
      <c r="S330" s="283"/>
      <c r="T330" s="283"/>
    </row>
    <row r="331" spans="1:20" s="257" customFormat="1" x14ac:dyDescent="0.2">
      <c r="A331" s="728"/>
      <c r="B331" s="677"/>
      <c r="C331" s="63"/>
      <c r="D331" s="63"/>
      <c r="E331" s="63"/>
      <c r="F331" s="63"/>
      <c r="G331" s="63"/>
      <c r="H331" s="63"/>
      <c r="I331" s="63"/>
      <c r="K331" s="63"/>
      <c r="L331" s="63"/>
      <c r="M331" s="63"/>
      <c r="O331" s="761"/>
      <c r="P331" s="283"/>
      <c r="Q331" s="283"/>
      <c r="R331" s="748"/>
      <c r="S331" s="283"/>
      <c r="T331" s="283"/>
    </row>
    <row r="332" spans="1:20" s="257" customFormat="1" x14ac:dyDescent="0.2">
      <c r="A332" s="728"/>
      <c r="B332" s="677"/>
      <c r="C332" s="63"/>
      <c r="D332" s="63"/>
      <c r="E332" s="63"/>
      <c r="F332" s="63"/>
      <c r="G332" s="63"/>
      <c r="H332" s="63"/>
      <c r="I332" s="63"/>
      <c r="K332" s="63"/>
      <c r="L332" s="63"/>
      <c r="M332" s="63"/>
      <c r="O332" s="761"/>
      <c r="P332" s="283"/>
      <c r="Q332" s="283"/>
      <c r="R332" s="748"/>
      <c r="S332" s="283"/>
      <c r="T332" s="283"/>
    </row>
    <row r="333" spans="1:20" s="257" customFormat="1" x14ac:dyDescent="0.2">
      <c r="A333" s="728"/>
      <c r="B333" s="677"/>
      <c r="C333" s="63"/>
      <c r="D333" s="63"/>
      <c r="E333" s="63"/>
      <c r="F333" s="63"/>
      <c r="G333" s="63"/>
      <c r="H333" s="63"/>
      <c r="I333" s="63"/>
      <c r="K333" s="63"/>
      <c r="L333" s="63"/>
      <c r="M333" s="63"/>
      <c r="O333" s="761"/>
      <c r="P333" s="283"/>
      <c r="Q333" s="283"/>
      <c r="R333" s="748"/>
      <c r="S333" s="283"/>
      <c r="T333" s="283"/>
    </row>
    <row r="334" spans="1:20" s="257" customFormat="1" x14ac:dyDescent="0.2">
      <c r="A334" s="728"/>
      <c r="B334" s="677"/>
      <c r="C334" s="63"/>
      <c r="D334" s="63"/>
      <c r="E334" s="63"/>
      <c r="F334" s="63"/>
      <c r="G334" s="63"/>
      <c r="H334" s="63"/>
      <c r="I334" s="63"/>
      <c r="K334" s="63"/>
      <c r="L334" s="63"/>
      <c r="M334" s="63"/>
      <c r="O334" s="761"/>
      <c r="P334" s="283"/>
      <c r="Q334" s="283"/>
      <c r="R334" s="748"/>
      <c r="S334" s="283"/>
      <c r="T334" s="283"/>
    </row>
    <row r="335" spans="1:20" s="257" customFormat="1" x14ac:dyDescent="0.2">
      <c r="A335" s="728"/>
      <c r="B335" s="677"/>
      <c r="C335" s="63"/>
      <c r="D335" s="63"/>
      <c r="E335" s="63"/>
      <c r="F335" s="63"/>
      <c r="G335" s="63"/>
      <c r="H335" s="63"/>
      <c r="I335" s="63"/>
      <c r="K335" s="63"/>
      <c r="L335" s="63"/>
      <c r="M335" s="63"/>
      <c r="O335" s="761"/>
      <c r="P335" s="283"/>
      <c r="Q335" s="283"/>
      <c r="R335" s="748"/>
      <c r="S335" s="283"/>
      <c r="T335" s="283"/>
    </row>
    <row r="336" spans="1:20" s="257" customFormat="1" x14ac:dyDescent="0.2">
      <c r="A336" s="728"/>
      <c r="B336" s="677"/>
      <c r="C336" s="63"/>
      <c r="D336" s="63"/>
      <c r="E336" s="63"/>
      <c r="F336" s="63"/>
      <c r="G336" s="63"/>
      <c r="H336" s="63"/>
      <c r="I336" s="63"/>
      <c r="K336" s="63"/>
      <c r="L336" s="63"/>
      <c r="M336" s="63"/>
      <c r="O336" s="761"/>
      <c r="P336" s="283"/>
      <c r="Q336" s="283"/>
      <c r="R336" s="748"/>
      <c r="S336" s="283"/>
      <c r="T336" s="283"/>
    </row>
    <row r="337" spans="1:20" s="257" customFormat="1" x14ac:dyDescent="0.2">
      <c r="A337" s="728"/>
      <c r="B337" s="677"/>
      <c r="C337" s="63"/>
      <c r="D337" s="63"/>
      <c r="E337" s="63"/>
      <c r="F337" s="63"/>
      <c r="G337" s="63"/>
      <c r="H337" s="63"/>
      <c r="I337" s="63"/>
      <c r="K337" s="63"/>
      <c r="L337" s="63"/>
      <c r="M337" s="63"/>
      <c r="O337" s="761"/>
      <c r="P337" s="283"/>
      <c r="Q337" s="283"/>
      <c r="R337" s="748"/>
      <c r="S337" s="283"/>
      <c r="T337" s="283"/>
    </row>
    <row r="338" spans="1:20" s="257" customFormat="1" x14ac:dyDescent="0.2">
      <c r="A338" s="728"/>
      <c r="B338" s="677"/>
      <c r="C338" s="63"/>
      <c r="D338" s="63"/>
      <c r="E338" s="63"/>
      <c r="F338" s="63"/>
      <c r="G338" s="63"/>
      <c r="H338" s="63"/>
      <c r="I338" s="63"/>
      <c r="K338" s="63"/>
      <c r="L338" s="63"/>
      <c r="M338" s="63"/>
      <c r="O338" s="761"/>
      <c r="P338" s="283"/>
      <c r="Q338" s="283"/>
      <c r="R338" s="748"/>
      <c r="S338" s="283"/>
      <c r="T338" s="283"/>
    </row>
    <row r="339" spans="1:20" s="257" customFormat="1" x14ac:dyDescent="0.2">
      <c r="A339" s="728"/>
      <c r="B339" s="677"/>
      <c r="C339" s="63"/>
      <c r="D339" s="63"/>
      <c r="E339" s="63"/>
      <c r="F339" s="63"/>
      <c r="G339" s="63"/>
      <c r="H339" s="63"/>
      <c r="I339" s="63"/>
      <c r="K339" s="63"/>
      <c r="L339" s="63"/>
      <c r="M339" s="63"/>
      <c r="O339" s="761"/>
      <c r="P339" s="283"/>
      <c r="Q339" s="283"/>
      <c r="R339" s="748"/>
      <c r="S339" s="283"/>
      <c r="T339" s="283"/>
    </row>
    <row r="340" spans="1:20" s="257" customFormat="1" x14ac:dyDescent="0.2">
      <c r="A340" s="728"/>
      <c r="B340" s="677"/>
      <c r="C340" s="63"/>
      <c r="D340" s="63"/>
      <c r="E340" s="63"/>
      <c r="F340" s="63"/>
      <c r="G340" s="63"/>
      <c r="H340" s="63"/>
      <c r="I340" s="63"/>
      <c r="K340" s="63"/>
      <c r="L340" s="63"/>
      <c r="M340" s="63"/>
      <c r="O340" s="761"/>
      <c r="P340" s="283"/>
      <c r="Q340" s="283"/>
      <c r="R340" s="748"/>
      <c r="S340" s="283"/>
      <c r="T340" s="283"/>
    </row>
    <row r="341" spans="1:20" s="257" customFormat="1" x14ac:dyDescent="0.2">
      <c r="A341" s="728"/>
      <c r="B341" s="677"/>
      <c r="C341" s="63"/>
      <c r="D341" s="63"/>
      <c r="E341" s="63"/>
      <c r="F341" s="63"/>
      <c r="G341" s="63"/>
      <c r="H341" s="63"/>
      <c r="I341" s="63"/>
      <c r="K341" s="63"/>
      <c r="L341" s="63"/>
      <c r="M341" s="63"/>
      <c r="O341" s="761"/>
      <c r="P341" s="283"/>
      <c r="Q341" s="283"/>
      <c r="R341" s="748"/>
      <c r="S341" s="283"/>
      <c r="T341" s="283"/>
    </row>
    <row r="342" spans="1:20" s="257" customFormat="1" x14ac:dyDescent="0.2">
      <c r="A342" s="728"/>
      <c r="B342" s="677"/>
      <c r="C342" s="63"/>
      <c r="D342" s="63"/>
      <c r="E342" s="63"/>
      <c r="F342" s="63"/>
      <c r="G342" s="63"/>
      <c r="H342" s="63"/>
      <c r="I342" s="63"/>
      <c r="K342" s="63"/>
      <c r="L342" s="63"/>
      <c r="M342" s="63"/>
      <c r="O342" s="761"/>
      <c r="P342" s="283"/>
      <c r="Q342" s="283"/>
      <c r="R342" s="748"/>
      <c r="S342" s="283"/>
      <c r="T342" s="283"/>
    </row>
    <row r="343" spans="1:20" s="257" customFormat="1" x14ac:dyDescent="0.2">
      <c r="A343" s="728"/>
      <c r="B343" s="677"/>
      <c r="C343" s="63"/>
      <c r="D343" s="63"/>
      <c r="E343" s="63"/>
      <c r="F343" s="63"/>
      <c r="G343" s="63"/>
      <c r="H343" s="63"/>
      <c r="I343" s="63"/>
      <c r="K343" s="63"/>
      <c r="L343" s="63"/>
      <c r="M343" s="63"/>
      <c r="O343" s="761"/>
      <c r="P343" s="283"/>
      <c r="Q343" s="283"/>
      <c r="R343" s="748"/>
      <c r="S343" s="283"/>
      <c r="T343" s="283"/>
    </row>
    <row r="344" spans="1:20" s="257" customFormat="1" x14ac:dyDescent="0.2">
      <c r="A344" s="728"/>
      <c r="B344" s="677"/>
      <c r="C344" s="63"/>
      <c r="D344" s="63"/>
      <c r="E344" s="63"/>
      <c r="F344" s="63"/>
      <c r="G344" s="63"/>
      <c r="H344" s="63"/>
      <c r="I344" s="63"/>
      <c r="K344" s="63"/>
      <c r="L344" s="63"/>
      <c r="M344" s="63"/>
      <c r="O344" s="761"/>
      <c r="P344" s="283"/>
      <c r="Q344" s="283"/>
      <c r="R344" s="748"/>
      <c r="S344" s="283"/>
      <c r="T344" s="283"/>
    </row>
    <row r="345" spans="1:20" s="257" customFormat="1" x14ac:dyDescent="0.2">
      <c r="A345" s="728"/>
      <c r="B345" s="677"/>
      <c r="C345" s="63"/>
      <c r="D345" s="63"/>
      <c r="E345" s="63"/>
      <c r="F345" s="63"/>
      <c r="G345" s="63"/>
      <c r="H345" s="63"/>
      <c r="I345" s="63"/>
      <c r="K345" s="63"/>
      <c r="L345" s="63"/>
      <c r="M345" s="63"/>
      <c r="O345" s="761"/>
      <c r="P345" s="283"/>
      <c r="Q345" s="283"/>
      <c r="R345" s="748"/>
      <c r="S345" s="283"/>
      <c r="T345" s="283"/>
    </row>
    <row r="346" spans="1:20" s="257" customFormat="1" x14ac:dyDescent="0.2">
      <c r="A346" s="728"/>
      <c r="B346" s="677"/>
      <c r="C346" s="63"/>
      <c r="D346" s="63"/>
      <c r="E346" s="63"/>
      <c r="F346" s="63"/>
      <c r="G346" s="63"/>
      <c r="H346" s="63"/>
      <c r="I346" s="63"/>
      <c r="K346" s="63"/>
      <c r="L346" s="63"/>
      <c r="M346" s="63"/>
      <c r="O346" s="761"/>
      <c r="P346" s="283"/>
      <c r="Q346" s="283"/>
      <c r="R346" s="748"/>
      <c r="S346" s="283"/>
      <c r="T346" s="283"/>
    </row>
    <row r="347" spans="1:20" s="257" customFormat="1" x14ac:dyDescent="0.2">
      <c r="A347" s="728"/>
      <c r="B347" s="677"/>
      <c r="C347" s="63"/>
      <c r="D347" s="63"/>
      <c r="E347" s="63"/>
      <c r="F347" s="63"/>
      <c r="G347" s="63"/>
      <c r="H347" s="63"/>
      <c r="I347" s="63"/>
      <c r="K347" s="63"/>
      <c r="L347" s="63"/>
      <c r="M347" s="63"/>
      <c r="O347" s="761"/>
      <c r="P347" s="283"/>
      <c r="Q347" s="283"/>
      <c r="R347" s="748"/>
      <c r="S347" s="283"/>
      <c r="T347" s="283"/>
    </row>
    <row r="348" spans="1:20" s="257" customFormat="1" x14ac:dyDescent="0.2">
      <c r="A348" s="728"/>
      <c r="B348" s="677"/>
      <c r="C348" s="63"/>
      <c r="D348" s="63"/>
      <c r="E348" s="63"/>
      <c r="F348" s="63"/>
      <c r="G348" s="63"/>
      <c r="H348" s="63"/>
      <c r="I348" s="63"/>
      <c r="K348" s="63"/>
      <c r="L348" s="63"/>
      <c r="M348" s="63"/>
      <c r="O348" s="761"/>
      <c r="P348" s="283"/>
      <c r="Q348" s="283"/>
      <c r="R348" s="748"/>
      <c r="S348" s="283"/>
      <c r="T348" s="283"/>
    </row>
    <row r="349" spans="1:20" s="257" customFormat="1" x14ac:dyDescent="0.2">
      <c r="A349" s="728"/>
      <c r="B349" s="677"/>
      <c r="C349" s="63"/>
      <c r="D349" s="63"/>
      <c r="E349" s="63"/>
      <c r="F349" s="63"/>
      <c r="G349" s="63"/>
      <c r="H349" s="63"/>
      <c r="I349" s="63"/>
      <c r="K349" s="63"/>
      <c r="L349" s="63"/>
      <c r="M349" s="63"/>
      <c r="O349" s="761"/>
      <c r="P349" s="283"/>
      <c r="Q349" s="283"/>
      <c r="R349" s="748"/>
      <c r="S349" s="283"/>
      <c r="T349" s="283"/>
    </row>
    <row r="350" spans="1:20" s="257" customFormat="1" x14ac:dyDescent="0.2">
      <c r="A350" s="728"/>
      <c r="B350" s="677"/>
      <c r="C350" s="63"/>
      <c r="D350" s="63"/>
      <c r="E350" s="63"/>
      <c r="F350" s="63"/>
      <c r="G350" s="63"/>
      <c r="H350" s="63"/>
      <c r="I350" s="63"/>
      <c r="K350" s="63"/>
      <c r="L350" s="63"/>
      <c r="M350" s="63"/>
      <c r="O350" s="761"/>
      <c r="P350" s="283"/>
      <c r="Q350" s="283"/>
      <c r="R350" s="748"/>
      <c r="S350" s="283"/>
      <c r="T350" s="283"/>
    </row>
    <row r="351" spans="1:20" s="257" customFormat="1" x14ac:dyDescent="0.2">
      <c r="A351" s="728"/>
      <c r="B351" s="677"/>
      <c r="C351" s="63"/>
      <c r="D351" s="63"/>
      <c r="E351" s="63"/>
      <c r="F351" s="63"/>
      <c r="G351" s="63"/>
      <c r="H351" s="63"/>
      <c r="I351" s="63"/>
      <c r="K351" s="63"/>
      <c r="L351" s="63"/>
      <c r="M351" s="63"/>
      <c r="O351" s="761"/>
      <c r="P351" s="283"/>
      <c r="Q351" s="283"/>
      <c r="R351" s="748"/>
      <c r="S351" s="283"/>
      <c r="T351" s="283"/>
    </row>
    <row r="352" spans="1:20" s="257" customFormat="1" x14ac:dyDescent="0.2">
      <c r="A352" s="728"/>
      <c r="B352" s="677"/>
      <c r="C352" s="63"/>
      <c r="D352" s="63"/>
      <c r="E352" s="63"/>
      <c r="F352" s="63"/>
      <c r="G352" s="63"/>
      <c r="H352" s="63"/>
      <c r="I352" s="63"/>
      <c r="K352" s="63"/>
      <c r="L352" s="63"/>
      <c r="M352" s="63"/>
      <c r="O352" s="761"/>
      <c r="P352" s="283"/>
      <c r="Q352" s="283"/>
      <c r="R352" s="748"/>
      <c r="S352" s="283"/>
      <c r="T352" s="283"/>
    </row>
    <row r="353" spans="1:20" s="257" customFormat="1" x14ac:dyDescent="0.2">
      <c r="A353" s="728"/>
      <c r="B353" s="677"/>
      <c r="C353" s="63"/>
      <c r="D353" s="63"/>
      <c r="E353" s="63"/>
      <c r="F353" s="63"/>
      <c r="G353" s="63"/>
      <c r="H353" s="63"/>
      <c r="I353" s="63"/>
      <c r="K353" s="63"/>
      <c r="L353" s="63"/>
      <c r="M353" s="63"/>
      <c r="O353" s="761"/>
      <c r="P353" s="283"/>
      <c r="Q353" s="283"/>
      <c r="R353" s="748"/>
      <c r="S353" s="283"/>
      <c r="T353" s="283"/>
    </row>
    <row r="354" spans="1:20" s="257" customFormat="1" x14ac:dyDescent="0.2">
      <c r="A354" s="728"/>
      <c r="B354" s="677"/>
      <c r="C354" s="63"/>
      <c r="D354" s="63"/>
      <c r="E354" s="63"/>
      <c r="F354" s="63"/>
      <c r="G354" s="63"/>
      <c r="H354" s="63"/>
      <c r="I354" s="63"/>
      <c r="K354" s="63"/>
      <c r="L354" s="63"/>
      <c r="M354" s="63"/>
      <c r="O354" s="761"/>
      <c r="P354" s="283"/>
      <c r="Q354" s="283"/>
      <c r="R354" s="748"/>
      <c r="S354" s="283"/>
      <c r="T354" s="283"/>
    </row>
    <row r="355" spans="1:20" s="257" customFormat="1" x14ac:dyDescent="0.2">
      <c r="A355" s="728"/>
      <c r="B355" s="677"/>
      <c r="C355" s="63"/>
      <c r="D355" s="63"/>
      <c r="E355" s="63"/>
      <c r="F355" s="63"/>
      <c r="G355" s="63"/>
      <c r="H355" s="63"/>
      <c r="I355" s="63"/>
      <c r="K355" s="63"/>
      <c r="L355" s="63"/>
      <c r="M355" s="63"/>
      <c r="O355" s="761"/>
      <c r="P355" s="283"/>
      <c r="Q355" s="283"/>
      <c r="R355" s="748"/>
      <c r="S355" s="283"/>
      <c r="T355" s="283"/>
    </row>
    <row r="356" spans="1:20" s="257" customFormat="1" x14ac:dyDescent="0.2">
      <c r="A356" s="728"/>
      <c r="B356" s="677"/>
      <c r="C356" s="63"/>
      <c r="D356" s="63"/>
      <c r="E356" s="63"/>
      <c r="F356" s="63"/>
      <c r="G356" s="63"/>
      <c r="H356" s="63"/>
      <c r="I356" s="63"/>
      <c r="K356" s="63"/>
      <c r="L356" s="63"/>
      <c r="M356" s="63"/>
      <c r="O356" s="761"/>
      <c r="P356" s="283"/>
      <c r="Q356" s="283"/>
      <c r="R356" s="748"/>
      <c r="S356" s="283"/>
      <c r="T356" s="283"/>
    </row>
    <row r="357" spans="1:20" s="257" customFormat="1" x14ac:dyDescent="0.2">
      <c r="A357" s="728"/>
      <c r="B357" s="677"/>
      <c r="C357" s="63"/>
      <c r="D357" s="63"/>
      <c r="E357" s="63"/>
      <c r="F357" s="63"/>
      <c r="G357" s="63"/>
      <c r="H357" s="63"/>
      <c r="I357" s="63"/>
      <c r="K357" s="63"/>
      <c r="L357" s="63"/>
      <c r="M357" s="63"/>
      <c r="O357" s="761"/>
      <c r="P357" s="283"/>
      <c r="Q357" s="283"/>
      <c r="R357" s="748"/>
      <c r="S357" s="283"/>
      <c r="T357" s="283"/>
    </row>
    <row r="358" spans="1:20" s="257" customFormat="1" x14ac:dyDescent="0.2">
      <c r="A358" s="728"/>
      <c r="B358" s="677"/>
      <c r="C358" s="63"/>
      <c r="D358" s="63"/>
      <c r="E358" s="63"/>
      <c r="F358" s="63"/>
      <c r="G358" s="63"/>
      <c r="H358" s="63"/>
      <c r="I358" s="63"/>
      <c r="K358" s="63"/>
      <c r="L358" s="63"/>
      <c r="M358" s="63"/>
      <c r="O358" s="761"/>
      <c r="P358" s="283"/>
      <c r="Q358" s="283"/>
      <c r="R358" s="748"/>
      <c r="S358" s="283"/>
      <c r="T358" s="283"/>
    </row>
    <row r="359" spans="1:20" s="257" customFormat="1" x14ac:dyDescent="0.2">
      <c r="A359" s="728"/>
      <c r="B359" s="677"/>
      <c r="C359" s="63"/>
      <c r="D359" s="63"/>
      <c r="E359" s="63"/>
      <c r="F359" s="63"/>
      <c r="G359" s="63"/>
      <c r="H359" s="63"/>
      <c r="I359" s="63"/>
      <c r="K359" s="63"/>
      <c r="L359" s="63"/>
      <c r="M359" s="63"/>
      <c r="O359" s="761"/>
      <c r="P359" s="283"/>
      <c r="Q359" s="283"/>
      <c r="R359" s="748"/>
      <c r="S359" s="283"/>
      <c r="T359" s="283"/>
    </row>
    <row r="360" spans="1:20" s="257" customFormat="1" x14ac:dyDescent="0.2">
      <c r="A360" s="728"/>
      <c r="B360" s="677"/>
      <c r="C360" s="63"/>
      <c r="D360" s="63"/>
      <c r="E360" s="63"/>
      <c r="F360" s="63"/>
      <c r="G360" s="63"/>
      <c r="H360" s="63"/>
      <c r="I360" s="63"/>
      <c r="K360" s="63"/>
      <c r="L360" s="63"/>
      <c r="M360" s="63"/>
      <c r="O360" s="761"/>
      <c r="P360" s="283"/>
      <c r="Q360" s="283"/>
      <c r="R360" s="748"/>
      <c r="S360" s="283"/>
      <c r="T360" s="283"/>
    </row>
    <row r="361" spans="1:20" s="257" customFormat="1" x14ac:dyDescent="0.2">
      <c r="A361" s="728"/>
      <c r="B361" s="677"/>
      <c r="C361" s="63"/>
      <c r="D361" s="63"/>
      <c r="E361" s="63"/>
      <c r="F361" s="63"/>
      <c r="G361" s="63"/>
      <c r="H361" s="63"/>
      <c r="I361" s="63"/>
      <c r="K361" s="63"/>
      <c r="L361" s="63"/>
      <c r="M361" s="63"/>
      <c r="O361" s="761"/>
      <c r="P361" s="283"/>
      <c r="Q361" s="283"/>
      <c r="R361" s="748"/>
      <c r="S361" s="283"/>
      <c r="T361" s="283"/>
    </row>
    <row r="362" spans="1:20" s="257" customFormat="1" x14ac:dyDescent="0.2">
      <c r="A362" s="728"/>
      <c r="B362" s="677"/>
      <c r="C362" s="63"/>
      <c r="D362" s="63"/>
      <c r="E362" s="63"/>
      <c r="F362" s="63"/>
      <c r="G362" s="63"/>
      <c r="H362" s="63"/>
      <c r="I362" s="63"/>
      <c r="K362" s="63"/>
      <c r="L362" s="63"/>
      <c r="M362" s="63"/>
      <c r="O362" s="761"/>
      <c r="P362" s="283"/>
      <c r="Q362" s="283"/>
      <c r="R362" s="748"/>
      <c r="S362" s="283"/>
      <c r="T362" s="283"/>
    </row>
    <row r="363" spans="1:20" s="257" customFormat="1" x14ac:dyDescent="0.2">
      <c r="A363" s="728"/>
      <c r="B363" s="677"/>
      <c r="C363" s="63"/>
      <c r="D363" s="63"/>
      <c r="E363" s="63"/>
      <c r="F363" s="63"/>
      <c r="G363" s="63"/>
      <c r="H363" s="63"/>
      <c r="I363" s="63"/>
      <c r="K363" s="63"/>
      <c r="L363" s="63"/>
      <c r="M363" s="63"/>
      <c r="O363" s="761"/>
      <c r="P363" s="283"/>
      <c r="Q363" s="283"/>
      <c r="R363" s="748"/>
      <c r="S363" s="283"/>
      <c r="T363" s="283"/>
    </row>
    <row r="364" spans="1:20" s="257" customFormat="1" x14ac:dyDescent="0.2">
      <c r="A364" s="728"/>
      <c r="B364" s="677"/>
      <c r="C364" s="63"/>
      <c r="D364" s="63"/>
      <c r="E364" s="63"/>
      <c r="F364" s="63"/>
      <c r="G364" s="63"/>
      <c r="H364" s="63"/>
      <c r="I364" s="63"/>
      <c r="K364" s="63"/>
      <c r="L364" s="63"/>
      <c r="M364" s="63"/>
      <c r="O364" s="761"/>
      <c r="P364" s="283"/>
      <c r="Q364" s="283"/>
      <c r="R364" s="748"/>
      <c r="S364" s="283"/>
      <c r="T364" s="283"/>
    </row>
    <row r="365" spans="1:20" s="257" customFormat="1" x14ac:dyDescent="0.2">
      <c r="A365" s="728"/>
      <c r="B365" s="677"/>
      <c r="C365" s="63"/>
      <c r="D365" s="63"/>
      <c r="E365" s="63"/>
      <c r="F365" s="63"/>
      <c r="G365" s="63"/>
      <c r="H365" s="63"/>
      <c r="I365" s="63"/>
      <c r="K365" s="63"/>
      <c r="L365" s="63"/>
      <c r="M365" s="63"/>
      <c r="O365" s="761"/>
      <c r="P365" s="283"/>
      <c r="Q365" s="283"/>
      <c r="R365" s="748"/>
      <c r="S365" s="283"/>
      <c r="T365" s="283"/>
    </row>
    <row r="366" spans="1:20" s="257" customFormat="1" x14ac:dyDescent="0.2">
      <c r="A366" s="728"/>
      <c r="B366" s="677"/>
      <c r="C366" s="63"/>
      <c r="D366" s="63"/>
      <c r="E366" s="63"/>
      <c r="F366" s="63"/>
      <c r="G366" s="63"/>
      <c r="H366" s="63"/>
      <c r="I366" s="63"/>
      <c r="K366" s="63"/>
      <c r="L366" s="63"/>
      <c r="M366" s="63"/>
      <c r="O366" s="761"/>
      <c r="P366" s="283"/>
      <c r="Q366" s="283"/>
      <c r="R366" s="748"/>
      <c r="S366" s="283"/>
      <c r="T366" s="283"/>
    </row>
    <row r="367" spans="1:20" s="257" customFormat="1" x14ac:dyDescent="0.2">
      <c r="A367" s="728"/>
      <c r="B367" s="677"/>
      <c r="C367" s="63"/>
      <c r="D367" s="63"/>
      <c r="E367" s="63"/>
      <c r="F367" s="63"/>
      <c r="G367" s="63"/>
      <c r="H367" s="63"/>
      <c r="I367" s="63"/>
      <c r="K367" s="63"/>
      <c r="L367" s="63"/>
      <c r="M367" s="63"/>
      <c r="O367" s="761"/>
      <c r="P367" s="283"/>
      <c r="Q367" s="283"/>
      <c r="R367" s="748"/>
      <c r="S367" s="283"/>
      <c r="T367" s="283"/>
    </row>
    <row r="368" spans="1:20" s="257" customFormat="1" x14ac:dyDescent="0.2">
      <c r="A368" s="728"/>
      <c r="B368" s="677"/>
      <c r="C368" s="63"/>
      <c r="D368" s="63"/>
      <c r="E368" s="63"/>
      <c r="F368" s="63"/>
      <c r="G368" s="63"/>
      <c r="H368" s="63"/>
      <c r="I368" s="63"/>
      <c r="K368" s="63"/>
      <c r="L368" s="63"/>
      <c r="M368" s="63"/>
      <c r="O368" s="761"/>
      <c r="P368" s="283"/>
      <c r="Q368" s="283"/>
      <c r="R368" s="748"/>
      <c r="S368" s="283"/>
      <c r="T368" s="283"/>
    </row>
    <row r="369" spans="1:20" s="257" customFormat="1" x14ac:dyDescent="0.2">
      <c r="A369" s="728"/>
      <c r="B369" s="677"/>
      <c r="C369" s="63"/>
      <c r="D369" s="63"/>
      <c r="E369" s="63"/>
      <c r="F369" s="63"/>
      <c r="G369" s="63"/>
      <c r="H369" s="63"/>
      <c r="I369" s="63"/>
      <c r="K369" s="63"/>
      <c r="L369" s="63"/>
      <c r="M369" s="63"/>
      <c r="O369" s="761"/>
      <c r="P369" s="283"/>
      <c r="Q369" s="283"/>
      <c r="R369" s="748"/>
      <c r="S369" s="283"/>
      <c r="T369" s="283"/>
    </row>
    <row r="370" spans="1:20" s="257" customFormat="1" x14ac:dyDescent="0.2">
      <c r="A370" s="728"/>
      <c r="B370" s="677"/>
      <c r="C370" s="63"/>
      <c r="D370" s="63"/>
      <c r="E370" s="63"/>
      <c r="F370" s="63"/>
      <c r="G370" s="63"/>
      <c r="H370" s="63"/>
      <c r="I370" s="63"/>
      <c r="K370" s="63"/>
      <c r="L370" s="63"/>
      <c r="M370" s="63"/>
      <c r="O370" s="761"/>
      <c r="P370" s="283"/>
      <c r="Q370" s="283"/>
      <c r="R370" s="748"/>
      <c r="S370" s="283"/>
      <c r="T370" s="283"/>
    </row>
    <row r="371" spans="1:20" s="257" customFormat="1" x14ac:dyDescent="0.2">
      <c r="A371" s="728"/>
      <c r="B371" s="677"/>
      <c r="C371" s="63"/>
      <c r="D371" s="63"/>
      <c r="E371" s="63"/>
      <c r="F371" s="63"/>
      <c r="G371" s="63"/>
      <c r="H371" s="63"/>
      <c r="I371" s="63"/>
      <c r="K371" s="63"/>
      <c r="L371" s="63"/>
      <c r="M371" s="63"/>
      <c r="O371" s="761"/>
      <c r="P371" s="283"/>
      <c r="Q371" s="283"/>
      <c r="R371" s="748"/>
      <c r="S371" s="283"/>
      <c r="T371" s="283"/>
    </row>
    <row r="372" spans="1:20" s="257" customFormat="1" x14ac:dyDescent="0.2">
      <c r="A372" s="728"/>
      <c r="B372" s="677"/>
      <c r="C372" s="63"/>
      <c r="D372" s="63"/>
      <c r="E372" s="63"/>
      <c r="F372" s="63"/>
      <c r="G372" s="63"/>
      <c r="H372" s="63"/>
      <c r="I372" s="63"/>
      <c r="K372" s="63"/>
      <c r="L372" s="63"/>
      <c r="M372" s="63"/>
      <c r="O372" s="761"/>
      <c r="P372" s="283"/>
      <c r="Q372" s="283"/>
      <c r="R372" s="748"/>
      <c r="S372" s="283"/>
      <c r="T372" s="283"/>
    </row>
    <row r="373" spans="1:20" s="257" customFormat="1" x14ac:dyDescent="0.2">
      <c r="A373" s="728"/>
      <c r="B373" s="677"/>
      <c r="C373" s="63"/>
      <c r="D373" s="63"/>
      <c r="E373" s="63"/>
      <c r="F373" s="63"/>
      <c r="G373" s="63"/>
      <c r="H373" s="63"/>
      <c r="I373" s="63"/>
      <c r="K373" s="63"/>
      <c r="L373" s="63"/>
      <c r="M373" s="63"/>
      <c r="O373" s="761"/>
      <c r="P373" s="283"/>
      <c r="Q373" s="283"/>
      <c r="R373" s="748"/>
      <c r="S373" s="283"/>
      <c r="T373" s="283"/>
    </row>
    <row r="374" spans="1:20" s="257" customFormat="1" x14ac:dyDescent="0.2">
      <c r="A374" s="728"/>
      <c r="B374" s="677"/>
      <c r="C374" s="63"/>
      <c r="D374" s="63"/>
      <c r="E374" s="63"/>
      <c r="F374" s="63"/>
      <c r="G374" s="63"/>
      <c r="H374" s="63"/>
      <c r="I374" s="63"/>
      <c r="K374" s="63"/>
      <c r="L374" s="63"/>
      <c r="M374" s="63"/>
      <c r="O374" s="761"/>
      <c r="P374" s="283"/>
      <c r="Q374" s="283"/>
      <c r="R374" s="748"/>
      <c r="S374" s="283"/>
      <c r="T374" s="283"/>
    </row>
    <row r="375" spans="1:20" s="257" customFormat="1" x14ac:dyDescent="0.2">
      <c r="A375" s="728"/>
      <c r="B375" s="677"/>
      <c r="C375" s="63"/>
      <c r="D375" s="63"/>
      <c r="E375" s="63"/>
      <c r="F375" s="63"/>
      <c r="G375" s="63"/>
      <c r="H375" s="63"/>
      <c r="I375" s="63"/>
      <c r="K375" s="63"/>
      <c r="L375" s="63"/>
      <c r="M375" s="63"/>
      <c r="O375" s="761"/>
      <c r="P375" s="283"/>
      <c r="Q375" s="283"/>
      <c r="R375" s="748"/>
      <c r="S375" s="283"/>
      <c r="T375" s="283"/>
    </row>
    <row r="376" spans="1:20" s="257" customFormat="1" x14ac:dyDescent="0.2">
      <c r="A376" s="728"/>
      <c r="B376" s="677"/>
      <c r="C376" s="63"/>
      <c r="D376" s="63"/>
      <c r="E376" s="63"/>
      <c r="F376" s="63"/>
      <c r="G376" s="63"/>
      <c r="H376" s="63"/>
      <c r="I376" s="63"/>
      <c r="K376" s="63"/>
      <c r="L376" s="63"/>
      <c r="M376" s="63"/>
      <c r="O376" s="761"/>
      <c r="P376" s="283"/>
      <c r="Q376" s="283"/>
      <c r="R376" s="748"/>
      <c r="S376" s="283"/>
      <c r="T376" s="283"/>
    </row>
    <row r="377" spans="1:20" s="257" customFormat="1" x14ac:dyDescent="0.2">
      <c r="A377" s="728"/>
      <c r="B377" s="677"/>
      <c r="C377" s="63"/>
      <c r="D377" s="63"/>
      <c r="E377" s="63"/>
      <c r="F377" s="63"/>
      <c r="G377" s="63"/>
      <c r="H377" s="63"/>
      <c r="I377" s="63"/>
      <c r="K377" s="63"/>
      <c r="L377" s="63"/>
      <c r="M377" s="63"/>
      <c r="O377" s="761"/>
      <c r="P377" s="283"/>
      <c r="Q377" s="283"/>
      <c r="R377" s="748"/>
      <c r="S377" s="283"/>
      <c r="T377" s="283"/>
    </row>
    <row r="378" spans="1:20" s="257" customFormat="1" x14ac:dyDescent="0.2">
      <c r="A378" s="728"/>
      <c r="B378" s="677"/>
      <c r="C378" s="63"/>
      <c r="D378" s="63"/>
      <c r="E378" s="63"/>
      <c r="F378" s="63"/>
      <c r="G378" s="63"/>
      <c r="H378" s="63"/>
      <c r="I378" s="63"/>
      <c r="K378" s="63"/>
      <c r="L378" s="63"/>
      <c r="M378" s="63"/>
      <c r="O378" s="761"/>
      <c r="P378" s="283"/>
      <c r="Q378" s="283"/>
      <c r="R378" s="748"/>
      <c r="S378" s="283"/>
      <c r="T378" s="283"/>
    </row>
    <row r="379" spans="1:20" s="257" customFormat="1" x14ac:dyDescent="0.2">
      <c r="A379" s="728"/>
      <c r="B379" s="677"/>
      <c r="C379" s="63"/>
      <c r="D379" s="63"/>
      <c r="E379" s="63"/>
      <c r="F379" s="63"/>
      <c r="G379" s="63"/>
      <c r="H379" s="63"/>
      <c r="I379" s="63"/>
      <c r="K379" s="63"/>
      <c r="L379" s="63"/>
      <c r="M379" s="63"/>
      <c r="O379" s="761"/>
      <c r="P379" s="283"/>
      <c r="Q379" s="283"/>
      <c r="R379" s="748"/>
      <c r="S379" s="283"/>
      <c r="T379" s="283"/>
    </row>
    <row r="380" spans="1:20" s="257" customFormat="1" x14ac:dyDescent="0.2">
      <c r="A380" s="728"/>
      <c r="B380" s="677"/>
      <c r="C380" s="63"/>
      <c r="D380" s="63"/>
      <c r="E380" s="63"/>
      <c r="F380" s="63"/>
      <c r="G380" s="63"/>
      <c r="H380" s="63"/>
      <c r="I380" s="63"/>
      <c r="K380" s="63"/>
      <c r="L380" s="63"/>
      <c r="M380" s="63"/>
      <c r="O380" s="761"/>
      <c r="P380" s="283"/>
      <c r="Q380" s="283"/>
      <c r="R380" s="748"/>
      <c r="S380" s="283"/>
      <c r="T380" s="283"/>
    </row>
    <row r="381" spans="1:20" s="257" customFormat="1" x14ac:dyDescent="0.2">
      <c r="A381" s="728"/>
      <c r="B381" s="677"/>
      <c r="C381" s="63"/>
      <c r="D381" s="63"/>
      <c r="E381" s="63"/>
      <c r="F381" s="63"/>
      <c r="G381" s="63"/>
      <c r="H381" s="63"/>
      <c r="I381" s="63"/>
      <c r="K381" s="63"/>
      <c r="L381" s="63"/>
      <c r="M381" s="63"/>
      <c r="O381" s="761"/>
      <c r="P381" s="283"/>
      <c r="Q381" s="283"/>
      <c r="R381" s="748"/>
      <c r="S381" s="283"/>
      <c r="T381" s="283"/>
    </row>
    <row r="382" spans="1:20" s="257" customFormat="1" x14ac:dyDescent="0.2">
      <c r="A382" s="728"/>
      <c r="B382" s="677"/>
      <c r="C382" s="63"/>
      <c r="D382" s="63"/>
      <c r="E382" s="63"/>
      <c r="F382" s="63"/>
      <c r="G382" s="63"/>
      <c r="H382" s="63"/>
      <c r="I382" s="63"/>
      <c r="K382" s="63"/>
      <c r="L382" s="63"/>
      <c r="M382" s="63"/>
      <c r="O382" s="761"/>
      <c r="P382" s="283"/>
      <c r="Q382" s="283"/>
      <c r="R382" s="748"/>
      <c r="S382" s="283"/>
      <c r="T382" s="283"/>
    </row>
    <row r="383" spans="1:20" s="257" customFormat="1" x14ac:dyDescent="0.2">
      <c r="A383" s="728"/>
      <c r="B383" s="677"/>
      <c r="C383" s="63"/>
      <c r="D383" s="63"/>
      <c r="E383" s="63"/>
      <c r="F383" s="63"/>
      <c r="G383" s="63"/>
      <c r="H383" s="63"/>
      <c r="I383" s="63"/>
      <c r="K383" s="63"/>
      <c r="L383" s="63"/>
      <c r="M383" s="63"/>
      <c r="O383" s="761"/>
      <c r="P383" s="283"/>
      <c r="Q383" s="283"/>
      <c r="R383" s="748"/>
      <c r="S383" s="283"/>
      <c r="T383" s="283"/>
    </row>
    <row r="384" spans="1:20" s="257" customFormat="1" x14ac:dyDescent="0.2">
      <c r="A384" s="728"/>
      <c r="B384" s="677"/>
      <c r="C384" s="63"/>
      <c r="D384" s="63"/>
      <c r="E384" s="63"/>
      <c r="F384" s="63"/>
      <c r="G384" s="63"/>
      <c r="H384" s="63"/>
      <c r="I384" s="63"/>
      <c r="K384" s="63"/>
      <c r="L384" s="63"/>
      <c r="M384" s="63"/>
      <c r="O384" s="761"/>
      <c r="P384" s="283"/>
      <c r="Q384" s="283"/>
      <c r="R384" s="748"/>
      <c r="S384" s="283"/>
      <c r="T384" s="283"/>
    </row>
    <row r="385" spans="1:20" s="257" customFormat="1" x14ac:dyDescent="0.2">
      <c r="A385" s="728"/>
      <c r="B385" s="677"/>
      <c r="C385" s="63"/>
      <c r="D385" s="63"/>
      <c r="E385" s="63"/>
      <c r="F385" s="63"/>
      <c r="G385" s="63"/>
      <c r="H385" s="63"/>
      <c r="I385" s="63"/>
      <c r="K385" s="63"/>
      <c r="L385" s="63"/>
      <c r="M385" s="63"/>
      <c r="O385" s="761"/>
      <c r="P385" s="283"/>
      <c r="Q385" s="283"/>
      <c r="R385" s="748"/>
      <c r="S385" s="283"/>
      <c r="T385" s="283"/>
    </row>
    <row r="386" spans="1:20" s="257" customFormat="1" x14ac:dyDescent="0.2">
      <c r="A386" s="728"/>
      <c r="B386" s="677"/>
      <c r="C386" s="63"/>
      <c r="D386" s="63"/>
      <c r="E386" s="63"/>
      <c r="F386" s="63"/>
      <c r="G386" s="63"/>
      <c r="H386" s="63"/>
      <c r="I386" s="63"/>
      <c r="K386" s="63"/>
      <c r="L386" s="63"/>
      <c r="M386" s="63"/>
      <c r="O386" s="761"/>
      <c r="P386" s="283"/>
      <c r="Q386" s="283"/>
      <c r="R386" s="748"/>
      <c r="S386" s="283"/>
      <c r="T386" s="283"/>
    </row>
    <row r="387" spans="1:20" s="257" customFormat="1" x14ac:dyDescent="0.2">
      <c r="A387" s="728"/>
      <c r="B387" s="677"/>
      <c r="C387" s="63"/>
      <c r="D387" s="63"/>
      <c r="E387" s="63"/>
      <c r="F387" s="63"/>
      <c r="G387" s="63"/>
      <c r="H387" s="63"/>
      <c r="I387" s="63"/>
      <c r="K387" s="63"/>
      <c r="L387" s="63"/>
      <c r="M387" s="63"/>
      <c r="O387" s="761"/>
      <c r="P387" s="283"/>
      <c r="Q387" s="283"/>
      <c r="R387" s="748"/>
      <c r="S387" s="283"/>
      <c r="T387" s="283"/>
    </row>
    <row r="388" spans="1:20" s="257" customFormat="1" x14ac:dyDescent="0.2">
      <c r="A388" s="728"/>
      <c r="B388" s="677"/>
      <c r="C388" s="63"/>
      <c r="D388" s="63"/>
      <c r="E388" s="63"/>
      <c r="F388" s="63"/>
      <c r="G388" s="63"/>
      <c r="H388" s="63"/>
      <c r="I388" s="63"/>
      <c r="K388" s="63"/>
      <c r="L388" s="63"/>
      <c r="M388" s="63"/>
      <c r="O388" s="761"/>
      <c r="P388" s="283"/>
      <c r="Q388" s="283"/>
      <c r="R388" s="748"/>
      <c r="S388" s="283"/>
      <c r="T388" s="283"/>
    </row>
    <row r="389" spans="1:20" s="257" customFormat="1" x14ac:dyDescent="0.2">
      <c r="A389" s="728"/>
      <c r="B389" s="677"/>
      <c r="C389" s="63"/>
      <c r="D389" s="63"/>
      <c r="E389" s="63"/>
      <c r="F389" s="63"/>
      <c r="G389" s="63"/>
      <c r="H389" s="63"/>
      <c r="I389" s="63"/>
      <c r="K389" s="63"/>
      <c r="L389" s="63"/>
      <c r="M389" s="63"/>
      <c r="O389" s="761"/>
      <c r="P389" s="283"/>
      <c r="Q389" s="283"/>
      <c r="R389" s="748"/>
      <c r="S389" s="283"/>
      <c r="T389" s="283"/>
    </row>
    <row r="390" spans="1:20" s="257" customFormat="1" x14ac:dyDescent="0.2">
      <c r="A390" s="728"/>
      <c r="B390" s="677"/>
      <c r="C390" s="63"/>
      <c r="D390" s="63"/>
      <c r="E390" s="63"/>
      <c r="F390" s="63"/>
      <c r="G390" s="63"/>
      <c r="H390" s="63"/>
      <c r="I390" s="63"/>
      <c r="K390" s="63"/>
      <c r="L390" s="63"/>
      <c r="M390" s="63"/>
      <c r="O390" s="761"/>
      <c r="P390" s="283"/>
      <c r="Q390" s="283"/>
      <c r="R390" s="748"/>
      <c r="S390" s="283"/>
      <c r="T390" s="283"/>
    </row>
    <row r="391" spans="1:20" s="257" customFormat="1" x14ac:dyDescent="0.2">
      <c r="A391" s="728"/>
      <c r="B391" s="677"/>
      <c r="C391" s="63"/>
      <c r="D391" s="63"/>
      <c r="E391" s="63"/>
      <c r="F391" s="63"/>
      <c r="G391" s="63"/>
      <c r="H391" s="63"/>
      <c r="I391" s="63"/>
      <c r="K391" s="63"/>
      <c r="L391" s="63"/>
      <c r="M391" s="63"/>
      <c r="O391" s="761"/>
      <c r="P391" s="283"/>
      <c r="Q391" s="283"/>
      <c r="R391" s="748"/>
      <c r="S391" s="283"/>
      <c r="T391" s="283"/>
    </row>
    <row r="392" spans="1:20" s="257" customFormat="1" x14ac:dyDescent="0.2">
      <c r="A392" s="728"/>
      <c r="B392" s="677"/>
      <c r="C392" s="63"/>
      <c r="D392" s="63"/>
      <c r="E392" s="63"/>
      <c r="F392" s="63"/>
      <c r="G392" s="63"/>
      <c r="H392" s="63"/>
      <c r="I392" s="63"/>
      <c r="K392" s="63"/>
      <c r="L392" s="63"/>
      <c r="M392" s="63"/>
      <c r="O392" s="761"/>
      <c r="P392" s="283"/>
      <c r="Q392" s="283"/>
      <c r="R392" s="748"/>
      <c r="S392" s="283"/>
      <c r="T392" s="283"/>
    </row>
    <row r="393" spans="1:20" s="257" customFormat="1" x14ac:dyDescent="0.2">
      <c r="A393" s="728"/>
      <c r="B393" s="677"/>
      <c r="C393" s="63"/>
      <c r="D393" s="63"/>
      <c r="E393" s="63"/>
      <c r="F393" s="63"/>
      <c r="G393" s="63"/>
      <c r="H393" s="63"/>
      <c r="I393" s="63"/>
      <c r="K393" s="63"/>
      <c r="L393" s="63"/>
      <c r="M393" s="63"/>
      <c r="O393" s="761"/>
      <c r="P393" s="283"/>
      <c r="Q393" s="283"/>
      <c r="R393" s="748"/>
      <c r="S393" s="283"/>
      <c r="T393" s="283"/>
    </row>
    <row r="394" spans="1:20" s="257" customFormat="1" x14ac:dyDescent="0.2">
      <c r="A394" s="728"/>
      <c r="B394" s="677"/>
      <c r="C394" s="63"/>
      <c r="D394" s="63"/>
      <c r="E394" s="63"/>
      <c r="F394" s="63"/>
      <c r="G394" s="63"/>
      <c r="H394" s="63"/>
      <c r="I394" s="63"/>
      <c r="K394" s="63"/>
      <c r="L394" s="63"/>
      <c r="M394" s="63"/>
      <c r="O394" s="761"/>
      <c r="P394" s="283"/>
      <c r="Q394" s="283"/>
      <c r="R394" s="748"/>
      <c r="S394" s="283"/>
      <c r="T394" s="283"/>
    </row>
    <row r="395" spans="1:20" s="257" customFormat="1" x14ac:dyDescent="0.2">
      <c r="A395" s="728"/>
      <c r="B395" s="677"/>
      <c r="C395" s="63"/>
      <c r="D395" s="63"/>
      <c r="E395" s="63"/>
      <c r="F395" s="63"/>
      <c r="G395" s="63"/>
      <c r="H395" s="63"/>
      <c r="I395" s="63"/>
      <c r="K395" s="63"/>
      <c r="L395" s="63"/>
      <c r="M395" s="63"/>
      <c r="O395" s="761"/>
      <c r="P395" s="283"/>
      <c r="Q395" s="283"/>
      <c r="R395" s="748"/>
      <c r="S395" s="283"/>
      <c r="T395" s="283"/>
    </row>
    <row r="396" spans="1:20" s="257" customFormat="1" x14ac:dyDescent="0.2">
      <c r="A396" s="728"/>
      <c r="B396" s="677"/>
      <c r="C396" s="63"/>
      <c r="D396" s="63"/>
      <c r="E396" s="63"/>
      <c r="F396" s="63"/>
      <c r="G396" s="63"/>
      <c r="H396" s="63"/>
      <c r="I396" s="63"/>
      <c r="K396" s="63"/>
      <c r="L396" s="63"/>
      <c r="M396" s="63"/>
      <c r="O396" s="761"/>
      <c r="P396" s="283"/>
      <c r="Q396" s="283"/>
      <c r="R396" s="748"/>
      <c r="S396" s="283"/>
      <c r="T396" s="283"/>
    </row>
    <row r="397" spans="1:20" s="257" customFormat="1" x14ac:dyDescent="0.2">
      <c r="A397" s="728"/>
      <c r="B397" s="677"/>
      <c r="C397" s="63"/>
      <c r="D397" s="63"/>
      <c r="E397" s="63"/>
      <c r="F397" s="63"/>
      <c r="G397" s="63"/>
      <c r="H397" s="63"/>
      <c r="I397" s="63"/>
      <c r="K397" s="63"/>
      <c r="L397" s="63"/>
      <c r="M397" s="63"/>
      <c r="O397" s="761"/>
      <c r="P397" s="283"/>
      <c r="Q397" s="283"/>
      <c r="R397" s="748"/>
      <c r="S397" s="283"/>
      <c r="T397" s="283"/>
    </row>
    <row r="398" spans="1:20" s="257" customFormat="1" x14ac:dyDescent="0.2">
      <c r="A398" s="728"/>
      <c r="B398" s="677"/>
      <c r="C398" s="63"/>
      <c r="D398" s="63"/>
      <c r="E398" s="63"/>
      <c r="F398" s="63"/>
      <c r="G398" s="63"/>
      <c r="H398" s="63"/>
      <c r="I398" s="63"/>
      <c r="K398" s="63"/>
      <c r="L398" s="63"/>
      <c r="M398" s="63"/>
      <c r="O398" s="761"/>
      <c r="P398" s="283"/>
      <c r="Q398" s="283"/>
      <c r="R398" s="748"/>
      <c r="S398" s="283"/>
      <c r="T398" s="283"/>
    </row>
    <row r="399" spans="1:20" s="257" customFormat="1" x14ac:dyDescent="0.2">
      <c r="A399" s="728"/>
      <c r="B399" s="677"/>
      <c r="C399" s="63"/>
      <c r="D399" s="63"/>
      <c r="E399" s="63"/>
      <c r="F399" s="63"/>
      <c r="G399" s="63"/>
      <c r="H399" s="63"/>
      <c r="I399" s="63"/>
      <c r="K399" s="63"/>
      <c r="L399" s="63"/>
      <c r="M399" s="63"/>
      <c r="O399" s="761"/>
      <c r="P399" s="283"/>
      <c r="Q399" s="283"/>
      <c r="R399" s="748"/>
      <c r="S399" s="283"/>
      <c r="T399" s="283"/>
    </row>
    <row r="400" spans="1:20" s="257" customFormat="1" x14ac:dyDescent="0.2">
      <c r="A400" s="728"/>
      <c r="B400" s="677"/>
      <c r="C400" s="63"/>
      <c r="D400" s="63"/>
      <c r="E400" s="63"/>
      <c r="F400" s="63"/>
      <c r="G400" s="63"/>
      <c r="H400" s="63"/>
      <c r="I400" s="63"/>
      <c r="K400" s="63"/>
      <c r="L400" s="63"/>
      <c r="M400" s="63"/>
      <c r="O400" s="761"/>
      <c r="P400" s="283"/>
      <c r="Q400" s="283"/>
      <c r="R400" s="748"/>
      <c r="S400" s="283"/>
      <c r="T400" s="283"/>
    </row>
    <row r="401" spans="1:20" s="257" customFormat="1" x14ac:dyDescent="0.2">
      <c r="A401" s="728"/>
      <c r="B401" s="677"/>
      <c r="C401" s="63"/>
      <c r="D401" s="63"/>
      <c r="E401" s="63"/>
      <c r="F401" s="63"/>
      <c r="G401" s="63"/>
      <c r="H401" s="63"/>
      <c r="I401" s="63"/>
      <c r="K401" s="63"/>
      <c r="L401" s="63"/>
      <c r="M401" s="63"/>
      <c r="O401" s="761"/>
      <c r="P401" s="283"/>
      <c r="Q401" s="283"/>
      <c r="R401" s="748"/>
      <c r="S401" s="283"/>
      <c r="T401" s="283"/>
    </row>
    <row r="402" spans="1:20" s="257" customFormat="1" x14ac:dyDescent="0.2">
      <c r="A402" s="728"/>
      <c r="B402" s="677"/>
      <c r="C402" s="63"/>
      <c r="D402" s="63"/>
      <c r="E402" s="63"/>
      <c r="F402" s="63"/>
      <c r="G402" s="63"/>
      <c r="H402" s="63"/>
      <c r="I402" s="63"/>
      <c r="K402" s="63"/>
      <c r="L402" s="63"/>
      <c r="M402" s="63"/>
      <c r="O402" s="761"/>
      <c r="P402" s="283"/>
      <c r="Q402" s="283"/>
      <c r="R402" s="748"/>
      <c r="S402" s="283"/>
      <c r="T402" s="283"/>
    </row>
    <row r="403" spans="1:20" s="257" customFormat="1" x14ac:dyDescent="0.2">
      <c r="A403" s="728"/>
      <c r="B403" s="677"/>
      <c r="C403" s="63"/>
      <c r="D403" s="63"/>
      <c r="E403" s="63"/>
      <c r="F403" s="63"/>
      <c r="G403" s="63"/>
      <c r="H403" s="63"/>
      <c r="I403" s="63"/>
      <c r="K403" s="63"/>
      <c r="L403" s="63"/>
      <c r="M403" s="63"/>
      <c r="O403" s="761"/>
      <c r="P403" s="283"/>
      <c r="Q403" s="283"/>
      <c r="R403" s="748"/>
      <c r="S403" s="283"/>
      <c r="T403" s="283"/>
    </row>
    <row r="404" spans="1:20" s="257" customFormat="1" x14ac:dyDescent="0.2">
      <c r="A404" s="728"/>
      <c r="B404" s="677"/>
      <c r="C404" s="63"/>
      <c r="D404" s="63"/>
      <c r="E404" s="63"/>
      <c r="F404" s="63"/>
      <c r="G404" s="63"/>
      <c r="H404" s="63"/>
      <c r="I404" s="63"/>
      <c r="K404" s="63"/>
      <c r="L404" s="63"/>
      <c r="M404" s="63"/>
      <c r="O404" s="761"/>
      <c r="P404" s="283"/>
      <c r="Q404" s="283"/>
      <c r="R404" s="748"/>
      <c r="S404" s="283"/>
      <c r="T404" s="283"/>
    </row>
    <row r="405" spans="1:20" s="257" customFormat="1" x14ac:dyDescent="0.2">
      <c r="A405" s="728"/>
      <c r="B405" s="677"/>
      <c r="C405" s="63"/>
      <c r="D405" s="63"/>
      <c r="E405" s="63"/>
      <c r="F405" s="63"/>
      <c r="G405" s="63"/>
      <c r="H405" s="63"/>
      <c r="I405" s="63"/>
      <c r="K405" s="63"/>
      <c r="L405" s="63"/>
      <c r="M405" s="63"/>
      <c r="O405" s="761"/>
      <c r="P405" s="283"/>
      <c r="Q405" s="283"/>
      <c r="R405" s="748"/>
      <c r="S405" s="283"/>
      <c r="T405" s="283"/>
    </row>
    <row r="406" spans="1:20" s="257" customFormat="1" x14ac:dyDescent="0.2">
      <c r="A406" s="728"/>
      <c r="B406" s="677"/>
      <c r="C406" s="63"/>
      <c r="D406" s="63"/>
      <c r="E406" s="63"/>
      <c r="F406" s="63"/>
      <c r="G406" s="63"/>
      <c r="H406" s="63"/>
      <c r="I406" s="63"/>
      <c r="K406" s="63"/>
      <c r="L406" s="63"/>
      <c r="M406" s="63"/>
      <c r="O406" s="761"/>
      <c r="P406" s="283"/>
      <c r="Q406" s="283"/>
      <c r="R406" s="748"/>
      <c r="S406" s="283"/>
      <c r="T406" s="283"/>
    </row>
    <row r="407" spans="1:20" s="257" customFormat="1" x14ac:dyDescent="0.2">
      <c r="A407" s="728"/>
      <c r="B407" s="677"/>
      <c r="C407" s="63"/>
      <c r="D407" s="63"/>
      <c r="E407" s="63"/>
      <c r="F407" s="63"/>
      <c r="G407" s="63"/>
      <c r="H407" s="63"/>
      <c r="I407" s="63"/>
      <c r="K407" s="63"/>
      <c r="L407" s="63"/>
      <c r="M407" s="63"/>
      <c r="O407" s="761"/>
      <c r="P407" s="283"/>
      <c r="Q407" s="283"/>
      <c r="R407" s="748"/>
      <c r="S407" s="283"/>
      <c r="T407" s="283"/>
    </row>
    <row r="408" spans="1:20" s="257" customFormat="1" x14ac:dyDescent="0.2">
      <c r="A408" s="728"/>
      <c r="B408" s="677"/>
      <c r="C408" s="63"/>
      <c r="D408" s="63"/>
      <c r="E408" s="63"/>
      <c r="F408" s="63"/>
      <c r="G408" s="63"/>
      <c r="H408" s="63"/>
      <c r="I408" s="63"/>
      <c r="K408" s="63"/>
      <c r="L408" s="63"/>
      <c r="M408" s="63"/>
      <c r="O408" s="761"/>
      <c r="P408" s="283"/>
      <c r="Q408" s="283"/>
      <c r="R408" s="748"/>
      <c r="S408" s="283"/>
      <c r="T408" s="283"/>
    </row>
    <row r="409" spans="1:20" s="257" customFormat="1" x14ac:dyDescent="0.2">
      <c r="A409" s="728"/>
      <c r="B409" s="677"/>
      <c r="C409" s="63"/>
      <c r="D409" s="63"/>
      <c r="E409" s="63"/>
      <c r="F409" s="63"/>
      <c r="G409" s="63"/>
      <c r="H409" s="63"/>
      <c r="I409" s="63"/>
      <c r="K409" s="63"/>
      <c r="L409" s="63"/>
      <c r="M409" s="63"/>
      <c r="O409" s="761"/>
      <c r="P409" s="283"/>
      <c r="Q409" s="283"/>
      <c r="R409" s="748"/>
      <c r="S409" s="283"/>
      <c r="T409" s="283"/>
    </row>
    <row r="410" spans="1:20" s="257" customFormat="1" x14ac:dyDescent="0.2">
      <c r="A410" s="728"/>
      <c r="B410" s="677"/>
      <c r="C410" s="63"/>
      <c r="D410" s="63"/>
      <c r="E410" s="63"/>
      <c r="F410" s="63"/>
      <c r="G410" s="63"/>
      <c r="H410" s="63"/>
      <c r="I410" s="63"/>
      <c r="K410" s="63"/>
      <c r="L410" s="63"/>
      <c r="M410" s="63"/>
      <c r="O410" s="761"/>
      <c r="P410" s="283"/>
      <c r="Q410" s="283"/>
      <c r="R410" s="748"/>
      <c r="S410" s="283"/>
      <c r="T410" s="283"/>
    </row>
    <row r="411" spans="1:20" s="257" customFormat="1" x14ac:dyDescent="0.2">
      <c r="A411" s="728"/>
      <c r="B411" s="677"/>
      <c r="C411" s="63"/>
      <c r="D411" s="63"/>
      <c r="E411" s="63"/>
      <c r="F411" s="63"/>
      <c r="G411" s="63"/>
      <c r="H411" s="63"/>
      <c r="I411" s="63"/>
      <c r="K411" s="63"/>
      <c r="L411" s="63"/>
      <c r="M411" s="63"/>
      <c r="O411" s="761"/>
      <c r="P411" s="283"/>
      <c r="Q411" s="283"/>
      <c r="R411" s="748"/>
      <c r="S411" s="283"/>
      <c r="T411" s="283"/>
    </row>
    <row r="412" spans="1:20" s="257" customFormat="1" x14ac:dyDescent="0.2">
      <c r="A412" s="728"/>
      <c r="B412" s="677"/>
      <c r="C412" s="63"/>
      <c r="D412" s="63"/>
      <c r="E412" s="63"/>
      <c r="F412" s="63"/>
      <c r="G412" s="63"/>
      <c r="H412" s="63"/>
      <c r="I412" s="63"/>
      <c r="K412" s="63"/>
      <c r="L412" s="63"/>
      <c r="M412" s="63"/>
      <c r="O412" s="761"/>
      <c r="P412" s="283"/>
      <c r="Q412" s="283"/>
      <c r="R412" s="748"/>
      <c r="S412" s="283"/>
      <c r="T412" s="283"/>
    </row>
    <row r="413" spans="1:20" s="257" customFormat="1" x14ac:dyDescent="0.2">
      <c r="A413" s="728"/>
      <c r="B413" s="677"/>
      <c r="C413" s="63"/>
      <c r="D413" s="63"/>
      <c r="E413" s="63"/>
      <c r="F413" s="63"/>
      <c r="G413" s="63"/>
      <c r="H413" s="63"/>
      <c r="I413" s="63"/>
      <c r="K413" s="63"/>
      <c r="L413" s="63"/>
      <c r="M413" s="63"/>
      <c r="O413" s="761"/>
      <c r="P413" s="283"/>
      <c r="Q413" s="283"/>
      <c r="R413" s="748"/>
      <c r="S413" s="283"/>
      <c r="T413" s="283"/>
    </row>
    <row r="414" spans="1:20" s="257" customFormat="1" x14ac:dyDescent="0.2">
      <c r="A414" s="728"/>
      <c r="B414" s="677"/>
      <c r="C414" s="63"/>
      <c r="D414" s="63"/>
      <c r="E414" s="63"/>
      <c r="F414" s="63"/>
      <c r="G414" s="63"/>
      <c r="H414" s="63"/>
      <c r="I414" s="63"/>
      <c r="K414" s="63"/>
      <c r="L414" s="63"/>
      <c r="M414" s="63"/>
      <c r="O414" s="761"/>
      <c r="P414" s="283"/>
      <c r="Q414" s="283"/>
      <c r="R414" s="748"/>
      <c r="S414" s="283"/>
      <c r="T414" s="283"/>
    </row>
    <row r="415" spans="1:20" s="257" customFormat="1" x14ac:dyDescent="0.2">
      <c r="A415" s="728"/>
      <c r="B415" s="677"/>
      <c r="C415" s="63"/>
      <c r="D415" s="63"/>
      <c r="E415" s="63"/>
      <c r="F415" s="63"/>
      <c r="G415" s="63"/>
      <c r="H415" s="63"/>
      <c r="I415" s="63"/>
      <c r="K415" s="63"/>
      <c r="L415" s="63"/>
      <c r="M415" s="63"/>
      <c r="O415" s="761"/>
      <c r="P415" s="283"/>
      <c r="Q415" s="283"/>
      <c r="R415" s="748"/>
      <c r="S415" s="283"/>
      <c r="T415" s="283"/>
    </row>
    <row r="416" spans="1:20" s="257" customFormat="1" x14ac:dyDescent="0.2">
      <c r="A416" s="728"/>
      <c r="B416" s="677"/>
      <c r="C416" s="63"/>
      <c r="D416" s="63"/>
      <c r="E416" s="63"/>
      <c r="F416" s="63"/>
      <c r="G416" s="63"/>
      <c r="H416" s="63"/>
      <c r="I416" s="63"/>
      <c r="K416" s="63"/>
      <c r="L416" s="63"/>
      <c r="M416" s="63"/>
      <c r="O416" s="761"/>
      <c r="P416" s="283"/>
      <c r="Q416" s="283"/>
      <c r="R416" s="748"/>
      <c r="S416" s="283"/>
      <c r="T416" s="283"/>
    </row>
    <row r="417" spans="1:20" s="257" customFormat="1" x14ac:dyDescent="0.2">
      <c r="A417" s="728"/>
      <c r="B417" s="677"/>
      <c r="C417" s="63"/>
      <c r="D417" s="63"/>
      <c r="E417" s="63"/>
      <c r="F417" s="63"/>
      <c r="G417" s="63"/>
      <c r="H417" s="63"/>
      <c r="I417" s="63"/>
      <c r="K417" s="63"/>
      <c r="L417" s="63"/>
      <c r="M417" s="63"/>
      <c r="O417" s="761"/>
      <c r="P417" s="283"/>
      <c r="Q417" s="283"/>
      <c r="R417" s="748"/>
      <c r="S417" s="283"/>
      <c r="T417" s="283"/>
    </row>
  </sheetData>
  <sheetProtection password="BF22" sheet="1" scenarios="1" formatColumns="0" formatRows="0" sort="0" autoFilter="0"/>
  <autoFilter ref="A6:N258" xr:uid="{00000000-0009-0000-0000-00001D000000}">
    <filterColumn colId="0">
      <filters>
        <filter val="Show"/>
      </filters>
    </filterColumn>
  </autoFilter>
  <mergeCells count="5">
    <mergeCell ref="F3:G3"/>
    <mergeCell ref="F4:G4"/>
    <mergeCell ref="C200:D200"/>
    <mergeCell ref="C255:D255"/>
    <mergeCell ref="C1:N1"/>
  </mergeCells>
  <conditionalFormatting sqref="E258:F258">
    <cfRule type="expression" dxfId="99" priority="26">
      <formula>E258="WARNING - Sum of the three tables not matching"</formula>
    </cfRule>
  </conditionalFormatting>
  <conditionalFormatting sqref="K258:L258">
    <cfRule type="expression" dxfId="98" priority="23">
      <formula>K258="WARNING - Sum of the three tables not matching"</formula>
    </cfRule>
  </conditionalFormatting>
  <dataValidations count="3">
    <dataValidation type="list" allowBlank="1" showInputMessage="1" showErrorMessage="1" sqref="C184:C199" xr:uid="{00000000-0002-0000-1D00-000000000000}">
      <formula1>Module_List</formula1>
    </dataValidation>
    <dataValidation type="list" allowBlank="1" showInputMessage="1" showErrorMessage="1" sqref="C69:C78" xr:uid="{00000000-0002-0000-1D00-000001000000}">
      <formula1>Cost_Input</formula1>
    </dataValidation>
    <dataValidation type="list" allowBlank="1" showInputMessage="1" showErrorMessage="1" sqref="D184:D199" xr:uid="{00000000-0002-0000-1D00-000002000000}">
      <formula1>OFFSET(Modulestart,MATCH(O184,Modulecolumn,0)-1,3,COUNTIF(Modulecolumn,O184),1)</formula1>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3" id="{3A2789E9-B950-4E4B-B38A-A706F589AA9A}">
            <xm:f>CoverSheet!$D$14="EUR"</xm:f>
            <x14:dxf>
              <numFmt numFmtId="190" formatCode="[$EUR]\ #,##0.00;[Red]\-[$EUR]\ #,##0.00"/>
            </x14:dxf>
          </x14:cfRule>
          <xm:sqref>E84:G203 K205:M255 K84:M200 E205:G255 E204:I204 E8:G79 K52:M79 K9:K51 M9:M51</xm:sqref>
        </x14:conditionalFormatting>
        <x14:conditionalFormatting xmlns:xm="http://schemas.microsoft.com/office/excel/2006/main">
          <x14:cfRule type="expression" priority="1" id="{6590A4D0-2283-4143-8CA5-27FC5FF7533F}">
            <xm:f>'C:\Users\Bello\AppData\Local\Microsoft\Windows\INetCache\Content.Outlook\CXPRPAWL\[BDI-C-UNDP_Progress Report Disbursement_31déc2019_v4.xlsx]CoverSheet'!#REF!="EUR"</xm:f>
            <x14:dxf>
              <numFmt numFmtId="190" formatCode="[$EUR]\ #,##0.00;[Red]\-[$EUR]\ #,##0.00"/>
            </x14:dxf>
          </x14:cfRule>
          <xm:sqref>L9:L51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AE290"/>
  <sheetViews>
    <sheetView showGridLines="0" zoomScale="55" zoomScaleNormal="55" zoomScaleSheetLayoutView="70" workbookViewId="0">
      <selection activeCell="A6" sqref="A6"/>
    </sheetView>
  </sheetViews>
  <sheetFormatPr baseColWidth="10" defaultColWidth="9.140625" defaultRowHeight="15" x14ac:dyDescent="0.2"/>
  <cols>
    <col min="1" max="1" width="60.140625" style="61" customWidth="1"/>
    <col min="2" max="2" width="48.85546875" style="61" customWidth="1"/>
    <col min="3" max="3" width="37.140625" style="61" bestFit="1" customWidth="1"/>
    <col min="4" max="4" width="33.42578125" style="61" bestFit="1" customWidth="1"/>
    <col min="5" max="5" width="25.140625" style="61" bestFit="1" customWidth="1"/>
    <col min="6" max="6" width="23.85546875" style="61" bestFit="1" customWidth="1"/>
    <col min="7" max="7" width="64.85546875" style="61" customWidth="1"/>
    <col min="8" max="8" width="8.85546875" style="257" customWidth="1"/>
    <col min="9" max="9" width="29" style="61" bestFit="1" customWidth="1"/>
    <col min="10" max="10" width="39.140625" style="61" bestFit="1" customWidth="1"/>
    <col min="11" max="11" width="33" style="61" bestFit="1" customWidth="1"/>
    <col min="12" max="12" width="23.85546875" style="60" bestFit="1" customWidth="1"/>
    <col min="13" max="13" width="9.140625" style="60" customWidth="1"/>
    <col min="14" max="14" width="15.85546875" style="60" customWidth="1"/>
    <col min="15" max="15" width="19.42578125" style="256" bestFit="1" customWidth="1"/>
    <col min="16" max="16" width="32.85546875" style="628" bestFit="1" customWidth="1"/>
    <col min="17" max="17" width="26.5703125" style="60" bestFit="1" customWidth="1"/>
    <col min="18" max="18" width="9.140625" style="60" customWidth="1"/>
    <col min="19" max="19" width="15" style="60" bestFit="1" customWidth="1"/>
    <col min="20" max="20" width="9.140625" style="60" customWidth="1"/>
    <col min="21" max="24" width="9.140625" style="60"/>
    <col min="25" max="25" width="5.85546875" style="60" customWidth="1"/>
    <col min="26" max="26" width="9.140625" style="60" customWidth="1"/>
    <col min="27" max="27" width="14.85546875" style="60" customWidth="1"/>
    <col min="28" max="28" width="64.85546875" style="60" customWidth="1"/>
    <col min="29" max="16384" width="9.140625" style="60"/>
  </cols>
  <sheetData>
    <row r="1" spans="1:25" s="257" customFormat="1" ht="59.45" customHeight="1" x14ac:dyDescent="0.25">
      <c r="A1" s="299" t="s">
        <v>2667</v>
      </c>
      <c r="B1" s="291"/>
      <c r="C1" s="275" t="s">
        <v>1117</v>
      </c>
      <c r="D1" s="275" t="s">
        <v>2668</v>
      </c>
      <c r="E1" s="275" t="s">
        <v>1119</v>
      </c>
      <c r="F1" s="275" t="s">
        <v>2669</v>
      </c>
      <c r="G1" s="298" t="s">
        <v>2670</v>
      </c>
      <c r="H1" s="297"/>
      <c r="I1" s="275" t="s">
        <v>2671</v>
      </c>
      <c r="J1" s="275" t="s">
        <v>2672</v>
      </c>
      <c r="K1" s="275" t="s">
        <v>1124</v>
      </c>
      <c r="L1" s="275" t="s">
        <v>2669</v>
      </c>
      <c r="M1">
        <v>-1</v>
      </c>
      <c r="N1"/>
      <c r="O1" s="416" t="s">
        <v>122</v>
      </c>
      <c r="P1" s="629" t="s">
        <v>2673</v>
      </c>
      <c r="Q1" s="259" t="s">
        <v>2673</v>
      </c>
      <c r="R1" s="259"/>
      <c r="S1" s="259"/>
      <c r="T1" s="259"/>
      <c r="U1" s="63"/>
    </row>
    <row r="2" spans="1:25" s="257" customFormat="1" ht="20.100000000000001" hidden="1" customHeight="1" x14ac:dyDescent="0.25">
      <c r="A2" s="293" t="s">
        <v>2674</v>
      </c>
      <c r="B2" s="266"/>
      <c r="C2" s="270" t="s">
        <v>2675</v>
      </c>
      <c r="D2" s="271" t="str">
        <f>IFERROR(INDEX('PR Expenditure_7A'!F$9:F$78,MATCH('PR Expenditure_7A import-export'!N2,'PR Expenditure_7A'!B$9:B$78,0)),"")</f>
        <v/>
      </c>
      <c r="E2" s="270"/>
      <c r="F2" s="269"/>
      <c r="G2" s="290"/>
      <c r="H2" s="266"/>
      <c r="I2" s="270" t="s">
        <v>2676</v>
      </c>
      <c r="J2" s="271" t="str">
        <f>IFERROR(INDEX('PR Expenditure_7A'!L$9:L$78,MATCH('PR Expenditure_7A import-export'!N2,'PR Expenditure_7A'!B$9:B$78,0)),"")</f>
        <v/>
      </c>
      <c r="K2" s="270"/>
      <c r="L2" s="269"/>
      <c r="M2">
        <f>M1+1</f>
        <v>0</v>
      </c>
      <c r="N2" t="str">
        <f>"Costgrp"&amp;M2</f>
        <v>Costgrp0</v>
      </c>
      <c r="O2" s="259" t="s">
        <v>371</v>
      </c>
      <c r="P2" s="723" t="s">
        <v>2677</v>
      </c>
      <c r="Q2" s="259" t="s">
        <v>2677</v>
      </c>
      <c r="R2" s="259"/>
      <c r="S2" s="259"/>
      <c r="T2" s="259"/>
      <c r="U2" s="63"/>
    </row>
    <row r="3" spans="1:25" s="272" customFormat="1" ht="21" customHeight="1" x14ac:dyDescent="0.25">
      <c r="A3" s="296"/>
      <c r="B3" s="296"/>
      <c r="C3" s="296"/>
      <c r="D3" s="296"/>
      <c r="E3" s="296"/>
      <c r="F3" s="296"/>
      <c r="G3" s="296"/>
      <c r="H3" s="296"/>
      <c r="I3" s="296"/>
      <c r="J3" s="296"/>
      <c r="K3" s="296"/>
      <c r="L3" s="296"/>
      <c r="M3" s="637">
        <v>-1</v>
      </c>
      <c r="N3" s="637"/>
      <c r="O3" s="804" t="s">
        <v>122</v>
      </c>
      <c r="P3" s="805" t="s">
        <v>2673</v>
      </c>
      <c r="Q3" s="804" t="s">
        <v>2678</v>
      </c>
      <c r="R3" s="416"/>
      <c r="S3" s="274"/>
      <c r="T3" s="274"/>
      <c r="U3" s="295"/>
      <c r="V3" s="294"/>
      <c r="W3" s="294"/>
      <c r="X3" s="294"/>
      <c r="Y3" s="294"/>
    </row>
    <row r="4" spans="1:25" s="257" customFormat="1" ht="20.45" hidden="1" customHeight="1" x14ac:dyDescent="0.25">
      <c r="A4" s="806" t="s">
        <v>2679</v>
      </c>
      <c r="B4" s="303"/>
      <c r="C4" s="807" t="s">
        <v>2675</v>
      </c>
      <c r="D4" s="50" t="str">
        <f>IFERROR(INDEX('PR Expenditure_7A'!F$9:F$78,MATCH('PR Expenditure_7A import-export'!N4,'PR Expenditure_7A'!B$9:B$78,0)),"")</f>
        <v/>
      </c>
      <c r="E4" s="807"/>
      <c r="F4" s="808"/>
      <c r="G4" s="809"/>
      <c r="H4" s="303"/>
      <c r="I4" s="807" t="s">
        <v>2676</v>
      </c>
      <c r="J4" s="50" t="str">
        <f>IFERROR(INDEX('PR Expenditure_7A'!L$9:L$78,MATCH('PR Expenditure_7A import-export'!N4,'PR Expenditure_7A'!B$9:B$78,0)),"")</f>
        <v/>
      </c>
      <c r="K4" s="807"/>
      <c r="L4" s="808"/>
      <c r="M4" s="637">
        <f>M3+1</f>
        <v>0</v>
      </c>
      <c r="N4" s="637" t="str">
        <f>"Costgrp"&amp;M4</f>
        <v>Costgrp0</v>
      </c>
      <c r="O4" s="810" t="s">
        <v>371</v>
      </c>
      <c r="P4" s="811" t="s">
        <v>2677</v>
      </c>
      <c r="Q4" s="812" t="s">
        <v>2680</v>
      </c>
      <c r="R4" s="259"/>
      <c r="S4" s="259"/>
      <c r="T4" s="259"/>
      <c r="U4" s="284"/>
      <c r="V4" s="283"/>
      <c r="W4" s="283"/>
      <c r="X4" s="283"/>
      <c r="Y4" s="283"/>
    </row>
    <row r="5" spans="1:25" s="257" customFormat="1" ht="20.45" customHeight="1" x14ac:dyDescent="0.25">
      <c r="A5" s="806" t="s">
        <v>2681</v>
      </c>
      <c r="B5" s="303"/>
      <c r="C5" s="807">
        <v>1126029.92172694</v>
      </c>
      <c r="D5" s="50">
        <f>IFERROR(INDEX('PR Expenditure_7A'!F$9:F$78,MATCH('PR Expenditure_7A import-export'!N5,'PR Expenditure_7A'!B$9:B$78,0)),"")</f>
        <v>1193851.5516694947</v>
      </c>
      <c r="E5" s="807"/>
      <c r="F5" s="808"/>
      <c r="G5" s="809"/>
      <c r="H5" s="303"/>
      <c r="I5" s="807">
        <v>2288502.1381875598</v>
      </c>
      <c r="J5" s="50">
        <f>IFERROR(INDEX('PR Expenditure_7A'!L$9:L$78,MATCH('PR Expenditure_7A import-export'!N5,'PR Expenditure_7A'!B$9:B$78,0)),"")</f>
        <v>1842349.6916694948</v>
      </c>
      <c r="K5" s="807"/>
      <c r="L5" s="808"/>
      <c r="M5" s="637">
        <f t="shared" ref="M5:M47" si="0">M4+1</f>
        <v>1</v>
      </c>
      <c r="N5" s="637" t="str">
        <f t="shared" ref="N5:N47" si="1">"Costgrp"&amp;M5</f>
        <v>Costgrp1</v>
      </c>
      <c r="O5" s="810" t="s">
        <v>2682</v>
      </c>
      <c r="P5" s="811">
        <v>1</v>
      </c>
      <c r="Q5" s="812">
        <v>1</v>
      </c>
      <c r="R5" s="259"/>
      <c r="S5" s="259"/>
      <c r="T5" s="259"/>
      <c r="U5" s="284"/>
      <c r="V5" s="283"/>
      <c r="W5" s="283"/>
      <c r="X5" s="283"/>
      <c r="Y5" s="283"/>
    </row>
    <row r="6" spans="1:25" s="257" customFormat="1" ht="20.45" customHeight="1" x14ac:dyDescent="0.25">
      <c r="A6" s="806" t="s">
        <v>2683</v>
      </c>
      <c r="B6" s="303"/>
      <c r="C6" s="807">
        <v>1498591.1939461201</v>
      </c>
      <c r="D6" s="50">
        <f>IFERROR(INDEX('PR Expenditure_7A'!F$9:F$78,MATCH('PR Expenditure_7A import-export'!N6,'PR Expenditure_7A'!B$9:B$78,0)),"")</f>
        <v>1450446.0068211197</v>
      </c>
      <c r="E6" s="807"/>
      <c r="F6" s="808"/>
      <c r="G6" s="809"/>
      <c r="H6" s="303"/>
      <c r="I6" s="807">
        <v>2934913.5273815901</v>
      </c>
      <c r="J6" s="50">
        <f>IFERROR(INDEX('PR Expenditure_7A'!L$9:L$78,MATCH('PR Expenditure_7A import-export'!N6,'PR Expenditure_7A'!B$9:B$78,0)),"")</f>
        <v>2492872.05682112</v>
      </c>
      <c r="K6" s="807"/>
      <c r="L6" s="808"/>
      <c r="M6" s="637">
        <f t="shared" si="0"/>
        <v>2</v>
      </c>
      <c r="N6" s="637" t="str">
        <f t="shared" si="1"/>
        <v>Costgrp2</v>
      </c>
      <c r="O6" s="810" t="s">
        <v>2684</v>
      </c>
      <c r="P6" s="811">
        <v>1</v>
      </c>
      <c r="Q6" s="812">
        <v>2</v>
      </c>
      <c r="R6" s="259"/>
      <c r="S6" s="259"/>
      <c r="T6" s="259"/>
      <c r="U6" s="284"/>
      <c r="V6" s="283"/>
      <c r="W6" s="283"/>
      <c r="X6" s="283"/>
      <c r="Y6" s="283"/>
    </row>
    <row r="7" spans="1:25" s="257" customFormat="1" ht="20.45" customHeight="1" x14ac:dyDescent="0.25">
      <c r="A7" s="806" t="s">
        <v>2685</v>
      </c>
      <c r="B7" s="303"/>
      <c r="C7" s="807">
        <v>39207.235164225698</v>
      </c>
      <c r="D7" s="50">
        <f>IFERROR(INDEX('PR Expenditure_7A'!F$9:F$78,MATCH('PR Expenditure_7A import-export'!N7,'PR Expenditure_7A'!B$9:B$78,0)),"")</f>
        <v>55156.369999999995</v>
      </c>
      <c r="E7" s="807"/>
      <c r="F7" s="808"/>
      <c r="G7" s="809"/>
      <c r="H7" s="303"/>
      <c r="I7" s="807">
        <v>78414.470328451396</v>
      </c>
      <c r="J7" s="50">
        <f>IFERROR(INDEX('PR Expenditure_7A'!L$9:L$78,MATCH('PR Expenditure_7A import-export'!N7,'PR Expenditure_7A'!B$9:B$78,0)),"")</f>
        <v>85639.16</v>
      </c>
      <c r="K7" s="807"/>
      <c r="L7" s="808"/>
      <c r="M7" s="637">
        <f t="shared" si="0"/>
        <v>3</v>
      </c>
      <c r="N7" s="637" t="str">
        <f t="shared" si="1"/>
        <v>Costgrp3</v>
      </c>
      <c r="O7" s="810" t="s">
        <v>2686</v>
      </c>
      <c r="P7" s="811">
        <v>1</v>
      </c>
      <c r="Q7" s="812">
        <v>3</v>
      </c>
      <c r="R7" s="259"/>
      <c r="S7" s="259"/>
      <c r="T7" s="259"/>
      <c r="U7" s="284"/>
      <c r="V7" s="283"/>
      <c r="W7" s="283"/>
      <c r="X7" s="283"/>
      <c r="Y7" s="283"/>
    </row>
    <row r="8" spans="1:25" s="257" customFormat="1" ht="20.45" customHeight="1" x14ac:dyDescent="0.25">
      <c r="A8" s="806" t="s">
        <v>2687</v>
      </c>
      <c r="B8" s="303"/>
      <c r="C8" s="807">
        <v>149003.232147223</v>
      </c>
      <c r="D8" s="50">
        <f>IFERROR(INDEX('PR Expenditure_7A'!F$9:F$78,MATCH('PR Expenditure_7A import-export'!N8,'PR Expenditure_7A'!B$9:B$78,0)),"")</f>
        <v>168180.90156596762</v>
      </c>
      <c r="E8" s="807"/>
      <c r="F8" s="808"/>
      <c r="G8" s="809"/>
      <c r="H8" s="303"/>
      <c r="I8" s="807">
        <v>500133.78904478799</v>
      </c>
      <c r="J8" s="50">
        <f>IFERROR(INDEX('PR Expenditure_7A'!L$9:L$78,MATCH('PR Expenditure_7A import-export'!N8,'PR Expenditure_7A'!B$9:B$78,0)),"")</f>
        <v>425251.02156596759</v>
      </c>
      <c r="K8" s="807"/>
      <c r="L8" s="808"/>
      <c r="M8" s="637">
        <f t="shared" si="0"/>
        <v>4</v>
      </c>
      <c r="N8" s="637" t="str">
        <f t="shared" si="1"/>
        <v>Costgrp4</v>
      </c>
      <c r="O8" s="810" t="s">
        <v>2688</v>
      </c>
      <c r="P8" s="811">
        <v>2</v>
      </c>
      <c r="Q8" s="812">
        <v>1</v>
      </c>
      <c r="R8" s="259"/>
      <c r="S8" s="259"/>
      <c r="T8" s="259"/>
      <c r="U8" s="284"/>
      <c r="V8" s="283"/>
      <c r="W8" s="283"/>
      <c r="X8" s="283"/>
      <c r="Y8" s="283"/>
    </row>
    <row r="9" spans="1:25" s="257" customFormat="1" ht="20.45" customHeight="1" x14ac:dyDescent="0.25">
      <c r="A9" s="806" t="s">
        <v>2689</v>
      </c>
      <c r="B9" s="303"/>
      <c r="C9" s="807">
        <v>0</v>
      </c>
      <c r="D9" s="50">
        <f>IFERROR(INDEX('PR Expenditure_7A'!F$9:F$78,MATCH('PR Expenditure_7A import-export'!N9,'PR Expenditure_7A'!B$9:B$78,0)),"")</f>
        <v>2910.545524920467</v>
      </c>
      <c r="E9" s="807"/>
      <c r="F9" s="808"/>
      <c r="G9" s="809"/>
      <c r="H9" s="303"/>
      <c r="I9" s="807">
        <v>3090.6982389280201</v>
      </c>
      <c r="J9" s="50">
        <f>IFERROR(INDEX('PR Expenditure_7A'!L$9:L$78,MATCH('PR Expenditure_7A import-export'!N9,'PR Expenditure_7A'!B$9:B$78,0)),"")</f>
        <v>2910.545524920467</v>
      </c>
      <c r="K9" s="807"/>
      <c r="L9" s="808"/>
      <c r="M9" s="637">
        <f t="shared" si="0"/>
        <v>5</v>
      </c>
      <c r="N9" s="637" t="str">
        <f t="shared" si="1"/>
        <v>Costgrp5</v>
      </c>
      <c r="O9" s="810" t="s">
        <v>2690</v>
      </c>
      <c r="P9" s="811">
        <v>2</v>
      </c>
      <c r="Q9" s="812">
        <v>2</v>
      </c>
      <c r="R9" s="259"/>
      <c r="S9" s="259"/>
      <c r="T9" s="259"/>
      <c r="U9" s="284"/>
      <c r="V9" s="283"/>
      <c r="W9" s="283"/>
      <c r="X9" s="283"/>
      <c r="Y9" s="283"/>
    </row>
    <row r="10" spans="1:25" s="257" customFormat="1" ht="20.45" customHeight="1" x14ac:dyDescent="0.25">
      <c r="A10" s="806" t="s">
        <v>2691</v>
      </c>
      <c r="B10" s="303"/>
      <c r="C10" s="807">
        <v>371613.36412214203</v>
      </c>
      <c r="D10" s="50">
        <f>IFERROR(INDEX('PR Expenditure_7A'!F$9:F$78,MATCH('PR Expenditure_7A import-export'!N10,'PR Expenditure_7A'!B$9:B$78,0)),"")</f>
        <v>315004.60936933581</v>
      </c>
      <c r="E10" s="807"/>
      <c r="F10" s="808"/>
      <c r="G10" s="809"/>
      <c r="H10" s="303"/>
      <c r="I10" s="807">
        <v>891577.55226037803</v>
      </c>
      <c r="J10" s="50">
        <f>IFERROR(INDEX('PR Expenditure_7A'!L$9:L$78,MATCH('PR Expenditure_7A import-export'!N10,'PR Expenditure_7A'!B$9:B$78,0)),"")</f>
        <v>531936.35936933581</v>
      </c>
      <c r="K10" s="807"/>
      <c r="L10" s="808"/>
      <c r="M10" s="637">
        <f t="shared" si="0"/>
        <v>6</v>
      </c>
      <c r="N10" s="637" t="str">
        <f t="shared" si="1"/>
        <v>Costgrp6</v>
      </c>
      <c r="O10" s="810" t="s">
        <v>2692</v>
      </c>
      <c r="P10" s="811">
        <v>2</v>
      </c>
      <c r="Q10" s="812">
        <v>3</v>
      </c>
      <c r="R10" s="259"/>
      <c r="S10" s="259"/>
      <c r="T10" s="259"/>
      <c r="U10" s="284"/>
      <c r="V10" s="283"/>
      <c r="W10" s="283"/>
      <c r="X10" s="283"/>
      <c r="Y10" s="283"/>
    </row>
    <row r="11" spans="1:25" s="257" customFormat="1" ht="20.45" customHeight="1" x14ac:dyDescent="0.25">
      <c r="A11" s="806" t="s">
        <v>2693</v>
      </c>
      <c r="B11" s="303"/>
      <c r="C11" s="807">
        <v>152662.31586325</v>
      </c>
      <c r="D11" s="50">
        <f>IFERROR(INDEX('PR Expenditure_7A'!F$9:F$78,MATCH('PR Expenditure_7A import-export'!N11,'PR Expenditure_7A'!B$9:B$78,0)),"")</f>
        <v>73726.949204770615</v>
      </c>
      <c r="E11" s="807"/>
      <c r="F11" s="808"/>
      <c r="G11" s="809"/>
      <c r="H11" s="303"/>
      <c r="I11" s="807">
        <v>384237.60942539701</v>
      </c>
      <c r="J11" s="50">
        <f>IFERROR(INDEX('PR Expenditure_7A'!L$9:L$78,MATCH('PR Expenditure_7A import-export'!N11,'PR Expenditure_7A'!B$9:B$78,0)),"")</f>
        <v>148316.95920477062</v>
      </c>
      <c r="K11" s="807"/>
      <c r="L11" s="808"/>
      <c r="M11" s="637">
        <f t="shared" si="0"/>
        <v>7</v>
      </c>
      <c r="N11" s="637" t="str">
        <f t="shared" si="1"/>
        <v>Costgrp7</v>
      </c>
      <c r="O11" s="810" t="s">
        <v>2694</v>
      </c>
      <c r="P11" s="811">
        <v>2</v>
      </c>
      <c r="Q11" s="812">
        <v>4</v>
      </c>
      <c r="R11" s="259"/>
      <c r="S11" s="259"/>
      <c r="T11" s="259"/>
      <c r="U11" s="284"/>
      <c r="V11" s="283"/>
      <c r="W11" s="283"/>
      <c r="X11" s="283"/>
      <c r="Y11" s="283"/>
    </row>
    <row r="12" spans="1:25" s="257" customFormat="1" ht="20.45" customHeight="1" x14ac:dyDescent="0.25">
      <c r="A12" s="806" t="s">
        <v>2695</v>
      </c>
      <c r="B12" s="303"/>
      <c r="C12" s="807">
        <v>86619.915857884102</v>
      </c>
      <c r="D12" s="50">
        <f>IFERROR(INDEX('PR Expenditure_7A'!F$9:F$78,MATCH('PR Expenditure_7A import-export'!N12,'PR Expenditure_7A'!B$9:B$78,0)),"")</f>
        <v>44587.135309422039</v>
      </c>
      <c r="E12" s="807"/>
      <c r="F12" s="808"/>
      <c r="G12" s="809"/>
      <c r="H12" s="303"/>
      <c r="I12" s="807">
        <v>171679.87074759501</v>
      </c>
      <c r="J12" s="50">
        <f>IFERROR(INDEX('PR Expenditure_7A'!L$9:L$78,MATCH('PR Expenditure_7A import-export'!N12,'PR Expenditure_7A'!B$9:B$78,0)),"")</f>
        <v>71552.065309422032</v>
      </c>
      <c r="K12" s="807"/>
      <c r="L12" s="808"/>
      <c r="M12" s="637">
        <f t="shared" si="0"/>
        <v>8</v>
      </c>
      <c r="N12" s="637" t="str">
        <f t="shared" si="1"/>
        <v>Costgrp8</v>
      </c>
      <c r="O12" s="810" t="s">
        <v>2696</v>
      </c>
      <c r="P12" s="811">
        <v>2</v>
      </c>
      <c r="Q12" s="812">
        <v>5</v>
      </c>
      <c r="R12" s="259"/>
      <c r="S12" s="259"/>
      <c r="T12" s="259"/>
      <c r="U12" s="284"/>
      <c r="V12" s="283"/>
      <c r="W12" s="283"/>
      <c r="X12" s="283"/>
      <c r="Y12" s="283"/>
    </row>
    <row r="13" spans="1:25" s="257" customFormat="1" ht="20.45" customHeight="1" x14ac:dyDescent="0.25">
      <c r="A13" s="806" t="s">
        <v>2697</v>
      </c>
      <c r="B13" s="303"/>
      <c r="C13" s="807">
        <v>25810</v>
      </c>
      <c r="D13" s="50">
        <f>IFERROR(INDEX('PR Expenditure_7A'!F$9:F$78,MATCH('PR Expenditure_7A import-export'!N13,'PR Expenditure_7A'!B$9:B$78,0)),"")</f>
        <v>103389.81</v>
      </c>
      <c r="E13" s="807"/>
      <c r="F13" s="808"/>
      <c r="G13" s="809"/>
      <c r="H13" s="303"/>
      <c r="I13" s="807">
        <v>67420.303030302995</v>
      </c>
      <c r="J13" s="50">
        <f>IFERROR(INDEX('PR Expenditure_7A'!L$9:L$78,MATCH('PR Expenditure_7A import-export'!N13,'PR Expenditure_7A'!B$9:B$78,0)),"")</f>
        <v>106491.81</v>
      </c>
      <c r="K13" s="807"/>
      <c r="L13" s="808"/>
      <c r="M13" s="637">
        <f t="shared" si="0"/>
        <v>9</v>
      </c>
      <c r="N13" s="637" t="str">
        <f t="shared" si="1"/>
        <v>Costgrp9</v>
      </c>
      <c r="O13" s="810" t="s">
        <v>2698</v>
      </c>
      <c r="P13" s="811">
        <v>3</v>
      </c>
      <c r="Q13" s="812">
        <v>1</v>
      </c>
      <c r="R13" s="259"/>
      <c r="S13" s="259"/>
      <c r="T13" s="259"/>
      <c r="U13" s="284"/>
      <c r="V13" s="283"/>
      <c r="W13" s="283"/>
      <c r="X13" s="283"/>
      <c r="Y13" s="283"/>
    </row>
    <row r="14" spans="1:25" s="257" customFormat="1" ht="20.45" customHeight="1" x14ac:dyDescent="0.25">
      <c r="A14" s="806" t="s">
        <v>2699</v>
      </c>
      <c r="B14" s="303"/>
      <c r="C14" s="807">
        <v>43900</v>
      </c>
      <c r="D14" s="50">
        <f>IFERROR(INDEX('PR Expenditure_7A'!F$9:F$78,MATCH('PR Expenditure_7A import-export'!N14,'PR Expenditure_7A'!B$9:B$78,0)),"")</f>
        <v>58390</v>
      </c>
      <c r="E14" s="807"/>
      <c r="F14" s="808"/>
      <c r="G14" s="809"/>
      <c r="H14" s="303"/>
      <c r="I14" s="807">
        <v>58900</v>
      </c>
      <c r="J14" s="50">
        <f>IFERROR(INDEX('PR Expenditure_7A'!L$9:L$78,MATCH('PR Expenditure_7A import-export'!N14,'PR Expenditure_7A'!B$9:B$78,0)),"")</f>
        <v>58390</v>
      </c>
      <c r="K14" s="807"/>
      <c r="L14" s="808"/>
      <c r="M14" s="637">
        <f t="shared" si="0"/>
        <v>10</v>
      </c>
      <c r="N14" s="637" t="str">
        <f t="shared" si="1"/>
        <v>Costgrp10</v>
      </c>
      <c r="O14" s="810" t="s">
        <v>2700</v>
      </c>
      <c r="P14" s="811">
        <v>3</v>
      </c>
      <c r="Q14" s="812">
        <v>3</v>
      </c>
      <c r="R14" s="259"/>
      <c r="S14" s="259"/>
      <c r="T14" s="259"/>
      <c r="U14" s="284"/>
      <c r="V14" s="283"/>
      <c r="W14" s="283"/>
      <c r="X14" s="283"/>
      <c r="Y14" s="283"/>
    </row>
    <row r="15" spans="1:25" s="257" customFormat="1" ht="20.45" customHeight="1" x14ac:dyDescent="0.25">
      <c r="A15" s="806" t="s">
        <v>2701</v>
      </c>
      <c r="B15" s="303"/>
      <c r="C15" s="807">
        <v>37872.672927453699</v>
      </c>
      <c r="D15" s="50">
        <f>IFERROR(INDEX('PR Expenditure_7A'!F$9:F$78,MATCH('PR Expenditure_7A import-export'!N15,'PR Expenditure_7A'!B$9:B$78,0)),"")</f>
        <v>7744.5599999999995</v>
      </c>
      <c r="E15" s="807"/>
      <c r="F15" s="808"/>
      <c r="G15" s="809"/>
      <c r="H15" s="303"/>
      <c r="I15" s="807">
        <v>108936.69419773101</v>
      </c>
      <c r="J15" s="50">
        <f>IFERROR(INDEX('PR Expenditure_7A'!L$9:L$78,MATCH('PR Expenditure_7A import-export'!N15,'PR Expenditure_7A'!B$9:B$78,0)),"")</f>
        <v>11144.56</v>
      </c>
      <c r="K15" s="807"/>
      <c r="L15" s="808"/>
      <c r="M15" s="637">
        <f t="shared" si="0"/>
        <v>11</v>
      </c>
      <c r="N15" s="637" t="str">
        <f t="shared" si="1"/>
        <v>Costgrp11</v>
      </c>
      <c r="O15" s="810" t="s">
        <v>2702</v>
      </c>
      <c r="P15" s="811">
        <v>3</v>
      </c>
      <c r="Q15" s="812">
        <v>4</v>
      </c>
      <c r="R15" s="259"/>
      <c r="S15" s="259"/>
      <c r="T15" s="259"/>
      <c r="U15" s="284"/>
      <c r="V15" s="283"/>
      <c r="W15" s="283"/>
      <c r="X15" s="283"/>
      <c r="Y15" s="283"/>
    </row>
    <row r="16" spans="1:25" s="257" customFormat="1" ht="20.45" customHeight="1" x14ac:dyDescent="0.25">
      <c r="A16" s="806" t="s">
        <v>2703</v>
      </c>
      <c r="B16" s="303"/>
      <c r="C16" s="807">
        <v>2374573.84</v>
      </c>
      <c r="D16" s="50">
        <f>IFERROR(INDEX('PR Expenditure_7A'!F$9:F$78,MATCH('PR Expenditure_7A import-export'!N16,'PR Expenditure_7A'!B$9:B$78,0)),"")</f>
        <v>3112899.83</v>
      </c>
      <c r="E16" s="807"/>
      <c r="F16" s="808"/>
      <c r="G16" s="809"/>
      <c r="H16" s="303"/>
      <c r="I16" s="807">
        <v>2797400.6</v>
      </c>
      <c r="J16" s="50">
        <f>IFERROR(INDEX('PR Expenditure_7A'!L$9:L$78,MATCH('PR Expenditure_7A import-export'!N16,'PR Expenditure_7A'!B$9:B$78,0)),"")</f>
        <v>4540227.1100000003</v>
      </c>
      <c r="K16" s="807"/>
      <c r="L16" s="808"/>
      <c r="M16" s="637">
        <f t="shared" si="0"/>
        <v>12</v>
      </c>
      <c r="N16" s="637" t="str">
        <f t="shared" si="1"/>
        <v>Costgrp12</v>
      </c>
      <c r="O16" s="810" t="s">
        <v>2704</v>
      </c>
      <c r="P16" s="811">
        <v>4</v>
      </c>
      <c r="Q16" s="812">
        <v>1</v>
      </c>
      <c r="R16" s="259"/>
      <c r="S16" s="259"/>
      <c r="T16" s="259"/>
      <c r="U16" s="284"/>
      <c r="V16" s="283"/>
      <c r="W16" s="283"/>
      <c r="X16" s="283"/>
      <c r="Y16" s="283"/>
    </row>
    <row r="17" spans="1:25" s="257" customFormat="1" ht="20.45" customHeight="1" x14ac:dyDescent="0.25">
      <c r="A17" s="806" t="s">
        <v>2705</v>
      </c>
      <c r="B17" s="303"/>
      <c r="C17" s="807">
        <v>523533.37</v>
      </c>
      <c r="D17" s="50">
        <f>IFERROR(INDEX('PR Expenditure_7A'!F$9:F$78,MATCH('PR Expenditure_7A import-export'!N17,'PR Expenditure_7A'!B$9:B$78,0)),"")</f>
        <v>327729.77</v>
      </c>
      <c r="E17" s="807"/>
      <c r="F17" s="808"/>
      <c r="G17" s="809"/>
      <c r="H17" s="303"/>
      <c r="I17" s="807">
        <v>1034709.24</v>
      </c>
      <c r="J17" s="50">
        <f>IFERROR(INDEX('PR Expenditure_7A'!L$9:L$78,MATCH('PR Expenditure_7A import-export'!N17,'PR Expenditure_7A'!B$9:B$78,0)),"")</f>
        <v>327956.09000000003</v>
      </c>
      <c r="K17" s="807"/>
      <c r="L17" s="808"/>
      <c r="M17" s="637">
        <f t="shared" si="0"/>
        <v>13</v>
      </c>
      <c r="N17" s="637" t="str">
        <f t="shared" si="1"/>
        <v>Costgrp13</v>
      </c>
      <c r="O17" s="810" t="s">
        <v>2706</v>
      </c>
      <c r="P17" s="811">
        <v>4</v>
      </c>
      <c r="Q17" s="812">
        <v>2</v>
      </c>
      <c r="R17" s="259"/>
      <c r="S17" s="259"/>
      <c r="T17" s="259"/>
      <c r="U17" s="284"/>
      <c r="V17" s="283"/>
      <c r="W17" s="283"/>
      <c r="X17" s="283"/>
      <c r="Y17" s="283"/>
    </row>
    <row r="18" spans="1:25" s="257" customFormat="1" ht="20.45" customHeight="1" x14ac:dyDescent="0.25">
      <c r="A18" s="806" t="s">
        <v>2707</v>
      </c>
      <c r="B18" s="303"/>
      <c r="C18" s="807">
        <v>76235.13</v>
      </c>
      <c r="D18" s="50">
        <f>IFERROR(INDEX('PR Expenditure_7A'!F$9:F$78,MATCH('PR Expenditure_7A import-export'!N18,'PR Expenditure_7A'!B$9:B$78,0)),"")</f>
        <v>67267.600000000006</v>
      </c>
      <c r="E18" s="807"/>
      <c r="F18" s="808"/>
      <c r="G18" s="809"/>
      <c r="H18" s="303"/>
      <c r="I18" s="807">
        <v>134732.69</v>
      </c>
      <c r="J18" s="50">
        <f>IFERROR(INDEX('PR Expenditure_7A'!L$9:L$78,MATCH('PR Expenditure_7A import-export'!N18,'PR Expenditure_7A'!B$9:B$78,0)),"")</f>
        <v>174298.96000000002</v>
      </c>
      <c r="K18" s="807"/>
      <c r="L18" s="808"/>
      <c r="M18" s="637">
        <f t="shared" si="0"/>
        <v>14</v>
      </c>
      <c r="N18" s="637" t="str">
        <f t="shared" si="1"/>
        <v>Costgrp14</v>
      </c>
      <c r="O18" s="810" t="s">
        <v>2708</v>
      </c>
      <c r="P18" s="811">
        <v>4</v>
      </c>
      <c r="Q18" s="812">
        <v>5</v>
      </c>
      <c r="R18" s="259"/>
      <c r="S18" s="259"/>
      <c r="T18" s="259"/>
      <c r="U18" s="284"/>
      <c r="V18" s="283"/>
      <c r="W18" s="283"/>
      <c r="X18" s="283"/>
      <c r="Y18" s="283"/>
    </row>
    <row r="19" spans="1:25" s="257" customFormat="1" ht="20.45" customHeight="1" x14ac:dyDescent="0.25">
      <c r="A19" s="806" t="s">
        <v>2709</v>
      </c>
      <c r="B19" s="303"/>
      <c r="C19" s="807">
        <v>0</v>
      </c>
      <c r="D19" s="50">
        <f>IFERROR(INDEX('PR Expenditure_7A'!F$9:F$78,MATCH('PR Expenditure_7A import-export'!N19,'PR Expenditure_7A'!B$9:B$78,0)),"")</f>
        <v>0</v>
      </c>
      <c r="E19" s="807"/>
      <c r="F19" s="808"/>
      <c r="G19" s="809"/>
      <c r="H19" s="303"/>
      <c r="I19" s="807">
        <v>9000</v>
      </c>
      <c r="J19" s="50">
        <f>IFERROR(INDEX('PR Expenditure_7A'!L$9:L$78,MATCH('PR Expenditure_7A import-export'!N19,'PR Expenditure_7A'!B$9:B$78,0)),"")</f>
        <v>8474.64</v>
      </c>
      <c r="K19" s="807"/>
      <c r="L19" s="808"/>
      <c r="M19" s="637">
        <f t="shared" si="0"/>
        <v>15</v>
      </c>
      <c r="N19" s="637" t="str">
        <f t="shared" si="1"/>
        <v>Costgrp15</v>
      </c>
      <c r="O19" s="810" t="s">
        <v>2710</v>
      </c>
      <c r="P19" s="811">
        <v>4</v>
      </c>
      <c r="Q19" s="812">
        <v>7</v>
      </c>
      <c r="R19" s="259"/>
      <c r="S19" s="259"/>
      <c r="T19" s="259"/>
      <c r="U19" s="284"/>
      <c r="V19" s="283"/>
      <c r="W19" s="283"/>
      <c r="X19" s="283"/>
      <c r="Y19" s="283"/>
    </row>
    <row r="20" spans="1:25" s="257" customFormat="1" ht="20.45" customHeight="1" x14ac:dyDescent="0.25">
      <c r="A20" s="806" t="s">
        <v>2711</v>
      </c>
      <c r="B20" s="303"/>
      <c r="C20" s="807">
        <v>234419.53388854</v>
      </c>
      <c r="D20" s="50">
        <f>IFERROR(INDEX('PR Expenditure_7A'!F$9:F$78,MATCH('PR Expenditure_7A import-export'!N20,'PR Expenditure_7A'!B$9:B$78,0)),"")</f>
        <v>0</v>
      </c>
      <c r="E20" s="807"/>
      <c r="F20" s="808"/>
      <c r="G20" s="809"/>
      <c r="H20" s="303"/>
      <c r="I20" s="807">
        <v>234419.53388854</v>
      </c>
      <c r="J20" s="50">
        <f>IFERROR(INDEX('PR Expenditure_7A'!L$9:L$78,MATCH('PR Expenditure_7A import-export'!N20,'PR Expenditure_7A'!B$9:B$78,0)),"")</f>
        <v>0</v>
      </c>
      <c r="K20" s="807"/>
      <c r="L20" s="808"/>
      <c r="M20" s="637">
        <f t="shared" si="0"/>
        <v>16</v>
      </c>
      <c r="N20" s="637" t="str">
        <f t="shared" si="1"/>
        <v>Costgrp16</v>
      </c>
      <c r="O20" s="810" t="s">
        <v>2712</v>
      </c>
      <c r="P20" s="811">
        <v>5</v>
      </c>
      <c r="Q20" s="812">
        <v>2</v>
      </c>
      <c r="R20" s="259"/>
      <c r="S20" s="259"/>
      <c r="T20" s="259"/>
      <c r="U20" s="284"/>
      <c r="V20" s="283"/>
      <c r="W20" s="283"/>
      <c r="X20" s="283"/>
      <c r="Y20" s="283"/>
    </row>
    <row r="21" spans="1:25" s="257" customFormat="1" ht="20.45" customHeight="1" x14ac:dyDescent="0.25">
      <c r="A21" s="806" t="s">
        <v>2713</v>
      </c>
      <c r="B21" s="303"/>
      <c r="C21" s="807">
        <v>142498.65</v>
      </c>
      <c r="D21" s="50">
        <f>IFERROR(INDEX('PR Expenditure_7A'!F$9:F$78,MATCH('PR Expenditure_7A import-export'!N21,'PR Expenditure_7A'!B$9:B$78,0)),"")</f>
        <v>0</v>
      </c>
      <c r="E21" s="807"/>
      <c r="F21" s="808"/>
      <c r="G21" s="809"/>
      <c r="H21" s="303"/>
      <c r="I21" s="807">
        <v>155484.35</v>
      </c>
      <c r="J21" s="50">
        <f>IFERROR(INDEX('PR Expenditure_7A'!L$9:L$78,MATCH('PR Expenditure_7A import-export'!N21,'PR Expenditure_7A'!B$9:B$78,0)),"")</f>
        <v>0</v>
      </c>
      <c r="K21" s="807"/>
      <c r="L21" s="808"/>
      <c r="M21" s="637">
        <f t="shared" si="0"/>
        <v>17</v>
      </c>
      <c r="N21" s="637" t="str">
        <f t="shared" si="1"/>
        <v>Costgrp17</v>
      </c>
      <c r="O21" s="810" t="s">
        <v>2714</v>
      </c>
      <c r="P21" s="811">
        <v>5</v>
      </c>
      <c r="Q21" s="812">
        <v>3</v>
      </c>
      <c r="R21" s="259"/>
      <c r="S21" s="259"/>
      <c r="T21" s="259"/>
      <c r="U21" s="284"/>
      <c r="V21" s="283"/>
      <c r="W21" s="283"/>
      <c r="X21" s="283"/>
      <c r="Y21" s="283"/>
    </row>
    <row r="22" spans="1:25" s="257" customFormat="1" ht="20.45" customHeight="1" x14ac:dyDescent="0.25">
      <c r="A22" s="806" t="s">
        <v>2715</v>
      </c>
      <c r="B22" s="303"/>
      <c r="C22" s="807">
        <v>404384.02</v>
      </c>
      <c r="D22" s="50">
        <f>IFERROR(INDEX('PR Expenditure_7A'!F$9:F$78,MATCH('PR Expenditure_7A import-export'!N22,'PR Expenditure_7A'!B$9:B$78,0)),"")</f>
        <v>792536.3600000001</v>
      </c>
      <c r="E22" s="807"/>
      <c r="F22" s="808"/>
      <c r="G22" s="809"/>
      <c r="H22" s="303"/>
      <c r="I22" s="807">
        <v>524325.35</v>
      </c>
      <c r="J22" s="50">
        <f>IFERROR(INDEX('PR Expenditure_7A'!L$9:L$78,MATCH('PR Expenditure_7A import-export'!N22,'PR Expenditure_7A'!B$9:B$78,0)),"")</f>
        <v>1077138.8600000001</v>
      </c>
      <c r="K22" s="807"/>
      <c r="L22" s="808"/>
      <c r="M22" s="637">
        <f t="shared" si="0"/>
        <v>18</v>
      </c>
      <c r="N22" s="637" t="str">
        <f t="shared" si="1"/>
        <v>Costgrp18</v>
      </c>
      <c r="O22" s="810" t="s">
        <v>2716</v>
      </c>
      <c r="P22" s="811">
        <v>5</v>
      </c>
      <c r="Q22" s="812">
        <v>4</v>
      </c>
      <c r="R22" s="259"/>
      <c r="S22" s="259"/>
      <c r="T22" s="259"/>
      <c r="U22" s="284"/>
      <c r="V22" s="283"/>
      <c r="W22" s="283"/>
      <c r="X22" s="283"/>
      <c r="Y22" s="283"/>
    </row>
    <row r="23" spans="1:25" s="257" customFormat="1" ht="20.45" customHeight="1" x14ac:dyDescent="0.25">
      <c r="A23" s="806" t="s">
        <v>2717</v>
      </c>
      <c r="B23" s="303"/>
      <c r="C23" s="807">
        <v>353331.25</v>
      </c>
      <c r="D23" s="50">
        <f>IFERROR(INDEX('PR Expenditure_7A'!F$9:F$78,MATCH('PR Expenditure_7A import-export'!N23,'PR Expenditure_7A'!B$9:B$78,0)),"")</f>
        <v>477500.83000000007</v>
      </c>
      <c r="E23" s="807"/>
      <c r="F23" s="808"/>
      <c r="G23" s="809"/>
      <c r="H23" s="303"/>
      <c r="I23" s="807">
        <v>657294.41</v>
      </c>
      <c r="J23" s="50">
        <f>IFERROR(INDEX('PR Expenditure_7A'!L$9:L$78,MATCH('PR Expenditure_7A import-export'!N23,'PR Expenditure_7A'!B$9:B$78,0)),"")</f>
        <v>720982.21000000008</v>
      </c>
      <c r="K23" s="807"/>
      <c r="L23" s="808"/>
      <c r="M23" s="637">
        <f t="shared" si="0"/>
        <v>19</v>
      </c>
      <c r="N23" s="637" t="str">
        <f t="shared" si="1"/>
        <v>Costgrp19</v>
      </c>
      <c r="O23" s="810" t="s">
        <v>2718</v>
      </c>
      <c r="P23" s="811">
        <v>5</v>
      </c>
      <c r="Q23" s="812">
        <v>6</v>
      </c>
      <c r="R23" s="259"/>
      <c r="S23" s="259"/>
      <c r="T23" s="259"/>
      <c r="U23" s="284"/>
      <c r="V23" s="283"/>
      <c r="W23" s="283"/>
      <c r="X23" s="283"/>
      <c r="Y23" s="283"/>
    </row>
    <row r="24" spans="1:25" s="257" customFormat="1" ht="20.45" customHeight="1" x14ac:dyDescent="0.25">
      <c r="A24" s="806" t="s">
        <v>2719</v>
      </c>
      <c r="B24" s="303"/>
      <c r="C24" s="807">
        <v>1148</v>
      </c>
      <c r="D24" s="50">
        <f>IFERROR(INDEX('PR Expenditure_7A'!F$9:F$78,MATCH('PR Expenditure_7A import-export'!N24,'PR Expenditure_7A'!B$9:B$78,0)),"")</f>
        <v>0</v>
      </c>
      <c r="E24" s="807"/>
      <c r="F24" s="808"/>
      <c r="G24" s="809"/>
      <c r="H24" s="303"/>
      <c r="I24" s="807">
        <v>2296</v>
      </c>
      <c r="J24" s="50">
        <f>IFERROR(INDEX('PR Expenditure_7A'!L$9:L$78,MATCH('PR Expenditure_7A import-export'!N24,'PR Expenditure_7A'!B$9:B$78,0)),"")</f>
        <v>0</v>
      </c>
      <c r="K24" s="807"/>
      <c r="L24" s="808"/>
      <c r="M24" s="637">
        <f t="shared" si="0"/>
        <v>20</v>
      </c>
      <c r="N24" s="637" t="str">
        <f t="shared" si="1"/>
        <v>Costgrp20</v>
      </c>
      <c r="O24" s="810" t="s">
        <v>2720</v>
      </c>
      <c r="P24" s="811">
        <v>5</v>
      </c>
      <c r="Q24" s="812">
        <v>7</v>
      </c>
      <c r="R24" s="259"/>
      <c r="S24" s="259"/>
      <c r="T24" s="259"/>
      <c r="U24" s="284"/>
      <c r="V24" s="283"/>
      <c r="W24" s="283"/>
      <c r="X24" s="283"/>
      <c r="Y24" s="283"/>
    </row>
    <row r="25" spans="1:25" s="257" customFormat="1" ht="20.45" customHeight="1" x14ac:dyDescent="0.25">
      <c r="A25" s="806" t="s">
        <v>2721</v>
      </c>
      <c r="B25" s="303"/>
      <c r="C25" s="807">
        <v>640261.87</v>
      </c>
      <c r="D25" s="50">
        <f>IFERROR(INDEX('PR Expenditure_7A'!F$9:F$78,MATCH('PR Expenditure_7A import-export'!N25,'PR Expenditure_7A'!B$9:B$78,0)),"")</f>
        <v>322043.73</v>
      </c>
      <c r="E25" s="807"/>
      <c r="F25" s="808"/>
      <c r="G25" s="809"/>
      <c r="H25" s="303"/>
      <c r="I25" s="807">
        <v>968984.7</v>
      </c>
      <c r="J25" s="50">
        <f>IFERROR(INDEX('PR Expenditure_7A'!L$9:L$78,MATCH('PR Expenditure_7A import-export'!N25,'PR Expenditure_7A'!B$9:B$78,0)),"")</f>
        <v>388544.51999999996</v>
      </c>
      <c r="K25" s="807"/>
      <c r="L25" s="808"/>
      <c r="M25" s="637">
        <f t="shared" si="0"/>
        <v>21</v>
      </c>
      <c r="N25" s="637" t="str">
        <f t="shared" si="1"/>
        <v>Costgrp21</v>
      </c>
      <c r="O25" s="810" t="s">
        <v>2722</v>
      </c>
      <c r="P25" s="811">
        <v>5</v>
      </c>
      <c r="Q25" s="812">
        <v>8</v>
      </c>
      <c r="R25" s="259"/>
      <c r="S25" s="259"/>
      <c r="T25" s="259"/>
      <c r="U25" s="284"/>
      <c r="V25" s="283"/>
      <c r="W25" s="283"/>
      <c r="X25" s="283"/>
      <c r="Y25" s="283"/>
    </row>
    <row r="26" spans="1:25" s="257" customFormat="1" ht="20.45" customHeight="1" x14ac:dyDescent="0.25">
      <c r="A26" s="806" t="s">
        <v>2723</v>
      </c>
      <c r="B26" s="303"/>
      <c r="C26" s="807">
        <v>165668</v>
      </c>
      <c r="D26" s="50">
        <f>IFERROR(INDEX('PR Expenditure_7A'!F$9:F$78,MATCH('PR Expenditure_7A import-export'!N26,'PR Expenditure_7A'!B$9:B$78,0)),"")</f>
        <v>96428.66</v>
      </c>
      <c r="E26" s="807"/>
      <c r="F26" s="808"/>
      <c r="G26" s="809"/>
      <c r="H26" s="303"/>
      <c r="I26" s="807">
        <v>426828.97</v>
      </c>
      <c r="J26" s="50">
        <f>IFERROR(INDEX('PR Expenditure_7A'!L$9:L$78,MATCH('PR Expenditure_7A import-export'!N26,'PR Expenditure_7A'!B$9:B$78,0)),"")</f>
        <v>256019.72</v>
      </c>
      <c r="K26" s="807"/>
      <c r="L26" s="808"/>
      <c r="M26" s="637">
        <f t="shared" si="0"/>
        <v>22</v>
      </c>
      <c r="N26" s="637" t="str">
        <f t="shared" si="1"/>
        <v>Costgrp22</v>
      </c>
      <c r="O26" s="810" t="s">
        <v>2724</v>
      </c>
      <c r="P26" s="811">
        <v>6</v>
      </c>
      <c r="Q26" s="812">
        <v>4</v>
      </c>
      <c r="R26" s="259"/>
      <c r="S26" s="259"/>
      <c r="T26" s="259"/>
      <c r="U26" s="284"/>
      <c r="V26" s="283"/>
      <c r="W26" s="283"/>
      <c r="X26" s="283"/>
      <c r="Y26" s="283"/>
    </row>
    <row r="27" spans="1:25" s="257" customFormat="1" ht="20.45" customHeight="1" x14ac:dyDescent="0.25">
      <c r="A27" s="806" t="s">
        <v>2725</v>
      </c>
      <c r="B27" s="303"/>
      <c r="C27" s="807">
        <v>42021.19</v>
      </c>
      <c r="D27" s="50">
        <f>IFERROR(INDEX('PR Expenditure_7A'!F$9:F$78,MATCH('PR Expenditure_7A import-export'!N27,'PR Expenditure_7A'!B$9:B$78,0)),"")</f>
        <v>49127.68</v>
      </c>
      <c r="E27" s="807"/>
      <c r="F27" s="808"/>
      <c r="G27" s="809"/>
      <c r="H27" s="303"/>
      <c r="I27" s="807">
        <v>71909.87</v>
      </c>
      <c r="J27" s="50">
        <f>IFERROR(INDEX('PR Expenditure_7A'!L$9:L$78,MATCH('PR Expenditure_7A import-export'!N27,'PR Expenditure_7A'!B$9:B$78,0)),"")</f>
        <v>53027.68</v>
      </c>
      <c r="K27" s="807"/>
      <c r="L27" s="808"/>
      <c r="M27" s="637">
        <f t="shared" si="0"/>
        <v>23</v>
      </c>
      <c r="N27" s="637" t="str">
        <f t="shared" si="1"/>
        <v>Costgrp23</v>
      </c>
      <c r="O27" s="810" t="s">
        <v>2726</v>
      </c>
      <c r="P27" s="811">
        <v>6</v>
      </c>
      <c r="Q27" s="812">
        <v>5</v>
      </c>
      <c r="R27" s="259"/>
      <c r="S27" s="259"/>
      <c r="T27" s="259"/>
      <c r="U27" s="284"/>
      <c r="V27" s="283"/>
      <c r="W27" s="283"/>
      <c r="X27" s="283"/>
      <c r="Y27" s="283"/>
    </row>
    <row r="28" spans="1:25" s="257" customFormat="1" ht="20.45" customHeight="1" x14ac:dyDescent="0.25">
      <c r="A28" s="806" t="s">
        <v>2727</v>
      </c>
      <c r="B28" s="303"/>
      <c r="C28" s="807">
        <v>8210.17</v>
      </c>
      <c r="D28" s="50">
        <f>IFERROR(INDEX('PR Expenditure_7A'!F$9:F$78,MATCH('PR Expenditure_7A import-export'!N28,'PR Expenditure_7A'!B$9:B$78,0)),"")</f>
        <v>16340.75</v>
      </c>
      <c r="E28" s="807"/>
      <c r="F28" s="808"/>
      <c r="G28" s="809"/>
      <c r="H28" s="303"/>
      <c r="I28" s="807">
        <v>16420.34</v>
      </c>
      <c r="J28" s="50">
        <f>IFERROR(INDEX('PR Expenditure_7A'!L$9:L$78,MATCH('PR Expenditure_7A import-export'!N28,'PR Expenditure_7A'!B$9:B$78,0)),"")</f>
        <v>16340.75</v>
      </c>
      <c r="K28" s="807"/>
      <c r="L28" s="808"/>
      <c r="M28" s="637">
        <f t="shared" si="0"/>
        <v>24</v>
      </c>
      <c r="N28" s="637" t="str">
        <f t="shared" si="1"/>
        <v>Costgrp24</v>
      </c>
      <c r="O28" s="810" t="s">
        <v>2728</v>
      </c>
      <c r="P28" s="811">
        <v>6</v>
      </c>
      <c r="Q28" s="812">
        <v>6</v>
      </c>
      <c r="R28" s="259"/>
      <c r="S28" s="259"/>
      <c r="T28" s="259"/>
      <c r="U28" s="284"/>
      <c r="V28" s="283"/>
      <c r="W28" s="283"/>
      <c r="X28" s="283"/>
      <c r="Y28" s="283"/>
    </row>
    <row r="29" spans="1:25" s="257" customFormat="1" ht="20.45" customHeight="1" x14ac:dyDescent="0.25">
      <c r="A29" s="806" t="s">
        <v>2729</v>
      </c>
      <c r="B29" s="303"/>
      <c r="C29" s="807">
        <v>203060.32895</v>
      </c>
      <c r="D29" s="50">
        <f>IFERROR(INDEX('PR Expenditure_7A'!F$9:F$78,MATCH('PR Expenditure_7A import-export'!N29,'PR Expenditure_7A'!B$9:B$78,0)),"")</f>
        <v>105132.09000000001</v>
      </c>
      <c r="E29" s="807"/>
      <c r="F29" s="808"/>
      <c r="G29" s="809"/>
      <c r="H29" s="303"/>
      <c r="I29" s="807">
        <v>280136.41814999998</v>
      </c>
      <c r="J29" s="50">
        <f>IFERROR(INDEX('PR Expenditure_7A'!L$9:L$78,MATCH('PR Expenditure_7A import-export'!N29,'PR Expenditure_7A'!B$9:B$78,0)),"")</f>
        <v>156774.41</v>
      </c>
      <c r="K29" s="807"/>
      <c r="L29" s="808"/>
      <c r="M29" s="637">
        <f t="shared" si="0"/>
        <v>25</v>
      </c>
      <c r="N29" s="637" t="str">
        <f t="shared" si="1"/>
        <v>Costgrp25</v>
      </c>
      <c r="O29" s="810" t="s">
        <v>2730</v>
      </c>
      <c r="P29" s="811">
        <v>7</v>
      </c>
      <c r="Q29" s="812">
        <v>1</v>
      </c>
      <c r="R29" s="259"/>
      <c r="S29" s="259"/>
      <c r="T29" s="259"/>
      <c r="U29" s="284"/>
      <c r="V29" s="283"/>
      <c r="W29" s="283"/>
      <c r="X29" s="283"/>
      <c r="Y29" s="283"/>
    </row>
    <row r="30" spans="1:25" s="257" customFormat="1" ht="20.45" customHeight="1" x14ac:dyDescent="0.25">
      <c r="A30" s="806" t="s">
        <v>2731</v>
      </c>
      <c r="B30" s="303"/>
      <c r="C30" s="807">
        <v>756924.26063599996</v>
      </c>
      <c r="D30" s="50">
        <f>IFERROR(INDEX('PR Expenditure_7A'!F$9:F$78,MATCH('PR Expenditure_7A import-export'!N30,'PR Expenditure_7A'!B$9:B$78,0)),"")</f>
        <v>646170.78</v>
      </c>
      <c r="E30" s="807"/>
      <c r="F30" s="808"/>
      <c r="G30" s="809"/>
      <c r="H30" s="303"/>
      <c r="I30" s="807">
        <v>1049192.3641959999</v>
      </c>
      <c r="J30" s="50">
        <f>IFERROR(INDEX('PR Expenditure_7A'!L$9:L$78,MATCH('PR Expenditure_7A import-export'!N30,'PR Expenditure_7A'!B$9:B$78,0)),"")</f>
        <v>947787.07000000007</v>
      </c>
      <c r="K30" s="807"/>
      <c r="L30" s="808"/>
      <c r="M30" s="637">
        <f t="shared" si="0"/>
        <v>26</v>
      </c>
      <c r="N30" s="637" t="str">
        <f t="shared" si="1"/>
        <v>Costgrp26</v>
      </c>
      <c r="O30" s="810" t="s">
        <v>2732</v>
      </c>
      <c r="P30" s="811">
        <v>7</v>
      </c>
      <c r="Q30" s="812">
        <v>2</v>
      </c>
      <c r="R30" s="259"/>
      <c r="S30" s="259"/>
      <c r="T30" s="259"/>
      <c r="U30" s="284"/>
      <c r="V30" s="283"/>
      <c r="W30" s="283"/>
      <c r="X30" s="283"/>
      <c r="Y30" s="283"/>
    </row>
    <row r="31" spans="1:25" s="257" customFormat="1" ht="20.45" customHeight="1" x14ac:dyDescent="0.25">
      <c r="A31" s="806" t="s">
        <v>2733</v>
      </c>
      <c r="B31" s="303"/>
      <c r="C31" s="807">
        <v>246212.2635</v>
      </c>
      <c r="D31" s="50">
        <f>IFERROR(INDEX('PR Expenditure_7A'!F$9:F$78,MATCH('PR Expenditure_7A import-export'!N31,'PR Expenditure_7A'!B$9:B$78,0)),"")</f>
        <v>137748.19999999998</v>
      </c>
      <c r="E31" s="807"/>
      <c r="F31" s="808"/>
      <c r="G31" s="809"/>
      <c r="H31" s="303"/>
      <c r="I31" s="807">
        <v>342244.6385</v>
      </c>
      <c r="J31" s="50">
        <f>IFERROR(INDEX('PR Expenditure_7A'!L$9:L$78,MATCH('PR Expenditure_7A import-export'!N31,'PR Expenditure_7A'!B$9:B$78,0)),"")</f>
        <v>159521.76999999999</v>
      </c>
      <c r="K31" s="807"/>
      <c r="L31" s="808"/>
      <c r="M31" s="637">
        <f t="shared" si="0"/>
        <v>27</v>
      </c>
      <c r="N31" s="637" t="str">
        <f t="shared" si="1"/>
        <v>Costgrp27</v>
      </c>
      <c r="O31" s="810" t="s">
        <v>2734</v>
      </c>
      <c r="P31" s="811">
        <v>7</v>
      </c>
      <c r="Q31" s="812">
        <v>3</v>
      </c>
      <c r="R31" s="259"/>
      <c r="S31" s="259"/>
      <c r="T31" s="259"/>
      <c r="U31" s="284"/>
      <c r="V31" s="283"/>
      <c r="W31" s="283"/>
      <c r="X31" s="283"/>
      <c r="Y31" s="283"/>
    </row>
    <row r="32" spans="1:25" s="257" customFormat="1" ht="20.45" customHeight="1" x14ac:dyDescent="0.25">
      <c r="A32" s="806" t="s">
        <v>2735</v>
      </c>
      <c r="B32" s="303"/>
      <c r="C32" s="807">
        <v>117455.52</v>
      </c>
      <c r="D32" s="50">
        <f>IFERROR(INDEX('PR Expenditure_7A'!F$9:F$78,MATCH('PR Expenditure_7A import-export'!N32,'PR Expenditure_7A'!B$9:B$78,0)),"")</f>
        <v>34647.94</v>
      </c>
      <c r="E32" s="807"/>
      <c r="F32" s="808"/>
      <c r="G32" s="809"/>
      <c r="H32" s="303"/>
      <c r="I32" s="807">
        <v>180362.13</v>
      </c>
      <c r="J32" s="50">
        <f>IFERROR(INDEX('PR Expenditure_7A'!L$9:L$78,MATCH('PR Expenditure_7A import-export'!N32,'PR Expenditure_7A'!B$9:B$78,0)),"")</f>
        <v>34647.94</v>
      </c>
      <c r="K32" s="807"/>
      <c r="L32" s="808"/>
      <c r="M32" s="637">
        <f t="shared" si="0"/>
        <v>28</v>
      </c>
      <c r="N32" s="637" t="str">
        <f t="shared" si="1"/>
        <v>Costgrp28</v>
      </c>
      <c r="O32" s="810" t="s">
        <v>2736</v>
      </c>
      <c r="P32" s="811">
        <v>7</v>
      </c>
      <c r="Q32" s="812">
        <v>5</v>
      </c>
      <c r="R32" s="259"/>
      <c r="S32" s="259"/>
      <c r="T32" s="259"/>
      <c r="U32" s="284"/>
      <c r="V32" s="283"/>
      <c r="W32" s="283"/>
      <c r="X32" s="283"/>
      <c r="Y32" s="283"/>
    </row>
    <row r="33" spans="1:25" s="257" customFormat="1" ht="20.45" customHeight="1" x14ac:dyDescent="0.25">
      <c r="A33" s="806" t="s">
        <v>2737</v>
      </c>
      <c r="B33" s="303"/>
      <c r="C33" s="807">
        <v>0</v>
      </c>
      <c r="D33" s="50">
        <f>IFERROR(INDEX('PR Expenditure_7A'!F$9:F$78,MATCH('PR Expenditure_7A import-export'!N33,'PR Expenditure_7A'!B$9:B$78,0)),"")</f>
        <v>4843.0600000000013</v>
      </c>
      <c r="E33" s="807"/>
      <c r="F33" s="808"/>
      <c r="G33" s="809"/>
      <c r="H33" s="303"/>
      <c r="I33" s="807">
        <v>7155</v>
      </c>
      <c r="J33" s="50">
        <f>IFERROR(INDEX('PR Expenditure_7A'!L$9:L$78,MATCH('PR Expenditure_7A import-export'!N33,'PR Expenditure_7A'!B$9:B$78,0)),"")</f>
        <v>9162.4200000000019</v>
      </c>
      <c r="K33" s="807"/>
      <c r="L33" s="808"/>
      <c r="M33" s="637">
        <f t="shared" si="0"/>
        <v>29</v>
      </c>
      <c r="N33" s="637" t="str">
        <f t="shared" si="1"/>
        <v>Costgrp29</v>
      </c>
      <c r="O33" s="810" t="s">
        <v>2738</v>
      </c>
      <c r="P33" s="811">
        <v>8</v>
      </c>
      <c r="Q33" s="812">
        <v>1</v>
      </c>
      <c r="R33" s="259"/>
      <c r="S33" s="259"/>
      <c r="T33" s="259"/>
      <c r="U33" s="284"/>
      <c r="V33" s="283"/>
      <c r="W33" s="283"/>
      <c r="X33" s="283"/>
      <c r="Y33" s="283"/>
    </row>
    <row r="34" spans="1:25" s="257" customFormat="1" ht="20.45" customHeight="1" x14ac:dyDescent="0.25">
      <c r="A34" s="806" t="s">
        <v>2739</v>
      </c>
      <c r="B34" s="303"/>
      <c r="C34" s="807">
        <v>0</v>
      </c>
      <c r="D34" s="50">
        <f>IFERROR(INDEX('PR Expenditure_7A'!F$9:F$78,MATCH('PR Expenditure_7A import-export'!N34,'PR Expenditure_7A'!B$9:B$78,0)),"")</f>
        <v>17000</v>
      </c>
      <c r="E34" s="807"/>
      <c r="F34" s="808"/>
      <c r="G34" s="809"/>
      <c r="H34" s="303"/>
      <c r="I34" s="807">
        <v>17000</v>
      </c>
      <c r="J34" s="50">
        <f>IFERROR(INDEX('PR Expenditure_7A'!L$9:L$78,MATCH('PR Expenditure_7A import-export'!N34,'PR Expenditure_7A'!B$9:B$78,0)),"")</f>
        <v>18098.37</v>
      </c>
      <c r="K34" s="807"/>
      <c r="L34" s="808"/>
      <c r="M34" s="637">
        <f t="shared" si="0"/>
        <v>30</v>
      </c>
      <c r="N34" s="637" t="str">
        <f t="shared" si="1"/>
        <v>Costgrp30</v>
      </c>
      <c r="O34" s="810" t="s">
        <v>2740</v>
      </c>
      <c r="P34" s="811">
        <v>8</v>
      </c>
      <c r="Q34" s="812">
        <v>2</v>
      </c>
      <c r="R34" s="259"/>
      <c r="S34" s="259"/>
      <c r="T34" s="259"/>
      <c r="U34" s="284"/>
      <c r="V34" s="283"/>
      <c r="W34" s="283"/>
      <c r="X34" s="283"/>
      <c r="Y34" s="283"/>
    </row>
    <row r="35" spans="1:25" s="257" customFormat="1" ht="20.45" customHeight="1" x14ac:dyDescent="0.25">
      <c r="A35" s="806" t="s">
        <v>2741</v>
      </c>
      <c r="B35" s="303"/>
      <c r="C35" s="807">
        <v>0</v>
      </c>
      <c r="D35" s="50">
        <f>IFERROR(INDEX('PR Expenditure_7A'!F$9:F$78,MATCH('PR Expenditure_7A import-export'!N35,'PR Expenditure_7A'!B$9:B$78,0)),"")</f>
        <v>3647.76</v>
      </c>
      <c r="E35" s="807"/>
      <c r="F35" s="808"/>
      <c r="G35" s="809"/>
      <c r="H35" s="303"/>
      <c r="I35" s="807">
        <v>10580</v>
      </c>
      <c r="J35" s="50">
        <f>IFERROR(INDEX('PR Expenditure_7A'!L$9:L$78,MATCH('PR Expenditure_7A import-export'!N35,'PR Expenditure_7A'!B$9:B$78,0)),"")</f>
        <v>14379.59</v>
      </c>
      <c r="K35" s="807"/>
      <c r="L35" s="808"/>
      <c r="M35" s="637">
        <f t="shared" si="0"/>
        <v>31</v>
      </c>
      <c r="N35" s="637" t="str">
        <f t="shared" si="1"/>
        <v>Costgrp31</v>
      </c>
      <c r="O35" s="810" t="s">
        <v>2742</v>
      </c>
      <c r="P35" s="811">
        <v>9</v>
      </c>
      <c r="Q35" s="812">
        <v>1</v>
      </c>
      <c r="R35" s="259"/>
      <c r="S35" s="259"/>
      <c r="T35" s="259"/>
      <c r="U35" s="284"/>
      <c r="V35" s="283"/>
      <c r="W35" s="283"/>
      <c r="X35" s="283"/>
      <c r="Y35" s="283"/>
    </row>
    <row r="36" spans="1:25" s="257" customFormat="1" ht="20.45" customHeight="1" x14ac:dyDescent="0.25">
      <c r="A36" s="806" t="s">
        <v>2743</v>
      </c>
      <c r="B36" s="303"/>
      <c r="C36" s="807">
        <v>0</v>
      </c>
      <c r="D36" s="50">
        <f>IFERROR(INDEX('PR Expenditure_7A'!F$9:F$78,MATCH('PR Expenditure_7A import-export'!N36,'PR Expenditure_7A'!B$9:B$78,0)),"")</f>
        <v>0</v>
      </c>
      <c r="E36" s="807"/>
      <c r="F36" s="808"/>
      <c r="G36" s="809"/>
      <c r="H36" s="303"/>
      <c r="I36" s="807">
        <v>30000</v>
      </c>
      <c r="J36" s="50">
        <f>IFERROR(INDEX('PR Expenditure_7A'!L$9:L$78,MATCH('PR Expenditure_7A import-export'!N36,'PR Expenditure_7A'!B$9:B$78,0)),"")</f>
        <v>42843.07</v>
      </c>
      <c r="K36" s="807"/>
      <c r="L36" s="808"/>
      <c r="M36" s="637">
        <f t="shared" si="0"/>
        <v>32</v>
      </c>
      <c r="N36" s="637" t="str">
        <f t="shared" si="1"/>
        <v>Costgrp32</v>
      </c>
      <c r="O36" s="810" t="s">
        <v>2744</v>
      </c>
      <c r="P36" s="811">
        <v>9</v>
      </c>
      <c r="Q36" s="812">
        <v>2</v>
      </c>
      <c r="R36" s="259"/>
      <c r="S36" s="259"/>
      <c r="T36" s="259"/>
      <c r="U36" s="284"/>
      <c r="V36" s="283"/>
      <c r="W36" s="283"/>
      <c r="X36" s="283"/>
      <c r="Y36" s="283"/>
    </row>
    <row r="37" spans="1:25" s="257" customFormat="1" ht="20.45" customHeight="1" x14ac:dyDescent="0.25">
      <c r="A37" s="806" t="s">
        <v>2745</v>
      </c>
      <c r="B37" s="303"/>
      <c r="C37" s="807">
        <v>0</v>
      </c>
      <c r="D37" s="50">
        <f>IFERROR(INDEX('PR Expenditure_7A'!F$9:F$78,MATCH('PR Expenditure_7A import-export'!N37,'PR Expenditure_7A'!B$9:B$78,0)),"")</f>
        <v>1035.3</v>
      </c>
      <c r="E37" s="807"/>
      <c r="F37" s="808"/>
      <c r="G37" s="809"/>
      <c r="H37" s="303"/>
      <c r="I37" s="807">
        <v>4600</v>
      </c>
      <c r="J37" s="50">
        <f>IFERROR(INDEX('PR Expenditure_7A'!L$9:L$78,MATCH('PR Expenditure_7A import-export'!N37,'PR Expenditure_7A'!B$9:B$78,0)),"")</f>
        <v>91563.08</v>
      </c>
      <c r="K37" s="807"/>
      <c r="L37" s="808"/>
      <c r="M37" s="637">
        <f t="shared" si="0"/>
        <v>33</v>
      </c>
      <c r="N37" s="637" t="str">
        <f t="shared" si="1"/>
        <v>Costgrp33</v>
      </c>
      <c r="O37" s="810" t="s">
        <v>2746</v>
      </c>
      <c r="P37" s="811">
        <v>9</v>
      </c>
      <c r="Q37" s="812">
        <v>3</v>
      </c>
      <c r="R37" s="259"/>
      <c r="S37" s="259"/>
      <c r="T37" s="259"/>
      <c r="U37" s="284"/>
      <c r="V37" s="283"/>
      <c r="W37" s="283"/>
      <c r="X37" s="283"/>
      <c r="Y37" s="283"/>
    </row>
    <row r="38" spans="1:25" s="257" customFormat="1" ht="20.45" customHeight="1" x14ac:dyDescent="0.25">
      <c r="A38" s="806" t="s">
        <v>2747</v>
      </c>
      <c r="B38" s="303"/>
      <c r="C38" s="807">
        <v>22764.758186967301</v>
      </c>
      <c r="D38" s="50">
        <f>IFERROR(INDEX('PR Expenditure_7A'!F$9:F$78,MATCH('PR Expenditure_7A import-export'!N38,'PR Expenditure_7A'!B$9:B$78,0)),"")</f>
        <v>25168</v>
      </c>
      <c r="E38" s="807"/>
      <c r="F38" s="808"/>
      <c r="G38" s="809"/>
      <c r="H38" s="303"/>
      <c r="I38" s="807">
        <v>45529.516373934603</v>
      </c>
      <c r="J38" s="50">
        <f>IFERROR(INDEX('PR Expenditure_7A'!L$9:L$78,MATCH('PR Expenditure_7A import-export'!N38,'PR Expenditure_7A'!B$9:B$78,0)),"")</f>
        <v>104079.29</v>
      </c>
      <c r="K38" s="807"/>
      <c r="L38" s="808"/>
      <c r="M38" s="637">
        <f t="shared" si="0"/>
        <v>34</v>
      </c>
      <c r="N38" s="637" t="str">
        <f t="shared" si="1"/>
        <v>Costgrp34</v>
      </c>
      <c r="O38" s="810" t="s">
        <v>2748</v>
      </c>
      <c r="P38" s="811">
        <v>9</v>
      </c>
      <c r="Q38" s="812">
        <v>4</v>
      </c>
      <c r="R38" s="259"/>
      <c r="S38" s="259"/>
      <c r="T38" s="259"/>
      <c r="U38" s="284"/>
      <c r="V38" s="283"/>
      <c r="W38" s="283"/>
      <c r="X38" s="283"/>
      <c r="Y38" s="283"/>
    </row>
    <row r="39" spans="1:25" s="257" customFormat="1" ht="20.45" customHeight="1" x14ac:dyDescent="0.25">
      <c r="A39" s="806" t="s">
        <v>2749</v>
      </c>
      <c r="B39" s="303"/>
      <c r="C39" s="807">
        <v>37820.140250483098</v>
      </c>
      <c r="D39" s="50">
        <f>IFERROR(INDEX('PR Expenditure_7A'!F$9:F$78,MATCH('PR Expenditure_7A import-export'!N39,'PR Expenditure_7A'!B$9:B$78,0)),"")</f>
        <v>7326.3255567338283</v>
      </c>
      <c r="E39" s="807"/>
      <c r="F39" s="808"/>
      <c r="G39" s="809"/>
      <c r="H39" s="303"/>
      <c r="I39" s="807">
        <v>87791.524325767197</v>
      </c>
      <c r="J39" s="50">
        <f>IFERROR(INDEX('PR Expenditure_7A'!L$9:L$78,MATCH('PR Expenditure_7A import-export'!N39,'PR Expenditure_7A'!B$9:B$78,0)),"")</f>
        <v>7326.3255567338283</v>
      </c>
      <c r="K39" s="807"/>
      <c r="L39" s="808"/>
      <c r="M39" s="637">
        <f t="shared" si="0"/>
        <v>35</v>
      </c>
      <c r="N39" s="637" t="str">
        <f t="shared" si="1"/>
        <v>Costgrp35</v>
      </c>
      <c r="O39" s="810" t="s">
        <v>2750</v>
      </c>
      <c r="P39" s="811">
        <v>10</v>
      </c>
      <c r="Q39" s="812">
        <v>1</v>
      </c>
      <c r="R39" s="259"/>
      <c r="S39" s="259"/>
      <c r="T39" s="259"/>
      <c r="U39" s="284"/>
      <c r="V39" s="283"/>
      <c r="W39" s="283"/>
      <c r="X39" s="283"/>
      <c r="Y39" s="283"/>
    </row>
    <row r="40" spans="1:25" s="257" customFormat="1" ht="20.45" customHeight="1" x14ac:dyDescent="0.25">
      <c r="A40" s="806" t="s">
        <v>2751</v>
      </c>
      <c r="B40" s="303"/>
      <c r="C40" s="807">
        <v>46237.763862936103</v>
      </c>
      <c r="D40" s="50">
        <f>IFERROR(INDEX('PR Expenditure_7A'!F$9:F$78,MATCH('PR Expenditure_7A import-export'!N40,'PR Expenditure_7A'!B$9:B$78,0)),"")</f>
        <v>17964.170111053361</v>
      </c>
      <c r="E40" s="807"/>
      <c r="F40" s="808"/>
      <c r="G40" s="809"/>
      <c r="H40" s="303"/>
      <c r="I40" s="807">
        <v>87390.604375139694</v>
      </c>
      <c r="J40" s="50">
        <f>IFERROR(INDEX('PR Expenditure_7A'!L$9:L$78,MATCH('PR Expenditure_7A import-export'!N40,'PR Expenditure_7A'!B$9:B$78,0)),"")</f>
        <v>22250.640111053362</v>
      </c>
      <c r="K40" s="807"/>
      <c r="L40" s="808"/>
      <c r="M40" s="637">
        <f t="shared" si="0"/>
        <v>36</v>
      </c>
      <c r="N40" s="637" t="str">
        <f t="shared" si="1"/>
        <v>Costgrp36</v>
      </c>
      <c r="O40" s="810" t="s">
        <v>2752</v>
      </c>
      <c r="P40" s="811">
        <v>10</v>
      </c>
      <c r="Q40" s="812">
        <v>2</v>
      </c>
      <c r="R40" s="259"/>
      <c r="S40" s="259"/>
      <c r="T40" s="259"/>
      <c r="U40" s="284"/>
      <c r="V40" s="283"/>
      <c r="W40" s="283"/>
      <c r="X40" s="283"/>
      <c r="Y40" s="283"/>
    </row>
    <row r="41" spans="1:25" s="257" customFormat="1" ht="20.45" customHeight="1" x14ac:dyDescent="0.25">
      <c r="A41" s="806" t="s">
        <v>2753</v>
      </c>
      <c r="B41" s="303"/>
      <c r="C41" s="807">
        <v>20721.179549024899</v>
      </c>
      <c r="D41" s="50">
        <f>IFERROR(INDEX('PR Expenditure_7A'!F$9:F$78,MATCH('PR Expenditure_7A import-export'!N41,'PR Expenditure_7A'!B$9:B$78,0)),"")</f>
        <v>14733.896320254507</v>
      </c>
      <c r="E41" s="807"/>
      <c r="F41" s="808"/>
      <c r="G41" s="809"/>
      <c r="H41" s="303"/>
      <c r="I41" s="807">
        <v>41442.359098049703</v>
      </c>
      <c r="J41" s="50">
        <f>IFERROR(INDEX('PR Expenditure_7A'!L$9:L$78,MATCH('PR Expenditure_7A import-export'!N41,'PR Expenditure_7A'!B$9:B$78,0)),"")</f>
        <v>15264.156320254508</v>
      </c>
      <c r="K41" s="807"/>
      <c r="L41" s="808"/>
      <c r="M41" s="637">
        <f t="shared" si="0"/>
        <v>37</v>
      </c>
      <c r="N41" s="637" t="str">
        <f t="shared" si="1"/>
        <v>Costgrp37</v>
      </c>
      <c r="O41" s="810" t="s">
        <v>2754</v>
      </c>
      <c r="P41" s="811">
        <v>10</v>
      </c>
      <c r="Q41" s="812">
        <v>3</v>
      </c>
      <c r="R41" s="259"/>
      <c r="S41" s="259"/>
      <c r="T41" s="259"/>
      <c r="U41" s="284"/>
      <c r="V41" s="283"/>
      <c r="W41" s="283"/>
      <c r="X41" s="283"/>
      <c r="Y41" s="283"/>
    </row>
    <row r="42" spans="1:25" s="257" customFormat="1" ht="20.45" customHeight="1" x14ac:dyDescent="0.25">
      <c r="A42" s="806" t="s">
        <v>2755</v>
      </c>
      <c r="B42" s="303"/>
      <c r="C42" s="807">
        <v>278450.45988567697</v>
      </c>
      <c r="D42" s="50">
        <f>IFERROR(INDEX('PR Expenditure_7A'!F$9:F$78,MATCH('PR Expenditure_7A import-export'!N42,'PR Expenditure_7A'!B$9:B$78,0)),"")</f>
        <v>229177.64055322952</v>
      </c>
      <c r="E42" s="807"/>
      <c r="F42" s="808"/>
      <c r="G42" s="809"/>
      <c r="H42" s="303"/>
      <c r="I42" s="807">
        <v>558301.31977135397</v>
      </c>
      <c r="J42" s="50">
        <f>IFERROR(INDEX('PR Expenditure_7A'!L$9:L$78,MATCH('PR Expenditure_7A import-export'!N42,'PR Expenditure_7A'!B$9:B$78,0)),"")</f>
        <v>415773.04055322951</v>
      </c>
      <c r="K42" s="807"/>
      <c r="L42" s="808"/>
      <c r="M42" s="637">
        <f t="shared" si="0"/>
        <v>38</v>
      </c>
      <c r="N42" s="637" t="str">
        <f t="shared" si="1"/>
        <v>Costgrp38</v>
      </c>
      <c r="O42" s="810" t="s">
        <v>2756</v>
      </c>
      <c r="P42" s="811">
        <v>11</v>
      </c>
      <c r="Q42" s="812">
        <v>1</v>
      </c>
      <c r="R42" s="259"/>
      <c r="S42" s="259"/>
      <c r="T42" s="259"/>
      <c r="U42" s="284"/>
      <c r="V42" s="283"/>
      <c r="W42" s="283"/>
      <c r="X42" s="283"/>
      <c r="Y42" s="283"/>
    </row>
    <row r="43" spans="1:25" s="257" customFormat="1" ht="20.45" customHeight="1" x14ac:dyDescent="0.25">
      <c r="A43" s="806" t="s">
        <v>2757</v>
      </c>
      <c r="B43" s="303"/>
      <c r="C43" s="807">
        <v>769050.59500482504</v>
      </c>
      <c r="D43" s="50">
        <f>IFERROR(INDEX('PR Expenditure_7A'!F$9:F$78,MATCH('PR Expenditure_7A import-export'!N43,'PR Expenditure_7A'!B$9:B$78,0)),"")</f>
        <v>738072.23921605095</v>
      </c>
      <c r="E43" s="807"/>
      <c r="F43" s="808"/>
      <c r="G43" s="809"/>
      <c r="H43" s="303"/>
      <c r="I43" s="807">
        <v>1309371.4001204099</v>
      </c>
      <c r="J43" s="50">
        <f>IFERROR(INDEX('PR Expenditure_7A'!L$9:L$78,MATCH('PR Expenditure_7A import-export'!N43,'PR Expenditure_7A'!B$9:B$78,0)),"")</f>
        <v>1131122.9992160508</v>
      </c>
      <c r="K43" s="807"/>
      <c r="L43" s="808"/>
      <c r="M43" s="637">
        <f t="shared" si="0"/>
        <v>39</v>
      </c>
      <c r="N43" s="637" t="str">
        <f t="shared" si="1"/>
        <v>Costgrp39</v>
      </c>
      <c r="O43" s="810" t="s">
        <v>2758</v>
      </c>
      <c r="P43" s="811">
        <v>11</v>
      </c>
      <c r="Q43" s="812">
        <v>3</v>
      </c>
      <c r="R43" s="259"/>
      <c r="S43" s="259"/>
      <c r="T43" s="259"/>
      <c r="U43" s="284"/>
      <c r="V43" s="283"/>
      <c r="W43" s="283"/>
      <c r="X43" s="283"/>
      <c r="Y43" s="283"/>
    </row>
    <row r="44" spans="1:25" s="257" customFormat="1" ht="20.45" customHeight="1" x14ac:dyDescent="0.25">
      <c r="A44" s="806" t="s">
        <v>2759</v>
      </c>
      <c r="B44" s="303"/>
      <c r="C44" s="807">
        <v>0</v>
      </c>
      <c r="D44" s="50">
        <f>IFERROR(INDEX('PR Expenditure_7A'!F$9:F$78,MATCH('PR Expenditure_7A import-export'!N44,'PR Expenditure_7A'!B$9:B$78,0)),"")</f>
        <v>13278.28</v>
      </c>
      <c r="E44" s="807"/>
      <c r="F44" s="808"/>
      <c r="G44" s="809"/>
      <c r="H44" s="303"/>
      <c r="I44" s="807">
        <v>0</v>
      </c>
      <c r="J44" s="50">
        <f>IFERROR(INDEX('PR Expenditure_7A'!L$9:L$78,MATCH('PR Expenditure_7A import-export'!N44,'PR Expenditure_7A'!B$9:B$78,0)),"")</f>
        <v>13278.28</v>
      </c>
      <c r="K44" s="807"/>
      <c r="L44" s="808"/>
      <c r="M44" s="637">
        <f t="shared" si="0"/>
        <v>40</v>
      </c>
      <c r="N44" s="637" t="str">
        <f t="shared" si="1"/>
        <v>Costgrp40</v>
      </c>
      <c r="O44" s="810" t="s">
        <v>2760</v>
      </c>
      <c r="P44" s="811">
        <v>11</v>
      </c>
      <c r="Q44" s="812">
        <v>4</v>
      </c>
      <c r="R44" s="259"/>
      <c r="S44" s="259"/>
      <c r="T44" s="259"/>
      <c r="U44" s="284"/>
      <c r="V44" s="283"/>
      <c r="W44" s="283"/>
      <c r="X44" s="283"/>
      <c r="Y44" s="283"/>
    </row>
    <row r="45" spans="1:25" s="257" customFormat="1" ht="20.45" customHeight="1" x14ac:dyDescent="0.25">
      <c r="A45" s="806" t="s">
        <v>2761</v>
      </c>
      <c r="B45" s="303"/>
      <c r="C45" s="807">
        <v>346983.259336107</v>
      </c>
      <c r="D45" s="50">
        <f>IFERROR(INDEX('PR Expenditure_7A'!F$9:F$78,MATCH('PR Expenditure_7A import-export'!N45,'PR Expenditure_7A'!B$9:B$78,0)),"")</f>
        <v>348555.6</v>
      </c>
      <c r="E45" s="807"/>
      <c r="F45" s="808"/>
      <c r="G45" s="809"/>
      <c r="H45" s="303"/>
      <c r="I45" s="807">
        <v>645523.17719629698</v>
      </c>
      <c r="J45" s="50">
        <f>IFERROR(INDEX('PR Expenditure_7A'!L$9:L$78,MATCH('PR Expenditure_7A import-export'!N45,'PR Expenditure_7A'!B$9:B$78,0)),"")</f>
        <v>578405.89999999991</v>
      </c>
      <c r="K45" s="807"/>
      <c r="L45" s="808"/>
      <c r="M45" s="637">
        <f t="shared" si="0"/>
        <v>41</v>
      </c>
      <c r="N45" s="637" t="str">
        <f t="shared" si="1"/>
        <v>Costgrp41</v>
      </c>
      <c r="O45" s="810" t="s">
        <v>2762</v>
      </c>
      <c r="P45" s="811">
        <v>12</v>
      </c>
      <c r="Q45" s="812">
        <v>2</v>
      </c>
      <c r="R45" s="259"/>
      <c r="S45" s="259"/>
      <c r="T45" s="259"/>
      <c r="U45" s="284"/>
      <c r="V45" s="283"/>
      <c r="W45" s="283"/>
      <c r="X45" s="283"/>
      <c r="Y45" s="283"/>
    </row>
    <row r="46" spans="1:25" s="257" customFormat="1" ht="20.45" customHeight="1" x14ac:dyDescent="0.25">
      <c r="A46" s="806" t="s">
        <v>2763</v>
      </c>
      <c r="B46" s="303"/>
      <c r="C46" s="807">
        <v>900.08988047449998</v>
      </c>
      <c r="D46" s="50">
        <f>IFERROR(INDEX('PR Expenditure_7A'!F$9:F$78,MATCH('PR Expenditure_7A import-export'!N46,'PR Expenditure_7A'!B$9:B$78,0)),"")</f>
        <v>0</v>
      </c>
      <c r="E46" s="807"/>
      <c r="F46" s="808"/>
      <c r="G46" s="809"/>
      <c r="H46" s="303"/>
      <c r="I46" s="807">
        <v>1800.179760949</v>
      </c>
      <c r="J46" s="50">
        <f>IFERROR(INDEX('PR Expenditure_7A'!L$9:L$78,MATCH('PR Expenditure_7A import-export'!N46,'PR Expenditure_7A'!B$9:B$78,0)),"")</f>
        <v>0</v>
      </c>
      <c r="K46" s="807"/>
      <c r="L46" s="808"/>
      <c r="M46" s="637">
        <f t="shared" si="0"/>
        <v>42</v>
      </c>
      <c r="N46" s="637" t="str">
        <f t="shared" si="1"/>
        <v>Costgrp42</v>
      </c>
      <c r="O46" s="810" t="s">
        <v>2764</v>
      </c>
      <c r="P46" s="811">
        <v>12</v>
      </c>
      <c r="Q46" s="812">
        <v>3</v>
      </c>
      <c r="R46" s="259"/>
      <c r="S46" s="259"/>
      <c r="T46" s="259"/>
      <c r="U46" s="284"/>
      <c r="V46" s="283"/>
      <c r="W46" s="283"/>
      <c r="X46" s="283"/>
      <c r="Y46" s="283"/>
    </row>
    <row r="47" spans="1:25" s="257" customFormat="1" ht="20.45" customHeight="1" x14ac:dyDescent="0.25">
      <c r="A47" s="806" t="s">
        <v>2765</v>
      </c>
      <c r="B47" s="303"/>
      <c r="C47" s="807">
        <v>411312.17181605502</v>
      </c>
      <c r="D47" s="50">
        <f>IFERROR(INDEX('PR Expenditure_7A'!F$9:F$78,MATCH('PR Expenditure_7A import-export'!N47,'PR Expenditure_7A'!B$9:B$78,0)),"")</f>
        <v>197151.48536585353</v>
      </c>
      <c r="E47" s="807"/>
      <c r="F47" s="808"/>
      <c r="G47" s="809"/>
      <c r="H47" s="303"/>
      <c r="I47" s="807">
        <v>794643.77752712497</v>
      </c>
      <c r="J47" s="50">
        <f>IFERROR(INDEX('PR Expenditure_7A'!L$9:L$78,MATCH('PR Expenditure_7A import-export'!N47,'PR Expenditure_7A'!B$9:B$78,0)),"")</f>
        <v>239055.98536585353</v>
      </c>
      <c r="K47" s="807"/>
      <c r="L47" s="808"/>
      <c r="M47" s="637">
        <f t="shared" si="0"/>
        <v>43</v>
      </c>
      <c r="N47" s="637" t="str">
        <f t="shared" si="1"/>
        <v>Costgrp43</v>
      </c>
      <c r="O47" s="810" t="s">
        <v>2766</v>
      </c>
      <c r="P47" s="811">
        <v>12</v>
      </c>
      <c r="Q47" s="812">
        <v>5</v>
      </c>
      <c r="R47" s="259"/>
      <c r="S47" s="259"/>
      <c r="T47" s="259"/>
      <c r="U47" s="284"/>
      <c r="V47" s="283"/>
      <c r="W47" s="283"/>
      <c r="X47" s="283"/>
      <c r="Y47" s="283"/>
    </row>
    <row r="48" spans="1:25" s="257" customFormat="1" ht="20.100000000000001" customHeight="1" x14ac:dyDescent="0.25">
      <c r="A48" s="813" t="s">
        <v>2767</v>
      </c>
      <c r="B48" s="814"/>
      <c r="C48" s="815"/>
      <c r="D48" s="815"/>
      <c r="E48" s="816"/>
      <c r="F48" s="817"/>
      <c r="G48" s="818"/>
      <c r="H48" s="316"/>
      <c r="I48" s="815"/>
      <c r="J48" s="815"/>
      <c r="K48" s="816"/>
      <c r="L48" s="817"/>
      <c r="M48" s="637">
        <v>-1</v>
      </c>
      <c r="N48" s="637"/>
      <c r="O48" s="804" t="s">
        <v>122</v>
      </c>
      <c r="P48" s="629" t="s">
        <v>2767</v>
      </c>
      <c r="Q48" s="416"/>
      <c r="R48" s="259"/>
      <c r="S48" s="421"/>
      <c r="T48" s="292"/>
      <c r="U48" s="421"/>
      <c r="V48" s="283"/>
      <c r="W48" s="283"/>
      <c r="X48" s="283"/>
      <c r="Y48" s="283"/>
    </row>
    <row r="49" spans="1:25" s="257" customFormat="1" ht="23.1" hidden="1" customHeight="1" x14ac:dyDescent="0.25">
      <c r="A49" s="819" t="str">
        <f>IFERROR(INDEX('Reference Records'!$B$222:$B$298,MATCH('PR Expenditure_7A import-export'!B49,'Reference Records'!$E$222:$E$298,0)),"")</f>
        <v/>
      </c>
      <c r="B49" s="303" t="str">
        <f>IFERROR(INDEX('PR Expenditure_7A'!C$9:C$78,MATCH('PR Expenditure_7A import-export'!N49,'PR Expenditure_7A'!B$9:B$78,0)),"")</f>
        <v/>
      </c>
      <c r="C49" s="807" t="s">
        <v>2675</v>
      </c>
      <c r="D49" s="50" t="str">
        <f>IFERROR(INDEX('PR Expenditure_7A'!F$9:F$78,MATCH('PR Expenditure_7A import-export'!N49,'PR Expenditure_7A'!B$9:B$78,0)),"")</f>
        <v/>
      </c>
      <c r="E49" s="807"/>
      <c r="F49" s="808"/>
      <c r="G49" s="809"/>
      <c r="H49" s="303"/>
      <c r="I49" s="807" t="s">
        <v>2676</v>
      </c>
      <c r="J49" s="50" t="str">
        <f>IFERROR(INDEX('PR Expenditure_7A'!L$9:L$78,MATCH('PR Expenditure_7A import-export'!N49,'PR Expenditure_7A'!B$9:B$78,0)),"")</f>
        <v/>
      </c>
      <c r="K49" s="807"/>
      <c r="L49" s="808"/>
      <c r="M49" s="637">
        <f>M48+1</f>
        <v>0</v>
      </c>
      <c r="N49" s="637" t="str">
        <f>"Costgrpnew"&amp;M49</f>
        <v>Costgrpnew0</v>
      </c>
      <c r="O49" s="810" t="s">
        <v>371</v>
      </c>
      <c r="Q49" s="259"/>
      <c r="R49" s="259"/>
      <c r="S49" s="259"/>
      <c r="T49" s="259"/>
      <c r="U49" s="284"/>
      <c r="V49" s="283"/>
      <c r="W49" s="283"/>
      <c r="X49" s="283"/>
      <c r="Y49" s="283"/>
    </row>
    <row r="50" spans="1:25" s="257" customFormat="1" ht="23.1" customHeight="1" x14ac:dyDescent="0.25">
      <c r="A50" s="819" t="str">
        <f>IFERROR(INDEX('Reference Records'!$B$222:$B$298,MATCH('PR Expenditure_7A import-export'!B50,'Reference Records'!$E$222:$E$298,0)),"")</f>
        <v/>
      </c>
      <c r="B50" s="303">
        <f>IFERROR(INDEX('PR Expenditure_7A'!C$9:C$78,MATCH('PR Expenditure_7A import-export'!N50,'PR Expenditure_7A'!B$9:B$78,0)),"")</f>
        <v>0</v>
      </c>
      <c r="C50" s="807">
        <v>0</v>
      </c>
      <c r="D50" s="50">
        <f>IFERROR(INDEX('PR Expenditure_7A'!F$9:F$78,MATCH('PR Expenditure_7A import-export'!N50,'PR Expenditure_7A'!B$9:B$78,0)),"")</f>
        <v>0</v>
      </c>
      <c r="E50" s="807"/>
      <c r="F50" s="808"/>
      <c r="G50" s="809"/>
      <c r="H50" s="303"/>
      <c r="I50" s="807">
        <v>0</v>
      </c>
      <c r="J50" s="50">
        <f>IFERROR(INDEX('PR Expenditure_7A'!L$9:L$78,MATCH('PR Expenditure_7A import-export'!N50,'PR Expenditure_7A'!B$9:B$78,0)),"")</f>
        <v>0</v>
      </c>
      <c r="K50" s="807"/>
      <c r="L50" s="808"/>
      <c r="M50" s="637">
        <f t="shared" ref="M50:M59" si="2">M49+1</f>
        <v>1</v>
      </c>
      <c r="N50" s="637" t="str">
        <f t="shared" ref="N50:N59" si="3">"Costgrpnew"&amp;M50</f>
        <v>Costgrpnew1</v>
      </c>
      <c r="O50" s="810" t="s">
        <v>2768</v>
      </c>
      <c r="Q50" s="259"/>
      <c r="R50" s="259"/>
      <c r="S50" s="259"/>
      <c r="T50" s="259"/>
      <c r="U50" s="284"/>
      <c r="V50" s="283"/>
      <c r="W50" s="283"/>
      <c r="X50" s="283"/>
      <c r="Y50" s="283"/>
    </row>
    <row r="51" spans="1:25" s="257" customFormat="1" ht="23.1" customHeight="1" x14ac:dyDescent="0.25">
      <c r="A51" s="819" t="str">
        <f>IFERROR(INDEX('Reference Records'!$B$222:$B$298,MATCH('PR Expenditure_7A import-export'!B51,'Reference Records'!$E$222:$E$298,0)),"")</f>
        <v/>
      </c>
      <c r="B51" s="303">
        <f>IFERROR(INDEX('PR Expenditure_7A'!C$9:C$78,MATCH('PR Expenditure_7A import-export'!N51,'PR Expenditure_7A'!B$9:B$78,0)),"")</f>
        <v>0</v>
      </c>
      <c r="C51" s="807">
        <v>0</v>
      </c>
      <c r="D51" s="50">
        <f>IFERROR(INDEX('PR Expenditure_7A'!F$9:F$78,MATCH('PR Expenditure_7A import-export'!N51,'PR Expenditure_7A'!B$9:B$78,0)),"")</f>
        <v>0</v>
      </c>
      <c r="E51" s="807"/>
      <c r="F51" s="808"/>
      <c r="G51" s="809"/>
      <c r="H51" s="303"/>
      <c r="I51" s="807">
        <v>0</v>
      </c>
      <c r="J51" s="50">
        <f>IFERROR(INDEX('PR Expenditure_7A'!L$9:L$78,MATCH('PR Expenditure_7A import-export'!N51,'PR Expenditure_7A'!B$9:B$78,0)),"")</f>
        <v>0</v>
      </c>
      <c r="K51" s="807"/>
      <c r="L51" s="808"/>
      <c r="M51" s="637">
        <f t="shared" si="2"/>
        <v>2</v>
      </c>
      <c r="N51" s="637" t="str">
        <f t="shared" si="3"/>
        <v>Costgrpnew2</v>
      </c>
      <c r="O51" s="810" t="s">
        <v>2769</v>
      </c>
      <c r="Q51" s="259"/>
      <c r="R51" s="259"/>
      <c r="S51" s="259"/>
      <c r="T51" s="259"/>
      <c r="U51" s="284"/>
      <c r="V51" s="283"/>
      <c r="W51" s="283"/>
      <c r="X51" s="283"/>
      <c r="Y51" s="283"/>
    </row>
    <row r="52" spans="1:25" s="257" customFormat="1" ht="23.1" customHeight="1" x14ac:dyDescent="0.25">
      <c r="A52" s="819" t="str">
        <f>IFERROR(INDEX('Reference Records'!$B$222:$B$298,MATCH('PR Expenditure_7A import-export'!B52,'Reference Records'!$E$222:$E$298,0)),"")</f>
        <v/>
      </c>
      <c r="B52" s="303">
        <f>IFERROR(INDEX('PR Expenditure_7A'!C$9:C$78,MATCH('PR Expenditure_7A import-export'!N52,'PR Expenditure_7A'!B$9:B$78,0)),"")</f>
        <v>0</v>
      </c>
      <c r="C52" s="807">
        <v>0</v>
      </c>
      <c r="D52" s="50">
        <f>IFERROR(INDEX('PR Expenditure_7A'!F$9:F$78,MATCH('PR Expenditure_7A import-export'!N52,'PR Expenditure_7A'!B$9:B$78,0)),"")</f>
        <v>0</v>
      </c>
      <c r="E52" s="807"/>
      <c r="F52" s="808"/>
      <c r="G52" s="809"/>
      <c r="H52" s="303"/>
      <c r="I52" s="807">
        <v>0</v>
      </c>
      <c r="J52" s="50">
        <f>IFERROR(INDEX('PR Expenditure_7A'!L$9:L$78,MATCH('PR Expenditure_7A import-export'!N52,'PR Expenditure_7A'!B$9:B$78,0)),"")</f>
        <v>0</v>
      </c>
      <c r="K52" s="807"/>
      <c r="L52" s="808"/>
      <c r="M52" s="637">
        <f t="shared" si="2"/>
        <v>3</v>
      </c>
      <c r="N52" s="637" t="str">
        <f t="shared" si="3"/>
        <v>Costgrpnew3</v>
      </c>
      <c r="O52" s="810" t="s">
        <v>2770</v>
      </c>
      <c r="Q52" s="259"/>
      <c r="R52" s="259"/>
      <c r="S52" s="259"/>
      <c r="T52" s="259"/>
      <c r="U52" s="284"/>
      <c r="V52" s="283"/>
      <c r="W52" s="283"/>
      <c r="X52" s="283"/>
      <c r="Y52" s="283"/>
    </row>
    <row r="53" spans="1:25" s="257" customFormat="1" ht="23.1" customHeight="1" x14ac:dyDescent="0.25">
      <c r="A53" s="819" t="str">
        <f>IFERROR(INDEX('Reference Records'!$B$222:$B$298,MATCH('PR Expenditure_7A import-export'!B53,'Reference Records'!$E$222:$E$298,0)),"")</f>
        <v/>
      </c>
      <c r="B53" s="303">
        <f>IFERROR(INDEX('PR Expenditure_7A'!C$9:C$78,MATCH('PR Expenditure_7A import-export'!N53,'PR Expenditure_7A'!B$9:B$78,0)),"")</f>
        <v>0</v>
      </c>
      <c r="C53" s="807">
        <v>0</v>
      </c>
      <c r="D53" s="50">
        <f>IFERROR(INDEX('PR Expenditure_7A'!F$9:F$78,MATCH('PR Expenditure_7A import-export'!N53,'PR Expenditure_7A'!B$9:B$78,0)),"")</f>
        <v>0</v>
      </c>
      <c r="E53" s="807"/>
      <c r="F53" s="808"/>
      <c r="G53" s="809"/>
      <c r="H53" s="303"/>
      <c r="I53" s="807">
        <v>0</v>
      </c>
      <c r="J53" s="50">
        <f>IFERROR(INDEX('PR Expenditure_7A'!L$9:L$78,MATCH('PR Expenditure_7A import-export'!N53,'PR Expenditure_7A'!B$9:B$78,0)),"")</f>
        <v>0</v>
      </c>
      <c r="K53" s="807"/>
      <c r="L53" s="808"/>
      <c r="M53" s="637">
        <f t="shared" si="2"/>
        <v>4</v>
      </c>
      <c r="N53" s="637" t="str">
        <f t="shared" si="3"/>
        <v>Costgrpnew4</v>
      </c>
      <c r="O53" s="810" t="s">
        <v>2771</v>
      </c>
      <c r="Q53" s="259"/>
      <c r="R53" s="259"/>
      <c r="S53" s="259"/>
      <c r="T53" s="259"/>
      <c r="U53" s="284"/>
      <c r="V53" s="283"/>
      <c r="W53" s="283"/>
      <c r="X53" s="283"/>
      <c r="Y53" s="283"/>
    </row>
    <row r="54" spans="1:25" s="257" customFormat="1" ht="23.1" customHeight="1" x14ac:dyDescent="0.25">
      <c r="A54" s="819" t="str">
        <f>IFERROR(INDEX('Reference Records'!$B$222:$B$298,MATCH('PR Expenditure_7A import-export'!B54,'Reference Records'!$E$222:$E$298,0)),"")</f>
        <v/>
      </c>
      <c r="B54" s="303">
        <f>IFERROR(INDEX('PR Expenditure_7A'!C$9:C$78,MATCH('PR Expenditure_7A import-export'!N54,'PR Expenditure_7A'!B$9:B$78,0)),"")</f>
        <v>0</v>
      </c>
      <c r="C54" s="807">
        <v>0</v>
      </c>
      <c r="D54" s="50">
        <f>IFERROR(INDEX('PR Expenditure_7A'!F$9:F$78,MATCH('PR Expenditure_7A import-export'!N54,'PR Expenditure_7A'!B$9:B$78,0)),"")</f>
        <v>0</v>
      </c>
      <c r="E54" s="807"/>
      <c r="F54" s="808"/>
      <c r="G54" s="809"/>
      <c r="H54" s="303"/>
      <c r="I54" s="807">
        <v>0</v>
      </c>
      <c r="J54" s="50">
        <f>IFERROR(INDEX('PR Expenditure_7A'!L$9:L$78,MATCH('PR Expenditure_7A import-export'!N54,'PR Expenditure_7A'!B$9:B$78,0)),"")</f>
        <v>0</v>
      </c>
      <c r="K54" s="807"/>
      <c r="L54" s="808"/>
      <c r="M54" s="637">
        <f t="shared" si="2"/>
        <v>5</v>
      </c>
      <c r="N54" s="637" t="str">
        <f t="shared" si="3"/>
        <v>Costgrpnew5</v>
      </c>
      <c r="O54" s="810" t="s">
        <v>2772</v>
      </c>
      <c r="Q54" s="259"/>
      <c r="R54" s="259"/>
      <c r="S54" s="259"/>
      <c r="T54" s="259"/>
      <c r="U54" s="284"/>
      <c r="V54" s="283"/>
      <c r="W54" s="283"/>
      <c r="X54" s="283"/>
      <c r="Y54" s="283"/>
    </row>
    <row r="55" spans="1:25" s="257" customFormat="1" ht="23.1" customHeight="1" x14ac:dyDescent="0.25">
      <c r="A55" s="819" t="str">
        <f>IFERROR(INDEX('Reference Records'!$B$222:$B$298,MATCH('PR Expenditure_7A import-export'!B55,'Reference Records'!$E$222:$E$298,0)),"")</f>
        <v/>
      </c>
      <c r="B55" s="303">
        <f>IFERROR(INDEX('PR Expenditure_7A'!C$9:C$78,MATCH('PR Expenditure_7A import-export'!N55,'PR Expenditure_7A'!B$9:B$78,0)),"")</f>
        <v>0</v>
      </c>
      <c r="C55" s="807">
        <v>0</v>
      </c>
      <c r="D55" s="50">
        <f>IFERROR(INDEX('PR Expenditure_7A'!F$9:F$78,MATCH('PR Expenditure_7A import-export'!N55,'PR Expenditure_7A'!B$9:B$78,0)),"")</f>
        <v>0</v>
      </c>
      <c r="E55" s="807"/>
      <c r="F55" s="808"/>
      <c r="G55" s="809"/>
      <c r="H55" s="303"/>
      <c r="I55" s="807">
        <v>0</v>
      </c>
      <c r="J55" s="50">
        <f>IFERROR(INDEX('PR Expenditure_7A'!L$9:L$78,MATCH('PR Expenditure_7A import-export'!N55,'PR Expenditure_7A'!B$9:B$78,0)),"")</f>
        <v>0</v>
      </c>
      <c r="K55" s="807"/>
      <c r="L55" s="808"/>
      <c r="M55" s="637">
        <f t="shared" si="2"/>
        <v>6</v>
      </c>
      <c r="N55" s="637" t="str">
        <f t="shared" si="3"/>
        <v>Costgrpnew6</v>
      </c>
      <c r="O55" s="810" t="s">
        <v>2773</v>
      </c>
      <c r="Q55" s="259"/>
      <c r="R55" s="259"/>
      <c r="S55" s="259"/>
      <c r="T55" s="259"/>
      <c r="U55" s="284"/>
      <c r="V55" s="283"/>
      <c r="W55" s="283"/>
      <c r="X55" s="283"/>
      <c r="Y55" s="283"/>
    </row>
    <row r="56" spans="1:25" s="257" customFormat="1" ht="23.1" customHeight="1" x14ac:dyDescent="0.25">
      <c r="A56" s="819" t="str">
        <f>IFERROR(INDEX('Reference Records'!$B$222:$B$298,MATCH('PR Expenditure_7A import-export'!B56,'Reference Records'!$E$222:$E$298,0)),"")</f>
        <v/>
      </c>
      <c r="B56" s="303">
        <f>IFERROR(INDEX('PR Expenditure_7A'!C$9:C$78,MATCH('PR Expenditure_7A import-export'!N56,'PR Expenditure_7A'!B$9:B$78,0)),"")</f>
        <v>0</v>
      </c>
      <c r="C56" s="807">
        <v>0</v>
      </c>
      <c r="D56" s="50">
        <f>IFERROR(INDEX('PR Expenditure_7A'!F$9:F$78,MATCH('PR Expenditure_7A import-export'!N56,'PR Expenditure_7A'!B$9:B$78,0)),"")</f>
        <v>0</v>
      </c>
      <c r="E56" s="807"/>
      <c r="F56" s="808"/>
      <c r="G56" s="809"/>
      <c r="H56" s="303"/>
      <c r="I56" s="807">
        <v>0</v>
      </c>
      <c r="J56" s="50">
        <f>IFERROR(INDEX('PR Expenditure_7A'!L$9:L$78,MATCH('PR Expenditure_7A import-export'!N56,'PR Expenditure_7A'!B$9:B$78,0)),"")</f>
        <v>0</v>
      </c>
      <c r="K56" s="807"/>
      <c r="L56" s="808"/>
      <c r="M56" s="637">
        <f t="shared" si="2"/>
        <v>7</v>
      </c>
      <c r="N56" s="637" t="str">
        <f t="shared" si="3"/>
        <v>Costgrpnew7</v>
      </c>
      <c r="O56" s="810" t="s">
        <v>2774</v>
      </c>
      <c r="Q56" s="259"/>
      <c r="R56" s="259"/>
      <c r="S56" s="259"/>
      <c r="T56" s="259"/>
      <c r="U56" s="284"/>
      <c r="V56" s="283"/>
      <c r="W56" s="283"/>
      <c r="X56" s="283"/>
      <c r="Y56" s="283"/>
    </row>
    <row r="57" spans="1:25" s="257" customFormat="1" ht="23.1" customHeight="1" x14ac:dyDescent="0.25">
      <c r="A57" s="819" t="str">
        <f>IFERROR(INDEX('Reference Records'!$B$222:$B$298,MATCH('PR Expenditure_7A import-export'!B57,'Reference Records'!$E$222:$E$298,0)),"")</f>
        <v/>
      </c>
      <c r="B57" s="303">
        <f>IFERROR(INDEX('PR Expenditure_7A'!C$9:C$78,MATCH('PR Expenditure_7A import-export'!N57,'PR Expenditure_7A'!B$9:B$78,0)),"")</f>
        <v>0</v>
      </c>
      <c r="C57" s="807">
        <v>0</v>
      </c>
      <c r="D57" s="50">
        <f>IFERROR(INDEX('PR Expenditure_7A'!F$9:F$78,MATCH('PR Expenditure_7A import-export'!N57,'PR Expenditure_7A'!B$9:B$78,0)),"")</f>
        <v>0</v>
      </c>
      <c r="E57" s="807"/>
      <c r="F57" s="808"/>
      <c r="G57" s="809"/>
      <c r="H57" s="303"/>
      <c r="I57" s="807">
        <v>0</v>
      </c>
      <c r="J57" s="50">
        <f>IFERROR(INDEX('PR Expenditure_7A'!L$9:L$78,MATCH('PR Expenditure_7A import-export'!N57,'PR Expenditure_7A'!B$9:B$78,0)),"")</f>
        <v>0</v>
      </c>
      <c r="K57" s="807"/>
      <c r="L57" s="808"/>
      <c r="M57" s="637">
        <f t="shared" si="2"/>
        <v>8</v>
      </c>
      <c r="N57" s="637" t="str">
        <f t="shared" si="3"/>
        <v>Costgrpnew8</v>
      </c>
      <c r="O57" s="810" t="s">
        <v>2775</v>
      </c>
      <c r="Q57" s="259"/>
      <c r="R57" s="259"/>
      <c r="S57" s="259"/>
      <c r="T57" s="259"/>
      <c r="U57" s="284"/>
      <c r="V57" s="283"/>
      <c r="W57" s="283"/>
      <c r="X57" s="283"/>
      <c r="Y57" s="283"/>
    </row>
    <row r="58" spans="1:25" s="257" customFormat="1" ht="23.1" customHeight="1" x14ac:dyDescent="0.25">
      <c r="A58" s="819" t="str">
        <f>IFERROR(INDEX('Reference Records'!$B$222:$B$298,MATCH('PR Expenditure_7A import-export'!B58,'Reference Records'!$E$222:$E$298,0)),"")</f>
        <v/>
      </c>
      <c r="B58" s="303">
        <f>IFERROR(INDEX('PR Expenditure_7A'!C$9:C$78,MATCH('PR Expenditure_7A import-export'!N58,'PR Expenditure_7A'!B$9:B$78,0)),"")</f>
        <v>0</v>
      </c>
      <c r="C58" s="807">
        <v>0</v>
      </c>
      <c r="D58" s="50">
        <f>IFERROR(INDEX('PR Expenditure_7A'!F$9:F$78,MATCH('PR Expenditure_7A import-export'!N58,'PR Expenditure_7A'!B$9:B$78,0)),"")</f>
        <v>0</v>
      </c>
      <c r="E58" s="807"/>
      <c r="F58" s="808"/>
      <c r="G58" s="809"/>
      <c r="H58" s="303"/>
      <c r="I58" s="807">
        <v>0</v>
      </c>
      <c r="J58" s="50">
        <f>IFERROR(INDEX('PR Expenditure_7A'!L$9:L$78,MATCH('PR Expenditure_7A import-export'!N58,'PR Expenditure_7A'!B$9:B$78,0)),"")</f>
        <v>0</v>
      </c>
      <c r="K58" s="807"/>
      <c r="L58" s="808"/>
      <c r="M58" s="637">
        <f t="shared" si="2"/>
        <v>9</v>
      </c>
      <c r="N58" s="637" t="str">
        <f t="shared" si="3"/>
        <v>Costgrpnew9</v>
      </c>
      <c r="O58" s="810" t="s">
        <v>2776</v>
      </c>
      <c r="Q58" s="259"/>
      <c r="R58" s="259"/>
      <c r="S58" s="259"/>
      <c r="T58" s="259"/>
      <c r="U58" s="284"/>
      <c r="V58" s="283"/>
      <c r="W58" s="283"/>
      <c r="X58" s="283"/>
      <c r="Y58" s="283"/>
    </row>
    <row r="59" spans="1:25" s="257" customFormat="1" ht="23.1" customHeight="1" x14ac:dyDescent="0.25">
      <c r="A59" s="819" t="str">
        <f>IFERROR(INDEX('Reference Records'!$B$222:$B$298,MATCH('PR Expenditure_7A import-export'!B59,'Reference Records'!$E$222:$E$298,0)),"")</f>
        <v/>
      </c>
      <c r="B59" s="303">
        <f>IFERROR(INDEX('PR Expenditure_7A'!C$9:C$78,MATCH('PR Expenditure_7A import-export'!N59,'PR Expenditure_7A'!B$9:B$78,0)),"")</f>
        <v>0</v>
      </c>
      <c r="C59" s="807">
        <v>0</v>
      </c>
      <c r="D59" s="50">
        <f>IFERROR(INDEX('PR Expenditure_7A'!F$9:F$78,MATCH('PR Expenditure_7A import-export'!N59,'PR Expenditure_7A'!B$9:B$78,0)),"")</f>
        <v>0</v>
      </c>
      <c r="E59" s="807"/>
      <c r="F59" s="808"/>
      <c r="G59" s="809"/>
      <c r="H59" s="303"/>
      <c r="I59" s="807">
        <v>0</v>
      </c>
      <c r="J59" s="50">
        <f>IFERROR(INDEX('PR Expenditure_7A'!L$9:L$78,MATCH('PR Expenditure_7A import-export'!N59,'PR Expenditure_7A'!B$9:B$78,0)),"")</f>
        <v>0</v>
      </c>
      <c r="K59" s="807"/>
      <c r="L59" s="808"/>
      <c r="M59" s="637">
        <f t="shared" si="2"/>
        <v>10</v>
      </c>
      <c r="N59" s="637" t="str">
        <f t="shared" si="3"/>
        <v>Costgrpnew10</v>
      </c>
      <c r="O59" s="810" t="s">
        <v>2777</v>
      </c>
      <c r="Q59" s="259"/>
      <c r="R59" s="259"/>
      <c r="S59" s="259"/>
      <c r="T59" s="259"/>
      <c r="U59" s="284"/>
      <c r="V59" s="283"/>
      <c r="W59" s="283"/>
      <c r="X59" s="283"/>
      <c r="Y59" s="283"/>
    </row>
    <row r="60" spans="1:25" s="257" customFormat="1" ht="15" customHeight="1" x14ac:dyDescent="0.25">
      <c r="A60" s="282"/>
      <c r="B60" s="291"/>
      <c r="C60" s="272"/>
      <c r="D60" s="271"/>
      <c r="E60" s="272"/>
      <c r="F60" s="272"/>
      <c r="G60" s="272"/>
      <c r="H60" s="289"/>
      <c r="I60" s="272"/>
      <c r="J60" s="272"/>
      <c r="K60" s="272"/>
      <c r="L60" s="272"/>
      <c r="M60"/>
      <c r="N60"/>
      <c r="O60" s="259"/>
      <c r="P60" s="625"/>
      <c r="Q60" s="259"/>
      <c r="R60" s="259"/>
      <c r="S60" s="259"/>
      <c r="T60" s="259"/>
      <c r="U60" s="284"/>
      <c r="V60" s="283"/>
      <c r="W60" s="283"/>
      <c r="X60" s="283"/>
      <c r="Y60" s="283"/>
    </row>
    <row r="61" spans="1:25" s="272" customFormat="1" ht="59.45" customHeight="1" x14ac:dyDescent="0.25">
      <c r="A61" s="820" t="s">
        <v>2778</v>
      </c>
      <c r="B61" s="820" t="s">
        <v>2779</v>
      </c>
      <c r="C61" s="821" t="s">
        <v>1117</v>
      </c>
      <c r="D61" s="821" t="s">
        <v>2668</v>
      </c>
      <c r="E61" s="821" t="s">
        <v>1119</v>
      </c>
      <c r="F61" s="821" t="s">
        <v>2669</v>
      </c>
      <c r="G61" s="821" t="s">
        <v>2670</v>
      </c>
      <c r="H61" s="303"/>
      <c r="I61" s="821" t="s">
        <v>2671</v>
      </c>
      <c r="J61" s="821" t="s">
        <v>2672</v>
      </c>
      <c r="K61" s="821" t="s">
        <v>1124</v>
      </c>
      <c r="L61" s="821" t="s">
        <v>2669</v>
      </c>
      <c r="M61" s="637">
        <v>-1</v>
      </c>
      <c r="N61" s="637"/>
      <c r="O61" s="804" t="s">
        <v>122</v>
      </c>
      <c r="P61" s="626"/>
      <c r="Q61" s="274"/>
      <c r="R61" s="274"/>
      <c r="S61" s="274"/>
      <c r="T61" s="274"/>
      <c r="U61" s="99"/>
    </row>
    <row r="62" spans="1:25" s="257" customFormat="1" ht="15.75" hidden="1" x14ac:dyDescent="0.25">
      <c r="A62" s="822" t="s">
        <v>596</v>
      </c>
      <c r="B62" s="822" t="s">
        <v>769</v>
      </c>
      <c r="C62" s="807" t="s">
        <v>2675</v>
      </c>
      <c r="D62" s="50" t="str">
        <f>IFERROR(INDEX('PR Expenditure_7A'!F$84:F$183,MATCH('PR Expenditure_7A import-export'!N62,'PR Expenditure_7A'!B$84:B$183,0)),"")</f>
        <v/>
      </c>
      <c r="E62" s="807"/>
      <c r="F62" s="808"/>
      <c r="G62" s="823"/>
      <c r="H62" s="303"/>
      <c r="I62" s="807" t="s">
        <v>2676</v>
      </c>
      <c r="J62" s="50" t="str">
        <f>IFERROR(INDEX('PR Expenditure_7A'!L$84:L$183,MATCH('PR Expenditure_7A import-export'!N62,'PR Expenditure_7A'!B$84:B$183,0)),"")</f>
        <v/>
      </c>
      <c r="K62" s="807"/>
      <c r="L62" s="808"/>
      <c r="M62" s="637">
        <f>M61+1</f>
        <v>0</v>
      </c>
      <c r="N62" s="637" t="str">
        <f>"Int"&amp;M62</f>
        <v>Int0</v>
      </c>
      <c r="O62" s="810" t="s">
        <v>371</v>
      </c>
      <c r="P62" s="625"/>
      <c r="Q62" s="259"/>
      <c r="R62" s="259"/>
      <c r="S62" s="259"/>
      <c r="T62" s="259"/>
      <c r="U62" s="63"/>
    </row>
    <row r="63" spans="1:25" s="257" customFormat="1" ht="30" x14ac:dyDescent="0.25">
      <c r="A63" s="822" t="s">
        <v>776</v>
      </c>
      <c r="B63" s="822" t="s">
        <v>782</v>
      </c>
      <c r="C63" s="807">
        <v>1083.6147002595601</v>
      </c>
      <c r="D63" s="50">
        <f>IFERROR(INDEX('PR Expenditure_7A'!F$84:F$183,MATCH('PR Expenditure_7A import-export'!N63,'PR Expenditure_7A'!B$84:B$183,0)),"")</f>
        <v>820.44774207433113</v>
      </c>
      <c r="E63" s="807"/>
      <c r="F63" s="808"/>
      <c r="G63" s="823"/>
      <c r="H63" s="303"/>
      <c r="I63" s="807">
        <v>5868.9367050627498</v>
      </c>
      <c r="J63" s="50">
        <f>IFERROR(INDEX('PR Expenditure_7A'!L$84:L$183,MATCH('PR Expenditure_7A import-export'!N63,'PR Expenditure_7A'!B$84:B$183,0)),"")</f>
        <v>4315.0877420743309</v>
      </c>
      <c r="K63" s="807"/>
      <c r="L63" s="808"/>
      <c r="M63" s="637">
        <f t="shared" ref="M63:M107" si="4">M62+1</f>
        <v>1</v>
      </c>
      <c r="N63" s="637" t="str">
        <f t="shared" ref="N63:N107" si="5">"Int"&amp;M63</f>
        <v>Int1</v>
      </c>
      <c r="O63" s="810" t="s">
        <v>2780</v>
      </c>
      <c r="P63" s="625"/>
      <c r="Q63" s="259"/>
      <c r="R63" s="259"/>
      <c r="S63" s="259"/>
      <c r="T63" s="259"/>
      <c r="U63" s="63"/>
    </row>
    <row r="64" spans="1:25" s="257" customFormat="1" ht="15.75" x14ac:dyDescent="0.25">
      <c r="A64" s="822" t="s">
        <v>390</v>
      </c>
      <c r="B64" s="822" t="s">
        <v>2781</v>
      </c>
      <c r="C64" s="807">
        <v>417648.47202143702</v>
      </c>
      <c r="D64" s="50">
        <f>IFERROR(INDEX('PR Expenditure_7A'!F$84:F$183,MATCH('PR Expenditure_7A import-export'!N64,'PR Expenditure_7A'!B$84:B$183,0)),"")</f>
        <v>244262.22</v>
      </c>
      <c r="E64" s="807"/>
      <c r="F64" s="808"/>
      <c r="G64" s="823"/>
      <c r="H64" s="303"/>
      <c r="I64" s="807">
        <v>920506.54512416304</v>
      </c>
      <c r="J64" s="50">
        <f>IFERROR(INDEX('PR Expenditure_7A'!L$84:L$183,MATCH('PR Expenditure_7A import-export'!N64,'PR Expenditure_7A'!B$84:B$183,0)),"")</f>
        <v>605871.73</v>
      </c>
      <c r="K64" s="807"/>
      <c r="L64" s="808"/>
      <c r="M64" s="637">
        <f t="shared" si="4"/>
        <v>2</v>
      </c>
      <c r="N64" s="637" t="str">
        <f t="shared" si="5"/>
        <v>Int2</v>
      </c>
      <c r="O64" s="810" t="s">
        <v>2782</v>
      </c>
      <c r="P64" s="625"/>
      <c r="Q64" s="259"/>
      <c r="R64" s="259"/>
      <c r="S64" s="259"/>
      <c r="T64" s="259"/>
      <c r="U64" s="63"/>
    </row>
    <row r="65" spans="1:21" s="257" customFormat="1" ht="30" x14ac:dyDescent="0.25">
      <c r="A65" s="822" t="s">
        <v>390</v>
      </c>
      <c r="B65" s="822" t="s">
        <v>2783</v>
      </c>
      <c r="C65" s="807">
        <v>45110.868282326497</v>
      </c>
      <c r="D65" s="50">
        <f>IFERROR(INDEX('PR Expenditure_7A'!F$84:F$183,MATCH('PR Expenditure_7A import-export'!N65,'PR Expenditure_7A'!B$84:B$183,0)),"")</f>
        <v>3535.6005357863141</v>
      </c>
      <c r="E65" s="807"/>
      <c r="F65" s="808"/>
      <c r="G65" s="823"/>
      <c r="H65" s="303"/>
      <c r="I65" s="807">
        <v>139563.02728521</v>
      </c>
      <c r="J65" s="50">
        <f>IFERROR(INDEX('PR Expenditure_7A'!L$84:L$183,MATCH('PR Expenditure_7A import-export'!N65,'PR Expenditure_7A'!B$84:B$183,0)),"")</f>
        <v>11095.640535786315</v>
      </c>
      <c r="K65" s="807"/>
      <c r="L65" s="808"/>
      <c r="M65" s="637">
        <f t="shared" si="4"/>
        <v>3</v>
      </c>
      <c r="N65" s="637" t="str">
        <f t="shared" si="5"/>
        <v>Int3</v>
      </c>
      <c r="O65" s="810" t="s">
        <v>2784</v>
      </c>
      <c r="P65" s="625"/>
      <c r="Q65" s="259"/>
      <c r="R65" s="259"/>
      <c r="S65" s="259"/>
      <c r="T65" s="259"/>
      <c r="U65" s="63"/>
    </row>
    <row r="66" spans="1:21" s="257" customFormat="1" ht="30" x14ac:dyDescent="0.25">
      <c r="A66" s="822" t="s">
        <v>390</v>
      </c>
      <c r="B66" s="822" t="s">
        <v>2785</v>
      </c>
      <c r="C66" s="807">
        <v>12086.9212520861</v>
      </c>
      <c r="D66" s="50">
        <f>IFERROR(INDEX('PR Expenditure_7A'!F$84:F$183,MATCH('PR Expenditure_7A import-export'!N66,'PR Expenditure_7A'!B$84:B$183,0)),"")</f>
        <v>2443.4799999999996</v>
      </c>
      <c r="E66" s="807"/>
      <c r="F66" s="808"/>
      <c r="G66" s="823"/>
      <c r="H66" s="303"/>
      <c r="I66" s="807">
        <v>24173.8425041722</v>
      </c>
      <c r="J66" s="50">
        <f>IFERROR(INDEX('PR Expenditure_7A'!L$84:L$183,MATCH('PR Expenditure_7A import-export'!N66,'PR Expenditure_7A'!B$84:B$183,0)),"")</f>
        <v>8916.65</v>
      </c>
      <c r="K66" s="807"/>
      <c r="L66" s="808"/>
      <c r="M66" s="637">
        <f t="shared" si="4"/>
        <v>4</v>
      </c>
      <c r="N66" s="637" t="str">
        <f t="shared" si="5"/>
        <v>Int4</v>
      </c>
      <c r="O66" s="810" t="s">
        <v>2786</v>
      </c>
      <c r="P66" s="625"/>
      <c r="Q66" s="259"/>
      <c r="R66" s="259"/>
      <c r="S66" s="259"/>
      <c r="T66" s="259"/>
      <c r="U66" s="63"/>
    </row>
    <row r="67" spans="1:21" s="257" customFormat="1" ht="15.75" x14ac:dyDescent="0.25">
      <c r="A67" s="822" t="s">
        <v>390</v>
      </c>
      <c r="B67" s="822" t="s">
        <v>2787</v>
      </c>
      <c r="C67" s="807">
        <v>6342.4190506292398</v>
      </c>
      <c r="D67" s="50">
        <f>IFERROR(INDEX('PR Expenditure_7A'!F$84:F$183,MATCH('PR Expenditure_7A import-export'!N67,'PR Expenditure_7A'!B$84:B$183,0)),"")</f>
        <v>5973.34</v>
      </c>
      <c r="E67" s="807"/>
      <c r="F67" s="808"/>
      <c r="G67" s="823"/>
      <c r="H67" s="303"/>
      <c r="I67" s="807">
        <v>12684.8381012585</v>
      </c>
      <c r="J67" s="50">
        <f>IFERROR(INDEX('PR Expenditure_7A'!L$84:L$183,MATCH('PR Expenditure_7A import-export'!N67,'PR Expenditure_7A'!B$84:B$183,0)),"")</f>
        <v>14701.1</v>
      </c>
      <c r="K67" s="807"/>
      <c r="L67" s="808"/>
      <c r="M67" s="637">
        <f t="shared" si="4"/>
        <v>5</v>
      </c>
      <c r="N67" s="637" t="str">
        <f t="shared" si="5"/>
        <v>Int5</v>
      </c>
      <c r="O67" s="810" t="s">
        <v>2788</v>
      </c>
      <c r="P67" s="625"/>
      <c r="Q67" s="259"/>
      <c r="R67" s="259"/>
      <c r="S67" s="259"/>
      <c r="T67" s="259"/>
      <c r="U67" s="63"/>
    </row>
    <row r="68" spans="1:21" s="257" customFormat="1" ht="15.75" x14ac:dyDescent="0.25">
      <c r="A68" s="822" t="s">
        <v>390</v>
      </c>
      <c r="B68" s="822" t="s">
        <v>2789</v>
      </c>
      <c r="C68" s="807">
        <v>362592.288397895</v>
      </c>
      <c r="D68" s="50">
        <f>IFERROR(INDEX('PR Expenditure_7A'!F$84:F$183,MATCH('PR Expenditure_7A import-export'!N68,'PR Expenditure_7A'!B$84:B$183,0)),"")</f>
        <v>252743.04000000004</v>
      </c>
      <c r="E68" s="807"/>
      <c r="F68" s="808"/>
      <c r="G68" s="823"/>
      <c r="H68" s="303"/>
      <c r="I68" s="807">
        <v>725184.57679578895</v>
      </c>
      <c r="J68" s="50">
        <f>IFERROR(INDEX('PR Expenditure_7A'!L$84:L$183,MATCH('PR Expenditure_7A import-export'!N68,'PR Expenditure_7A'!B$84:B$183,0)),"")</f>
        <v>252743.04000000004</v>
      </c>
      <c r="K68" s="807"/>
      <c r="L68" s="808"/>
      <c r="M68" s="637">
        <f t="shared" si="4"/>
        <v>6</v>
      </c>
      <c r="N68" s="637" t="str">
        <f t="shared" si="5"/>
        <v>Int6</v>
      </c>
      <c r="O68" s="810" t="s">
        <v>2790</v>
      </c>
      <c r="P68" s="625"/>
      <c r="Q68" s="259"/>
      <c r="R68" s="259"/>
      <c r="S68" s="259"/>
      <c r="T68" s="259"/>
      <c r="U68" s="63"/>
    </row>
    <row r="69" spans="1:21" s="257" customFormat="1" ht="15.75" x14ac:dyDescent="0.25">
      <c r="A69" s="822" t="s">
        <v>390</v>
      </c>
      <c r="B69" s="822" t="s">
        <v>2791</v>
      </c>
      <c r="C69" s="807">
        <v>22513.615614632101</v>
      </c>
      <c r="D69" s="50">
        <f>IFERROR(INDEX('PR Expenditure_7A'!F$84:F$183,MATCH('PR Expenditure_7A import-export'!N69,'PR Expenditure_7A'!B$84:B$183,0)),"")</f>
        <v>17042.030969260966</v>
      </c>
      <c r="E69" s="807"/>
      <c r="F69" s="808"/>
      <c r="G69" s="823"/>
      <c r="H69" s="303"/>
      <c r="I69" s="807">
        <v>48117.929468192102</v>
      </c>
      <c r="J69" s="50">
        <f>IFERROR(INDEX('PR Expenditure_7A'!L$84:L$183,MATCH('PR Expenditure_7A import-export'!N69,'PR Expenditure_7A'!B$84:B$183,0)),"")</f>
        <v>22148.140969260967</v>
      </c>
      <c r="K69" s="807"/>
      <c r="L69" s="808"/>
      <c r="M69" s="637">
        <f t="shared" si="4"/>
        <v>7</v>
      </c>
      <c r="N69" s="637" t="str">
        <f t="shared" si="5"/>
        <v>Int7</v>
      </c>
      <c r="O69" s="810" t="s">
        <v>2792</v>
      </c>
      <c r="P69" s="625"/>
      <c r="Q69" s="259"/>
      <c r="R69" s="259"/>
      <c r="S69" s="259"/>
      <c r="T69" s="259"/>
      <c r="U69" s="63"/>
    </row>
    <row r="70" spans="1:21" s="257" customFormat="1" ht="30" x14ac:dyDescent="0.25">
      <c r="A70" s="822" t="s">
        <v>453</v>
      </c>
      <c r="B70" s="822" t="s">
        <v>2793</v>
      </c>
      <c r="C70" s="807">
        <v>175560.76264251501</v>
      </c>
      <c r="D70" s="50">
        <f>IFERROR(INDEX('PR Expenditure_7A'!F$84:F$183,MATCH('PR Expenditure_7A import-export'!N70,'PR Expenditure_7A'!B$84:B$183,0)),"")</f>
        <v>181664.87002959239</v>
      </c>
      <c r="E70" s="807"/>
      <c r="F70" s="808"/>
      <c r="G70" s="823"/>
      <c r="H70" s="303"/>
      <c r="I70" s="807">
        <v>449057.42519641097</v>
      </c>
      <c r="J70" s="50">
        <f>IFERROR(INDEX('PR Expenditure_7A'!L$84:L$183,MATCH('PR Expenditure_7A import-export'!N70,'PR Expenditure_7A'!B$84:B$183,0)),"")</f>
        <v>293305.98002959241</v>
      </c>
      <c r="K70" s="807"/>
      <c r="L70" s="808"/>
      <c r="M70" s="637">
        <f t="shared" si="4"/>
        <v>8</v>
      </c>
      <c r="N70" s="637" t="str">
        <f t="shared" si="5"/>
        <v>Int8</v>
      </c>
      <c r="O70" s="810" t="s">
        <v>2794</v>
      </c>
      <c r="P70" s="625"/>
      <c r="Q70" s="259"/>
      <c r="R70" s="259"/>
      <c r="S70" s="259"/>
      <c r="T70" s="259"/>
      <c r="U70" s="63"/>
    </row>
    <row r="71" spans="1:21" s="257" customFormat="1" ht="30" x14ac:dyDescent="0.25">
      <c r="A71" s="822" t="s">
        <v>453</v>
      </c>
      <c r="B71" s="822" t="s">
        <v>2795</v>
      </c>
      <c r="C71" s="807">
        <v>0</v>
      </c>
      <c r="D71" s="50">
        <f>IFERROR(INDEX('PR Expenditure_7A'!F$84:F$183,MATCH('PR Expenditure_7A import-export'!N71,'PR Expenditure_7A'!B$84:B$183,0)),"")</f>
        <v>0</v>
      </c>
      <c r="E71" s="807"/>
      <c r="F71" s="808"/>
      <c r="G71" s="823"/>
      <c r="H71" s="303"/>
      <c r="I71" s="807">
        <v>128041.523258478</v>
      </c>
      <c r="J71" s="50">
        <f>IFERROR(INDEX('PR Expenditure_7A'!L$84:L$183,MATCH('PR Expenditure_7A import-export'!N71,'PR Expenditure_7A'!B$84:B$183,0)),"")</f>
        <v>0</v>
      </c>
      <c r="K71" s="807"/>
      <c r="L71" s="808"/>
      <c r="M71" s="637">
        <f t="shared" si="4"/>
        <v>9</v>
      </c>
      <c r="N71" s="637" t="str">
        <f t="shared" si="5"/>
        <v>Int9</v>
      </c>
      <c r="O71" s="810" t="s">
        <v>2796</v>
      </c>
      <c r="P71" s="625"/>
      <c r="Q71" s="259"/>
      <c r="R71" s="259"/>
      <c r="S71" s="259"/>
      <c r="T71" s="259"/>
      <c r="U71" s="63"/>
    </row>
    <row r="72" spans="1:21" s="257" customFormat="1" ht="30" x14ac:dyDescent="0.25">
      <c r="A72" s="822" t="s">
        <v>453</v>
      </c>
      <c r="B72" s="822" t="s">
        <v>2797</v>
      </c>
      <c r="C72" s="807">
        <v>118885.63710887</v>
      </c>
      <c r="D72" s="50">
        <f>IFERROR(INDEX('PR Expenditure_7A'!F$84:F$183,MATCH('PR Expenditure_7A import-export'!N72,'PR Expenditure_7A'!B$84:B$183,0)),"")</f>
        <v>140238.6155567338</v>
      </c>
      <c r="E72" s="807"/>
      <c r="F72" s="808"/>
      <c r="G72" s="823"/>
      <c r="H72" s="303"/>
      <c r="I72" s="807">
        <v>213212.718686804</v>
      </c>
      <c r="J72" s="50">
        <f>IFERROR(INDEX('PR Expenditure_7A'!L$84:L$183,MATCH('PR Expenditure_7A import-export'!N72,'PR Expenditure_7A'!B$84:B$183,0)),"")</f>
        <v>224487.7155567338</v>
      </c>
      <c r="K72" s="807"/>
      <c r="L72" s="808"/>
      <c r="M72" s="637">
        <f t="shared" si="4"/>
        <v>10</v>
      </c>
      <c r="N72" s="637" t="str">
        <f t="shared" si="5"/>
        <v>Int10</v>
      </c>
      <c r="O72" s="810" t="s">
        <v>2798</v>
      </c>
      <c r="P72" s="625"/>
      <c r="Q72" s="259"/>
      <c r="R72" s="259"/>
      <c r="S72" s="259"/>
      <c r="T72" s="259"/>
      <c r="U72" s="63"/>
    </row>
    <row r="73" spans="1:21" s="257" customFormat="1" ht="15.75" x14ac:dyDescent="0.25">
      <c r="A73" s="822" t="s">
        <v>440</v>
      </c>
      <c r="B73" s="822" t="s">
        <v>2799</v>
      </c>
      <c r="C73" s="807">
        <v>297453.14335106098</v>
      </c>
      <c r="D73" s="50">
        <f>IFERROR(INDEX('PR Expenditure_7A'!F$84:F$183,MATCH('PR Expenditure_7A import-export'!N73,'PR Expenditure_7A'!B$84:B$183,0)),"")</f>
        <v>102144.93536585367</v>
      </c>
      <c r="E73" s="807"/>
      <c r="F73" s="808"/>
      <c r="G73" s="823"/>
      <c r="H73" s="303"/>
      <c r="I73" s="807">
        <v>590424.82335148798</v>
      </c>
      <c r="J73" s="50">
        <f>IFERROR(INDEX('PR Expenditure_7A'!L$84:L$183,MATCH('PR Expenditure_7A import-export'!N73,'PR Expenditure_7A'!B$84:B$183,0)),"")</f>
        <v>108528.23536585367</v>
      </c>
      <c r="K73" s="807"/>
      <c r="L73" s="808"/>
      <c r="M73" s="637">
        <f t="shared" si="4"/>
        <v>11</v>
      </c>
      <c r="N73" s="637" t="str">
        <f t="shared" si="5"/>
        <v>Int11</v>
      </c>
      <c r="O73" s="810" t="s">
        <v>2800</v>
      </c>
      <c r="P73" s="625"/>
      <c r="Q73" s="259"/>
      <c r="R73" s="259"/>
      <c r="S73" s="259"/>
      <c r="T73" s="259"/>
      <c r="U73" s="63"/>
    </row>
    <row r="74" spans="1:21" s="257" customFormat="1" ht="15.75" x14ac:dyDescent="0.25">
      <c r="A74" s="822" t="s">
        <v>427</v>
      </c>
      <c r="B74" s="822" t="s">
        <v>2801</v>
      </c>
      <c r="C74" s="807">
        <v>151021.356975537</v>
      </c>
      <c r="D74" s="50">
        <f>IFERROR(INDEX('PR Expenditure_7A'!F$84:F$183,MATCH('PR Expenditure_7A import-export'!N74,'PR Expenditure_7A'!B$84:B$183,0)),"")</f>
        <v>118117.4</v>
      </c>
      <c r="E74" s="807"/>
      <c r="F74" s="808"/>
      <c r="G74" s="823"/>
      <c r="H74" s="303"/>
      <c r="I74" s="807">
        <v>325068.86107999401</v>
      </c>
      <c r="J74" s="50">
        <f>IFERROR(INDEX('PR Expenditure_7A'!L$84:L$183,MATCH('PR Expenditure_7A import-export'!N74,'PR Expenditure_7A'!B$84:B$183,0)),"")</f>
        <v>131001.94</v>
      </c>
      <c r="K74" s="807"/>
      <c r="L74" s="808"/>
      <c r="M74" s="637">
        <f t="shared" si="4"/>
        <v>12</v>
      </c>
      <c r="N74" s="637" t="str">
        <f t="shared" si="5"/>
        <v>Int12</v>
      </c>
      <c r="O74" s="810" t="s">
        <v>2802</v>
      </c>
      <c r="P74" s="625"/>
      <c r="Q74" s="259"/>
      <c r="R74" s="259"/>
      <c r="S74" s="259"/>
      <c r="T74" s="259"/>
      <c r="U74" s="63"/>
    </row>
    <row r="75" spans="1:21" s="257" customFormat="1" ht="15.75" x14ac:dyDescent="0.25">
      <c r="A75" s="822" t="s">
        <v>2803</v>
      </c>
      <c r="B75" s="822" t="s">
        <v>2804</v>
      </c>
      <c r="C75" s="807">
        <v>2068169.66294363</v>
      </c>
      <c r="D75" s="50">
        <f>IFERROR(INDEX('PR Expenditure_7A'!F$84:F$183,MATCH('PR Expenditure_7A import-export'!N75,'PR Expenditure_7A'!B$84:B$183,0)),"")</f>
        <v>2117930.1342065446</v>
      </c>
      <c r="E75" s="807"/>
      <c r="F75" s="808"/>
      <c r="G75" s="823"/>
      <c r="H75" s="303"/>
      <c r="I75" s="807">
        <v>4033977.12654887</v>
      </c>
      <c r="J75" s="50">
        <f>IFERROR(INDEX('PR Expenditure_7A'!L$84:L$183,MATCH('PR Expenditure_7A import-export'!N75,'PR Expenditure_7A'!B$84:B$183,0)),"")</f>
        <v>3448207.8242065446</v>
      </c>
      <c r="K75" s="807"/>
      <c r="L75" s="808"/>
      <c r="M75" s="637">
        <f t="shared" si="4"/>
        <v>13</v>
      </c>
      <c r="N75" s="637" t="str">
        <f t="shared" si="5"/>
        <v>Int13</v>
      </c>
      <c r="O75" s="810" t="s">
        <v>2805</v>
      </c>
      <c r="P75" s="625"/>
      <c r="Q75" s="259"/>
      <c r="R75" s="259"/>
      <c r="S75" s="259"/>
      <c r="T75" s="259"/>
      <c r="U75" s="63"/>
    </row>
    <row r="76" spans="1:21" s="257" customFormat="1" ht="45" x14ac:dyDescent="0.25">
      <c r="A76" s="822" t="s">
        <v>2803</v>
      </c>
      <c r="B76" s="822" t="s">
        <v>2806</v>
      </c>
      <c r="C76" s="807">
        <v>210578.60347420399</v>
      </c>
      <c r="D76" s="50">
        <f>IFERROR(INDEX('PR Expenditure_7A'!F$84:F$183,MATCH('PR Expenditure_7A import-export'!N76,'PR Expenditure_7A'!B$84:B$183,0)),"")</f>
        <v>218759.27450354589</v>
      </c>
      <c r="E76" s="807"/>
      <c r="F76" s="808"/>
      <c r="G76" s="823"/>
      <c r="H76" s="303"/>
      <c r="I76" s="807">
        <v>420409.07916637498</v>
      </c>
      <c r="J76" s="50">
        <f>IFERROR(INDEX('PR Expenditure_7A'!L$84:L$183,MATCH('PR Expenditure_7A import-export'!N76,'PR Expenditure_7A'!B$84:B$183,0)),"")</f>
        <v>367881.74450354592</v>
      </c>
      <c r="K76" s="807"/>
      <c r="L76" s="808"/>
      <c r="M76" s="637">
        <f t="shared" si="4"/>
        <v>14</v>
      </c>
      <c r="N76" s="637" t="str">
        <f t="shared" si="5"/>
        <v>Int14</v>
      </c>
      <c r="O76" s="810" t="s">
        <v>2807</v>
      </c>
      <c r="P76" s="625"/>
      <c r="Q76" s="259"/>
      <c r="R76" s="259"/>
      <c r="S76" s="259"/>
      <c r="T76" s="259"/>
      <c r="U76" s="63"/>
    </row>
    <row r="77" spans="1:21" s="257" customFormat="1" ht="30" x14ac:dyDescent="0.25">
      <c r="A77" s="822" t="s">
        <v>478</v>
      </c>
      <c r="B77" s="822" t="s">
        <v>2808</v>
      </c>
      <c r="C77" s="807">
        <v>13826.315722405699</v>
      </c>
      <c r="D77" s="50">
        <f>IFERROR(INDEX('PR Expenditure_7A'!F$84:F$183,MATCH('PR Expenditure_7A import-export'!N77,'PR Expenditure_7A'!B$84:B$183,0)),"")</f>
        <v>12008.6</v>
      </c>
      <c r="E77" s="807"/>
      <c r="F77" s="808"/>
      <c r="G77" s="823"/>
      <c r="H77" s="303"/>
      <c r="I77" s="807">
        <v>27652.631444811399</v>
      </c>
      <c r="J77" s="50">
        <f>IFERROR(INDEX('PR Expenditure_7A'!L$84:L$183,MATCH('PR Expenditure_7A import-export'!N77,'PR Expenditure_7A'!B$84:B$183,0)),"")</f>
        <v>22195.77</v>
      </c>
      <c r="K77" s="807"/>
      <c r="L77" s="808"/>
      <c r="M77" s="637">
        <f t="shared" si="4"/>
        <v>15</v>
      </c>
      <c r="N77" s="637" t="str">
        <f t="shared" si="5"/>
        <v>Int15</v>
      </c>
      <c r="O77" s="810" t="s">
        <v>2809</v>
      </c>
      <c r="P77" s="625"/>
      <c r="Q77" s="259"/>
      <c r="R77" s="259"/>
      <c r="S77" s="259"/>
      <c r="T77" s="259"/>
      <c r="U77" s="63"/>
    </row>
    <row r="78" spans="1:21" s="257" customFormat="1" ht="30" x14ac:dyDescent="0.25">
      <c r="A78" s="822" t="s">
        <v>478</v>
      </c>
      <c r="B78" s="822" t="s">
        <v>2810</v>
      </c>
      <c r="C78" s="807">
        <v>176767.48</v>
      </c>
      <c r="D78" s="50">
        <f>IFERROR(INDEX('PR Expenditure_7A'!F$84:F$183,MATCH('PR Expenditure_7A import-export'!N78,'PR Expenditure_7A'!B$84:B$183,0)),"")</f>
        <v>413448.15</v>
      </c>
      <c r="E78" s="807"/>
      <c r="F78" s="808"/>
      <c r="G78" s="823"/>
      <c r="H78" s="303"/>
      <c r="I78" s="807">
        <v>575943.01959726296</v>
      </c>
      <c r="J78" s="50">
        <f>IFERROR(INDEX('PR Expenditure_7A'!L$84:L$183,MATCH('PR Expenditure_7A import-export'!N78,'PR Expenditure_7A'!B$84:B$183,0)),"")</f>
        <v>734709.53</v>
      </c>
      <c r="K78" s="807"/>
      <c r="L78" s="808"/>
      <c r="M78" s="637">
        <f t="shared" si="4"/>
        <v>16</v>
      </c>
      <c r="N78" s="637" t="str">
        <f t="shared" si="5"/>
        <v>Int16</v>
      </c>
      <c r="O78" s="810" t="s">
        <v>2811</v>
      </c>
      <c r="P78" s="625"/>
      <c r="Q78" s="259"/>
      <c r="R78" s="259"/>
      <c r="S78" s="259"/>
      <c r="T78" s="259"/>
      <c r="U78" s="63"/>
    </row>
    <row r="79" spans="1:21" s="257" customFormat="1" ht="45" x14ac:dyDescent="0.25">
      <c r="A79" s="822" t="s">
        <v>478</v>
      </c>
      <c r="B79" s="822" t="s">
        <v>2812</v>
      </c>
      <c r="C79" s="807">
        <v>14639.026747600299</v>
      </c>
      <c r="D79" s="50">
        <f>IFERROR(INDEX('PR Expenditure_7A'!F$84:F$183,MATCH('PR Expenditure_7A import-export'!N79,'PR Expenditure_7A'!B$84:B$183,0)),"")</f>
        <v>58267.939999999995</v>
      </c>
      <c r="E79" s="807"/>
      <c r="F79" s="808"/>
      <c r="G79" s="823"/>
      <c r="H79" s="303"/>
      <c r="I79" s="807">
        <v>77457.410006417602</v>
      </c>
      <c r="J79" s="50">
        <f>IFERROR(INDEX('PR Expenditure_7A'!L$84:L$183,MATCH('PR Expenditure_7A import-export'!N79,'PR Expenditure_7A'!B$84:B$183,0)),"")</f>
        <v>58267.939999999995</v>
      </c>
      <c r="K79" s="807"/>
      <c r="L79" s="808"/>
      <c r="M79" s="637">
        <f t="shared" si="4"/>
        <v>17</v>
      </c>
      <c r="N79" s="637" t="str">
        <f t="shared" si="5"/>
        <v>Int17</v>
      </c>
      <c r="O79" s="810" t="s">
        <v>2813</v>
      </c>
      <c r="P79" s="625"/>
      <c r="Q79" s="259"/>
      <c r="R79" s="259"/>
      <c r="S79" s="259"/>
      <c r="T79" s="259"/>
      <c r="U79" s="63"/>
    </row>
    <row r="80" spans="1:21" s="257" customFormat="1" ht="15.75" x14ac:dyDescent="0.25">
      <c r="A80" s="822" t="s">
        <v>2814</v>
      </c>
      <c r="B80" s="822" t="s">
        <v>2815</v>
      </c>
      <c r="C80" s="807">
        <v>227549.03827324999</v>
      </c>
      <c r="D80" s="50">
        <f>IFERROR(INDEX('PR Expenditure_7A'!F$84:F$183,MATCH('PR Expenditure_7A import-export'!N80,'PR Expenditure_7A'!B$84:B$183,0)),"")</f>
        <v>347243.30778366921</v>
      </c>
      <c r="E80" s="807"/>
      <c r="F80" s="808"/>
      <c r="G80" s="823"/>
      <c r="H80" s="303"/>
      <c r="I80" s="807">
        <v>421062.39837243198</v>
      </c>
      <c r="J80" s="50">
        <f>IFERROR(INDEX('PR Expenditure_7A'!L$84:L$183,MATCH('PR Expenditure_7A import-export'!N80,'PR Expenditure_7A'!B$84:B$183,0)),"")</f>
        <v>379938.87778366922</v>
      </c>
      <c r="K80" s="807"/>
      <c r="L80" s="808"/>
      <c r="M80" s="637">
        <f t="shared" si="4"/>
        <v>18</v>
      </c>
      <c r="N80" s="637" t="str">
        <f t="shared" si="5"/>
        <v>Int18</v>
      </c>
      <c r="O80" s="810" t="s">
        <v>2816</v>
      </c>
      <c r="P80" s="625"/>
      <c r="Q80" s="259"/>
      <c r="R80" s="259"/>
      <c r="S80" s="259"/>
      <c r="T80" s="259"/>
      <c r="U80" s="63"/>
    </row>
    <row r="81" spans="1:21" s="257" customFormat="1" ht="15.75" x14ac:dyDescent="0.25">
      <c r="A81" s="822" t="s">
        <v>478</v>
      </c>
      <c r="B81" s="822" t="s">
        <v>2817</v>
      </c>
      <c r="C81" s="807">
        <v>0</v>
      </c>
      <c r="D81" s="50">
        <f>IFERROR(INDEX('PR Expenditure_7A'!F$84:F$183,MATCH('PR Expenditure_7A import-export'!N81,'PR Expenditure_7A'!B$84:B$183,0)),"")</f>
        <v>5200.8999999999996</v>
      </c>
      <c r="E81" s="807"/>
      <c r="F81" s="808"/>
      <c r="G81" s="823"/>
      <c r="H81" s="303"/>
      <c r="I81" s="807">
        <v>9533.6468086751993</v>
      </c>
      <c r="J81" s="50">
        <f>IFERROR(INDEX('PR Expenditure_7A'!L$84:L$183,MATCH('PR Expenditure_7A import-export'!N81,'PR Expenditure_7A'!B$84:B$183,0)),"")</f>
        <v>5200.8999999999996</v>
      </c>
      <c r="K81" s="807"/>
      <c r="L81" s="808"/>
      <c r="M81" s="637">
        <f t="shared" si="4"/>
        <v>19</v>
      </c>
      <c r="N81" s="637" t="str">
        <f t="shared" si="5"/>
        <v>Int19</v>
      </c>
      <c r="O81" s="810" t="s">
        <v>2818</v>
      </c>
      <c r="P81" s="625"/>
      <c r="Q81" s="259"/>
      <c r="R81" s="259"/>
      <c r="S81" s="259"/>
      <c r="T81" s="259"/>
      <c r="U81" s="63"/>
    </row>
    <row r="82" spans="1:21" s="257" customFormat="1" ht="15.75" x14ac:dyDescent="0.25">
      <c r="A82" s="822" t="s">
        <v>519</v>
      </c>
      <c r="B82" s="822" t="s">
        <v>2819</v>
      </c>
      <c r="C82" s="807">
        <v>4453.6914865036897</v>
      </c>
      <c r="D82" s="50">
        <f>IFERROR(INDEX('PR Expenditure_7A'!F$84:F$183,MATCH('PR Expenditure_7A import-export'!N82,'PR Expenditure_7A'!B$84:B$183,0)),"")</f>
        <v>1122.6199999999999</v>
      </c>
      <c r="E82" s="807"/>
      <c r="F82" s="808"/>
      <c r="G82" s="823"/>
      <c r="H82" s="303"/>
      <c r="I82" s="807">
        <v>8907.3829730073794</v>
      </c>
      <c r="J82" s="50">
        <f>IFERROR(INDEX('PR Expenditure_7A'!L$84:L$183,MATCH('PR Expenditure_7A import-export'!N82,'PR Expenditure_7A'!B$84:B$183,0)),"")</f>
        <v>2250.8199999999997</v>
      </c>
      <c r="K82" s="807"/>
      <c r="L82" s="808"/>
      <c r="M82" s="637">
        <f t="shared" si="4"/>
        <v>20</v>
      </c>
      <c r="N82" s="637" t="str">
        <f t="shared" si="5"/>
        <v>Int20</v>
      </c>
      <c r="O82" s="810" t="s">
        <v>2820</v>
      </c>
      <c r="P82" s="625"/>
      <c r="Q82" s="259"/>
      <c r="R82" s="259"/>
      <c r="S82" s="259"/>
      <c r="T82" s="259"/>
      <c r="U82" s="63"/>
    </row>
    <row r="83" spans="1:21" s="257" customFormat="1" ht="30" x14ac:dyDescent="0.25">
      <c r="A83" s="822" t="s">
        <v>519</v>
      </c>
      <c r="B83" s="822" t="s">
        <v>2821</v>
      </c>
      <c r="C83" s="807">
        <v>38928.9939290701</v>
      </c>
      <c r="D83" s="50">
        <f>IFERROR(INDEX('PR Expenditure_7A'!F$84:F$183,MATCH('PR Expenditure_7A import-export'!N83,'PR Expenditure_7A'!B$84:B$183,0)),"")</f>
        <v>0</v>
      </c>
      <c r="E83" s="807"/>
      <c r="F83" s="808"/>
      <c r="G83" s="823"/>
      <c r="H83" s="303"/>
      <c r="I83" s="807">
        <v>43468.0869686402</v>
      </c>
      <c r="J83" s="50">
        <f>IFERROR(INDEX('PR Expenditure_7A'!L$84:L$183,MATCH('PR Expenditure_7A import-export'!N83,'PR Expenditure_7A'!B$84:B$183,0)),"")</f>
        <v>61.43</v>
      </c>
      <c r="K83" s="807"/>
      <c r="L83" s="808"/>
      <c r="M83" s="637">
        <f t="shared" si="4"/>
        <v>21</v>
      </c>
      <c r="N83" s="637" t="str">
        <f t="shared" si="5"/>
        <v>Int21</v>
      </c>
      <c r="O83" s="810" t="s">
        <v>2822</v>
      </c>
      <c r="P83" s="625"/>
      <c r="Q83" s="259"/>
      <c r="R83" s="259"/>
      <c r="S83" s="259"/>
      <c r="T83" s="259"/>
      <c r="U83" s="63"/>
    </row>
    <row r="84" spans="1:21" s="257" customFormat="1" ht="15.75" x14ac:dyDescent="0.25">
      <c r="A84" s="822" t="s">
        <v>519</v>
      </c>
      <c r="B84" s="822" t="s">
        <v>2823</v>
      </c>
      <c r="C84" s="807">
        <v>31009.459375594099</v>
      </c>
      <c r="D84" s="50">
        <f>IFERROR(INDEX('PR Expenditure_7A'!F$84:F$183,MATCH('PR Expenditure_7A import-export'!N84,'PR Expenditure_7A'!B$84:B$183,0)),"")</f>
        <v>17771.023684721076</v>
      </c>
      <c r="E84" s="807"/>
      <c r="F84" s="808"/>
      <c r="G84" s="823"/>
      <c r="H84" s="303"/>
      <c r="I84" s="807">
        <v>62018.918751188197</v>
      </c>
      <c r="J84" s="50">
        <f>IFERROR(INDEX('PR Expenditure_7A'!L$84:L$183,MATCH('PR Expenditure_7A import-export'!N84,'PR Expenditure_7A'!B$84:B$183,0)),"")</f>
        <v>37536.343684721076</v>
      </c>
      <c r="K84" s="807"/>
      <c r="L84" s="808"/>
      <c r="M84" s="637">
        <f t="shared" si="4"/>
        <v>22</v>
      </c>
      <c r="N84" s="637" t="str">
        <f t="shared" si="5"/>
        <v>Int22</v>
      </c>
      <c r="O84" s="810" t="s">
        <v>2824</v>
      </c>
      <c r="P84" s="625"/>
      <c r="Q84" s="259"/>
      <c r="R84" s="259"/>
      <c r="S84" s="259"/>
      <c r="T84" s="259"/>
      <c r="U84" s="63"/>
    </row>
    <row r="85" spans="1:21" s="257" customFormat="1" ht="30" x14ac:dyDescent="0.25">
      <c r="A85" s="822" t="s">
        <v>534</v>
      </c>
      <c r="B85" s="822" t="s">
        <v>2825</v>
      </c>
      <c r="C85" s="807">
        <v>7127.7766950406804</v>
      </c>
      <c r="D85" s="50">
        <f>IFERROR(INDEX('PR Expenditure_7A'!F$84:F$183,MATCH('PR Expenditure_7A import-export'!N85,'PR Expenditure_7A'!B$84:B$183,0)),"")</f>
        <v>2399.38</v>
      </c>
      <c r="E85" s="807"/>
      <c r="F85" s="808"/>
      <c r="G85" s="823"/>
      <c r="H85" s="303"/>
      <c r="I85" s="807">
        <v>14255.553390081401</v>
      </c>
      <c r="J85" s="50">
        <f>IFERROR(INDEX('PR Expenditure_7A'!L$84:L$183,MATCH('PR Expenditure_7A import-export'!N85,'PR Expenditure_7A'!B$84:B$183,0)),"")</f>
        <v>6474.72</v>
      </c>
      <c r="K85" s="807"/>
      <c r="L85" s="808"/>
      <c r="M85" s="637">
        <f t="shared" si="4"/>
        <v>23</v>
      </c>
      <c r="N85" s="637" t="str">
        <f t="shared" si="5"/>
        <v>Int23</v>
      </c>
      <c r="O85" s="810" t="s">
        <v>2826</v>
      </c>
      <c r="P85" s="625"/>
      <c r="Q85" s="259"/>
      <c r="R85" s="259"/>
      <c r="S85" s="259"/>
      <c r="T85" s="259"/>
      <c r="U85" s="63"/>
    </row>
    <row r="86" spans="1:21" s="257" customFormat="1" ht="30" x14ac:dyDescent="0.25">
      <c r="A86" s="822" t="s">
        <v>534</v>
      </c>
      <c r="B86" s="822" t="s">
        <v>2827</v>
      </c>
      <c r="C86" s="807">
        <v>622985.52204536099</v>
      </c>
      <c r="D86" s="50">
        <f>IFERROR(INDEX('PR Expenditure_7A'!F$84:F$183,MATCH('PR Expenditure_7A import-export'!N86,'PR Expenditure_7A'!B$84:B$183,0)),"")</f>
        <v>13961.495184609677</v>
      </c>
      <c r="E86" s="807"/>
      <c r="F86" s="808"/>
      <c r="G86" s="823"/>
      <c r="H86" s="303"/>
      <c r="I86" s="807">
        <v>636388.59280762204</v>
      </c>
      <c r="J86" s="50">
        <f>IFERROR(INDEX('PR Expenditure_7A'!L$84:L$183,MATCH('PR Expenditure_7A import-export'!N86,'PR Expenditure_7A'!B$84:B$183,0)),"")</f>
        <v>14253.785184609678</v>
      </c>
      <c r="K86" s="807"/>
      <c r="L86" s="808"/>
      <c r="M86" s="637">
        <f t="shared" si="4"/>
        <v>24</v>
      </c>
      <c r="N86" s="637" t="str">
        <f t="shared" si="5"/>
        <v>Int24</v>
      </c>
      <c r="O86" s="810" t="s">
        <v>2828</v>
      </c>
      <c r="P86" s="625"/>
      <c r="Q86" s="259"/>
      <c r="R86" s="259"/>
      <c r="S86" s="259"/>
      <c r="T86" s="259"/>
      <c r="U86" s="63"/>
    </row>
    <row r="87" spans="1:21" s="257" customFormat="1" ht="30" x14ac:dyDescent="0.25">
      <c r="A87" s="822" t="s">
        <v>534</v>
      </c>
      <c r="B87" s="822" t="s">
        <v>2829</v>
      </c>
      <c r="C87" s="807">
        <v>29457.486997347201</v>
      </c>
      <c r="D87" s="50">
        <f>IFERROR(INDEX('PR Expenditure_7A'!F$84:F$183,MATCH('PR Expenditure_7A import-export'!N87,'PR Expenditure_7A'!B$84:B$183,0)),"")</f>
        <v>18012.609037450595</v>
      </c>
      <c r="E87" s="807"/>
      <c r="F87" s="808"/>
      <c r="G87" s="823"/>
      <c r="H87" s="303"/>
      <c r="I87" s="807">
        <v>58914.973994694497</v>
      </c>
      <c r="J87" s="50">
        <f>IFERROR(INDEX('PR Expenditure_7A'!L$84:L$183,MATCH('PR Expenditure_7A import-export'!N87,'PR Expenditure_7A'!B$84:B$183,0)),"")</f>
        <v>32450.269037450595</v>
      </c>
      <c r="K87" s="807"/>
      <c r="L87" s="808"/>
      <c r="M87" s="637">
        <f t="shared" si="4"/>
        <v>25</v>
      </c>
      <c r="N87" s="637" t="str">
        <f t="shared" si="5"/>
        <v>Int25</v>
      </c>
      <c r="O87" s="810" t="s">
        <v>2830</v>
      </c>
      <c r="P87" s="625"/>
      <c r="Q87" s="259"/>
      <c r="R87" s="259"/>
      <c r="S87" s="259"/>
      <c r="T87" s="259"/>
      <c r="U87" s="63"/>
    </row>
    <row r="88" spans="1:21" s="257" customFormat="1" ht="30" x14ac:dyDescent="0.25">
      <c r="A88" s="822" t="s">
        <v>776</v>
      </c>
      <c r="B88" s="822" t="s">
        <v>2831</v>
      </c>
      <c r="C88" s="807">
        <v>13628.062159122001</v>
      </c>
      <c r="D88" s="50">
        <f>IFERROR(INDEX('PR Expenditure_7A'!F$84:F$183,MATCH('PR Expenditure_7A import-export'!N88,'PR Expenditure_7A'!B$84:B$183,0)),"")</f>
        <v>14263.364608860929</v>
      </c>
      <c r="E88" s="807"/>
      <c r="F88" s="808"/>
      <c r="G88" s="823"/>
      <c r="H88" s="303"/>
      <c r="I88" s="807">
        <v>27256.124318243899</v>
      </c>
      <c r="J88" s="50">
        <f>IFERROR(INDEX('PR Expenditure_7A'!L$84:L$183,MATCH('PR Expenditure_7A import-export'!N88,'PR Expenditure_7A'!B$84:B$183,0)),"")</f>
        <v>17185.974608860928</v>
      </c>
      <c r="K88" s="807"/>
      <c r="L88" s="808"/>
      <c r="M88" s="637">
        <f t="shared" si="4"/>
        <v>26</v>
      </c>
      <c r="N88" s="637" t="str">
        <f t="shared" si="5"/>
        <v>Int26</v>
      </c>
      <c r="O88" s="810" t="s">
        <v>2832</v>
      </c>
      <c r="P88" s="625"/>
      <c r="Q88" s="259"/>
      <c r="R88" s="259"/>
      <c r="S88" s="259"/>
      <c r="T88" s="259"/>
      <c r="U88" s="63"/>
    </row>
    <row r="89" spans="1:21" s="257" customFormat="1" ht="30" x14ac:dyDescent="0.25">
      <c r="A89" s="822" t="s">
        <v>2814</v>
      </c>
      <c r="B89" s="822" t="s">
        <v>2833</v>
      </c>
      <c r="C89" s="807">
        <v>114220.697039722</v>
      </c>
      <c r="D89" s="50">
        <f>IFERROR(INDEX('PR Expenditure_7A'!F$84:F$183,MATCH('PR Expenditure_7A import-export'!N89,'PR Expenditure_7A'!B$84:B$183,0)),"")</f>
        <v>62610.296214963135</v>
      </c>
      <c r="E89" s="807"/>
      <c r="F89" s="808"/>
      <c r="G89" s="823"/>
      <c r="H89" s="303"/>
      <c r="I89" s="807">
        <v>224301.48327685599</v>
      </c>
      <c r="J89" s="50">
        <f>IFERROR(INDEX('PR Expenditure_7A'!L$84:L$183,MATCH('PR Expenditure_7A import-export'!N89,'PR Expenditure_7A'!B$84:B$183,0)),"")</f>
        <v>194407.93621496315</v>
      </c>
      <c r="K89" s="807"/>
      <c r="L89" s="808"/>
      <c r="M89" s="637">
        <f t="shared" si="4"/>
        <v>27</v>
      </c>
      <c r="N89" s="637" t="str">
        <f t="shared" si="5"/>
        <v>Int27</v>
      </c>
      <c r="O89" s="810" t="s">
        <v>2834</v>
      </c>
      <c r="P89" s="625"/>
      <c r="Q89" s="259"/>
      <c r="R89" s="259"/>
      <c r="S89" s="259"/>
      <c r="T89" s="259"/>
      <c r="U89" s="63"/>
    </row>
    <row r="90" spans="1:21" s="257" customFormat="1" ht="30" x14ac:dyDescent="0.25">
      <c r="A90" s="822" t="s">
        <v>2835</v>
      </c>
      <c r="B90" s="822" t="s">
        <v>2836</v>
      </c>
      <c r="C90" s="807">
        <v>1163.05</v>
      </c>
      <c r="D90" s="50">
        <f>IFERROR(INDEX('PR Expenditure_7A'!F$84:F$183,MATCH('PR Expenditure_7A import-export'!N90,'PR Expenditure_7A'!B$84:B$183,0)),"")</f>
        <v>137005.34000000003</v>
      </c>
      <c r="E90" s="807"/>
      <c r="F90" s="808"/>
      <c r="G90" s="823"/>
      <c r="H90" s="303"/>
      <c r="I90" s="807">
        <v>31213.81</v>
      </c>
      <c r="J90" s="50">
        <f>IFERROR(INDEX('PR Expenditure_7A'!L$84:L$183,MATCH('PR Expenditure_7A import-export'!N90,'PR Expenditure_7A'!B$84:B$183,0)),"")</f>
        <v>137326.60000000003</v>
      </c>
      <c r="K90" s="807"/>
      <c r="L90" s="808"/>
      <c r="M90" s="637">
        <f t="shared" si="4"/>
        <v>28</v>
      </c>
      <c r="N90" s="637" t="str">
        <f t="shared" si="5"/>
        <v>Int28</v>
      </c>
      <c r="O90" s="810" t="s">
        <v>2837</v>
      </c>
      <c r="P90" s="625"/>
      <c r="Q90" s="259"/>
      <c r="R90" s="259"/>
      <c r="S90" s="259"/>
      <c r="T90" s="259"/>
      <c r="U90" s="63"/>
    </row>
    <row r="91" spans="1:21" s="257" customFormat="1" ht="15.75" x14ac:dyDescent="0.25">
      <c r="A91" s="822" t="s">
        <v>510</v>
      </c>
      <c r="B91" s="822" t="s">
        <v>2838</v>
      </c>
      <c r="C91" s="807">
        <v>268251.85155221203</v>
      </c>
      <c r="D91" s="50">
        <f>IFERROR(INDEX('PR Expenditure_7A'!F$84:F$183,MATCH('PR Expenditure_7A import-export'!N91,'PR Expenditure_7A'!B$84:B$183,0)),"")</f>
        <v>344750.72000000003</v>
      </c>
      <c r="E91" s="807"/>
      <c r="F91" s="808"/>
      <c r="G91" s="823"/>
      <c r="H91" s="303"/>
      <c r="I91" s="807">
        <v>293188.98310442403</v>
      </c>
      <c r="J91" s="50">
        <f>IFERROR(INDEX('PR Expenditure_7A'!L$84:L$183,MATCH('PR Expenditure_7A import-export'!N91,'PR Expenditure_7A'!B$84:B$183,0)),"")</f>
        <v>560395.27</v>
      </c>
      <c r="K91" s="807"/>
      <c r="L91" s="808"/>
      <c r="M91" s="637">
        <f t="shared" si="4"/>
        <v>29</v>
      </c>
      <c r="N91" s="637" t="str">
        <f t="shared" si="5"/>
        <v>Int29</v>
      </c>
      <c r="O91" s="810" t="s">
        <v>2839</v>
      </c>
      <c r="P91" s="625"/>
      <c r="Q91" s="259"/>
      <c r="R91" s="259"/>
      <c r="S91" s="259"/>
      <c r="T91" s="259"/>
      <c r="U91" s="63"/>
    </row>
    <row r="92" spans="1:21" s="257" customFormat="1" ht="30" x14ac:dyDescent="0.25">
      <c r="A92" s="822" t="s">
        <v>2840</v>
      </c>
      <c r="B92" s="822" t="s">
        <v>2841</v>
      </c>
      <c r="C92" s="807">
        <v>20509.3129564829</v>
      </c>
      <c r="D92" s="50">
        <f>IFERROR(INDEX('PR Expenditure_7A'!F$84:F$183,MATCH('PR Expenditure_7A import-export'!N92,'PR Expenditure_7A'!B$84:B$183,0)),"")</f>
        <v>9126.369999999999</v>
      </c>
      <c r="E92" s="807"/>
      <c r="F92" s="808"/>
      <c r="G92" s="823"/>
      <c r="H92" s="303"/>
      <c r="I92" s="807">
        <v>46276.525912965801</v>
      </c>
      <c r="J92" s="50">
        <f>IFERROR(INDEX('PR Expenditure_7A'!L$84:L$183,MATCH('PR Expenditure_7A import-export'!N92,'PR Expenditure_7A'!B$84:B$183,0)),"")</f>
        <v>9441.07</v>
      </c>
      <c r="K92" s="807"/>
      <c r="L92" s="808"/>
      <c r="M92" s="637">
        <f t="shared" si="4"/>
        <v>30</v>
      </c>
      <c r="N92" s="637" t="str">
        <f t="shared" si="5"/>
        <v>Int30</v>
      </c>
      <c r="O92" s="810" t="s">
        <v>2842</v>
      </c>
      <c r="P92" s="625"/>
      <c r="Q92" s="259"/>
      <c r="R92" s="259"/>
      <c r="S92" s="259"/>
      <c r="T92" s="259"/>
      <c r="U92" s="63"/>
    </row>
    <row r="93" spans="1:21" s="257" customFormat="1" ht="30" x14ac:dyDescent="0.25">
      <c r="A93" s="822" t="s">
        <v>453</v>
      </c>
      <c r="B93" s="822" t="s">
        <v>2843</v>
      </c>
      <c r="C93" s="807">
        <v>187657.37905091501</v>
      </c>
      <c r="D93" s="50">
        <f>IFERROR(INDEX('PR Expenditure_7A'!F$84:F$183,MATCH('PR Expenditure_7A import-export'!N93,'PR Expenditure_7A'!B$84:B$183,0)),"")</f>
        <v>76378.417420337268</v>
      </c>
      <c r="E93" s="807"/>
      <c r="F93" s="808"/>
      <c r="G93" s="823"/>
      <c r="H93" s="303"/>
      <c r="I93" s="807">
        <v>372345.53119457298</v>
      </c>
      <c r="J93" s="50">
        <f>IFERROR(INDEX('PR Expenditure_7A'!L$84:L$183,MATCH('PR Expenditure_7A import-export'!N93,'PR Expenditure_7A'!B$84:B$183,0)),"")</f>
        <v>188613.78742033726</v>
      </c>
      <c r="K93" s="807"/>
      <c r="L93" s="808"/>
      <c r="M93" s="637">
        <f t="shared" si="4"/>
        <v>31</v>
      </c>
      <c r="N93" s="637" t="str">
        <f t="shared" si="5"/>
        <v>Int31</v>
      </c>
      <c r="O93" s="810" t="s">
        <v>2844</v>
      </c>
      <c r="P93" s="625"/>
      <c r="Q93" s="259"/>
      <c r="R93" s="259"/>
      <c r="S93" s="259"/>
      <c r="T93" s="259"/>
      <c r="U93" s="63"/>
    </row>
    <row r="94" spans="1:21" s="257" customFormat="1" ht="15.75" x14ac:dyDescent="0.25">
      <c r="A94" s="822" t="s">
        <v>461</v>
      </c>
      <c r="B94" s="822" t="s">
        <v>2845</v>
      </c>
      <c r="C94" s="807">
        <v>1068283.68218652</v>
      </c>
      <c r="D94" s="50">
        <f>IFERROR(INDEX('PR Expenditure_7A'!F$84:F$183,MATCH('PR Expenditure_7A import-export'!N94,'PR Expenditure_7A'!B$84:B$183,0)),"")</f>
        <v>961915.97234358441</v>
      </c>
      <c r="E94" s="807"/>
      <c r="F94" s="808"/>
      <c r="G94" s="823"/>
      <c r="H94" s="303"/>
      <c r="I94" s="807">
        <v>2090564.7177717099</v>
      </c>
      <c r="J94" s="50">
        <f>IFERROR(INDEX('PR Expenditure_7A'!L$84:L$183,MATCH('PR Expenditure_7A import-export'!N94,'PR Expenditure_7A'!B$84:B$183,0)),"")</f>
        <v>1793383.9723435845</v>
      </c>
      <c r="K94" s="807"/>
      <c r="L94" s="808"/>
      <c r="M94" s="637">
        <f t="shared" si="4"/>
        <v>32</v>
      </c>
      <c r="N94" s="637" t="str">
        <f t="shared" si="5"/>
        <v>Int32</v>
      </c>
      <c r="O94" s="810" t="s">
        <v>2846</v>
      </c>
      <c r="P94" s="625"/>
      <c r="Q94" s="259"/>
      <c r="R94" s="259"/>
      <c r="S94" s="259"/>
      <c r="T94" s="259"/>
      <c r="U94" s="63"/>
    </row>
    <row r="95" spans="1:21" s="257" customFormat="1" ht="15.75" x14ac:dyDescent="0.25">
      <c r="A95" s="822" t="s">
        <v>461</v>
      </c>
      <c r="B95" s="822" t="s">
        <v>2847</v>
      </c>
      <c r="C95" s="807">
        <v>694038.37243824103</v>
      </c>
      <c r="D95" s="50">
        <f>IFERROR(INDEX('PR Expenditure_7A'!F$84:F$183,MATCH('PR Expenditure_7A import-export'!N95,'PR Expenditure_7A'!B$84:B$183,0)),"")</f>
        <v>756795.19382389309</v>
      </c>
      <c r="E95" s="807"/>
      <c r="F95" s="808"/>
      <c r="G95" s="823"/>
      <c r="H95" s="303"/>
      <c r="I95" s="807">
        <v>1325440.78616524</v>
      </c>
      <c r="J95" s="50">
        <f>IFERROR(INDEX('PR Expenditure_7A'!L$84:L$183,MATCH('PR Expenditure_7A import-export'!N95,'PR Expenditure_7A'!B$84:B$183,0)),"")</f>
        <v>1157080.5638238932</v>
      </c>
      <c r="K95" s="807"/>
      <c r="L95" s="808"/>
      <c r="M95" s="637">
        <f t="shared" si="4"/>
        <v>33</v>
      </c>
      <c r="N95" s="637" t="str">
        <f t="shared" si="5"/>
        <v>Int33</v>
      </c>
      <c r="O95" s="810" t="s">
        <v>2848</v>
      </c>
      <c r="P95" s="625"/>
      <c r="Q95" s="259"/>
      <c r="R95" s="259"/>
      <c r="S95" s="259"/>
      <c r="T95" s="259"/>
      <c r="U95" s="63"/>
    </row>
    <row r="96" spans="1:21" s="257" customFormat="1" ht="15.75" x14ac:dyDescent="0.25">
      <c r="A96" s="822" t="s">
        <v>461</v>
      </c>
      <c r="B96" s="822" t="s">
        <v>2849</v>
      </c>
      <c r="C96" s="807">
        <v>385032.36622405198</v>
      </c>
      <c r="D96" s="50">
        <f>IFERROR(INDEX('PR Expenditure_7A'!F$84:F$183,MATCH('PR Expenditure_7A import-export'!N96,'PR Expenditure_7A'!B$84:B$183,0)),"")</f>
        <v>173679.92999999988</v>
      </c>
      <c r="E96" s="807"/>
      <c r="F96" s="808"/>
      <c r="G96" s="823"/>
      <c r="H96" s="303"/>
      <c r="I96" s="807">
        <v>753980.967571388</v>
      </c>
      <c r="J96" s="50">
        <f>IFERROR(INDEX('PR Expenditure_7A'!L$84:L$183,MATCH('PR Expenditure_7A import-export'!N96,'PR Expenditure_7A'!B$84:B$183,0)),"")</f>
        <v>212004.40999999989</v>
      </c>
      <c r="K96" s="807"/>
      <c r="L96" s="808"/>
      <c r="M96" s="637">
        <f t="shared" si="4"/>
        <v>34</v>
      </c>
      <c r="N96" s="637" t="str">
        <f t="shared" si="5"/>
        <v>Int34</v>
      </c>
      <c r="O96" s="810" t="s">
        <v>2850</v>
      </c>
      <c r="P96" s="625"/>
      <c r="Q96" s="259"/>
      <c r="R96" s="259"/>
      <c r="S96" s="259"/>
      <c r="T96" s="259"/>
      <c r="U96" s="63"/>
    </row>
    <row r="97" spans="1:21" s="257" customFormat="1" ht="30" x14ac:dyDescent="0.25">
      <c r="A97" s="822" t="s">
        <v>461</v>
      </c>
      <c r="B97" s="822" t="s">
        <v>2851</v>
      </c>
      <c r="C97" s="807">
        <v>96879.65</v>
      </c>
      <c r="D97" s="50">
        <f>IFERROR(INDEX('PR Expenditure_7A'!F$84:F$183,MATCH('PR Expenditure_7A import-export'!N97,'PR Expenditure_7A'!B$84:B$183,0)),"")</f>
        <v>110783.38000000002</v>
      </c>
      <c r="E97" s="807"/>
      <c r="F97" s="808"/>
      <c r="G97" s="823"/>
      <c r="H97" s="303"/>
      <c r="I97" s="807">
        <v>205386.00484017201</v>
      </c>
      <c r="J97" s="50">
        <f>IFERROR(INDEX('PR Expenditure_7A'!L$84:L$183,MATCH('PR Expenditure_7A import-export'!N97,'PR Expenditure_7A'!B$84:B$183,0)),"")</f>
        <v>257048.87</v>
      </c>
      <c r="K97" s="807"/>
      <c r="L97" s="808"/>
      <c r="M97" s="637">
        <f t="shared" si="4"/>
        <v>35</v>
      </c>
      <c r="N97" s="637" t="str">
        <f t="shared" si="5"/>
        <v>Int35</v>
      </c>
      <c r="O97" s="810" t="s">
        <v>2852</v>
      </c>
      <c r="P97" s="625"/>
      <c r="Q97" s="259"/>
      <c r="R97" s="259"/>
      <c r="S97" s="259"/>
      <c r="T97" s="259"/>
      <c r="U97" s="63"/>
    </row>
    <row r="98" spans="1:21" s="257" customFormat="1" ht="15.75" x14ac:dyDescent="0.25">
      <c r="A98" s="822" t="s">
        <v>461</v>
      </c>
      <c r="B98" s="822" t="s">
        <v>2853</v>
      </c>
      <c r="C98" s="807">
        <v>3031850.71</v>
      </c>
      <c r="D98" s="50">
        <f>IFERROR(INDEX('PR Expenditure_7A'!F$84:F$183,MATCH('PR Expenditure_7A import-export'!N98,'PR Expenditure_7A'!B$84:B$183,0)),"")</f>
        <v>3675255.7800000003</v>
      </c>
      <c r="E98" s="807"/>
      <c r="F98" s="808"/>
      <c r="G98" s="823"/>
      <c r="H98" s="303"/>
      <c r="I98" s="807">
        <v>3279654.91</v>
      </c>
      <c r="J98" s="50">
        <f>IFERROR(INDEX('PR Expenditure_7A'!L$84:L$183,MATCH('PR Expenditure_7A import-export'!N98,'PR Expenditure_7A'!B$84:B$183,0)),"")</f>
        <v>5074232.7</v>
      </c>
      <c r="K98" s="807"/>
      <c r="L98" s="808"/>
      <c r="M98" s="637">
        <f t="shared" si="4"/>
        <v>36</v>
      </c>
      <c r="N98" s="637" t="str">
        <f t="shared" si="5"/>
        <v>Int36</v>
      </c>
      <c r="O98" s="810" t="s">
        <v>2854</v>
      </c>
      <c r="P98" s="625"/>
      <c r="Q98" s="259"/>
      <c r="R98" s="259"/>
      <c r="S98" s="259"/>
      <c r="T98" s="259"/>
      <c r="U98" s="63"/>
    </row>
    <row r="99" spans="1:21" s="257" customFormat="1" ht="15.75" x14ac:dyDescent="0.25">
      <c r="A99" s="822" t="s">
        <v>461</v>
      </c>
      <c r="B99" s="822" t="s">
        <v>2855</v>
      </c>
      <c r="C99" s="807">
        <v>607897.69134983898</v>
      </c>
      <c r="D99" s="50">
        <f>IFERROR(INDEX('PR Expenditure_7A'!F$84:F$183,MATCH('PR Expenditure_7A import-export'!N99,'PR Expenditure_7A'!B$84:B$183,0)),"")</f>
        <v>636751.87000000011</v>
      </c>
      <c r="E99" s="807"/>
      <c r="F99" s="808"/>
      <c r="G99" s="823"/>
      <c r="H99" s="303"/>
      <c r="I99" s="807">
        <v>986521.99948607804</v>
      </c>
      <c r="J99" s="50">
        <f>IFERROR(INDEX('PR Expenditure_7A'!L$84:L$183,MATCH('PR Expenditure_7A import-export'!N99,'PR Expenditure_7A'!B$84:B$183,0)),"")</f>
        <v>907686.92000000016</v>
      </c>
      <c r="K99" s="807"/>
      <c r="L99" s="808"/>
      <c r="M99" s="637">
        <f t="shared" si="4"/>
        <v>37</v>
      </c>
      <c r="N99" s="637" t="str">
        <f t="shared" si="5"/>
        <v>Int37</v>
      </c>
      <c r="O99" s="810" t="s">
        <v>2856</v>
      </c>
      <c r="P99" s="625"/>
      <c r="Q99" s="259"/>
      <c r="R99" s="259"/>
      <c r="S99" s="259"/>
      <c r="T99" s="259"/>
      <c r="U99" s="63"/>
    </row>
    <row r="100" spans="1:21" s="257" customFormat="1" ht="30" x14ac:dyDescent="0.25">
      <c r="A100" s="822" t="s">
        <v>461</v>
      </c>
      <c r="B100" s="822" t="s">
        <v>2857</v>
      </c>
      <c r="C100" s="807">
        <v>85041.91</v>
      </c>
      <c r="D100" s="50">
        <f>IFERROR(INDEX('PR Expenditure_7A'!F$84:F$183,MATCH('PR Expenditure_7A import-export'!N100,'PR Expenditure_7A'!B$84:B$183,0)),"")</f>
        <v>6591.4499999999989</v>
      </c>
      <c r="E100" s="807"/>
      <c r="F100" s="808"/>
      <c r="G100" s="823"/>
      <c r="H100" s="303"/>
      <c r="I100" s="807">
        <v>251043.58</v>
      </c>
      <c r="J100" s="50">
        <f>IFERROR(INDEX('PR Expenditure_7A'!L$84:L$183,MATCH('PR Expenditure_7A import-export'!N100,'PR Expenditure_7A'!B$84:B$183,0)),"")</f>
        <v>25426.1</v>
      </c>
      <c r="K100" s="807"/>
      <c r="L100" s="808"/>
      <c r="M100" s="637">
        <f t="shared" si="4"/>
        <v>38</v>
      </c>
      <c r="N100" s="637" t="str">
        <f t="shared" si="5"/>
        <v>Int38</v>
      </c>
      <c r="O100" s="810" t="s">
        <v>2858</v>
      </c>
      <c r="P100" s="625"/>
      <c r="Q100" s="259"/>
      <c r="R100" s="259"/>
      <c r="S100" s="259"/>
      <c r="T100" s="259"/>
      <c r="U100" s="63"/>
    </row>
    <row r="101" spans="1:21" s="257" customFormat="1" ht="30" x14ac:dyDescent="0.25">
      <c r="A101" s="822" t="s">
        <v>534</v>
      </c>
      <c r="B101" s="822" t="s">
        <v>2859</v>
      </c>
      <c r="C101" s="807">
        <v>367.04963957012001</v>
      </c>
      <c r="D101" s="50">
        <f>IFERROR(INDEX('PR Expenditure_7A'!F$84:F$183,MATCH('PR Expenditure_7A import-export'!N101,'PR Expenditure_7A'!B$84:B$183,0)),"")</f>
        <v>191.15757672556381</v>
      </c>
      <c r="E101" s="807"/>
      <c r="F101" s="808"/>
      <c r="G101" s="823"/>
      <c r="H101" s="303"/>
      <c r="I101" s="807">
        <v>734.09927914024001</v>
      </c>
      <c r="J101" s="50">
        <f>IFERROR(INDEX('PR Expenditure_7A'!L$84:L$183,MATCH('PR Expenditure_7A import-export'!N101,'PR Expenditure_7A'!B$84:B$183,0)),"")</f>
        <v>337.11757672556382</v>
      </c>
      <c r="K101" s="807"/>
      <c r="L101" s="808"/>
      <c r="M101" s="637">
        <f t="shared" si="4"/>
        <v>39</v>
      </c>
      <c r="N101" s="637" t="str">
        <f t="shared" si="5"/>
        <v>Int39</v>
      </c>
      <c r="O101" s="810" t="s">
        <v>2860</v>
      </c>
      <c r="P101" s="625"/>
      <c r="Q101" s="259"/>
      <c r="R101" s="259"/>
      <c r="S101" s="259"/>
      <c r="T101" s="259"/>
      <c r="U101" s="63"/>
    </row>
    <row r="102" spans="1:21" s="257" customFormat="1" ht="30" x14ac:dyDescent="0.25">
      <c r="A102" s="822" t="s">
        <v>2814</v>
      </c>
      <c r="B102" s="822" t="s">
        <v>2861</v>
      </c>
      <c r="C102" s="807">
        <v>10891.0875537415</v>
      </c>
      <c r="D102" s="50">
        <f>IFERROR(INDEX('PR Expenditure_7A'!F$84:F$183,MATCH('PR Expenditure_7A import-export'!N102,'PR Expenditure_7A'!B$84:B$183,0)),"")</f>
        <v>7247.49</v>
      </c>
      <c r="E102" s="807"/>
      <c r="F102" s="808"/>
      <c r="G102" s="823"/>
      <c r="H102" s="303"/>
      <c r="I102" s="807">
        <v>40891.087553741403</v>
      </c>
      <c r="J102" s="50">
        <f>IFERROR(INDEX('PR Expenditure_7A'!L$84:L$183,MATCH('PR Expenditure_7A import-export'!N102,'PR Expenditure_7A'!B$84:B$183,0)),"")</f>
        <v>7247.49</v>
      </c>
      <c r="K102" s="807"/>
      <c r="L102" s="808"/>
      <c r="M102" s="637">
        <f t="shared" si="4"/>
        <v>40</v>
      </c>
      <c r="N102" s="637" t="str">
        <f t="shared" si="5"/>
        <v>Int40</v>
      </c>
      <c r="O102" s="810" t="s">
        <v>2862</v>
      </c>
      <c r="P102" s="625"/>
      <c r="Q102" s="259"/>
      <c r="R102" s="259"/>
      <c r="S102" s="259"/>
      <c r="T102" s="259"/>
      <c r="U102" s="63"/>
    </row>
    <row r="103" spans="1:21" s="257" customFormat="1" ht="15.75" x14ac:dyDescent="0.25">
      <c r="A103" s="822" t="s">
        <v>440</v>
      </c>
      <c r="B103" s="822" t="s">
        <v>2863</v>
      </c>
      <c r="C103" s="807">
        <v>27789.511472717601</v>
      </c>
      <c r="D103" s="50">
        <f>IFERROR(INDEX('PR Expenditure_7A'!F$84:F$183,MATCH('PR Expenditure_7A import-export'!N103,'PR Expenditure_7A'!B$84:B$183,0)),"")</f>
        <v>8021.170000000001</v>
      </c>
      <c r="E103" s="807"/>
      <c r="F103" s="808"/>
      <c r="G103" s="823"/>
      <c r="H103" s="303"/>
      <c r="I103" s="807">
        <v>27789.511472717601</v>
      </c>
      <c r="J103" s="50">
        <f>IFERROR(INDEX('PR Expenditure_7A'!L$84:L$183,MATCH('PR Expenditure_7A import-export'!N103,'PR Expenditure_7A'!B$84:B$183,0)),"")</f>
        <v>8021.170000000001</v>
      </c>
      <c r="K103" s="807"/>
      <c r="L103" s="808"/>
      <c r="M103" s="637">
        <f t="shared" si="4"/>
        <v>41</v>
      </c>
      <c r="N103" s="637" t="str">
        <f t="shared" si="5"/>
        <v>Int41</v>
      </c>
      <c r="O103" s="810" t="s">
        <v>2864</v>
      </c>
      <c r="P103" s="625"/>
      <c r="Q103" s="259"/>
      <c r="R103" s="259"/>
      <c r="S103" s="259"/>
      <c r="T103" s="259"/>
      <c r="U103" s="63"/>
    </row>
    <row r="104" spans="1:21" s="257" customFormat="1" ht="30" x14ac:dyDescent="0.25">
      <c r="A104" s="822" t="s">
        <v>2865</v>
      </c>
      <c r="B104" s="822" t="s">
        <v>2866</v>
      </c>
      <c r="C104" s="807">
        <v>6058.6886303199999</v>
      </c>
      <c r="D104" s="50">
        <f>IFERROR(INDEX('PR Expenditure_7A'!F$84:F$183,MATCH('PR Expenditure_7A import-export'!N104,'PR Expenditure_7A'!B$84:B$183,0)),"")</f>
        <v>0</v>
      </c>
      <c r="E104" s="807"/>
      <c r="F104" s="808"/>
      <c r="G104" s="823"/>
      <c r="H104" s="303"/>
      <c r="I104" s="807">
        <v>6058.6886303199999</v>
      </c>
      <c r="J104" s="50">
        <f>IFERROR(INDEX('PR Expenditure_7A'!L$84:L$183,MATCH('PR Expenditure_7A import-export'!N104,'PR Expenditure_7A'!B$84:B$183,0)),"")</f>
        <v>0</v>
      </c>
      <c r="K104" s="807"/>
      <c r="L104" s="808"/>
      <c r="M104" s="637">
        <f t="shared" si="4"/>
        <v>42</v>
      </c>
      <c r="N104" s="637" t="str">
        <f t="shared" si="5"/>
        <v>Int42</v>
      </c>
      <c r="O104" s="810" t="s">
        <v>2867</v>
      </c>
      <c r="P104" s="625"/>
      <c r="Q104" s="259"/>
      <c r="R104" s="259"/>
      <c r="S104" s="259"/>
      <c r="T104" s="259"/>
      <c r="U104" s="63"/>
    </row>
    <row r="105" spans="1:21" s="257" customFormat="1" ht="30" x14ac:dyDescent="0.25">
      <c r="A105" s="822" t="s">
        <v>776</v>
      </c>
      <c r="B105" s="822" t="s">
        <v>2868</v>
      </c>
      <c r="C105" s="807">
        <v>278.23917061999998</v>
      </c>
      <c r="D105" s="50">
        <f>IFERROR(INDEX('PR Expenditure_7A'!F$84:F$183,MATCH('PR Expenditure_7A import-export'!N105,'PR Expenditure_7A'!B$84:B$183,0)),"")</f>
        <v>0</v>
      </c>
      <c r="E105" s="807"/>
      <c r="F105" s="808"/>
      <c r="G105" s="823"/>
      <c r="H105" s="303"/>
      <c r="I105" s="807">
        <v>278.23917061999998</v>
      </c>
      <c r="J105" s="50">
        <f>IFERROR(INDEX('PR Expenditure_7A'!L$84:L$183,MATCH('PR Expenditure_7A import-export'!N105,'PR Expenditure_7A'!B$84:B$183,0)),"")</f>
        <v>0</v>
      </c>
      <c r="K105" s="807"/>
      <c r="L105" s="808"/>
      <c r="M105" s="637">
        <f t="shared" si="4"/>
        <v>43</v>
      </c>
      <c r="N105" s="637" t="str">
        <f t="shared" si="5"/>
        <v>Int43</v>
      </c>
      <c r="O105" s="810" t="s">
        <v>2869</v>
      </c>
      <c r="P105" s="625"/>
      <c r="Q105" s="259"/>
      <c r="R105" s="259"/>
      <c r="S105" s="259"/>
      <c r="T105" s="259"/>
      <c r="U105" s="63"/>
    </row>
    <row r="106" spans="1:21" s="257" customFormat="1" ht="30" x14ac:dyDescent="0.25">
      <c r="A106" s="822" t="s">
        <v>2870</v>
      </c>
      <c r="B106" s="822" t="s">
        <v>2871</v>
      </c>
      <c r="C106" s="807">
        <v>66006.276648359999</v>
      </c>
      <c r="D106" s="50">
        <f>IFERROR(INDEX('PR Expenditure_7A'!F$84:F$183,MATCH('PR Expenditure_7A import-export'!N106,'PR Expenditure_7A'!B$84:B$183,0)),"")</f>
        <v>46.38</v>
      </c>
      <c r="E106" s="807"/>
      <c r="F106" s="808"/>
      <c r="G106" s="823"/>
      <c r="H106" s="303"/>
      <c r="I106" s="807">
        <v>66006.276648359999</v>
      </c>
      <c r="J106" s="50">
        <f>IFERROR(INDEX('PR Expenditure_7A'!L$84:L$183,MATCH('PR Expenditure_7A import-export'!N106,'PR Expenditure_7A'!B$84:B$183,0)),"")</f>
        <v>46.38</v>
      </c>
      <c r="K106" s="807"/>
      <c r="L106" s="808"/>
      <c r="M106" s="637">
        <f t="shared" si="4"/>
        <v>44</v>
      </c>
      <c r="N106" s="637" t="str">
        <f t="shared" si="5"/>
        <v>Int44</v>
      </c>
      <c r="O106" s="810" t="s">
        <v>2872</v>
      </c>
      <c r="P106" s="625"/>
      <c r="Q106" s="259"/>
      <c r="R106" s="259"/>
      <c r="S106" s="259"/>
      <c r="T106" s="259"/>
      <c r="U106" s="63"/>
    </row>
    <row r="107" spans="1:21" s="257" customFormat="1" ht="30" x14ac:dyDescent="0.25">
      <c r="A107" s="822" t="s">
        <v>2835</v>
      </c>
      <c r="B107" s="822" t="s">
        <v>2873</v>
      </c>
      <c r="C107" s="807">
        <v>13849.92134264</v>
      </c>
      <c r="D107" s="50">
        <f>IFERROR(INDEX('PR Expenditure_7A'!F$84:F$183,MATCH('PR Expenditure_7A import-export'!N107,'PR Expenditure_7A'!B$84:B$183,0)),"")</f>
        <v>390.72</v>
      </c>
      <c r="E107" s="807"/>
      <c r="F107" s="808"/>
      <c r="G107" s="823"/>
      <c r="H107" s="303"/>
      <c r="I107" s="807">
        <v>13849.92134264</v>
      </c>
      <c r="J107" s="50">
        <f>IFERROR(INDEX('PR Expenditure_7A'!L$84:L$183,MATCH('PR Expenditure_7A import-export'!N107,'PR Expenditure_7A'!B$84:B$183,0)),"")</f>
        <v>4767.5600000000004</v>
      </c>
      <c r="K107" s="807"/>
      <c r="L107" s="808"/>
      <c r="M107" s="637">
        <f t="shared" si="4"/>
        <v>45</v>
      </c>
      <c r="N107" s="637" t="str">
        <f t="shared" si="5"/>
        <v>Int45</v>
      </c>
      <c r="O107" s="810" t="s">
        <v>2874</v>
      </c>
      <c r="P107" s="625"/>
      <c r="Q107" s="259"/>
      <c r="R107" s="259"/>
      <c r="S107" s="259"/>
      <c r="T107" s="259"/>
      <c r="U107" s="63"/>
    </row>
    <row r="108" spans="1:21" s="257" customFormat="1" x14ac:dyDescent="0.2">
      <c r="A108" s="824"/>
      <c r="B108" s="824"/>
      <c r="C108" s="815"/>
      <c r="D108" s="815"/>
      <c r="E108" s="816"/>
      <c r="F108" s="817"/>
      <c r="G108" s="825"/>
      <c r="H108" s="316"/>
      <c r="I108" s="815"/>
      <c r="J108" s="815"/>
      <c r="K108" s="816"/>
      <c r="L108" s="817"/>
      <c r="M108" s="813">
        <v>-1</v>
      </c>
      <c r="N108" s="826"/>
      <c r="O108" s="827" t="s">
        <v>2875</v>
      </c>
      <c r="P108" s="828"/>
      <c r="Q108" s="804" t="s">
        <v>122</v>
      </c>
      <c r="R108" s="416"/>
      <c r="S108" s="259"/>
      <c r="T108" s="259"/>
      <c r="U108" s="63"/>
    </row>
    <row r="109" spans="1:21" s="257" customFormat="1" hidden="1" x14ac:dyDescent="0.2">
      <c r="A109" s="829" t="str">
        <f>IFERROR(INDEX('PR Expenditure_7A'!C$184:C$199,MATCH('PR Expenditure_7A import-export'!N109,'PR Expenditure_7A'!B$184:B$199,0)),"")</f>
        <v/>
      </c>
      <c r="B109" s="829" t="str">
        <f>IFERROR(INDEX('PR Expenditure_7A'!D$184:D$199,MATCH('PR Expenditure_7A import-export'!N109,'PR Expenditure_7A'!B$184:B$199,0)),"")</f>
        <v/>
      </c>
      <c r="C109" s="807" t="s">
        <v>2675</v>
      </c>
      <c r="D109" s="50" t="str">
        <f>IFERROR(INDEX('PR Expenditure_7A'!F$184:F$199,MATCH('PR Expenditure_7A import-export'!N109,'PR Expenditure_7A'!B$184:B$199,0)),"")</f>
        <v/>
      </c>
      <c r="E109" s="807"/>
      <c r="F109" s="807"/>
      <c r="G109" s="823"/>
      <c r="H109" s="807"/>
      <c r="I109" s="807" t="s">
        <v>2676</v>
      </c>
      <c r="J109" s="50" t="str">
        <f>IFERROR(INDEX('PR Expenditure_7A'!L$184:L$199,MATCH('PR Expenditure_7A import-export'!N109,'PR Expenditure_7A'!B$184:B$199,0)),"")</f>
        <v/>
      </c>
      <c r="K109" s="807"/>
      <c r="L109" s="807"/>
      <c r="M109" s="813">
        <f>M108+1</f>
        <v>0</v>
      </c>
      <c r="N109" s="826" t="str">
        <f>"NewMod"&amp;M109</f>
        <v>NewMod0</v>
      </c>
      <c r="O109" s="810" t="str">
        <f>IFERROR(IF(VLOOKUP(A109,'Reference Records'!$B$13:$D$48,3,FALSE)=0,"",VLOOKUP(A109,'Reference Records'!$B$13:$D$48,3,FALSE)),"")</f>
        <v/>
      </c>
      <c r="P109" s="830"/>
      <c r="Q109" s="810" t="s">
        <v>371</v>
      </c>
      <c r="R109" s="259"/>
      <c r="S109" s="259"/>
      <c r="T109" s="259"/>
      <c r="U109" s="63"/>
    </row>
    <row r="110" spans="1:21" s="257" customFormat="1" x14ac:dyDescent="0.2">
      <c r="A110" s="829">
        <f>IFERROR(INDEX('PR Expenditure_7A'!C$184:C$199,MATCH('PR Expenditure_7A import-export'!N110,'PR Expenditure_7A'!B$184:B$199,0)),"")</f>
        <v>0</v>
      </c>
      <c r="B110" s="829">
        <f>IFERROR(INDEX('PR Expenditure_7A'!D$184:D$199,MATCH('PR Expenditure_7A import-export'!N110,'PR Expenditure_7A'!B$184:B$199,0)),"")</f>
        <v>0</v>
      </c>
      <c r="C110" s="807">
        <v>0</v>
      </c>
      <c r="D110" s="50">
        <f>IFERROR(INDEX('PR Expenditure_7A'!F$184:F$199,MATCH('PR Expenditure_7A import-export'!N110,'PR Expenditure_7A'!B$184:B$199,0)),"")</f>
        <v>0</v>
      </c>
      <c r="E110" s="807"/>
      <c r="F110" s="807"/>
      <c r="G110" s="823"/>
      <c r="H110" s="807"/>
      <c r="I110" s="807">
        <v>0</v>
      </c>
      <c r="J110" s="50">
        <f>IFERROR(INDEX('PR Expenditure_7A'!L$184:L$199,MATCH('PR Expenditure_7A import-export'!N110,'PR Expenditure_7A'!B$184:B$199,0)),"")</f>
        <v>0</v>
      </c>
      <c r="K110" s="807"/>
      <c r="L110" s="807"/>
      <c r="M110" s="813">
        <f t="shared" ref="M110:M124" si="6">M109+1</f>
        <v>1</v>
      </c>
      <c r="N110" s="826" t="str">
        <f t="shared" ref="N110:N124" si="7">"NewMod"&amp;M110</f>
        <v>NewMod1</v>
      </c>
      <c r="O110" s="810" t="str">
        <f>IFERROR(IF(VLOOKUP(A110,'Reference Records'!$B$13:$D$48,3,FALSE)=0,"",VLOOKUP(A110,'Reference Records'!$B$13:$D$48,3,FALSE)),"")</f>
        <v/>
      </c>
      <c r="P110" s="830"/>
      <c r="Q110" s="810" t="s">
        <v>2876</v>
      </c>
      <c r="R110" s="259"/>
      <c r="S110" s="259"/>
      <c r="T110" s="259"/>
      <c r="U110" s="63"/>
    </row>
    <row r="111" spans="1:21" s="257" customFormat="1" x14ac:dyDescent="0.2">
      <c r="A111" s="829">
        <f>IFERROR(INDEX('PR Expenditure_7A'!C$184:C$199,MATCH('PR Expenditure_7A import-export'!N111,'PR Expenditure_7A'!B$184:B$199,0)),"")</f>
        <v>0</v>
      </c>
      <c r="B111" s="829">
        <f>IFERROR(INDEX('PR Expenditure_7A'!D$184:D$199,MATCH('PR Expenditure_7A import-export'!N111,'PR Expenditure_7A'!B$184:B$199,0)),"")</f>
        <v>0</v>
      </c>
      <c r="C111" s="807">
        <v>0</v>
      </c>
      <c r="D111" s="50">
        <f>IFERROR(INDEX('PR Expenditure_7A'!F$184:F$199,MATCH('PR Expenditure_7A import-export'!N111,'PR Expenditure_7A'!B$184:B$199,0)),"")</f>
        <v>0</v>
      </c>
      <c r="E111" s="807"/>
      <c r="F111" s="807"/>
      <c r="G111" s="823"/>
      <c r="H111" s="807"/>
      <c r="I111" s="807">
        <v>0</v>
      </c>
      <c r="J111" s="50">
        <f>IFERROR(INDEX('PR Expenditure_7A'!L$184:L$199,MATCH('PR Expenditure_7A import-export'!N111,'PR Expenditure_7A'!B$184:B$199,0)),"")</f>
        <v>0</v>
      </c>
      <c r="K111" s="807"/>
      <c r="L111" s="807"/>
      <c r="M111" s="813">
        <f t="shared" si="6"/>
        <v>2</v>
      </c>
      <c r="N111" s="826" t="str">
        <f t="shared" si="7"/>
        <v>NewMod2</v>
      </c>
      <c r="O111" s="810" t="str">
        <f>IFERROR(IF(VLOOKUP(A111,'Reference Records'!$B$13:$D$48,3,FALSE)=0,"",VLOOKUP(A111,'Reference Records'!$B$13:$D$48,3,FALSE)),"")</f>
        <v/>
      </c>
      <c r="P111" s="830"/>
      <c r="Q111" s="810" t="s">
        <v>2877</v>
      </c>
      <c r="R111" s="259"/>
      <c r="S111" s="259"/>
      <c r="T111" s="259"/>
      <c r="U111" s="63"/>
    </row>
    <row r="112" spans="1:21" s="257" customFormat="1" x14ac:dyDescent="0.2">
      <c r="A112" s="829">
        <f>IFERROR(INDEX('PR Expenditure_7A'!C$184:C$199,MATCH('PR Expenditure_7A import-export'!N112,'PR Expenditure_7A'!B$184:B$199,0)),"")</f>
        <v>0</v>
      </c>
      <c r="B112" s="829">
        <f>IFERROR(INDEX('PR Expenditure_7A'!D$184:D$199,MATCH('PR Expenditure_7A import-export'!N112,'PR Expenditure_7A'!B$184:B$199,0)),"")</f>
        <v>0</v>
      </c>
      <c r="C112" s="807">
        <v>0</v>
      </c>
      <c r="D112" s="50">
        <f>IFERROR(INDEX('PR Expenditure_7A'!F$184:F$199,MATCH('PR Expenditure_7A import-export'!N112,'PR Expenditure_7A'!B$184:B$199,0)),"")</f>
        <v>0</v>
      </c>
      <c r="E112" s="807"/>
      <c r="F112" s="807"/>
      <c r="G112" s="823"/>
      <c r="H112" s="807"/>
      <c r="I112" s="807">
        <v>0</v>
      </c>
      <c r="J112" s="50">
        <f>IFERROR(INDEX('PR Expenditure_7A'!L$184:L$199,MATCH('PR Expenditure_7A import-export'!N112,'PR Expenditure_7A'!B$184:B$199,0)),"")</f>
        <v>0</v>
      </c>
      <c r="K112" s="807"/>
      <c r="L112" s="807"/>
      <c r="M112" s="813">
        <f t="shared" si="6"/>
        <v>3</v>
      </c>
      <c r="N112" s="826" t="str">
        <f t="shared" si="7"/>
        <v>NewMod3</v>
      </c>
      <c r="O112" s="810" t="str">
        <f>IFERROR(IF(VLOOKUP(A112,'Reference Records'!$B$13:$D$48,3,FALSE)=0,"",VLOOKUP(A112,'Reference Records'!$B$13:$D$48,3,FALSE)),"")</f>
        <v/>
      </c>
      <c r="P112" s="830"/>
      <c r="Q112" s="810" t="s">
        <v>2878</v>
      </c>
      <c r="R112" s="259"/>
      <c r="S112" s="259"/>
      <c r="T112" s="259"/>
      <c r="U112" s="63"/>
    </row>
    <row r="113" spans="1:31" s="257" customFormat="1" x14ac:dyDescent="0.2">
      <c r="A113" s="829">
        <f>IFERROR(INDEX('PR Expenditure_7A'!C$184:C$199,MATCH('PR Expenditure_7A import-export'!N113,'PR Expenditure_7A'!B$184:B$199,0)),"")</f>
        <v>0</v>
      </c>
      <c r="B113" s="829">
        <f>IFERROR(INDEX('PR Expenditure_7A'!D$184:D$199,MATCH('PR Expenditure_7A import-export'!N113,'PR Expenditure_7A'!B$184:B$199,0)),"")</f>
        <v>0</v>
      </c>
      <c r="C113" s="807">
        <v>0</v>
      </c>
      <c r="D113" s="50">
        <f>IFERROR(INDEX('PR Expenditure_7A'!F$184:F$199,MATCH('PR Expenditure_7A import-export'!N113,'PR Expenditure_7A'!B$184:B$199,0)),"")</f>
        <v>0</v>
      </c>
      <c r="E113" s="807"/>
      <c r="F113" s="807"/>
      <c r="G113" s="823"/>
      <c r="H113" s="807"/>
      <c r="I113" s="807">
        <v>0</v>
      </c>
      <c r="J113" s="50">
        <f>IFERROR(INDEX('PR Expenditure_7A'!L$184:L$199,MATCH('PR Expenditure_7A import-export'!N113,'PR Expenditure_7A'!B$184:B$199,0)),"")</f>
        <v>0</v>
      </c>
      <c r="K113" s="807"/>
      <c r="L113" s="807"/>
      <c r="M113" s="813">
        <f t="shared" si="6"/>
        <v>4</v>
      </c>
      <c r="N113" s="826" t="str">
        <f t="shared" si="7"/>
        <v>NewMod4</v>
      </c>
      <c r="O113" s="810" t="str">
        <f>IFERROR(IF(VLOOKUP(A113,'Reference Records'!$B$13:$D$48,3,FALSE)=0,"",VLOOKUP(A113,'Reference Records'!$B$13:$D$48,3,FALSE)),"")</f>
        <v/>
      </c>
      <c r="P113" s="830"/>
      <c r="Q113" s="810" t="s">
        <v>2879</v>
      </c>
      <c r="R113" s="259"/>
      <c r="S113" s="259"/>
      <c r="T113" s="259"/>
      <c r="U113" s="63"/>
    </row>
    <row r="114" spans="1:31" s="257" customFormat="1" x14ac:dyDescent="0.2">
      <c r="A114" s="829">
        <f>IFERROR(INDEX('PR Expenditure_7A'!C$184:C$199,MATCH('PR Expenditure_7A import-export'!N114,'PR Expenditure_7A'!B$184:B$199,0)),"")</f>
        <v>0</v>
      </c>
      <c r="B114" s="829">
        <f>IFERROR(INDEX('PR Expenditure_7A'!D$184:D$199,MATCH('PR Expenditure_7A import-export'!N114,'PR Expenditure_7A'!B$184:B$199,0)),"")</f>
        <v>0</v>
      </c>
      <c r="C114" s="807">
        <v>0</v>
      </c>
      <c r="D114" s="50">
        <f>IFERROR(INDEX('PR Expenditure_7A'!F$184:F$199,MATCH('PR Expenditure_7A import-export'!N114,'PR Expenditure_7A'!B$184:B$199,0)),"")</f>
        <v>0</v>
      </c>
      <c r="E114" s="807"/>
      <c r="F114" s="807"/>
      <c r="G114" s="823"/>
      <c r="H114" s="807"/>
      <c r="I114" s="807">
        <v>0</v>
      </c>
      <c r="J114" s="50">
        <f>IFERROR(INDEX('PR Expenditure_7A'!L$184:L$199,MATCH('PR Expenditure_7A import-export'!N114,'PR Expenditure_7A'!B$184:B$199,0)),"")</f>
        <v>0</v>
      </c>
      <c r="K114" s="807"/>
      <c r="L114" s="807"/>
      <c r="M114" s="813">
        <f t="shared" si="6"/>
        <v>5</v>
      </c>
      <c r="N114" s="826" t="str">
        <f t="shared" si="7"/>
        <v>NewMod5</v>
      </c>
      <c r="O114" s="810" t="str">
        <f>IFERROR(IF(VLOOKUP(A114,'Reference Records'!$B$13:$D$48,3,FALSE)=0,"",VLOOKUP(A114,'Reference Records'!$B$13:$D$48,3,FALSE)),"")</f>
        <v/>
      </c>
      <c r="P114" s="830"/>
      <c r="Q114" s="810" t="s">
        <v>2880</v>
      </c>
      <c r="R114" s="259"/>
      <c r="S114" s="259"/>
      <c r="T114" s="259"/>
      <c r="U114" s="63"/>
    </row>
    <row r="115" spans="1:31" s="257" customFormat="1" x14ac:dyDescent="0.2">
      <c r="A115" s="829">
        <f>IFERROR(INDEX('PR Expenditure_7A'!C$184:C$199,MATCH('PR Expenditure_7A import-export'!N115,'PR Expenditure_7A'!B$184:B$199,0)),"")</f>
        <v>0</v>
      </c>
      <c r="B115" s="829">
        <f>IFERROR(INDEX('PR Expenditure_7A'!D$184:D$199,MATCH('PR Expenditure_7A import-export'!N115,'PR Expenditure_7A'!B$184:B$199,0)),"")</f>
        <v>0</v>
      </c>
      <c r="C115" s="807">
        <v>0</v>
      </c>
      <c r="D115" s="50">
        <f>IFERROR(INDEX('PR Expenditure_7A'!F$184:F$199,MATCH('PR Expenditure_7A import-export'!N115,'PR Expenditure_7A'!B$184:B$199,0)),"")</f>
        <v>0</v>
      </c>
      <c r="E115" s="807"/>
      <c r="F115" s="807"/>
      <c r="G115" s="823"/>
      <c r="H115" s="807"/>
      <c r="I115" s="807">
        <v>0</v>
      </c>
      <c r="J115" s="50">
        <f>IFERROR(INDEX('PR Expenditure_7A'!L$184:L$199,MATCH('PR Expenditure_7A import-export'!N115,'PR Expenditure_7A'!B$184:B$199,0)),"")</f>
        <v>0</v>
      </c>
      <c r="K115" s="807"/>
      <c r="L115" s="807"/>
      <c r="M115" s="813">
        <f t="shared" si="6"/>
        <v>6</v>
      </c>
      <c r="N115" s="826" t="str">
        <f t="shared" si="7"/>
        <v>NewMod6</v>
      </c>
      <c r="O115" s="810" t="str">
        <f>IFERROR(IF(VLOOKUP(A115,'Reference Records'!$B$13:$D$48,3,FALSE)=0,"",VLOOKUP(A115,'Reference Records'!$B$13:$D$48,3,FALSE)),"")</f>
        <v/>
      </c>
      <c r="P115" s="830"/>
      <c r="Q115" s="810" t="s">
        <v>2881</v>
      </c>
      <c r="R115" s="259"/>
      <c r="S115" s="259"/>
      <c r="T115" s="259"/>
      <c r="U115" s="63"/>
    </row>
    <row r="116" spans="1:31" s="257" customFormat="1" x14ac:dyDescent="0.2">
      <c r="A116" s="829">
        <f>IFERROR(INDEX('PR Expenditure_7A'!C$184:C$199,MATCH('PR Expenditure_7A import-export'!N116,'PR Expenditure_7A'!B$184:B$199,0)),"")</f>
        <v>0</v>
      </c>
      <c r="B116" s="829">
        <f>IFERROR(INDEX('PR Expenditure_7A'!D$184:D$199,MATCH('PR Expenditure_7A import-export'!N116,'PR Expenditure_7A'!B$184:B$199,0)),"")</f>
        <v>0</v>
      </c>
      <c r="C116" s="807">
        <v>0</v>
      </c>
      <c r="D116" s="50">
        <f>IFERROR(INDEX('PR Expenditure_7A'!F$184:F$199,MATCH('PR Expenditure_7A import-export'!N116,'PR Expenditure_7A'!B$184:B$199,0)),"")</f>
        <v>0</v>
      </c>
      <c r="E116" s="807"/>
      <c r="F116" s="807"/>
      <c r="G116" s="823"/>
      <c r="H116" s="807"/>
      <c r="I116" s="807">
        <v>0</v>
      </c>
      <c r="J116" s="50">
        <f>IFERROR(INDEX('PR Expenditure_7A'!L$184:L$199,MATCH('PR Expenditure_7A import-export'!N116,'PR Expenditure_7A'!B$184:B$199,0)),"")</f>
        <v>0</v>
      </c>
      <c r="K116" s="807"/>
      <c r="L116" s="807"/>
      <c r="M116" s="813">
        <f t="shared" si="6"/>
        <v>7</v>
      </c>
      <c r="N116" s="826" t="str">
        <f t="shared" si="7"/>
        <v>NewMod7</v>
      </c>
      <c r="O116" s="810" t="str">
        <f>IFERROR(IF(VLOOKUP(A116,'Reference Records'!$B$13:$D$48,3,FALSE)=0,"",VLOOKUP(A116,'Reference Records'!$B$13:$D$48,3,FALSE)),"")</f>
        <v/>
      </c>
      <c r="P116" s="830"/>
      <c r="Q116" s="810" t="s">
        <v>2882</v>
      </c>
      <c r="R116" s="259"/>
      <c r="S116" s="259"/>
      <c r="T116" s="259"/>
      <c r="U116" s="63"/>
    </row>
    <row r="117" spans="1:31" s="257" customFormat="1" x14ac:dyDescent="0.2">
      <c r="A117" s="829">
        <f>IFERROR(INDEX('PR Expenditure_7A'!C$184:C$199,MATCH('PR Expenditure_7A import-export'!N117,'PR Expenditure_7A'!B$184:B$199,0)),"")</f>
        <v>0</v>
      </c>
      <c r="B117" s="829">
        <f>IFERROR(INDEX('PR Expenditure_7A'!D$184:D$199,MATCH('PR Expenditure_7A import-export'!N117,'PR Expenditure_7A'!B$184:B$199,0)),"")</f>
        <v>0</v>
      </c>
      <c r="C117" s="807">
        <v>0</v>
      </c>
      <c r="D117" s="50">
        <f>IFERROR(INDEX('PR Expenditure_7A'!F$184:F$199,MATCH('PR Expenditure_7A import-export'!N117,'PR Expenditure_7A'!B$184:B$199,0)),"")</f>
        <v>0</v>
      </c>
      <c r="E117" s="807"/>
      <c r="F117" s="807"/>
      <c r="G117" s="823"/>
      <c r="H117" s="807"/>
      <c r="I117" s="807">
        <v>0</v>
      </c>
      <c r="J117" s="50">
        <f>IFERROR(INDEX('PR Expenditure_7A'!L$184:L$199,MATCH('PR Expenditure_7A import-export'!N117,'PR Expenditure_7A'!B$184:B$199,0)),"")</f>
        <v>0</v>
      </c>
      <c r="K117" s="807"/>
      <c r="L117" s="807"/>
      <c r="M117" s="813">
        <f t="shared" si="6"/>
        <v>8</v>
      </c>
      <c r="N117" s="826" t="str">
        <f t="shared" si="7"/>
        <v>NewMod8</v>
      </c>
      <c r="O117" s="810" t="str">
        <f>IFERROR(IF(VLOOKUP(A117,'Reference Records'!$B$13:$D$48,3,FALSE)=0,"",VLOOKUP(A117,'Reference Records'!$B$13:$D$48,3,FALSE)),"")</f>
        <v/>
      </c>
      <c r="P117" s="830"/>
      <c r="Q117" s="810" t="s">
        <v>2883</v>
      </c>
      <c r="R117" s="259"/>
      <c r="S117" s="259"/>
      <c r="T117" s="259"/>
      <c r="U117" s="63"/>
    </row>
    <row r="118" spans="1:31" s="257" customFormat="1" x14ac:dyDescent="0.2">
      <c r="A118" s="829">
        <f>IFERROR(INDEX('PR Expenditure_7A'!C$184:C$199,MATCH('PR Expenditure_7A import-export'!N118,'PR Expenditure_7A'!B$184:B$199,0)),"")</f>
        <v>0</v>
      </c>
      <c r="B118" s="829">
        <f>IFERROR(INDEX('PR Expenditure_7A'!D$184:D$199,MATCH('PR Expenditure_7A import-export'!N118,'PR Expenditure_7A'!B$184:B$199,0)),"")</f>
        <v>0</v>
      </c>
      <c r="C118" s="807">
        <v>0</v>
      </c>
      <c r="D118" s="50">
        <f>IFERROR(INDEX('PR Expenditure_7A'!F$184:F$199,MATCH('PR Expenditure_7A import-export'!N118,'PR Expenditure_7A'!B$184:B$199,0)),"")</f>
        <v>0</v>
      </c>
      <c r="E118" s="807"/>
      <c r="F118" s="807"/>
      <c r="G118" s="823"/>
      <c r="H118" s="807"/>
      <c r="I118" s="807">
        <v>0</v>
      </c>
      <c r="J118" s="50">
        <f>IFERROR(INDEX('PR Expenditure_7A'!L$184:L$199,MATCH('PR Expenditure_7A import-export'!N118,'PR Expenditure_7A'!B$184:B$199,0)),"")</f>
        <v>0</v>
      </c>
      <c r="K118" s="807"/>
      <c r="L118" s="807"/>
      <c r="M118" s="813">
        <f t="shared" si="6"/>
        <v>9</v>
      </c>
      <c r="N118" s="826" t="str">
        <f t="shared" si="7"/>
        <v>NewMod9</v>
      </c>
      <c r="O118" s="810" t="str">
        <f>IFERROR(IF(VLOOKUP(A118,'Reference Records'!$B$13:$D$48,3,FALSE)=0,"",VLOOKUP(A118,'Reference Records'!$B$13:$D$48,3,FALSE)),"")</f>
        <v/>
      </c>
      <c r="P118" s="830"/>
      <c r="Q118" s="810" t="s">
        <v>2884</v>
      </c>
      <c r="R118" s="259"/>
      <c r="S118" s="259"/>
      <c r="T118" s="259"/>
      <c r="U118" s="63"/>
    </row>
    <row r="119" spans="1:31" s="257" customFormat="1" x14ac:dyDescent="0.2">
      <c r="A119" s="829">
        <f>IFERROR(INDEX('PR Expenditure_7A'!C$184:C$199,MATCH('PR Expenditure_7A import-export'!N119,'PR Expenditure_7A'!B$184:B$199,0)),"")</f>
        <v>0</v>
      </c>
      <c r="B119" s="829">
        <f>IFERROR(INDEX('PR Expenditure_7A'!D$184:D$199,MATCH('PR Expenditure_7A import-export'!N119,'PR Expenditure_7A'!B$184:B$199,0)),"")</f>
        <v>0</v>
      </c>
      <c r="C119" s="807">
        <v>0</v>
      </c>
      <c r="D119" s="50">
        <f>IFERROR(INDEX('PR Expenditure_7A'!F$184:F$199,MATCH('PR Expenditure_7A import-export'!N119,'PR Expenditure_7A'!B$184:B$199,0)),"")</f>
        <v>0</v>
      </c>
      <c r="E119" s="807"/>
      <c r="F119" s="807"/>
      <c r="G119" s="823"/>
      <c r="H119" s="807"/>
      <c r="I119" s="807">
        <v>0</v>
      </c>
      <c r="J119" s="50">
        <f>IFERROR(INDEX('PR Expenditure_7A'!L$184:L$199,MATCH('PR Expenditure_7A import-export'!N119,'PR Expenditure_7A'!B$184:B$199,0)),"")</f>
        <v>0</v>
      </c>
      <c r="K119" s="807"/>
      <c r="L119" s="807"/>
      <c r="M119" s="813">
        <f t="shared" si="6"/>
        <v>10</v>
      </c>
      <c r="N119" s="826" t="str">
        <f t="shared" si="7"/>
        <v>NewMod10</v>
      </c>
      <c r="O119" s="810" t="str">
        <f>IFERROR(IF(VLOOKUP(A119,'Reference Records'!$B$13:$D$48,3,FALSE)=0,"",VLOOKUP(A119,'Reference Records'!$B$13:$D$48,3,FALSE)),"")</f>
        <v/>
      </c>
      <c r="P119" s="830"/>
      <c r="Q119" s="810" t="s">
        <v>2885</v>
      </c>
      <c r="R119" s="259"/>
      <c r="S119" s="259"/>
      <c r="T119" s="259"/>
      <c r="U119" s="63"/>
    </row>
    <row r="120" spans="1:31" s="257" customFormat="1" x14ac:dyDescent="0.2">
      <c r="A120" s="829">
        <f>IFERROR(INDEX('PR Expenditure_7A'!C$184:C$199,MATCH('PR Expenditure_7A import-export'!N120,'PR Expenditure_7A'!B$184:B$199,0)),"")</f>
        <v>0</v>
      </c>
      <c r="B120" s="829">
        <f>IFERROR(INDEX('PR Expenditure_7A'!D$184:D$199,MATCH('PR Expenditure_7A import-export'!N120,'PR Expenditure_7A'!B$184:B$199,0)),"")</f>
        <v>0</v>
      </c>
      <c r="C120" s="807">
        <v>0</v>
      </c>
      <c r="D120" s="50">
        <f>IFERROR(INDEX('PR Expenditure_7A'!F$184:F$199,MATCH('PR Expenditure_7A import-export'!N120,'PR Expenditure_7A'!B$184:B$199,0)),"")</f>
        <v>0</v>
      </c>
      <c r="E120" s="807"/>
      <c r="F120" s="807"/>
      <c r="G120" s="823"/>
      <c r="H120" s="807"/>
      <c r="I120" s="807">
        <v>0</v>
      </c>
      <c r="J120" s="50">
        <f>IFERROR(INDEX('PR Expenditure_7A'!L$184:L$199,MATCH('PR Expenditure_7A import-export'!N120,'PR Expenditure_7A'!B$184:B$199,0)),"")</f>
        <v>0</v>
      </c>
      <c r="K120" s="807"/>
      <c r="L120" s="807"/>
      <c r="M120" s="813">
        <f t="shared" si="6"/>
        <v>11</v>
      </c>
      <c r="N120" s="826" t="str">
        <f t="shared" si="7"/>
        <v>NewMod11</v>
      </c>
      <c r="O120" s="810" t="str">
        <f>IFERROR(IF(VLOOKUP(A120,'Reference Records'!$B$13:$D$48,3,FALSE)=0,"",VLOOKUP(A120,'Reference Records'!$B$13:$D$48,3,FALSE)),"")</f>
        <v/>
      </c>
      <c r="P120" s="830"/>
      <c r="Q120" s="810" t="s">
        <v>2886</v>
      </c>
      <c r="R120" s="259"/>
      <c r="S120" s="259"/>
      <c r="T120" s="259"/>
      <c r="U120" s="63"/>
    </row>
    <row r="121" spans="1:31" s="257" customFormat="1" x14ac:dyDescent="0.2">
      <c r="A121" s="829">
        <f>IFERROR(INDEX('PR Expenditure_7A'!C$184:C$199,MATCH('PR Expenditure_7A import-export'!N121,'PR Expenditure_7A'!B$184:B$199,0)),"")</f>
        <v>0</v>
      </c>
      <c r="B121" s="829">
        <f>IFERROR(INDEX('PR Expenditure_7A'!D$184:D$199,MATCH('PR Expenditure_7A import-export'!N121,'PR Expenditure_7A'!B$184:B$199,0)),"")</f>
        <v>0</v>
      </c>
      <c r="C121" s="807">
        <v>0</v>
      </c>
      <c r="D121" s="50">
        <f>IFERROR(INDEX('PR Expenditure_7A'!F$184:F$199,MATCH('PR Expenditure_7A import-export'!N121,'PR Expenditure_7A'!B$184:B$199,0)),"")</f>
        <v>0</v>
      </c>
      <c r="E121" s="807"/>
      <c r="F121" s="807"/>
      <c r="G121" s="823"/>
      <c r="H121" s="807"/>
      <c r="I121" s="807">
        <v>0</v>
      </c>
      <c r="J121" s="50">
        <f>IFERROR(INDEX('PR Expenditure_7A'!L$184:L$199,MATCH('PR Expenditure_7A import-export'!N121,'PR Expenditure_7A'!B$184:B$199,0)),"")</f>
        <v>0</v>
      </c>
      <c r="K121" s="807"/>
      <c r="L121" s="807"/>
      <c r="M121" s="813">
        <f t="shared" si="6"/>
        <v>12</v>
      </c>
      <c r="N121" s="826" t="str">
        <f t="shared" si="7"/>
        <v>NewMod12</v>
      </c>
      <c r="O121" s="810" t="str">
        <f>IFERROR(IF(VLOOKUP(A121,'Reference Records'!$B$13:$D$48,3,FALSE)=0,"",VLOOKUP(A121,'Reference Records'!$B$13:$D$48,3,FALSE)),"")</f>
        <v/>
      </c>
      <c r="P121" s="830"/>
      <c r="Q121" s="810" t="s">
        <v>2887</v>
      </c>
      <c r="R121" s="259"/>
      <c r="S121" s="259"/>
      <c r="T121" s="259"/>
      <c r="U121" s="63"/>
    </row>
    <row r="122" spans="1:31" s="257" customFormat="1" x14ac:dyDescent="0.2">
      <c r="A122" s="829">
        <f>IFERROR(INDEX('PR Expenditure_7A'!C$184:C$199,MATCH('PR Expenditure_7A import-export'!N122,'PR Expenditure_7A'!B$184:B$199,0)),"")</f>
        <v>0</v>
      </c>
      <c r="B122" s="829">
        <f>IFERROR(INDEX('PR Expenditure_7A'!D$184:D$199,MATCH('PR Expenditure_7A import-export'!N122,'PR Expenditure_7A'!B$184:B$199,0)),"")</f>
        <v>0</v>
      </c>
      <c r="C122" s="807">
        <v>0</v>
      </c>
      <c r="D122" s="50">
        <f>IFERROR(INDEX('PR Expenditure_7A'!F$184:F$199,MATCH('PR Expenditure_7A import-export'!N122,'PR Expenditure_7A'!B$184:B$199,0)),"")</f>
        <v>0</v>
      </c>
      <c r="E122" s="807"/>
      <c r="F122" s="807"/>
      <c r="G122" s="823"/>
      <c r="H122" s="807"/>
      <c r="I122" s="807">
        <v>0</v>
      </c>
      <c r="J122" s="50">
        <f>IFERROR(INDEX('PR Expenditure_7A'!L$184:L$199,MATCH('PR Expenditure_7A import-export'!N122,'PR Expenditure_7A'!B$184:B$199,0)),"")</f>
        <v>0</v>
      </c>
      <c r="K122" s="807"/>
      <c r="L122" s="807"/>
      <c r="M122" s="813">
        <f t="shared" si="6"/>
        <v>13</v>
      </c>
      <c r="N122" s="826" t="str">
        <f t="shared" si="7"/>
        <v>NewMod13</v>
      </c>
      <c r="O122" s="810" t="str">
        <f>IFERROR(IF(VLOOKUP(A122,'Reference Records'!$B$13:$D$48,3,FALSE)=0,"",VLOOKUP(A122,'Reference Records'!$B$13:$D$48,3,FALSE)),"")</f>
        <v/>
      </c>
      <c r="P122" s="830"/>
      <c r="Q122" s="810" t="s">
        <v>2888</v>
      </c>
      <c r="R122" s="259"/>
      <c r="S122" s="259"/>
      <c r="T122" s="259"/>
      <c r="U122" s="63"/>
    </row>
    <row r="123" spans="1:31" s="257" customFormat="1" x14ac:dyDescent="0.2">
      <c r="A123" s="829">
        <f>IFERROR(INDEX('PR Expenditure_7A'!C$184:C$199,MATCH('PR Expenditure_7A import-export'!N123,'PR Expenditure_7A'!B$184:B$199,0)),"")</f>
        <v>0</v>
      </c>
      <c r="B123" s="829">
        <f>IFERROR(INDEX('PR Expenditure_7A'!D$184:D$199,MATCH('PR Expenditure_7A import-export'!N123,'PR Expenditure_7A'!B$184:B$199,0)),"")</f>
        <v>0</v>
      </c>
      <c r="C123" s="807">
        <v>0</v>
      </c>
      <c r="D123" s="50">
        <f>IFERROR(INDEX('PR Expenditure_7A'!F$184:F$199,MATCH('PR Expenditure_7A import-export'!N123,'PR Expenditure_7A'!B$184:B$199,0)),"")</f>
        <v>0</v>
      </c>
      <c r="E123" s="807"/>
      <c r="F123" s="807"/>
      <c r="G123" s="823"/>
      <c r="H123" s="807"/>
      <c r="I123" s="807">
        <v>0</v>
      </c>
      <c r="J123" s="50">
        <f>IFERROR(INDEX('PR Expenditure_7A'!L$184:L$199,MATCH('PR Expenditure_7A import-export'!N123,'PR Expenditure_7A'!B$184:B$199,0)),"")</f>
        <v>0</v>
      </c>
      <c r="K123" s="807"/>
      <c r="L123" s="807"/>
      <c r="M123" s="813">
        <f t="shared" si="6"/>
        <v>14</v>
      </c>
      <c r="N123" s="826" t="str">
        <f t="shared" si="7"/>
        <v>NewMod14</v>
      </c>
      <c r="O123" s="810" t="str">
        <f>IFERROR(IF(VLOOKUP(A123,'Reference Records'!$B$13:$D$48,3,FALSE)=0,"",VLOOKUP(A123,'Reference Records'!$B$13:$D$48,3,FALSE)),"")</f>
        <v/>
      </c>
      <c r="P123" s="830"/>
      <c r="Q123" s="810" t="s">
        <v>2889</v>
      </c>
      <c r="R123" s="259"/>
      <c r="S123" s="259"/>
      <c r="T123" s="259"/>
      <c r="U123" s="63"/>
    </row>
    <row r="124" spans="1:31" s="257" customFormat="1" x14ac:dyDescent="0.2">
      <c r="A124" s="829">
        <f>IFERROR(INDEX('PR Expenditure_7A'!C$184:C$199,MATCH('PR Expenditure_7A import-export'!N124,'PR Expenditure_7A'!B$184:B$199,0)),"")</f>
        <v>0</v>
      </c>
      <c r="B124" s="829">
        <f>IFERROR(INDEX('PR Expenditure_7A'!D$184:D$199,MATCH('PR Expenditure_7A import-export'!N124,'PR Expenditure_7A'!B$184:B$199,0)),"")</f>
        <v>0</v>
      </c>
      <c r="C124" s="807">
        <v>0</v>
      </c>
      <c r="D124" s="50">
        <f>IFERROR(INDEX('PR Expenditure_7A'!F$184:F$199,MATCH('PR Expenditure_7A import-export'!N124,'PR Expenditure_7A'!B$184:B$199,0)),"")</f>
        <v>0</v>
      </c>
      <c r="E124" s="807"/>
      <c r="F124" s="807"/>
      <c r="G124" s="823"/>
      <c r="H124" s="807"/>
      <c r="I124" s="807">
        <v>0</v>
      </c>
      <c r="J124" s="50">
        <f>IFERROR(INDEX('PR Expenditure_7A'!L$184:L$199,MATCH('PR Expenditure_7A import-export'!N124,'PR Expenditure_7A'!B$184:B$199,0)),"")</f>
        <v>0</v>
      </c>
      <c r="K124" s="807"/>
      <c r="L124" s="807"/>
      <c r="M124" s="813">
        <f t="shared" si="6"/>
        <v>15</v>
      </c>
      <c r="N124" s="826" t="str">
        <f t="shared" si="7"/>
        <v>NewMod15</v>
      </c>
      <c r="O124" s="810" t="str">
        <f>IFERROR(IF(VLOOKUP(A124,'Reference Records'!$B$13:$D$48,3,FALSE)=0,"",VLOOKUP(A124,'Reference Records'!$B$13:$D$48,3,FALSE)),"")</f>
        <v/>
      </c>
      <c r="P124" s="830"/>
      <c r="Q124" s="810" t="s">
        <v>2890</v>
      </c>
      <c r="R124" s="259"/>
      <c r="S124" s="259"/>
      <c r="T124" s="259"/>
      <c r="U124" s="63"/>
    </row>
    <row r="125" spans="1:31" x14ac:dyDescent="0.2">
      <c r="N125" s="281"/>
      <c r="O125" s="280"/>
      <c r="P125" s="624"/>
      <c r="Q125" s="280"/>
      <c r="R125" s="280"/>
      <c r="S125" s="280"/>
      <c r="T125" s="280"/>
      <c r="U125" s="61"/>
    </row>
    <row r="126" spans="1:31" s="272" customFormat="1" ht="74.45" customHeight="1" x14ac:dyDescent="0.2">
      <c r="A126" s="820" t="s">
        <v>2891</v>
      </c>
      <c r="B126" s="820" t="s">
        <v>2611</v>
      </c>
      <c r="C126" s="821" t="s">
        <v>1117</v>
      </c>
      <c r="D126" s="821" t="s">
        <v>2668</v>
      </c>
      <c r="E126" s="821" t="s">
        <v>1119</v>
      </c>
      <c r="F126" s="821" t="s">
        <v>2669</v>
      </c>
      <c r="G126" s="821" t="s">
        <v>2670</v>
      </c>
      <c r="H126" s="303"/>
      <c r="I126" s="821" t="s">
        <v>2671</v>
      </c>
      <c r="J126" s="821" t="s">
        <v>2672</v>
      </c>
      <c r="K126" s="821" t="s">
        <v>1124</v>
      </c>
      <c r="L126" s="821" t="s">
        <v>2669</v>
      </c>
      <c r="M126" s="296">
        <v>-1</v>
      </c>
      <c r="N126" s="831"/>
      <c r="O126" s="804" t="s">
        <v>122</v>
      </c>
      <c r="P126" s="626"/>
      <c r="Q126" s="274"/>
      <c r="R126" s="274"/>
      <c r="S126" s="274"/>
      <c r="T126" s="274"/>
      <c r="U126" s="99"/>
      <c r="AA126" s="273"/>
      <c r="AB126" s="273"/>
    </row>
    <row r="127" spans="1:31" s="257" customFormat="1" hidden="1" x14ac:dyDescent="0.2">
      <c r="A127" s="822" t="s">
        <v>2892</v>
      </c>
      <c r="B127" s="822" t="s">
        <v>2893</v>
      </c>
      <c r="C127" s="807" t="s">
        <v>2675</v>
      </c>
      <c r="D127" s="50" t="str">
        <f>IFERROR(INDEX('PR Expenditure_7A'!F$205:F$254,MATCH('PR Expenditure_7A import-export'!N127,'PR Expenditure_7A'!B$205:B$254,0)),"")</f>
        <v/>
      </c>
      <c r="E127" s="807"/>
      <c r="F127" s="808"/>
      <c r="G127" s="823"/>
      <c r="H127" s="303"/>
      <c r="I127" s="807" t="s">
        <v>2676</v>
      </c>
      <c r="J127" s="50" t="str">
        <f>IFERROR(INDEX('PR Expenditure_7A'!L$205:L$254,MATCH('PR Expenditure_7A import-export'!N127,'PR Expenditure_7A'!B$205:B$254,0)),"")</f>
        <v/>
      </c>
      <c r="K127" s="807"/>
      <c r="L127" s="808"/>
      <c r="M127" s="813">
        <f>M126+1</f>
        <v>0</v>
      </c>
      <c r="N127" s="826" t="str">
        <f>"IP"&amp;M127</f>
        <v>IP0</v>
      </c>
      <c r="O127" s="810" t="s">
        <v>371</v>
      </c>
      <c r="P127" s="625"/>
      <c r="Q127" s="259"/>
      <c r="R127" s="259"/>
      <c r="S127" s="259"/>
      <c r="T127" s="259"/>
      <c r="U127" s="63"/>
      <c r="AA127" s="268"/>
      <c r="AB127" s="267" t="s">
        <v>2894</v>
      </c>
      <c r="AC127" s="63"/>
      <c r="AD127" s="63"/>
      <c r="AE127" s="63"/>
    </row>
    <row r="128" spans="1:31" s="257" customFormat="1" x14ac:dyDescent="0.2">
      <c r="A128" s="822" t="s">
        <v>2895</v>
      </c>
      <c r="B128" s="822" t="s">
        <v>2896</v>
      </c>
      <c r="C128" s="807">
        <v>2078161.0190789199</v>
      </c>
      <c r="D128" s="50">
        <f>IFERROR(INDEX('PR Expenditure_7A'!F$205:F$254,MATCH('PR Expenditure_7A import-export'!N128,'PR Expenditure_7A'!B$205:B$254,0)),"")</f>
        <v>1826961.2794977755</v>
      </c>
      <c r="E128" s="807"/>
      <c r="F128" s="808"/>
      <c r="G128" s="823"/>
      <c r="H128" s="303"/>
      <c r="I128" s="807">
        <v>4040600.2997711198</v>
      </c>
      <c r="J128" s="50">
        <f>IFERROR(INDEX('PR Expenditure_7A'!L$205:L$254,MATCH('PR Expenditure_7A import-export'!N128,'PR Expenditure_7A'!B$205:B$254,0)),"")</f>
        <v>3342032.0594977755</v>
      </c>
      <c r="K128" s="807"/>
      <c r="L128" s="808"/>
      <c r="M128" s="813">
        <f t="shared" ref="M128:M131" si="8">M127+1</f>
        <v>1</v>
      </c>
      <c r="N128" s="826" t="str">
        <f t="shared" ref="N128:N131" si="9">"IP"&amp;M128</f>
        <v>IP1</v>
      </c>
      <c r="O128" s="810" t="s">
        <v>2897</v>
      </c>
      <c r="P128" s="625"/>
      <c r="Q128" s="259"/>
      <c r="R128" s="259"/>
      <c r="S128" s="259"/>
      <c r="T128" s="259"/>
      <c r="U128" s="63"/>
      <c r="AA128" s="268"/>
      <c r="AB128" s="267"/>
      <c r="AC128" s="63"/>
      <c r="AD128" s="63"/>
      <c r="AE128" s="63"/>
    </row>
    <row r="129" spans="1:31" s="257" customFormat="1" x14ac:dyDescent="0.2">
      <c r="A129" s="822" t="s">
        <v>1089</v>
      </c>
      <c r="B129" s="822" t="s">
        <v>2896</v>
      </c>
      <c r="C129" s="807">
        <v>523850.94752477901</v>
      </c>
      <c r="D129" s="50">
        <f>IFERROR(INDEX('PR Expenditure_7A'!F$205:F$254,MATCH('PR Expenditure_7A import-export'!N129,'PR Expenditure_7A'!B$205:B$254,0)),"")</f>
        <v>573270.56536585395</v>
      </c>
      <c r="E129" s="807"/>
      <c r="F129" s="808"/>
      <c r="G129" s="823"/>
      <c r="H129" s="303"/>
      <c r="I129" s="807">
        <v>1225260.09197323</v>
      </c>
      <c r="J129" s="50">
        <f>IFERROR(INDEX('PR Expenditure_7A'!L$205:L$254,MATCH('PR Expenditure_7A import-export'!N129,'PR Expenditure_7A'!B$205:B$254,0)),"")</f>
        <v>852972.46536585398</v>
      </c>
      <c r="K129" s="807"/>
      <c r="L129" s="808"/>
      <c r="M129" s="813">
        <f t="shared" si="8"/>
        <v>2</v>
      </c>
      <c r="N129" s="826" t="str">
        <f t="shared" si="9"/>
        <v>IP2</v>
      </c>
      <c r="O129" s="810" t="s">
        <v>2898</v>
      </c>
      <c r="P129" s="625"/>
      <c r="Q129" s="259"/>
      <c r="R129" s="259"/>
      <c r="S129" s="259"/>
      <c r="T129" s="259"/>
      <c r="U129" s="63"/>
      <c r="AA129" s="268"/>
      <c r="AB129" s="267"/>
      <c r="AC129" s="63"/>
      <c r="AD129" s="63"/>
      <c r="AE129" s="63"/>
    </row>
    <row r="130" spans="1:31" s="257" customFormat="1" x14ac:dyDescent="0.2">
      <c r="A130" s="822" t="s">
        <v>45</v>
      </c>
      <c r="B130" s="822" t="s">
        <v>2896</v>
      </c>
      <c r="C130" s="807">
        <v>7663870.2379326597</v>
      </c>
      <c r="D130" s="50">
        <f>IFERROR(INDEX('PR Expenditure_7A'!F$205:F$254,MATCH('PR Expenditure_7A import-export'!N130,'PR Expenditure_7A'!B$205:B$254,0)),"")</f>
        <v>7614979.5492160507</v>
      </c>
      <c r="E130" s="807"/>
      <c r="F130" s="808"/>
      <c r="G130" s="823"/>
      <c r="H130" s="303"/>
      <c r="I130" s="807">
        <v>11578068.930232599</v>
      </c>
      <c r="J130" s="50">
        <f>IFERROR(INDEX('PR Expenditure_7A'!L$205:L$254,MATCH('PR Expenditure_7A import-export'!N130,'PR Expenditure_7A'!B$205:B$254,0)),"")</f>
        <v>11200273.169216052</v>
      </c>
      <c r="K130" s="807"/>
      <c r="L130" s="808"/>
      <c r="M130" s="813">
        <f t="shared" si="8"/>
        <v>3</v>
      </c>
      <c r="N130" s="826" t="str">
        <f t="shared" si="9"/>
        <v>IP3</v>
      </c>
      <c r="O130" s="810" t="s">
        <v>2899</v>
      </c>
      <c r="P130" s="625"/>
      <c r="Q130" s="259"/>
      <c r="R130" s="259"/>
      <c r="S130" s="259"/>
      <c r="T130" s="259"/>
      <c r="U130" s="63"/>
      <c r="AA130" s="268"/>
      <c r="AB130" s="267"/>
      <c r="AC130" s="63"/>
      <c r="AD130" s="63"/>
      <c r="AE130" s="63"/>
    </row>
    <row r="131" spans="1:31" s="257" customFormat="1" x14ac:dyDescent="0.2">
      <c r="A131" s="822" t="s">
        <v>2900</v>
      </c>
      <c r="B131" s="822" t="s">
        <v>2896</v>
      </c>
      <c r="C131" s="807">
        <v>1489605.46196596</v>
      </c>
      <c r="D131" s="50">
        <f>IFERROR(INDEX('PR Expenditure_7A'!F$205:F$254,MATCH('PR Expenditure_7A import-export'!N131,'PR Expenditure_7A'!B$205:B$254,0)),"")</f>
        <v>1261705.0225085274</v>
      </c>
      <c r="E131" s="807"/>
      <c r="F131" s="808"/>
      <c r="G131" s="823"/>
      <c r="H131" s="303"/>
      <c r="I131" s="807">
        <v>3170747.7941492898</v>
      </c>
      <c r="J131" s="50">
        <f>IFERROR(INDEX('PR Expenditure_7A'!L$205:L$254,MATCH('PR Expenditure_7A import-export'!N131,'PR Expenditure_7A'!B$205:B$254,0)),"")</f>
        <v>1945921.4125085273</v>
      </c>
      <c r="K131" s="807"/>
      <c r="L131" s="808"/>
      <c r="M131" s="813">
        <f t="shared" si="8"/>
        <v>4</v>
      </c>
      <c r="N131" s="826" t="str">
        <f t="shared" si="9"/>
        <v>IP4</v>
      </c>
      <c r="O131" s="810" t="s">
        <v>2901</v>
      </c>
      <c r="P131" s="625"/>
      <c r="Q131" s="259"/>
      <c r="R131" s="259"/>
      <c r="S131" s="259"/>
      <c r="T131" s="259"/>
      <c r="U131" s="63"/>
      <c r="AA131" s="268"/>
      <c r="AB131" s="267"/>
      <c r="AC131" s="63"/>
      <c r="AD131" s="63"/>
      <c r="AE131" s="63"/>
    </row>
    <row r="132" spans="1:31" s="257" customFormat="1" x14ac:dyDescent="0.2">
      <c r="A132" s="63"/>
      <c r="B132" s="63"/>
      <c r="C132" s="63"/>
      <c r="D132" s="63"/>
      <c r="E132" s="63"/>
      <c r="F132" s="63"/>
      <c r="G132" s="63"/>
      <c r="I132" s="63"/>
      <c r="J132" s="63"/>
      <c r="K132" s="63"/>
      <c r="O132" s="258"/>
      <c r="P132" s="627"/>
      <c r="AA132" s="258"/>
      <c r="AB132" s="258"/>
    </row>
    <row r="133" spans="1:31" s="257" customFormat="1" x14ac:dyDescent="0.2">
      <c r="A133" s="63"/>
      <c r="B133" s="63"/>
      <c r="C133" s="63"/>
      <c r="D133" s="63"/>
      <c r="E133" s="63"/>
      <c r="F133" s="63"/>
      <c r="G133" s="63"/>
      <c r="I133" s="63"/>
      <c r="J133" s="63"/>
      <c r="K133" s="63"/>
      <c r="O133" s="258"/>
      <c r="P133" s="627"/>
      <c r="AA133" s="258"/>
      <c r="AB133" s="258"/>
    </row>
    <row r="134" spans="1:31" s="257" customFormat="1" x14ac:dyDescent="0.2">
      <c r="A134" s="63"/>
      <c r="B134" s="63"/>
      <c r="C134" s="63"/>
      <c r="D134" s="63"/>
      <c r="E134" s="63"/>
      <c r="F134" s="63"/>
      <c r="G134" s="63"/>
      <c r="I134" s="63"/>
      <c r="J134" s="63"/>
      <c r="K134" s="63"/>
      <c r="O134" s="258"/>
      <c r="P134" s="627"/>
      <c r="AA134" s="258"/>
      <c r="AB134" s="258"/>
    </row>
    <row r="135" spans="1:31" s="257" customFormat="1" x14ac:dyDescent="0.2">
      <c r="A135" s="63"/>
      <c r="B135" s="63"/>
      <c r="C135" s="63"/>
      <c r="D135" s="63"/>
      <c r="E135" s="63"/>
      <c r="F135" s="63"/>
      <c r="G135" s="63"/>
      <c r="I135" s="63"/>
      <c r="J135" s="63"/>
      <c r="K135" s="63"/>
      <c r="O135" s="258"/>
      <c r="P135" s="627"/>
      <c r="AA135" s="258"/>
      <c r="AB135" s="258"/>
    </row>
    <row r="136" spans="1:31" s="257" customFormat="1" x14ac:dyDescent="0.2">
      <c r="A136" s="63"/>
      <c r="B136" s="63"/>
      <c r="C136" s="63"/>
      <c r="D136" s="63"/>
      <c r="E136" s="63"/>
      <c r="F136" s="63"/>
      <c r="G136" s="63"/>
      <c r="I136" s="63"/>
      <c r="J136" s="63"/>
      <c r="K136" s="63"/>
      <c r="O136" s="258"/>
      <c r="P136" s="627"/>
      <c r="AA136" s="258"/>
      <c r="AB136" s="258"/>
    </row>
    <row r="137" spans="1:31" s="257" customFormat="1" x14ac:dyDescent="0.2">
      <c r="A137" s="63"/>
      <c r="B137" s="63"/>
      <c r="C137" s="63"/>
      <c r="D137" s="63"/>
      <c r="E137" s="63"/>
      <c r="F137" s="63"/>
      <c r="G137" s="63"/>
      <c r="I137" s="63"/>
      <c r="J137" s="63"/>
      <c r="K137" s="63"/>
      <c r="O137" s="258"/>
      <c r="P137" s="627"/>
      <c r="AA137" s="258"/>
      <c r="AB137" s="258"/>
    </row>
    <row r="138" spans="1:31" s="257" customFormat="1" x14ac:dyDescent="0.2">
      <c r="A138" s="63"/>
      <c r="B138" s="63"/>
      <c r="C138" s="63"/>
      <c r="D138" s="63"/>
      <c r="E138" s="63"/>
      <c r="F138" s="63"/>
      <c r="G138" s="63"/>
      <c r="I138" s="63"/>
      <c r="J138" s="63"/>
      <c r="K138" s="63"/>
      <c r="O138" s="258"/>
      <c r="P138" s="627"/>
      <c r="AA138" s="258"/>
      <c r="AB138" s="258"/>
    </row>
    <row r="139" spans="1:31" s="257" customFormat="1" x14ac:dyDescent="0.2">
      <c r="A139" s="63"/>
      <c r="B139" s="63"/>
      <c r="C139" s="63"/>
      <c r="D139" s="63"/>
      <c r="E139" s="63"/>
      <c r="F139" s="63"/>
      <c r="G139" s="63"/>
      <c r="I139" s="63"/>
      <c r="J139" s="63"/>
      <c r="K139" s="63"/>
      <c r="O139" s="258"/>
      <c r="P139" s="627"/>
      <c r="AA139" s="258"/>
      <c r="AB139" s="258"/>
    </row>
    <row r="140" spans="1:31" s="257" customFormat="1" x14ac:dyDescent="0.2">
      <c r="A140" s="63"/>
      <c r="B140" s="63"/>
      <c r="C140" s="63"/>
      <c r="D140" s="63"/>
      <c r="E140" s="63"/>
      <c r="F140" s="63"/>
      <c r="G140" s="63"/>
      <c r="I140" s="63"/>
      <c r="J140" s="63"/>
      <c r="K140" s="63"/>
      <c r="O140" s="258"/>
      <c r="P140" s="627"/>
      <c r="AA140" s="258"/>
      <c r="AB140" s="258"/>
    </row>
    <row r="141" spans="1:31" s="257" customFormat="1" x14ac:dyDescent="0.2">
      <c r="A141" s="63"/>
      <c r="B141" s="63"/>
      <c r="C141" s="63"/>
      <c r="D141" s="63"/>
      <c r="E141" s="63"/>
      <c r="F141" s="63"/>
      <c r="G141" s="63"/>
      <c r="I141" s="63"/>
      <c r="J141" s="63"/>
      <c r="K141" s="63"/>
      <c r="O141" s="258"/>
      <c r="P141" s="627"/>
      <c r="AA141" s="258"/>
      <c r="AB141" s="258"/>
    </row>
    <row r="142" spans="1:31" s="257" customFormat="1" x14ac:dyDescent="0.2">
      <c r="A142" s="63"/>
      <c r="B142" s="63"/>
      <c r="C142" s="63"/>
      <c r="D142" s="63"/>
      <c r="E142" s="63"/>
      <c r="F142" s="63"/>
      <c r="G142" s="63"/>
      <c r="I142" s="63"/>
      <c r="J142" s="63"/>
      <c r="K142" s="63"/>
      <c r="O142" s="258"/>
      <c r="P142" s="627"/>
      <c r="AA142" s="258"/>
      <c r="AB142" s="258"/>
    </row>
    <row r="143" spans="1:31" s="257" customFormat="1" x14ac:dyDescent="0.2">
      <c r="A143" s="63"/>
      <c r="B143" s="63"/>
      <c r="C143" s="63"/>
      <c r="D143" s="63"/>
      <c r="E143" s="63"/>
      <c r="F143" s="63"/>
      <c r="G143" s="63"/>
      <c r="I143" s="63"/>
      <c r="J143" s="63"/>
      <c r="K143" s="63"/>
      <c r="O143" s="258"/>
      <c r="P143" s="627"/>
      <c r="AA143" s="258"/>
      <c r="AB143" s="258"/>
    </row>
    <row r="144" spans="1:31" s="257" customFormat="1" x14ac:dyDescent="0.2">
      <c r="A144" s="63"/>
      <c r="B144" s="63"/>
      <c r="C144" s="63"/>
      <c r="D144" s="63"/>
      <c r="E144" s="63"/>
      <c r="F144" s="63"/>
      <c r="G144" s="63"/>
      <c r="I144" s="63"/>
      <c r="J144" s="63"/>
      <c r="K144" s="63"/>
      <c r="O144" s="258"/>
      <c r="P144" s="627"/>
      <c r="AA144" s="258"/>
      <c r="AB144" s="258"/>
    </row>
    <row r="145" spans="1:28" s="257" customFormat="1" x14ac:dyDescent="0.2">
      <c r="A145" s="63"/>
      <c r="B145" s="63"/>
      <c r="C145" s="63"/>
      <c r="D145" s="63"/>
      <c r="E145" s="63"/>
      <c r="F145" s="63"/>
      <c r="G145" s="63"/>
      <c r="I145" s="63"/>
      <c r="J145" s="63"/>
      <c r="K145" s="63"/>
      <c r="O145" s="258"/>
      <c r="P145" s="627"/>
      <c r="AA145" s="258"/>
      <c r="AB145" s="258"/>
    </row>
    <row r="146" spans="1:28" s="257" customFormat="1" x14ac:dyDescent="0.2">
      <c r="A146" s="63"/>
      <c r="B146" s="63"/>
      <c r="C146" s="63"/>
      <c r="D146" s="63"/>
      <c r="E146" s="63"/>
      <c r="F146" s="63"/>
      <c r="G146" s="63"/>
      <c r="I146" s="63"/>
      <c r="J146" s="63"/>
      <c r="K146" s="63"/>
      <c r="O146" s="258"/>
      <c r="P146" s="627"/>
      <c r="AA146" s="258"/>
      <c r="AB146" s="258"/>
    </row>
    <row r="147" spans="1:28" s="257" customFormat="1" x14ac:dyDescent="0.2">
      <c r="A147" s="63"/>
      <c r="B147" s="63"/>
      <c r="C147" s="63"/>
      <c r="D147" s="63"/>
      <c r="E147" s="63"/>
      <c r="F147" s="63"/>
      <c r="G147" s="63"/>
      <c r="I147" s="63"/>
      <c r="J147" s="63"/>
      <c r="K147" s="63"/>
      <c r="O147" s="258"/>
      <c r="P147" s="627"/>
      <c r="AA147" s="258"/>
      <c r="AB147" s="258"/>
    </row>
    <row r="148" spans="1:28" s="257" customFormat="1" x14ac:dyDescent="0.2">
      <c r="A148" s="63"/>
      <c r="B148" s="63"/>
      <c r="C148" s="63"/>
      <c r="D148" s="63"/>
      <c r="E148" s="63"/>
      <c r="F148" s="63"/>
      <c r="G148" s="63"/>
      <c r="I148" s="63"/>
      <c r="J148" s="63"/>
      <c r="K148" s="63"/>
      <c r="O148" s="258"/>
      <c r="P148" s="627"/>
      <c r="AA148" s="258"/>
      <c r="AB148" s="258"/>
    </row>
    <row r="149" spans="1:28" s="257" customFormat="1" x14ac:dyDescent="0.2">
      <c r="A149" s="63"/>
      <c r="B149" s="63"/>
      <c r="C149" s="63"/>
      <c r="D149" s="63"/>
      <c r="E149" s="63"/>
      <c r="F149" s="63"/>
      <c r="G149" s="63"/>
      <c r="I149" s="63"/>
      <c r="J149" s="63"/>
      <c r="K149" s="63"/>
      <c r="O149" s="258"/>
      <c r="P149" s="627"/>
      <c r="AA149" s="258"/>
      <c r="AB149" s="258"/>
    </row>
    <row r="150" spans="1:28" s="257" customFormat="1" x14ac:dyDescent="0.2">
      <c r="A150" s="63"/>
      <c r="B150" s="63"/>
      <c r="C150" s="63" t="s">
        <v>2902</v>
      </c>
      <c r="D150" s="63"/>
      <c r="E150" s="63"/>
      <c r="F150" s="63"/>
      <c r="G150" s="63"/>
      <c r="I150" s="63"/>
      <c r="J150" s="63"/>
      <c r="K150" s="63"/>
      <c r="O150" s="258"/>
      <c r="P150" s="627"/>
      <c r="AA150" s="258"/>
      <c r="AB150" s="258"/>
    </row>
    <row r="151" spans="1:28" s="257" customFormat="1" x14ac:dyDescent="0.2">
      <c r="A151" s="63"/>
      <c r="B151" s="63"/>
      <c r="C151" s="63"/>
      <c r="D151" s="63"/>
      <c r="E151" s="63"/>
      <c r="F151" s="63"/>
      <c r="G151" s="63"/>
      <c r="I151" s="63"/>
      <c r="J151" s="63"/>
      <c r="K151" s="63"/>
      <c r="O151" s="258"/>
      <c r="P151" s="627"/>
      <c r="AA151" s="258"/>
      <c r="AB151" s="258"/>
    </row>
    <row r="152" spans="1:28" s="257" customFormat="1" x14ac:dyDescent="0.2">
      <c r="A152" s="63"/>
      <c r="B152" s="63"/>
      <c r="C152" s="63"/>
      <c r="D152" s="63"/>
      <c r="E152" s="63"/>
      <c r="F152" s="63"/>
      <c r="G152" s="63"/>
      <c r="I152" s="63"/>
      <c r="J152" s="63"/>
      <c r="K152" s="63"/>
      <c r="O152" s="258"/>
      <c r="P152" s="627"/>
      <c r="AA152" s="258"/>
      <c r="AB152" s="258"/>
    </row>
    <row r="153" spans="1:28" s="257" customFormat="1" x14ac:dyDescent="0.2">
      <c r="A153" s="63"/>
      <c r="B153" s="63"/>
      <c r="C153" s="63"/>
      <c r="D153" s="63"/>
      <c r="E153" s="63"/>
      <c r="F153" s="63"/>
      <c r="G153" s="63"/>
      <c r="I153" s="63"/>
      <c r="J153" s="63"/>
      <c r="K153" s="63"/>
      <c r="O153" s="258"/>
      <c r="P153" s="627"/>
      <c r="AA153" s="258"/>
      <c r="AB153" s="258"/>
    </row>
    <row r="154" spans="1:28" s="257" customFormat="1" x14ac:dyDescent="0.2">
      <c r="A154" s="63"/>
      <c r="B154" s="63"/>
      <c r="C154" s="63"/>
      <c r="D154" s="63"/>
      <c r="E154" s="63"/>
      <c r="F154" s="63"/>
      <c r="G154" s="63"/>
      <c r="I154" s="63"/>
      <c r="J154" s="63"/>
      <c r="K154" s="63"/>
      <c r="O154" s="258"/>
      <c r="P154" s="627"/>
      <c r="AA154" s="258"/>
      <c r="AB154" s="258"/>
    </row>
    <row r="155" spans="1:28" s="257" customFormat="1" x14ac:dyDescent="0.2">
      <c r="A155" s="63"/>
      <c r="B155" s="63"/>
      <c r="C155" s="63"/>
      <c r="D155" s="63"/>
      <c r="E155" s="63"/>
      <c r="F155" s="63"/>
      <c r="G155" s="63"/>
      <c r="I155" s="63"/>
      <c r="J155" s="63"/>
      <c r="K155" s="63"/>
      <c r="O155" s="258"/>
      <c r="P155" s="627"/>
      <c r="AA155" s="258"/>
      <c r="AB155" s="258"/>
    </row>
    <row r="156" spans="1:28" s="257" customFormat="1" x14ac:dyDescent="0.2">
      <c r="A156" s="63"/>
      <c r="B156" s="63"/>
      <c r="C156" s="63"/>
      <c r="D156" s="63"/>
      <c r="E156" s="63"/>
      <c r="F156" s="63"/>
      <c r="G156" s="63"/>
      <c r="I156" s="63"/>
      <c r="J156" s="63"/>
      <c r="K156" s="63"/>
      <c r="O156" s="258"/>
      <c r="P156" s="627"/>
      <c r="AA156" s="258"/>
      <c r="AB156" s="258"/>
    </row>
    <row r="157" spans="1:28" s="257" customFormat="1" x14ac:dyDescent="0.2">
      <c r="A157" s="63"/>
      <c r="B157" s="63"/>
      <c r="C157" s="63"/>
      <c r="D157" s="63"/>
      <c r="E157" s="63"/>
      <c r="F157" s="63"/>
      <c r="G157" s="63"/>
      <c r="I157" s="63"/>
      <c r="J157" s="63"/>
      <c r="K157" s="63"/>
      <c r="O157" s="258"/>
      <c r="P157" s="627"/>
      <c r="AA157" s="258"/>
      <c r="AB157" s="258"/>
    </row>
    <row r="158" spans="1:28" s="257" customFormat="1" x14ac:dyDescent="0.2">
      <c r="A158" s="63"/>
      <c r="B158" s="63"/>
      <c r="C158" s="63"/>
      <c r="D158" s="63"/>
      <c r="E158" s="63"/>
      <c r="F158" s="63"/>
      <c r="G158" s="63"/>
      <c r="I158" s="63"/>
      <c r="J158" s="63"/>
      <c r="K158" s="63"/>
      <c r="O158" s="258"/>
      <c r="P158" s="627"/>
      <c r="AA158" s="258"/>
      <c r="AB158" s="258"/>
    </row>
    <row r="159" spans="1:28" s="257" customFormat="1" x14ac:dyDescent="0.2">
      <c r="A159" s="63"/>
      <c r="B159" s="63"/>
      <c r="C159" s="63"/>
      <c r="D159" s="63"/>
      <c r="E159" s="63"/>
      <c r="F159" s="63"/>
      <c r="G159" s="63"/>
      <c r="I159" s="63"/>
      <c r="J159" s="63"/>
      <c r="K159" s="63"/>
      <c r="O159" s="258"/>
      <c r="P159" s="627"/>
      <c r="AA159" s="258"/>
      <c r="AB159" s="258"/>
    </row>
    <row r="160" spans="1:28" s="257" customFormat="1" x14ac:dyDescent="0.2">
      <c r="A160" s="63"/>
      <c r="B160" s="63"/>
      <c r="C160" s="63"/>
      <c r="D160" s="63"/>
      <c r="E160" s="63"/>
      <c r="F160" s="63"/>
      <c r="G160" s="63"/>
      <c r="I160" s="63"/>
      <c r="J160" s="63"/>
      <c r="K160" s="63"/>
      <c r="O160" s="258"/>
      <c r="P160" s="627"/>
      <c r="AA160" s="258"/>
      <c r="AB160" s="258"/>
    </row>
    <row r="161" spans="1:28" s="257" customFormat="1" x14ac:dyDescent="0.2">
      <c r="A161" s="63"/>
      <c r="B161" s="63"/>
      <c r="C161" s="63"/>
      <c r="D161" s="63"/>
      <c r="E161" s="63"/>
      <c r="F161" s="63"/>
      <c r="G161" s="63"/>
      <c r="I161" s="63"/>
      <c r="J161" s="63"/>
      <c r="K161" s="63"/>
      <c r="O161" s="258"/>
      <c r="P161" s="627"/>
      <c r="AA161" s="258"/>
      <c r="AB161" s="258"/>
    </row>
    <row r="162" spans="1:28" s="257" customFormat="1" x14ac:dyDescent="0.2">
      <c r="A162" s="63"/>
      <c r="B162" s="63"/>
      <c r="C162" s="63"/>
      <c r="D162" s="63"/>
      <c r="E162" s="63"/>
      <c r="F162" s="63"/>
      <c r="G162" s="63"/>
      <c r="I162" s="63"/>
      <c r="J162" s="63"/>
      <c r="K162" s="63"/>
      <c r="O162" s="258"/>
      <c r="P162" s="627"/>
      <c r="AA162" s="258"/>
      <c r="AB162" s="258"/>
    </row>
    <row r="163" spans="1:28" s="257" customFormat="1" x14ac:dyDescent="0.2">
      <c r="A163" s="63"/>
      <c r="B163" s="63"/>
      <c r="C163" s="63"/>
      <c r="D163" s="63"/>
      <c r="E163" s="63"/>
      <c r="F163" s="63"/>
      <c r="G163" s="63"/>
      <c r="I163" s="63"/>
      <c r="J163" s="63"/>
      <c r="K163" s="63"/>
      <c r="O163" s="258"/>
      <c r="P163" s="627"/>
      <c r="AA163" s="258"/>
      <c r="AB163" s="258"/>
    </row>
    <row r="164" spans="1:28" s="257" customFormat="1" x14ac:dyDescent="0.2">
      <c r="A164" s="63"/>
      <c r="B164" s="63"/>
      <c r="C164" s="63"/>
      <c r="D164" s="63"/>
      <c r="E164" s="63"/>
      <c r="F164" s="63"/>
      <c r="G164" s="63"/>
      <c r="I164" s="63"/>
      <c r="J164" s="63"/>
      <c r="K164" s="63"/>
      <c r="O164" s="258"/>
      <c r="P164" s="627"/>
      <c r="AA164" s="258"/>
      <c r="AB164" s="258"/>
    </row>
    <row r="165" spans="1:28" s="257" customFormat="1" x14ac:dyDescent="0.2">
      <c r="A165" s="63"/>
      <c r="B165" s="63"/>
      <c r="C165" s="63"/>
      <c r="D165" s="63"/>
      <c r="E165" s="63"/>
      <c r="F165" s="63"/>
      <c r="G165" s="63"/>
      <c r="I165" s="63"/>
      <c r="J165" s="63"/>
      <c r="K165" s="63"/>
      <c r="O165" s="258"/>
      <c r="P165" s="627"/>
      <c r="AA165" s="258"/>
      <c r="AB165" s="258"/>
    </row>
    <row r="166" spans="1:28" s="257" customFormat="1" x14ac:dyDescent="0.2">
      <c r="A166" s="63"/>
      <c r="B166" s="63"/>
      <c r="C166" s="63"/>
      <c r="D166" s="63"/>
      <c r="E166" s="63"/>
      <c r="F166" s="63"/>
      <c r="G166" s="63"/>
      <c r="I166" s="63"/>
      <c r="J166" s="63"/>
      <c r="K166" s="63"/>
      <c r="O166" s="258"/>
      <c r="P166" s="627"/>
      <c r="AA166" s="258"/>
      <c r="AB166" s="258"/>
    </row>
    <row r="167" spans="1:28" s="257" customFormat="1" x14ac:dyDescent="0.2">
      <c r="A167" s="63"/>
      <c r="B167" s="63"/>
      <c r="C167" s="63"/>
      <c r="D167" s="63"/>
      <c r="E167" s="63"/>
      <c r="F167" s="63"/>
      <c r="G167" s="63"/>
      <c r="I167" s="63"/>
      <c r="J167" s="63"/>
      <c r="K167" s="63"/>
      <c r="O167" s="258"/>
      <c r="P167" s="627"/>
      <c r="AA167" s="258"/>
      <c r="AB167" s="258"/>
    </row>
    <row r="168" spans="1:28" s="257" customFormat="1" x14ac:dyDescent="0.2">
      <c r="A168" s="63"/>
      <c r="B168" s="63"/>
      <c r="C168" s="63"/>
      <c r="D168" s="63"/>
      <c r="E168" s="63"/>
      <c r="F168" s="63"/>
      <c r="G168" s="63"/>
      <c r="I168" s="63"/>
      <c r="J168" s="63"/>
      <c r="K168" s="63"/>
      <c r="O168" s="258"/>
      <c r="P168" s="627"/>
      <c r="AA168" s="258"/>
      <c r="AB168" s="258"/>
    </row>
    <row r="169" spans="1:28" s="257" customFormat="1" x14ac:dyDescent="0.2">
      <c r="A169" s="63"/>
      <c r="B169" s="63"/>
      <c r="C169" s="63"/>
      <c r="D169" s="63"/>
      <c r="E169" s="63"/>
      <c r="F169" s="63"/>
      <c r="G169" s="63"/>
      <c r="I169" s="63"/>
      <c r="J169" s="63"/>
      <c r="K169" s="63"/>
      <c r="O169" s="258"/>
      <c r="P169" s="627"/>
      <c r="AA169" s="258"/>
      <c r="AB169" s="258"/>
    </row>
    <row r="170" spans="1:28" s="257" customFormat="1" x14ac:dyDescent="0.2">
      <c r="A170" s="63"/>
      <c r="B170" s="63"/>
      <c r="C170" s="63"/>
      <c r="D170" s="63"/>
      <c r="E170" s="63"/>
      <c r="F170" s="63"/>
      <c r="G170" s="63"/>
      <c r="I170" s="63"/>
      <c r="J170" s="63"/>
      <c r="K170" s="63"/>
      <c r="O170" s="258"/>
      <c r="P170" s="627"/>
      <c r="AA170" s="258"/>
      <c r="AB170" s="258"/>
    </row>
    <row r="171" spans="1:28" s="257" customFormat="1" x14ac:dyDescent="0.2">
      <c r="A171" s="63"/>
      <c r="B171" s="63"/>
      <c r="C171" s="63"/>
      <c r="D171" s="63"/>
      <c r="E171" s="63"/>
      <c r="F171" s="63"/>
      <c r="G171" s="63"/>
      <c r="I171" s="63"/>
      <c r="J171" s="63"/>
      <c r="K171" s="63"/>
      <c r="O171" s="258"/>
      <c r="P171" s="627"/>
      <c r="AA171" s="258"/>
      <c r="AB171" s="258"/>
    </row>
    <row r="172" spans="1:28" s="257" customFormat="1" x14ac:dyDescent="0.2">
      <c r="A172" s="63"/>
      <c r="B172" s="63"/>
      <c r="C172" s="63"/>
      <c r="D172" s="63"/>
      <c r="E172" s="63"/>
      <c r="F172" s="63"/>
      <c r="G172" s="63"/>
      <c r="I172" s="63"/>
      <c r="J172" s="63"/>
      <c r="K172" s="63"/>
      <c r="O172" s="258"/>
      <c r="P172" s="627"/>
      <c r="AA172" s="258"/>
      <c r="AB172" s="258"/>
    </row>
    <row r="173" spans="1:28" s="257" customFormat="1" x14ac:dyDescent="0.2">
      <c r="A173" s="63"/>
      <c r="B173" s="63"/>
      <c r="C173" s="63"/>
      <c r="D173" s="63"/>
      <c r="E173" s="63"/>
      <c r="F173" s="63"/>
      <c r="G173" s="63"/>
      <c r="I173" s="63"/>
      <c r="J173" s="63"/>
      <c r="K173" s="63"/>
      <c r="O173" s="258"/>
      <c r="P173" s="627"/>
      <c r="AA173" s="258"/>
      <c r="AB173" s="258"/>
    </row>
    <row r="174" spans="1:28" s="257" customFormat="1" x14ac:dyDescent="0.2">
      <c r="A174" s="63"/>
      <c r="B174" s="63"/>
      <c r="C174" s="63"/>
      <c r="D174" s="63"/>
      <c r="E174" s="63"/>
      <c r="F174" s="63"/>
      <c r="G174" s="63"/>
      <c r="I174" s="63"/>
      <c r="J174" s="63"/>
      <c r="K174" s="63"/>
      <c r="O174" s="258"/>
      <c r="P174" s="627"/>
      <c r="AA174" s="258"/>
      <c r="AB174" s="258"/>
    </row>
    <row r="175" spans="1:28" s="257" customFormat="1" x14ac:dyDescent="0.2">
      <c r="A175" s="63"/>
      <c r="B175" s="63"/>
      <c r="C175" s="63"/>
      <c r="D175" s="63"/>
      <c r="E175" s="63"/>
      <c r="F175" s="63"/>
      <c r="G175" s="63"/>
      <c r="I175" s="63"/>
      <c r="J175" s="63"/>
      <c r="K175" s="63"/>
      <c r="O175" s="258"/>
      <c r="P175" s="627"/>
      <c r="AA175" s="258"/>
      <c r="AB175" s="258"/>
    </row>
    <row r="176" spans="1:28" s="257" customFormat="1" x14ac:dyDescent="0.2">
      <c r="A176" s="63"/>
      <c r="B176" s="63"/>
      <c r="C176" s="63"/>
      <c r="D176" s="63"/>
      <c r="E176" s="63"/>
      <c r="F176" s="63"/>
      <c r="G176" s="63"/>
      <c r="I176" s="63"/>
      <c r="J176" s="63"/>
      <c r="K176" s="63"/>
      <c r="O176" s="258"/>
      <c r="P176" s="627"/>
      <c r="AA176" s="258"/>
      <c r="AB176" s="258"/>
    </row>
    <row r="177" spans="1:28" s="257" customFormat="1" x14ac:dyDescent="0.2">
      <c r="A177" s="63"/>
      <c r="B177" s="63"/>
      <c r="C177" s="63"/>
      <c r="D177" s="63"/>
      <c r="E177" s="63"/>
      <c r="F177" s="63"/>
      <c r="G177" s="63"/>
      <c r="I177" s="63"/>
      <c r="J177" s="63"/>
      <c r="K177" s="63"/>
      <c r="O177" s="258"/>
      <c r="P177" s="627"/>
      <c r="AA177" s="258"/>
      <c r="AB177" s="258"/>
    </row>
    <row r="178" spans="1:28" s="257" customFormat="1" x14ac:dyDescent="0.2">
      <c r="A178" s="63"/>
      <c r="B178" s="63"/>
      <c r="C178" s="63"/>
      <c r="D178" s="63"/>
      <c r="E178" s="63"/>
      <c r="F178" s="63"/>
      <c r="G178" s="63"/>
      <c r="I178" s="63"/>
      <c r="J178" s="63"/>
      <c r="K178" s="63"/>
      <c r="O178" s="258"/>
      <c r="P178" s="627"/>
      <c r="AA178" s="258"/>
      <c r="AB178" s="258"/>
    </row>
    <row r="179" spans="1:28" s="257" customFormat="1" x14ac:dyDescent="0.2">
      <c r="A179" s="63"/>
      <c r="B179" s="63"/>
      <c r="C179" s="63"/>
      <c r="D179" s="63"/>
      <c r="E179" s="63"/>
      <c r="F179" s="63"/>
      <c r="G179" s="63"/>
      <c r="I179" s="63"/>
      <c r="J179" s="63"/>
      <c r="K179" s="63"/>
      <c r="O179" s="258"/>
      <c r="P179" s="627"/>
      <c r="AA179" s="258"/>
      <c r="AB179" s="258"/>
    </row>
    <row r="180" spans="1:28" s="257" customFormat="1" x14ac:dyDescent="0.2">
      <c r="A180" s="63"/>
      <c r="B180" s="63"/>
      <c r="C180" s="63"/>
      <c r="D180" s="63"/>
      <c r="E180" s="63"/>
      <c r="F180" s="63"/>
      <c r="G180" s="63"/>
      <c r="I180" s="63"/>
      <c r="J180" s="63"/>
      <c r="K180" s="63"/>
      <c r="O180" s="258"/>
      <c r="P180" s="627"/>
    </row>
    <row r="181" spans="1:28" s="257" customFormat="1" x14ac:dyDescent="0.2">
      <c r="A181" s="63"/>
      <c r="B181" s="63"/>
      <c r="C181" s="63"/>
      <c r="D181" s="63"/>
      <c r="E181" s="63"/>
      <c r="F181" s="63"/>
      <c r="G181" s="63"/>
      <c r="I181" s="63"/>
      <c r="J181" s="63"/>
      <c r="K181" s="63"/>
      <c r="O181" s="258"/>
      <c r="P181" s="627"/>
    </row>
    <row r="182" spans="1:28" s="257" customFormat="1" x14ac:dyDescent="0.2">
      <c r="A182" s="63"/>
      <c r="B182" s="63"/>
      <c r="C182" s="63"/>
      <c r="D182" s="63"/>
      <c r="E182" s="63"/>
      <c r="F182" s="63"/>
      <c r="G182" s="63"/>
      <c r="I182" s="63"/>
      <c r="J182" s="63"/>
      <c r="K182" s="63"/>
      <c r="O182" s="258"/>
      <c r="P182" s="627"/>
    </row>
    <row r="183" spans="1:28" s="257" customFormat="1" x14ac:dyDescent="0.2">
      <c r="A183" s="63"/>
      <c r="B183" s="63"/>
      <c r="C183" s="63"/>
      <c r="D183" s="63"/>
      <c r="E183" s="63"/>
      <c r="F183" s="63"/>
      <c r="G183" s="63"/>
      <c r="I183" s="63"/>
      <c r="J183" s="63"/>
      <c r="K183" s="63"/>
      <c r="O183" s="258"/>
      <c r="P183" s="627"/>
    </row>
    <row r="184" spans="1:28" s="257" customFormat="1" x14ac:dyDescent="0.2">
      <c r="A184" s="63"/>
      <c r="B184" s="63"/>
      <c r="C184" s="63"/>
      <c r="D184" s="63"/>
      <c r="E184" s="63"/>
      <c r="F184" s="63"/>
      <c r="G184" s="63"/>
      <c r="I184" s="63"/>
      <c r="J184" s="63"/>
      <c r="K184" s="63"/>
      <c r="O184" s="258"/>
      <c r="P184" s="627"/>
    </row>
    <row r="185" spans="1:28" s="257" customFormat="1" x14ac:dyDescent="0.2">
      <c r="A185" s="63"/>
      <c r="B185" s="63"/>
      <c r="C185" s="63"/>
      <c r="D185" s="63"/>
      <c r="E185" s="63"/>
      <c r="F185" s="63"/>
      <c r="G185" s="63"/>
      <c r="I185" s="63"/>
      <c r="J185" s="63"/>
      <c r="K185" s="63"/>
      <c r="O185" s="258"/>
      <c r="P185" s="627"/>
    </row>
    <row r="186" spans="1:28" s="257" customFormat="1" x14ac:dyDescent="0.2">
      <c r="A186" s="63"/>
      <c r="B186" s="63"/>
      <c r="C186" s="63"/>
      <c r="D186" s="63"/>
      <c r="E186" s="63"/>
      <c r="F186" s="63"/>
      <c r="G186" s="63"/>
      <c r="I186" s="63"/>
      <c r="J186" s="63"/>
      <c r="K186" s="63"/>
      <c r="O186" s="258"/>
      <c r="P186" s="627"/>
    </row>
    <row r="187" spans="1:28" s="257" customFormat="1" x14ac:dyDescent="0.2">
      <c r="A187" s="63"/>
      <c r="B187" s="63"/>
      <c r="C187" s="63"/>
      <c r="D187" s="63"/>
      <c r="E187" s="63"/>
      <c r="F187" s="63"/>
      <c r="G187" s="63"/>
      <c r="I187" s="63"/>
      <c r="J187" s="63"/>
      <c r="K187" s="63"/>
      <c r="O187" s="258"/>
      <c r="P187" s="627"/>
    </row>
    <row r="188" spans="1:28" s="257" customFormat="1" x14ac:dyDescent="0.2">
      <c r="A188" s="63"/>
      <c r="B188" s="63"/>
      <c r="C188" s="63"/>
      <c r="D188" s="63"/>
      <c r="E188" s="63"/>
      <c r="F188" s="63"/>
      <c r="G188" s="63"/>
      <c r="I188" s="63"/>
      <c r="J188" s="63"/>
      <c r="K188" s="63"/>
      <c r="O188" s="258"/>
      <c r="P188" s="627"/>
    </row>
    <row r="189" spans="1:28" s="257" customFormat="1" x14ac:dyDescent="0.2">
      <c r="A189" s="63"/>
      <c r="B189" s="63"/>
      <c r="C189" s="63"/>
      <c r="D189" s="63"/>
      <c r="E189" s="63"/>
      <c r="F189" s="63"/>
      <c r="G189" s="63"/>
      <c r="I189" s="63"/>
      <c r="J189" s="63"/>
      <c r="K189" s="63"/>
      <c r="O189" s="258"/>
      <c r="P189" s="627"/>
    </row>
    <row r="190" spans="1:28" s="257" customFormat="1" x14ac:dyDescent="0.2">
      <c r="A190" s="63"/>
      <c r="B190" s="63"/>
      <c r="C190" s="63"/>
      <c r="D190" s="63"/>
      <c r="E190" s="63"/>
      <c r="F190" s="63"/>
      <c r="G190" s="63"/>
      <c r="I190" s="63"/>
      <c r="J190" s="63"/>
      <c r="K190" s="63"/>
      <c r="O190" s="258"/>
      <c r="P190" s="627"/>
    </row>
    <row r="191" spans="1:28" s="257" customFormat="1" x14ac:dyDescent="0.2">
      <c r="A191" s="63"/>
      <c r="B191" s="63"/>
      <c r="C191" s="63"/>
      <c r="D191" s="63"/>
      <c r="E191" s="63"/>
      <c r="F191" s="63"/>
      <c r="G191" s="63"/>
      <c r="I191" s="63"/>
      <c r="J191" s="63"/>
      <c r="K191" s="63"/>
      <c r="O191" s="258"/>
      <c r="P191" s="627"/>
    </row>
    <row r="192" spans="1:28" s="257" customFormat="1" x14ac:dyDescent="0.2">
      <c r="A192" s="63"/>
      <c r="B192" s="63"/>
      <c r="C192" s="63"/>
      <c r="D192" s="63"/>
      <c r="E192" s="63"/>
      <c r="F192" s="63"/>
      <c r="G192" s="63"/>
      <c r="I192" s="63"/>
      <c r="J192" s="63"/>
      <c r="K192" s="63"/>
      <c r="O192" s="258"/>
      <c r="P192" s="627"/>
    </row>
    <row r="193" spans="1:16" s="257" customFormat="1" x14ac:dyDescent="0.2">
      <c r="A193" s="63"/>
      <c r="B193" s="63"/>
      <c r="C193" s="63"/>
      <c r="D193" s="63"/>
      <c r="E193" s="63"/>
      <c r="F193" s="63"/>
      <c r="G193" s="63"/>
      <c r="I193" s="63"/>
      <c r="J193" s="63"/>
      <c r="K193" s="63"/>
      <c r="O193" s="258"/>
      <c r="P193" s="627"/>
    </row>
    <row r="194" spans="1:16" s="257" customFormat="1" x14ac:dyDescent="0.2">
      <c r="A194" s="63"/>
      <c r="B194" s="63"/>
      <c r="C194" s="63"/>
      <c r="D194" s="63"/>
      <c r="E194" s="63"/>
      <c r="F194" s="63"/>
      <c r="G194" s="63"/>
      <c r="I194" s="63"/>
      <c r="J194" s="63"/>
      <c r="K194" s="63"/>
      <c r="O194" s="258"/>
      <c r="P194" s="627"/>
    </row>
    <row r="195" spans="1:16" s="257" customFormat="1" x14ac:dyDescent="0.2">
      <c r="A195" s="63"/>
      <c r="B195" s="63"/>
      <c r="C195" s="63"/>
      <c r="D195" s="63"/>
      <c r="E195" s="63"/>
      <c r="F195" s="63"/>
      <c r="G195" s="63"/>
      <c r="I195" s="63"/>
      <c r="J195" s="63"/>
      <c r="K195" s="63"/>
      <c r="O195" s="258"/>
      <c r="P195" s="627"/>
    </row>
    <row r="196" spans="1:16" s="257" customFormat="1" x14ac:dyDescent="0.2">
      <c r="A196" s="63"/>
      <c r="B196" s="63"/>
      <c r="C196" s="63"/>
      <c r="D196" s="63"/>
      <c r="E196" s="63"/>
      <c r="F196" s="63"/>
      <c r="G196" s="63"/>
      <c r="I196" s="63"/>
      <c r="J196" s="63"/>
      <c r="K196" s="63"/>
      <c r="O196" s="258"/>
      <c r="P196" s="627"/>
    </row>
    <row r="197" spans="1:16" s="257" customFormat="1" x14ac:dyDescent="0.2">
      <c r="A197" s="63"/>
      <c r="B197" s="63"/>
      <c r="C197" s="63"/>
      <c r="D197" s="63"/>
      <c r="E197" s="63"/>
      <c r="F197" s="63"/>
      <c r="G197" s="63"/>
      <c r="I197" s="63"/>
      <c r="J197" s="63"/>
      <c r="K197" s="63"/>
      <c r="O197" s="258"/>
      <c r="P197" s="627"/>
    </row>
    <row r="198" spans="1:16" s="257" customFormat="1" x14ac:dyDescent="0.2">
      <c r="A198" s="63"/>
      <c r="B198" s="63"/>
      <c r="C198" s="63"/>
      <c r="D198" s="63"/>
      <c r="E198" s="63"/>
      <c r="F198" s="63"/>
      <c r="G198" s="63"/>
      <c r="I198" s="63"/>
      <c r="J198" s="63"/>
      <c r="K198" s="63"/>
      <c r="O198" s="258"/>
      <c r="P198" s="627"/>
    </row>
    <row r="199" spans="1:16" s="257" customFormat="1" x14ac:dyDescent="0.2">
      <c r="A199" s="63"/>
      <c r="B199" s="63"/>
      <c r="C199" s="63"/>
      <c r="D199" s="63"/>
      <c r="E199" s="63"/>
      <c r="F199" s="63"/>
      <c r="G199" s="63"/>
      <c r="I199" s="63"/>
      <c r="J199" s="63"/>
      <c r="K199" s="63"/>
      <c r="O199" s="258"/>
      <c r="P199" s="627"/>
    </row>
    <row r="200" spans="1:16" s="257" customFormat="1" x14ac:dyDescent="0.2">
      <c r="A200" s="63"/>
      <c r="B200" s="63"/>
      <c r="C200" s="63"/>
      <c r="D200" s="63"/>
      <c r="E200" s="63"/>
      <c r="F200" s="63"/>
      <c r="G200" s="63"/>
      <c r="I200" s="63"/>
      <c r="J200" s="63"/>
      <c r="K200" s="63"/>
      <c r="O200" s="258"/>
      <c r="P200" s="627"/>
    </row>
    <row r="201" spans="1:16" s="257" customFormat="1" x14ac:dyDescent="0.2">
      <c r="A201" s="63"/>
      <c r="B201" s="63"/>
      <c r="C201" s="63"/>
      <c r="D201" s="63"/>
      <c r="E201" s="63"/>
      <c r="F201" s="63"/>
      <c r="G201" s="63"/>
      <c r="I201" s="63"/>
      <c r="J201" s="63"/>
      <c r="K201" s="63"/>
      <c r="O201" s="258"/>
      <c r="P201" s="627"/>
    </row>
    <row r="202" spans="1:16" s="257" customFormat="1" x14ac:dyDescent="0.2">
      <c r="A202" s="63"/>
      <c r="B202" s="63"/>
      <c r="C202" s="63"/>
      <c r="D202" s="63"/>
      <c r="E202" s="63"/>
      <c r="F202" s="63"/>
      <c r="G202" s="63"/>
      <c r="I202" s="63"/>
      <c r="J202" s="63"/>
      <c r="K202" s="63"/>
      <c r="O202" s="258"/>
      <c r="P202" s="627"/>
    </row>
    <row r="203" spans="1:16" s="257" customFormat="1" x14ac:dyDescent="0.2">
      <c r="A203" s="63"/>
      <c r="B203" s="63"/>
      <c r="C203" s="63"/>
      <c r="D203" s="63"/>
      <c r="E203" s="63"/>
      <c r="F203" s="63"/>
      <c r="G203" s="63"/>
      <c r="I203" s="63"/>
      <c r="J203" s="63"/>
      <c r="K203" s="63"/>
      <c r="O203" s="258"/>
      <c r="P203" s="627"/>
    </row>
    <row r="204" spans="1:16" s="257" customFormat="1" x14ac:dyDescent="0.2">
      <c r="A204" s="63"/>
      <c r="B204" s="63"/>
      <c r="C204" s="63"/>
      <c r="D204" s="63"/>
      <c r="E204" s="63"/>
      <c r="F204" s="63"/>
      <c r="G204" s="63"/>
      <c r="I204" s="63"/>
      <c r="J204" s="63"/>
      <c r="K204" s="63"/>
      <c r="O204" s="258"/>
      <c r="P204" s="627"/>
    </row>
    <row r="205" spans="1:16" s="257" customFormat="1" x14ac:dyDescent="0.2">
      <c r="A205" s="63"/>
      <c r="B205" s="63"/>
      <c r="C205" s="63"/>
      <c r="D205" s="63"/>
      <c r="E205" s="63"/>
      <c r="F205" s="63"/>
      <c r="G205" s="63"/>
      <c r="I205" s="63"/>
      <c r="J205" s="63"/>
      <c r="K205" s="63"/>
      <c r="O205" s="258"/>
      <c r="P205" s="627"/>
    </row>
    <row r="206" spans="1:16" s="257" customFormat="1" x14ac:dyDescent="0.2">
      <c r="A206" s="63"/>
      <c r="B206" s="63"/>
      <c r="C206" s="63"/>
      <c r="D206" s="63"/>
      <c r="E206" s="63"/>
      <c r="F206" s="63"/>
      <c r="G206" s="63"/>
      <c r="I206" s="63"/>
      <c r="J206" s="63"/>
      <c r="K206" s="63"/>
      <c r="O206" s="258"/>
      <c r="P206" s="627"/>
    </row>
    <row r="207" spans="1:16" s="257" customFormat="1" x14ac:dyDescent="0.2">
      <c r="A207" s="63"/>
      <c r="B207" s="63"/>
      <c r="C207" s="63"/>
      <c r="D207" s="63"/>
      <c r="E207" s="63"/>
      <c r="F207" s="63"/>
      <c r="G207" s="63"/>
      <c r="I207" s="63"/>
      <c r="J207" s="63"/>
      <c r="K207" s="63"/>
      <c r="O207" s="258"/>
      <c r="P207" s="627"/>
    </row>
    <row r="208" spans="1:16" s="257" customFormat="1" x14ac:dyDescent="0.2">
      <c r="A208" s="63"/>
      <c r="B208" s="63"/>
      <c r="C208" s="63"/>
      <c r="D208" s="63"/>
      <c r="E208" s="63"/>
      <c r="F208" s="63"/>
      <c r="G208" s="63"/>
      <c r="I208" s="63"/>
      <c r="J208" s="63"/>
      <c r="K208" s="63"/>
      <c r="O208" s="258"/>
      <c r="P208" s="627"/>
    </row>
    <row r="209" spans="1:16" s="257" customFormat="1" x14ac:dyDescent="0.2">
      <c r="A209" s="63"/>
      <c r="B209" s="63"/>
      <c r="C209" s="63"/>
      <c r="D209" s="63"/>
      <c r="E209" s="63"/>
      <c r="F209" s="63"/>
      <c r="G209" s="63"/>
      <c r="I209" s="63"/>
      <c r="J209" s="63"/>
      <c r="K209" s="63"/>
      <c r="O209" s="258"/>
      <c r="P209" s="627"/>
    </row>
    <row r="210" spans="1:16" s="257" customFormat="1" x14ac:dyDescent="0.2">
      <c r="A210" s="63"/>
      <c r="B210" s="63"/>
      <c r="C210" s="63"/>
      <c r="D210" s="63"/>
      <c r="E210" s="63"/>
      <c r="F210" s="63"/>
      <c r="G210" s="63"/>
      <c r="I210" s="63"/>
      <c r="J210" s="63"/>
      <c r="K210" s="63"/>
      <c r="O210" s="258"/>
      <c r="P210" s="627"/>
    </row>
    <row r="211" spans="1:16" s="257" customFormat="1" x14ac:dyDescent="0.2">
      <c r="A211" s="63"/>
      <c r="B211" s="63"/>
      <c r="C211" s="63"/>
      <c r="D211" s="63"/>
      <c r="E211" s="63"/>
      <c r="F211" s="63"/>
      <c r="G211" s="63"/>
      <c r="I211" s="63"/>
      <c r="J211" s="63"/>
      <c r="K211" s="63"/>
      <c r="O211" s="258"/>
      <c r="P211" s="627"/>
    </row>
    <row r="212" spans="1:16" s="257" customFormat="1" x14ac:dyDescent="0.2">
      <c r="A212" s="63"/>
      <c r="B212" s="63"/>
      <c r="C212" s="63"/>
      <c r="D212" s="63"/>
      <c r="E212" s="63"/>
      <c r="F212" s="63"/>
      <c r="G212" s="63"/>
      <c r="I212" s="63"/>
      <c r="J212" s="63"/>
      <c r="K212" s="63"/>
      <c r="O212" s="258"/>
      <c r="P212" s="627"/>
    </row>
    <row r="213" spans="1:16" s="257" customFormat="1" x14ac:dyDescent="0.2">
      <c r="A213" s="63"/>
      <c r="B213" s="63"/>
      <c r="C213" s="63"/>
      <c r="D213" s="63"/>
      <c r="E213" s="63"/>
      <c r="F213" s="63"/>
      <c r="G213" s="63"/>
      <c r="I213" s="63"/>
      <c r="J213" s="63"/>
      <c r="K213" s="63"/>
      <c r="O213" s="258"/>
      <c r="P213" s="627"/>
    </row>
    <row r="214" spans="1:16" s="257" customFormat="1" x14ac:dyDescent="0.2">
      <c r="A214" s="63"/>
      <c r="B214" s="63"/>
      <c r="C214" s="63"/>
      <c r="D214" s="63"/>
      <c r="E214" s="63"/>
      <c r="F214" s="63"/>
      <c r="G214" s="63"/>
      <c r="I214" s="63"/>
      <c r="J214" s="63"/>
      <c r="K214" s="63"/>
      <c r="O214" s="258"/>
      <c r="P214" s="627"/>
    </row>
    <row r="215" spans="1:16" s="257" customFormat="1" x14ac:dyDescent="0.2">
      <c r="A215" s="63"/>
      <c r="B215" s="63"/>
      <c r="C215" s="63"/>
      <c r="D215" s="63"/>
      <c r="E215" s="63"/>
      <c r="F215" s="63"/>
      <c r="G215" s="63"/>
      <c r="I215" s="63"/>
      <c r="J215" s="63"/>
      <c r="K215" s="63"/>
      <c r="O215" s="258"/>
      <c r="P215" s="627"/>
    </row>
    <row r="216" spans="1:16" s="257" customFormat="1" x14ac:dyDescent="0.2">
      <c r="A216" s="63"/>
      <c r="B216" s="63"/>
      <c r="C216" s="63"/>
      <c r="D216" s="63"/>
      <c r="E216" s="63"/>
      <c r="F216" s="63"/>
      <c r="G216" s="63"/>
      <c r="I216" s="63"/>
      <c r="J216" s="63"/>
      <c r="K216" s="63"/>
      <c r="O216" s="258"/>
      <c r="P216" s="627"/>
    </row>
    <row r="217" spans="1:16" s="257" customFormat="1" x14ac:dyDescent="0.2">
      <c r="A217" s="63"/>
      <c r="B217" s="63"/>
      <c r="C217" s="63"/>
      <c r="D217" s="63"/>
      <c r="E217" s="63"/>
      <c r="F217" s="63"/>
      <c r="G217" s="63"/>
      <c r="I217" s="63"/>
      <c r="J217" s="63"/>
      <c r="K217" s="63"/>
      <c r="O217" s="258"/>
      <c r="P217" s="627"/>
    </row>
    <row r="218" spans="1:16" s="257" customFormat="1" x14ac:dyDescent="0.2">
      <c r="A218" s="63"/>
      <c r="B218" s="63"/>
      <c r="C218" s="63"/>
      <c r="D218" s="63"/>
      <c r="E218" s="63"/>
      <c r="F218" s="63"/>
      <c r="G218" s="63"/>
      <c r="I218" s="63"/>
      <c r="J218" s="63"/>
      <c r="K218" s="63"/>
      <c r="O218" s="258"/>
      <c r="P218" s="627"/>
    </row>
    <row r="219" spans="1:16" s="257" customFormat="1" x14ac:dyDescent="0.2">
      <c r="A219" s="63"/>
      <c r="B219" s="63"/>
      <c r="C219" s="63"/>
      <c r="D219" s="63"/>
      <c r="E219" s="63"/>
      <c r="F219" s="63"/>
      <c r="G219" s="63"/>
      <c r="I219" s="63"/>
      <c r="J219" s="63"/>
      <c r="K219" s="63"/>
      <c r="O219" s="258"/>
      <c r="P219" s="627"/>
    </row>
    <row r="220" spans="1:16" s="257" customFormat="1" x14ac:dyDescent="0.2">
      <c r="A220" s="63"/>
      <c r="B220" s="63"/>
      <c r="C220" s="63"/>
      <c r="D220" s="63"/>
      <c r="E220" s="63"/>
      <c r="F220" s="63"/>
      <c r="G220" s="63"/>
      <c r="I220" s="63"/>
      <c r="J220" s="63"/>
      <c r="K220" s="63"/>
      <c r="O220" s="258"/>
      <c r="P220" s="627"/>
    </row>
    <row r="221" spans="1:16" s="257" customFormat="1" x14ac:dyDescent="0.2">
      <c r="A221" s="63"/>
      <c r="B221" s="63"/>
      <c r="C221" s="63"/>
      <c r="D221" s="63"/>
      <c r="E221" s="63"/>
      <c r="F221" s="63"/>
      <c r="G221" s="63"/>
      <c r="I221" s="63"/>
      <c r="J221" s="63"/>
      <c r="K221" s="63"/>
      <c r="O221" s="258"/>
      <c r="P221" s="627"/>
    </row>
    <row r="222" spans="1:16" s="257" customFormat="1" x14ac:dyDescent="0.2">
      <c r="A222" s="63"/>
      <c r="B222" s="63"/>
      <c r="C222" s="63"/>
      <c r="D222" s="63"/>
      <c r="E222" s="63"/>
      <c r="F222" s="63"/>
      <c r="G222" s="63"/>
      <c r="I222" s="63"/>
      <c r="J222" s="63"/>
      <c r="K222" s="63"/>
      <c r="O222" s="258"/>
      <c r="P222" s="627"/>
    </row>
    <row r="223" spans="1:16" s="257" customFormat="1" x14ac:dyDescent="0.2">
      <c r="A223" s="63"/>
      <c r="B223" s="63"/>
      <c r="C223" s="63"/>
      <c r="D223" s="63"/>
      <c r="E223" s="63"/>
      <c r="F223" s="63"/>
      <c r="G223" s="63"/>
      <c r="I223" s="63"/>
      <c r="J223" s="63"/>
      <c r="K223" s="63"/>
      <c r="O223" s="258"/>
      <c r="P223" s="627"/>
    </row>
    <row r="224" spans="1:16" s="257" customFormat="1" x14ac:dyDescent="0.2">
      <c r="A224" s="63"/>
      <c r="B224" s="63"/>
      <c r="C224" s="63"/>
      <c r="D224" s="63"/>
      <c r="E224" s="63"/>
      <c r="F224" s="63"/>
      <c r="G224" s="63"/>
      <c r="I224" s="63"/>
      <c r="J224" s="63"/>
      <c r="K224" s="63"/>
      <c r="O224" s="258"/>
      <c r="P224" s="627"/>
    </row>
    <row r="225" spans="1:16" s="257" customFormat="1" x14ac:dyDescent="0.2">
      <c r="A225" s="63"/>
      <c r="B225" s="63"/>
      <c r="C225" s="63"/>
      <c r="D225" s="63"/>
      <c r="E225" s="63"/>
      <c r="F225" s="63"/>
      <c r="G225" s="63"/>
      <c r="I225" s="63"/>
      <c r="J225" s="63"/>
      <c r="K225" s="63"/>
      <c r="O225" s="258"/>
      <c r="P225" s="627"/>
    </row>
    <row r="226" spans="1:16" s="257" customFormat="1" x14ac:dyDescent="0.2">
      <c r="A226" s="63"/>
      <c r="B226" s="63"/>
      <c r="C226" s="63"/>
      <c r="D226" s="63"/>
      <c r="E226" s="63"/>
      <c r="F226" s="63"/>
      <c r="G226" s="63"/>
      <c r="I226" s="63"/>
      <c r="J226" s="63"/>
      <c r="K226" s="63"/>
      <c r="O226" s="258"/>
      <c r="P226" s="627"/>
    </row>
    <row r="227" spans="1:16" s="257" customFormat="1" x14ac:dyDescent="0.2">
      <c r="A227" s="63"/>
      <c r="B227" s="63"/>
      <c r="C227" s="63"/>
      <c r="D227" s="63"/>
      <c r="E227" s="63"/>
      <c r="F227" s="63"/>
      <c r="G227" s="63"/>
      <c r="I227" s="63"/>
      <c r="J227" s="63"/>
      <c r="K227" s="63"/>
      <c r="O227" s="258"/>
      <c r="P227" s="627"/>
    </row>
    <row r="228" spans="1:16" s="257" customFormat="1" x14ac:dyDescent="0.2">
      <c r="A228" s="63"/>
      <c r="B228" s="63"/>
      <c r="C228" s="63"/>
      <c r="D228" s="63"/>
      <c r="E228" s="63"/>
      <c r="F228" s="63"/>
      <c r="G228" s="63"/>
      <c r="I228" s="63"/>
      <c r="J228" s="63"/>
      <c r="K228" s="63"/>
      <c r="O228" s="258"/>
      <c r="P228" s="627"/>
    </row>
    <row r="229" spans="1:16" s="257" customFormat="1" x14ac:dyDescent="0.2">
      <c r="A229" s="63"/>
      <c r="B229" s="63"/>
      <c r="C229" s="63"/>
      <c r="D229" s="63"/>
      <c r="E229" s="63"/>
      <c r="F229" s="63"/>
      <c r="G229" s="63"/>
      <c r="I229" s="63"/>
      <c r="J229" s="63"/>
      <c r="K229" s="63"/>
      <c r="O229" s="258"/>
      <c r="P229" s="627"/>
    </row>
    <row r="230" spans="1:16" s="257" customFormat="1" x14ac:dyDescent="0.2">
      <c r="A230" s="63"/>
      <c r="B230" s="63"/>
      <c r="C230" s="63"/>
      <c r="D230" s="63"/>
      <c r="E230" s="63"/>
      <c r="F230" s="63"/>
      <c r="G230" s="63"/>
      <c r="I230" s="63"/>
      <c r="J230" s="63"/>
      <c r="K230" s="63"/>
      <c r="O230" s="258"/>
      <c r="P230" s="627"/>
    </row>
    <row r="231" spans="1:16" s="257" customFormat="1" x14ac:dyDescent="0.2">
      <c r="A231" s="63"/>
      <c r="B231" s="63"/>
      <c r="C231" s="63"/>
      <c r="D231" s="63"/>
      <c r="E231" s="63"/>
      <c r="F231" s="63"/>
      <c r="G231" s="63"/>
      <c r="I231" s="63"/>
      <c r="J231" s="63"/>
      <c r="K231" s="63"/>
      <c r="O231" s="258"/>
      <c r="P231" s="627"/>
    </row>
    <row r="232" spans="1:16" s="257" customFormat="1" x14ac:dyDescent="0.2">
      <c r="A232" s="63"/>
      <c r="B232" s="63"/>
      <c r="C232" s="63"/>
      <c r="D232" s="63"/>
      <c r="E232" s="63"/>
      <c r="F232" s="63"/>
      <c r="G232" s="63"/>
      <c r="I232" s="63"/>
      <c r="J232" s="63"/>
      <c r="K232" s="63"/>
      <c r="O232" s="258"/>
      <c r="P232" s="627"/>
    </row>
    <row r="233" spans="1:16" s="257" customFormat="1" x14ac:dyDescent="0.2">
      <c r="A233" s="63"/>
      <c r="B233" s="63"/>
      <c r="C233" s="63"/>
      <c r="D233" s="63"/>
      <c r="E233" s="63"/>
      <c r="F233" s="63"/>
      <c r="G233" s="63"/>
      <c r="I233" s="63"/>
      <c r="J233" s="63"/>
      <c r="K233" s="63"/>
      <c r="O233" s="258"/>
      <c r="P233" s="627"/>
    </row>
    <row r="234" spans="1:16" s="257" customFormat="1" x14ac:dyDescent="0.2">
      <c r="A234" s="63"/>
      <c r="B234" s="63"/>
      <c r="C234" s="63"/>
      <c r="D234" s="63"/>
      <c r="E234" s="63"/>
      <c r="F234" s="63"/>
      <c r="G234" s="63"/>
      <c r="I234" s="63"/>
      <c r="J234" s="63"/>
      <c r="K234" s="63"/>
      <c r="O234" s="258"/>
      <c r="P234" s="627"/>
    </row>
    <row r="235" spans="1:16" s="257" customFormat="1" x14ac:dyDescent="0.2">
      <c r="A235" s="63"/>
      <c r="B235" s="63"/>
      <c r="C235" s="63"/>
      <c r="D235" s="63"/>
      <c r="E235" s="63"/>
      <c r="F235" s="63"/>
      <c r="G235" s="63"/>
      <c r="I235" s="63"/>
      <c r="J235" s="63"/>
      <c r="K235" s="63"/>
      <c r="O235" s="258"/>
      <c r="P235" s="627"/>
    </row>
    <row r="236" spans="1:16" s="257" customFormat="1" x14ac:dyDescent="0.2">
      <c r="A236" s="63"/>
      <c r="B236" s="63"/>
      <c r="C236" s="63"/>
      <c r="D236" s="63"/>
      <c r="E236" s="63"/>
      <c r="F236" s="63"/>
      <c r="G236" s="63"/>
      <c r="I236" s="63"/>
      <c r="J236" s="63"/>
      <c r="K236" s="63"/>
      <c r="O236" s="258"/>
      <c r="P236" s="627"/>
    </row>
    <row r="237" spans="1:16" s="257" customFormat="1" x14ac:dyDescent="0.2">
      <c r="A237" s="63"/>
      <c r="B237" s="63"/>
      <c r="C237" s="63"/>
      <c r="D237" s="63"/>
      <c r="E237" s="63"/>
      <c r="F237" s="63"/>
      <c r="G237" s="63"/>
      <c r="I237" s="63"/>
      <c r="J237" s="63"/>
      <c r="K237" s="63"/>
      <c r="O237" s="258"/>
      <c r="P237" s="627"/>
    </row>
    <row r="238" spans="1:16" s="257" customFormat="1" x14ac:dyDescent="0.2">
      <c r="A238" s="63"/>
      <c r="B238" s="63"/>
      <c r="C238" s="63"/>
      <c r="D238" s="63"/>
      <c r="E238" s="63"/>
      <c r="F238" s="63"/>
      <c r="G238" s="63"/>
      <c r="I238" s="63"/>
      <c r="J238" s="63"/>
      <c r="K238" s="63"/>
      <c r="O238" s="258"/>
      <c r="P238" s="627"/>
    </row>
    <row r="239" spans="1:16" s="257" customFormat="1" x14ac:dyDescent="0.2">
      <c r="A239" s="63"/>
      <c r="B239" s="63"/>
      <c r="C239" s="63"/>
      <c r="D239" s="63"/>
      <c r="E239" s="63"/>
      <c r="F239" s="63"/>
      <c r="G239" s="63"/>
      <c r="I239" s="63"/>
      <c r="J239" s="63"/>
      <c r="K239" s="63"/>
      <c r="O239" s="258"/>
      <c r="P239" s="627"/>
    </row>
    <row r="240" spans="1:16" s="257" customFormat="1" x14ac:dyDescent="0.2">
      <c r="A240" s="63"/>
      <c r="B240" s="63"/>
      <c r="C240" s="63"/>
      <c r="D240" s="63"/>
      <c r="E240" s="63"/>
      <c r="F240" s="63"/>
      <c r="G240" s="63"/>
      <c r="I240" s="63"/>
      <c r="J240" s="63"/>
      <c r="K240" s="63"/>
      <c r="O240" s="258"/>
      <c r="P240" s="627"/>
    </row>
    <row r="241" spans="1:16" s="257" customFormat="1" x14ac:dyDescent="0.2">
      <c r="A241" s="63"/>
      <c r="B241" s="63"/>
      <c r="C241" s="63"/>
      <c r="D241" s="63"/>
      <c r="E241" s="63"/>
      <c r="F241" s="63"/>
      <c r="G241" s="63"/>
      <c r="I241" s="63"/>
      <c r="J241" s="63"/>
      <c r="K241" s="63"/>
      <c r="O241" s="258"/>
      <c r="P241" s="627"/>
    </row>
    <row r="242" spans="1:16" s="257" customFormat="1" x14ac:dyDescent="0.2">
      <c r="A242" s="63"/>
      <c r="B242" s="63"/>
      <c r="C242" s="63"/>
      <c r="D242" s="63"/>
      <c r="E242" s="63"/>
      <c r="F242" s="63"/>
      <c r="G242" s="63"/>
      <c r="I242" s="63"/>
      <c r="J242" s="63"/>
      <c r="K242" s="63"/>
      <c r="O242" s="258"/>
      <c r="P242" s="627"/>
    </row>
    <row r="243" spans="1:16" s="257" customFormat="1" x14ac:dyDescent="0.2">
      <c r="A243" s="63"/>
      <c r="B243" s="63"/>
      <c r="C243" s="63"/>
      <c r="D243" s="63"/>
      <c r="E243" s="63"/>
      <c r="F243" s="63"/>
      <c r="G243" s="63"/>
      <c r="I243" s="63"/>
      <c r="J243" s="63"/>
      <c r="K243" s="63"/>
      <c r="O243" s="258"/>
      <c r="P243" s="627"/>
    </row>
    <row r="244" spans="1:16" s="257" customFormat="1" x14ac:dyDescent="0.2">
      <c r="A244" s="63"/>
      <c r="B244" s="63"/>
      <c r="C244" s="63"/>
      <c r="D244" s="63"/>
      <c r="E244" s="63"/>
      <c r="F244" s="63"/>
      <c r="G244" s="63"/>
      <c r="I244" s="63"/>
      <c r="J244" s="63"/>
      <c r="K244" s="63"/>
      <c r="O244" s="258"/>
      <c r="P244" s="627"/>
    </row>
    <row r="245" spans="1:16" s="257" customFormat="1" x14ac:dyDescent="0.2">
      <c r="A245" s="63"/>
      <c r="B245" s="63"/>
      <c r="C245" s="63"/>
      <c r="D245" s="63"/>
      <c r="E245" s="63"/>
      <c r="F245" s="63"/>
      <c r="G245" s="63"/>
      <c r="I245" s="63"/>
      <c r="J245" s="63"/>
      <c r="K245" s="63"/>
      <c r="O245" s="258"/>
      <c r="P245" s="627"/>
    </row>
    <row r="246" spans="1:16" s="257" customFormat="1" x14ac:dyDescent="0.2">
      <c r="A246" s="63"/>
      <c r="B246" s="63"/>
      <c r="C246" s="63"/>
      <c r="D246" s="63"/>
      <c r="E246" s="63"/>
      <c r="F246" s="63"/>
      <c r="G246" s="63"/>
      <c r="I246" s="63"/>
      <c r="J246" s="63"/>
      <c r="K246" s="63"/>
      <c r="O246" s="258"/>
      <c r="P246" s="627"/>
    </row>
    <row r="247" spans="1:16" s="257" customFormat="1" x14ac:dyDescent="0.2">
      <c r="A247" s="63"/>
      <c r="B247" s="63"/>
      <c r="C247" s="63"/>
      <c r="D247" s="63"/>
      <c r="E247" s="63"/>
      <c r="F247" s="63"/>
      <c r="G247" s="63"/>
      <c r="I247" s="63"/>
      <c r="J247" s="63"/>
      <c r="K247" s="63"/>
      <c r="O247" s="258"/>
      <c r="P247" s="627"/>
    </row>
    <row r="248" spans="1:16" s="257" customFormat="1" x14ac:dyDescent="0.2">
      <c r="A248" s="63"/>
      <c r="B248" s="63"/>
      <c r="C248" s="63"/>
      <c r="D248" s="63"/>
      <c r="E248" s="63"/>
      <c r="F248" s="63"/>
      <c r="G248" s="63"/>
      <c r="I248" s="63"/>
      <c r="J248" s="63"/>
      <c r="K248" s="63"/>
      <c r="O248" s="258"/>
      <c r="P248" s="627"/>
    </row>
    <row r="249" spans="1:16" s="257" customFormat="1" x14ac:dyDescent="0.2">
      <c r="A249" s="63"/>
      <c r="B249" s="63"/>
      <c r="C249" s="63"/>
      <c r="D249" s="63"/>
      <c r="E249" s="63"/>
      <c r="F249" s="63"/>
      <c r="G249" s="63"/>
      <c r="I249" s="63"/>
      <c r="J249" s="63"/>
      <c r="K249" s="63"/>
      <c r="O249" s="258"/>
      <c r="P249" s="627"/>
    </row>
    <row r="250" spans="1:16" s="257" customFormat="1" x14ac:dyDescent="0.2">
      <c r="A250" s="63"/>
      <c r="B250" s="63"/>
      <c r="C250" s="63"/>
      <c r="D250" s="63"/>
      <c r="E250" s="63"/>
      <c r="F250" s="63"/>
      <c r="G250" s="63"/>
      <c r="I250" s="63"/>
      <c r="J250" s="63"/>
      <c r="K250" s="63"/>
      <c r="O250" s="258"/>
      <c r="P250" s="627"/>
    </row>
    <row r="251" spans="1:16" s="257" customFormat="1" x14ac:dyDescent="0.2">
      <c r="A251" s="63"/>
      <c r="B251" s="63"/>
      <c r="C251" s="63"/>
      <c r="D251" s="63"/>
      <c r="E251" s="63"/>
      <c r="F251" s="63"/>
      <c r="G251" s="63"/>
      <c r="I251" s="63"/>
      <c r="J251" s="63"/>
      <c r="K251" s="63"/>
      <c r="O251" s="258"/>
      <c r="P251" s="627"/>
    </row>
    <row r="252" spans="1:16" s="257" customFormat="1" x14ac:dyDescent="0.2">
      <c r="A252" s="63"/>
      <c r="B252" s="63"/>
      <c r="C252" s="63"/>
      <c r="D252" s="63"/>
      <c r="E252" s="63"/>
      <c r="F252" s="63"/>
      <c r="G252" s="63"/>
      <c r="I252" s="63"/>
      <c r="J252" s="63"/>
      <c r="K252" s="63"/>
      <c r="O252" s="258"/>
      <c r="P252" s="627"/>
    </row>
    <row r="253" spans="1:16" s="257" customFormat="1" x14ac:dyDescent="0.2">
      <c r="A253" s="63"/>
      <c r="B253" s="63"/>
      <c r="C253" s="63"/>
      <c r="D253" s="63"/>
      <c r="E253" s="63"/>
      <c r="F253" s="63"/>
      <c r="G253" s="63"/>
      <c r="I253" s="63"/>
      <c r="J253" s="63"/>
      <c r="K253" s="63"/>
      <c r="O253" s="258"/>
      <c r="P253" s="627"/>
    </row>
    <row r="254" spans="1:16" s="257" customFormat="1" x14ac:dyDescent="0.2">
      <c r="A254" s="63"/>
      <c r="B254" s="63"/>
      <c r="C254" s="63"/>
      <c r="D254" s="63"/>
      <c r="E254" s="63"/>
      <c r="F254" s="63"/>
      <c r="G254" s="63"/>
      <c r="I254" s="63"/>
      <c r="J254" s="63"/>
      <c r="K254" s="63"/>
      <c r="O254" s="258"/>
      <c r="P254" s="627"/>
    </row>
    <row r="255" spans="1:16" s="257" customFormat="1" x14ac:dyDescent="0.2">
      <c r="A255" s="63"/>
      <c r="B255" s="63"/>
      <c r="C255" s="63"/>
      <c r="D255" s="63"/>
      <c r="E255" s="63"/>
      <c r="F255" s="63"/>
      <c r="G255" s="63"/>
      <c r="I255" s="63"/>
      <c r="J255" s="63"/>
      <c r="K255" s="63"/>
      <c r="O255" s="258"/>
      <c r="P255" s="627"/>
    </row>
    <row r="256" spans="1:16" s="257" customFormat="1" x14ac:dyDescent="0.2">
      <c r="A256" s="63"/>
      <c r="B256" s="63"/>
      <c r="C256" s="63"/>
      <c r="D256" s="63"/>
      <c r="E256" s="63"/>
      <c r="F256" s="63"/>
      <c r="G256" s="63"/>
      <c r="I256" s="63"/>
      <c r="J256" s="63"/>
      <c r="K256" s="63"/>
      <c r="O256" s="258"/>
      <c r="P256" s="627"/>
    </row>
    <row r="257" spans="1:16" s="257" customFormat="1" x14ac:dyDescent="0.2">
      <c r="A257" s="63"/>
      <c r="B257" s="63"/>
      <c r="C257" s="63"/>
      <c r="D257" s="63"/>
      <c r="E257" s="63"/>
      <c r="F257" s="63"/>
      <c r="G257" s="63"/>
      <c r="I257" s="63"/>
      <c r="J257" s="63"/>
      <c r="K257" s="63"/>
      <c r="O257" s="258"/>
      <c r="P257" s="627"/>
    </row>
    <row r="258" spans="1:16" s="257" customFormat="1" x14ac:dyDescent="0.2">
      <c r="A258" s="63"/>
      <c r="B258" s="63"/>
      <c r="C258" s="63"/>
      <c r="D258" s="63"/>
      <c r="E258" s="63"/>
      <c r="F258" s="63"/>
      <c r="G258" s="63"/>
      <c r="I258" s="63"/>
      <c r="J258" s="63"/>
      <c r="K258" s="63"/>
      <c r="O258" s="258"/>
      <c r="P258" s="627"/>
    </row>
    <row r="259" spans="1:16" s="257" customFormat="1" x14ac:dyDescent="0.2">
      <c r="A259" s="63"/>
      <c r="B259" s="63"/>
      <c r="C259" s="63"/>
      <c r="D259" s="63"/>
      <c r="E259" s="63"/>
      <c r="F259" s="63"/>
      <c r="G259" s="63"/>
      <c r="I259" s="63"/>
      <c r="J259" s="63"/>
      <c r="K259" s="63"/>
      <c r="O259" s="258"/>
      <c r="P259" s="627"/>
    </row>
    <row r="260" spans="1:16" s="257" customFormat="1" x14ac:dyDescent="0.2">
      <c r="A260" s="63"/>
      <c r="B260" s="63"/>
      <c r="C260" s="63"/>
      <c r="D260" s="63"/>
      <c r="E260" s="63"/>
      <c r="F260" s="63"/>
      <c r="G260" s="63"/>
      <c r="I260" s="63"/>
      <c r="J260" s="63"/>
      <c r="K260" s="63"/>
      <c r="O260" s="258"/>
      <c r="P260" s="627"/>
    </row>
    <row r="261" spans="1:16" s="257" customFormat="1" x14ac:dyDescent="0.2">
      <c r="A261" s="63"/>
      <c r="B261" s="63"/>
      <c r="C261" s="63"/>
      <c r="D261" s="63"/>
      <c r="E261" s="63"/>
      <c r="F261" s="63"/>
      <c r="G261" s="63"/>
      <c r="I261" s="63"/>
      <c r="J261" s="63"/>
      <c r="K261" s="63"/>
      <c r="O261" s="258"/>
      <c r="P261" s="627"/>
    </row>
    <row r="262" spans="1:16" s="257" customFormat="1" x14ac:dyDescent="0.2">
      <c r="A262" s="63"/>
      <c r="B262" s="63"/>
      <c r="C262" s="63"/>
      <c r="D262" s="63"/>
      <c r="E262" s="63"/>
      <c r="F262" s="63"/>
      <c r="G262" s="63"/>
      <c r="I262" s="63"/>
      <c r="J262" s="63"/>
      <c r="K262" s="63"/>
      <c r="O262" s="258"/>
      <c r="P262" s="627"/>
    </row>
    <row r="263" spans="1:16" s="257" customFormat="1" x14ac:dyDescent="0.2">
      <c r="A263" s="63"/>
      <c r="B263" s="63"/>
      <c r="C263" s="63"/>
      <c r="D263" s="63"/>
      <c r="E263" s="63"/>
      <c r="F263" s="63"/>
      <c r="G263" s="63"/>
      <c r="I263" s="63"/>
      <c r="J263" s="63"/>
      <c r="K263" s="63"/>
      <c r="O263" s="258"/>
      <c r="P263" s="627"/>
    </row>
    <row r="264" spans="1:16" s="257" customFormat="1" x14ac:dyDescent="0.2">
      <c r="A264" s="63"/>
      <c r="B264" s="63"/>
      <c r="C264" s="63"/>
      <c r="D264" s="63"/>
      <c r="E264" s="63"/>
      <c r="F264" s="63"/>
      <c r="G264" s="63"/>
      <c r="I264" s="63"/>
      <c r="J264" s="63"/>
      <c r="K264" s="63"/>
      <c r="O264" s="258"/>
      <c r="P264" s="627"/>
    </row>
    <row r="265" spans="1:16" s="257" customFormat="1" x14ac:dyDescent="0.2">
      <c r="A265" s="63"/>
      <c r="B265" s="63"/>
      <c r="C265" s="63"/>
      <c r="D265" s="63"/>
      <c r="E265" s="63"/>
      <c r="F265" s="63"/>
      <c r="G265" s="63"/>
      <c r="I265" s="63"/>
      <c r="J265" s="63"/>
      <c r="K265" s="63"/>
      <c r="O265" s="258"/>
      <c r="P265" s="627"/>
    </row>
    <row r="266" spans="1:16" s="257" customFormat="1" x14ac:dyDescent="0.2">
      <c r="A266" s="63"/>
      <c r="B266" s="63"/>
      <c r="C266" s="63"/>
      <c r="D266" s="63"/>
      <c r="E266" s="63"/>
      <c r="F266" s="63"/>
      <c r="G266" s="63"/>
      <c r="I266" s="63"/>
      <c r="J266" s="63"/>
      <c r="K266" s="63"/>
      <c r="O266" s="258"/>
      <c r="P266" s="627"/>
    </row>
    <row r="267" spans="1:16" s="257" customFormat="1" x14ac:dyDescent="0.2">
      <c r="A267" s="63"/>
      <c r="B267" s="63"/>
      <c r="C267" s="63"/>
      <c r="D267" s="63"/>
      <c r="E267" s="63"/>
      <c r="F267" s="63"/>
      <c r="G267" s="63"/>
      <c r="I267" s="63"/>
      <c r="J267" s="63"/>
      <c r="K267" s="63"/>
      <c r="O267" s="258"/>
      <c r="P267" s="627"/>
    </row>
    <row r="268" spans="1:16" s="257" customFormat="1" x14ac:dyDescent="0.2">
      <c r="A268" s="63"/>
      <c r="B268" s="63"/>
      <c r="C268" s="63"/>
      <c r="D268" s="63"/>
      <c r="E268" s="63"/>
      <c r="F268" s="63"/>
      <c r="G268" s="63"/>
      <c r="I268" s="63"/>
      <c r="J268" s="63"/>
      <c r="K268" s="63"/>
      <c r="O268" s="258"/>
      <c r="P268" s="627"/>
    </row>
    <row r="269" spans="1:16" s="257" customFormat="1" x14ac:dyDescent="0.2">
      <c r="A269" s="63"/>
      <c r="B269" s="63"/>
      <c r="C269" s="63"/>
      <c r="D269" s="63"/>
      <c r="E269" s="63"/>
      <c r="F269" s="63"/>
      <c r="G269" s="63"/>
      <c r="I269" s="63"/>
      <c r="J269" s="63"/>
      <c r="K269" s="63"/>
      <c r="O269" s="258"/>
      <c r="P269" s="627"/>
    </row>
    <row r="270" spans="1:16" s="257" customFormat="1" x14ac:dyDescent="0.2">
      <c r="A270" s="63"/>
      <c r="B270" s="63"/>
      <c r="C270" s="63"/>
      <c r="D270" s="63"/>
      <c r="E270" s="63"/>
      <c r="F270" s="63"/>
      <c r="G270" s="63"/>
      <c r="I270" s="63"/>
      <c r="J270" s="63"/>
      <c r="K270" s="63"/>
      <c r="O270" s="258"/>
      <c r="P270" s="627"/>
    </row>
    <row r="271" spans="1:16" s="257" customFormat="1" x14ac:dyDescent="0.2">
      <c r="A271" s="63"/>
      <c r="B271" s="63"/>
      <c r="C271" s="63"/>
      <c r="D271" s="63"/>
      <c r="E271" s="63"/>
      <c r="F271" s="63"/>
      <c r="G271" s="63"/>
      <c r="I271" s="63"/>
      <c r="J271" s="63"/>
      <c r="K271" s="63"/>
      <c r="O271" s="258"/>
      <c r="P271" s="627"/>
    </row>
    <row r="272" spans="1:16" s="257" customFormat="1" x14ac:dyDescent="0.2">
      <c r="A272" s="63"/>
      <c r="B272" s="63"/>
      <c r="C272" s="63"/>
      <c r="D272" s="63"/>
      <c r="E272" s="63"/>
      <c r="F272" s="63"/>
      <c r="G272" s="63"/>
      <c r="I272" s="63"/>
      <c r="J272" s="63"/>
      <c r="K272" s="63"/>
      <c r="O272" s="258"/>
      <c r="P272" s="627"/>
    </row>
    <row r="273" spans="1:16" s="257" customFormat="1" x14ac:dyDescent="0.2">
      <c r="A273" s="63"/>
      <c r="B273" s="63"/>
      <c r="C273" s="63"/>
      <c r="D273" s="63"/>
      <c r="E273" s="63"/>
      <c r="F273" s="63"/>
      <c r="G273" s="63"/>
      <c r="I273" s="63"/>
      <c r="J273" s="63"/>
      <c r="K273" s="63"/>
      <c r="O273" s="258"/>
      <c r="P273" s="627"/>
    </row>
    <row r="274" spans="1:16" s="257" customFormat="1" x14ac:dyDescent="0.2">
      <c r="A274" s="63"/>
      <c r="B274" s="63"/>
      <c r="C274" s="63"/>
      <c r="D274" s="63"/>
      <c r="E274" s="63"/>
      <c r="F274" s="63"/>
      <c r="G274" s="63"/>
      <c r="I274" s="63"/>
      <c r="J274" s="63"/>
      <c r="K274" s="63"/>
      <c r="O274" s="258"/>
      <c r="P274" s="627"/>
    </row>
    <row r="275" spans="1:16" s="257" customFormat="1" x14ac:dyDescent="0.2">
      <c r="A275" s="63"/>
      <c r="B275" s="63"/>
      <c r="C275" s="63"/>
      <c r="D275" s="63"/>
      <c r="E275" s="63"/>
      <c r="F275" s="63"/>
      <c r="G275" s="63"/>
      <c r="I275" s="63"/>
      <c r="J275" s="63"/>
      <c r="K275" s="63"/>
      <c r="O275" s="258"/>
      <c r="P275" s="627"/>
    </row>
    <row r="276" spans="1:16" s="257" customFormat="1" x14ac:dyDescent="0.2">
      <c r="A276" s="63"/>
      <c r="B276" s="63"/>
      <c r="C276" s="63"/>
      <c r="D276" s="63"/>
      <c r="E276" s="63"/>
      <c r="F276" s="63"/>
      <c r="G276" s="63"/>
      <c r="I276" s="63"/>
      <c r="J276" s="63"/>
      <c r="K276" s="63"/>
      <c r="O276" s="258"/>
      <c r="P276" s="627"/>
    </row>
    <row r="277" spans="1:16" s="257" customFormat="1" x14ac:dyDescent="0.2">
      <c r="A277" s="63"/>
      <c r="B277" s="63"/>
      <c r="C277" s="63"/>
      <c r="D277" s="63"/>
      <c r="E277" s="63"/>
      <c r="F277" s="63"/>
      <c r="G277" s="63"/>
      <c r="I277" s="63"/>
      <c r="J277" s="63"/>
      <c r="K277" s="63"/>
      <c r="O277" s="258"/>
      <c r="P277" s="627"/>
    </row>
    <row r="278" spans="1:16" s="257" customFormat="1" x14ac:dyDescent="0.2">
      <c r="A278" s="63"/>
      <c r="B278" s="63"/>
      <c r="C278" s="63"/>
      <c r="D278" s="63"/>
      <c r="E278" s="63"/>
      <c r="F278" s="63"/>
      <c r="G278" s="63"/>
      <c r="I278" s="63"/>
      <c r="J278" s="63"/>
      <c r="K278" s="63"/>
      <c r="O278" s="258"/>
      <c r="P278" s="627"/>
    </row>
    <row r="279" spans="1:16" s="257" customFormat="1" x14ac:dyDescent="0.2">
      <c r="A279" s="63"/>
      <c r="B279" s="63"/>
      <c r="C279" s="63"/>
      <c r="D279" s="63"/>
      <c r="E279" s="63"/>
      <c r="F279" s="63"/>
      <c r="G279" s="63"/>
      <c r="I279" s="63"/>
      <c r="J279" s="63"/>
      <c r="K279" s="63"/>
      <c r="O279" s="258"/>
      <c r="P279" s="627"/>
    </row>
    <row r="280" spans="1:16" s="257" customFormat="1" x14ac:dyDescent="0.2">
      <c r="A280" s="63"/>
      <c r="B280" s="63"/>
      <c r="C280" s="63"/>
      <c r="D280" s="63"/>
      <c r="E280" s="63"/>
      <c r="F280" s="63"/>
      <c r="G280" s="63"/>
      <c r="I280" s="63"/>
      <c r="J280" s="63"/>
      <c r="K280" s="63"/>
      <c r="O280" s="258"/>
      <c r="P280" s="627"/>
    </row>
    <row r="281" spans="1:16" s="257" customFormat="1" x14ac:dyDescent="0.2">
      <c r="A281" s="63"/>
      <c r="B281" s="63"/>
      <c r="C281" s="63"/>
      <c r="D281" s="63"/>
      <c r="E281" s="63"/>
      <c r="F281" s="63"/>
      <c r="G281" s="63"/>
      <c r="I281" s="63"/>
      <c r="J281" s="63"/>
      <c r="K281" s="63"/>
      <c r="O281" s="258"/>
      <c r="P281" s="627"/>
    </row>
    <row r="282" spans="1:16" s="257" customFormat="1" x14ac:dyDescent="0.2">
      <c r="A282" s="63"/>
      <c r="B282" s="63"/>
      <c r="C282" s="63"/>
      <c r="D282" s="63"/>
      <c r="E282" s="63"/>
      <c r="F282" s="63"/>
      <c r="G282" s="63"/>
      <c r="I282" s="63"/>
      <c r="J282" s="63"/>
      <c r="K282" s="63"/>
      <c r="O282" s="258"/>
      <c r="P282" s="627"/>
    </row>
    <row r="283" spans="1:16" s="257" customFormat="1" x14ac:dyDescent="0.2">
      <c r="A283" s="63"/>
      <c r="B283" s="63"/>
      <c r="C283" s="63"/>
      <c r="D283" s="63"/>
      <c r="E283" s="63"/>
      <c r="F283" s="63"/>
      <c r="G283" s="63"/>
      <c r="I283" s="63"/>
      <c r="J283" s="63"/>
      <c r="K283" s="63"/>
      <c r="O283" s="258"/>
      <c r="P283" s="627"/>
    </row>
    <row r="284" spans="1:16" s="257" customFormat="1" x14ac:dyDescent="0.2">
      <c r="A284" s="63"/>
      <c r="B284" s="63"/>
      <c r="C284" s="63"/>
      <c r="D284" s="63"/>
      <c r="E284" s="63"/>
      <c r="F284" s="63"/>
      <c r="G284" s="63"/>
      <c r="I284" s="63"/>
      <c r="J284" s="63"/>
      <c r="K284" s="63"/>
      <c r="O284" s="258"/>
      <c r="P284" s="627"/>
    </row>
    <row r="285" spans="1:16" s="257" customFormat="1" x14ac:dyDescent="0.2">
      <c r="A285" s="63"/>
      <c r="B285" s="63"/>
      <c r="C285" s="63"/>
      <c r="D285" s="63"/>
      <c r="E285" s="63"/>
      <c r="F285" s="63"/>
      <c r="G285" s="63"/>
      <c r="I285" s="63"/>
      <c r="J285" s="63"/>
      <c r="K285" s="63"/>
      <c r="O285" s="258"/>
      <c r="P285" s="627"/>
    </row>
    <row r="286" spans="1:16" s="257" customFormat="1" x14ac:dyDescent="0.2">
      <c r="A286" s="63"/>
      <c r="B286" s="63"/>
      <c r="C286" s="63"/>
      <c r="D286" s="63"/>
      <c r="E286" s="63"/>
      <c r="F286" s="63"/>
      <c r="G286" s="63"/>
      <c r="I286" s="63"/>
      <c r="J286" s="63"/>
      <c r="K286" s="63"/>
      <c r="O286" s="258"/>
      <c r="P286" s="627"/>
    </row>
    <row r="287" spans="1:16" s="257" customFormat="1" x14ac:dyDescent="0.2">
      <c r="A287" s="63"/>
      <c r="B287" s="63"/>
      <c r="C287" s="63"/>
      <c r="D287" s="63"/>
      <c r="E287" s="63"/>
      <c r="F287" s="63"/>
      <c r="G287" s="63"/>
      <c r="I287" s="63"/>
      <c r="J287" s="63"/>
      <c r="K287" s="63"/>
      <c r="O287" s="258"/>
      <c r="P287" s="627"/>
    </row>
    <row r="288" spans="1:16" s="257" customFormat="1" x14ac:dyDescent="0.2">
      <c r="A288" s="63"/>
      <c r="B288" s="63"/>
      <c r="C288" s="63"/>
      <c r="D288" s="63"/>
      <c r="E288" s="63"/>
      <c r="F288" s="63"/>
      <c r="G288" s="63"/>
      <c r="I288" s="63"/>
      <c r="J288" s="63"/>
      <c r="K288" s="63"/>
      <c r="O288" s="258"/>
      <c r="P288" s="627"/>
    </row>
    <row r="289" spans="1:16" s="257" customFormat="1" x14ac:dyDescent="0.2">
      <c r="A289" s="63"/>
      <c r="B289" s="63"/>
      <c r="C289" s="63"/>
      <c r="D289" s="63"/>
      <c r="E289" s="63"/>
      <c r="F289" s="63"/>
      <c r="G289" s="63"/>
      <c r="I289" s="63"/>
      <c r="J289" s="63"/>
      <c r="K289" s="63"/>
      <c r="O289" s="258"/>
      <c r="P289" s="627"/>
    </row>
    <row r="290" spans="1:16" s="257" customFormat="1" x14ac:dyDescent="0.2">
      <c r="A290" s="63"/>
      <c r="B290" s="63"/>
      <c r="C290" s="63"/>
      <c r="D290" s="63"/>
      <c r="E290" s="63"/>
      <c r="F290" s="63"/>
      <c r="G290" s="63"/>
      <c r="I290" s="63"/>
      <c r="J290" s="63"/>
      <c r="K290" s="63"/>
      <c r="O290" s="258"/>
      <c r="P290" s="627"/>
    </row>
  </sheetData>
  <sheetProtection formatCells="0" formatColumns="0" formatRows="0" sort="0" autoFilter="0"/>
  <dataValidations disablePrompts="1" count="8">
    <dataValidation type="list" allowBlank="1" showInputMessage="1" showErrorMessage="1" sqref="A109:A124" xr:uid="{00000000-0002-0000-1E00-000000000000}">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4:C47 C49:C59 C62:C107 C109:C124 C127:C131" xr:uid="{00000000-0002-0000-1E00-000001000000}">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4:D47 D49:D59 D62:D107 D109:D124 D127:D131" xr:uid="{00000000-0002-0000-1E00-000002000000}">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4:I47 I49:I59 I62:I107 I109:I124 I127:I131" xr:uid="{00000000-0002-0000-1E00-000003000000}">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4:J47 J49:J59 J62:J107 J109:J124 J127:J131" xr:uid="{00000000-0002-0000-1E00-000004000000}">
      <formula1>-9999999999.99</formula1>
      <formula2>9999999999.99</formula2>
    </dataValidation>
    <dataValidation type="custom" allowBlank="1" showInputMessage="1" showErrorMessage="1" errorTitle="X-Author for Excel" error="Id and Lookup fields are not editable." promptTitle="X-Author for Excel" sqref="O4:O47 O49:O59 O62:O107 Q109:Q124 O127:O131" xr:uid="{00000000-0002-0000-1E00-000005000000}">
      <formula1>""</formula1>
    </dataValidation>
    <dataValidation type="decimal" allowBlank="1" showInputMessage="1" showErrorMessage="1" errorTitle="X-Author for Excel" error="Please enter a valid numeric value. Valid range for Cost Grouping Number is -99999 to 99999." promptTitle="X-Author for Excel" sqref="P4:P47" xr:uid="{00000000-0002-0000-1E00-000006000000}">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Q4:Q47" xr:uid="{00000000-0002-0000-1E00-000007000000}">
      <formula1>-99999</formula1>
      <formula2>99999</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filterMode="1">
    <tabColor theme="3" tint="0.79998168889431442"/>
  </sheetPr>
  <dimension ref="A1:Z257"/>
  <sheetViews>
    <sheetView showGridLines="0" topLeftCell="F8" zoomScale="70" zoomScaleNormal="70" zoomScaleSheetLayoutView="40" workbookViewId="0">
      <selection activeCell="F8" sqref="F8"/>
    </sheetView>
  </sheetViews>
  <sheetFormatPr baseColWidth="10" defaultColWidth="9.140625" defaultRowHeight="12.75" x14ac:dyDescent="0.2"/>
  <cols>
    <col min="1" max="1" width="3.85546875" style="644" hidden="1" customWidth="1"/>
    <col min="2" max="2" width="6.140625" style="644" hidden="1" customWidth="1"/>
    <col min="3" max="3" width="60.85546875" style="61" customWidth="1"/>
    <col min="4" max="4" width="52.140625" style="61" customWidth="1"/>
    <col min="5" max="6" width="19.85546875" style="61" customWidth="1"/>
    <col min="7" max="7" width="22.85546875" style="61" customWidth="1"/>
    <col min="8" max="8" width="19.85546875" style="61" customWidth="1"/>
    <col min="9" max="9" width="16.85546875" style="61" customWidth="1"/>
    <col min="10" max="10" width="50" style="61" customWidth="1"/>
    <col min="11" max="11" width="10.85546875" style="61" customWidth="1"/>
    <col min="12" max="14" width="19.85546875" style="61" customWidth="1"/>
    <col min="15" max="15" width="17.140625" style="61" customWidth="1"/>
    <col min="16" max="16" width="9.140625" style="759" hidden="1" customWidth="1"/>
    <col min="17" max="17" width="12.42578125" style="300" customWidth="1"/>
    <col min="18" max="18" width="9.5703125" style="61" customWidth="1"/>
    <col min="19" max="22" width="9.140625" style="61" customWidth="1"/>
    <col min="23" max="16384" width="9.140625" style="61"/>
  </cols>
  <sheetData>
    <row r="1" spans="1:23" ht="46.5" customHeight="1" thickBot="1" x14ac:dyDescent="0.25">
      <c r="C1" s="1800" t="str">
        <f>CoverSheet!A1</f>
        <v>Rapport périodique sur les résultats actuels et demande de décaissement</v>
      </c>
      <c r="D1" s="1800"/>
      <c r="E1" s="1800"/>
      <c r="F1" s="1800"/>
      <c r="G1" s="1800"/>
      <c r="H1" s="1800"/>
      <c r="I1" s="1800"/>
      <c r="J1" s="1800"/>
      <c r="K1" s="1800"/>
      <c r="L1" s="1800"/>
      <c r="M1" s="1800"/>
      <c r="N1" s="1800"/>
      <c r="O1" s="1800"/>
    </row>
    <row r="2" spans="1:23" s="232" customFormat="1" ht="32.1" customHeight="1" thickBot="1" x14ac:dyDescent="0.3">
      <c r="A2" s="751"/>
      <c r="B2" s="752"/>
      <c r="C2" s="539" t="s">
        <v>2903</v>
      </c>
      <c r="D2" s="540"/>
      <c r="E2" s="540"/>
      <c r="F2" s="540"/>
      <c r="G2" s="1799" t="str">
        <f>CoverSheet!F12</f>
        <v>Période couverte par le rapport sur les information financière</v>
      </c>
      <c r="H2" s="1519"/>
      <c r="I2" s="517">
        <f>CoverSheet!J12</f>
        <v>43466</v>
      </c>
      <c r="J2" s="532"/>
      <c r="K2" s="701" t="str">
        <f>CoverSheet!K12</f>
        <v>Date de fin:</v>
      </c>
      <c r="L2" s="517">
        <f>CoverSheet!L12</f>
        <v>43830</v>
      </c>
      <c r="M2" s="1801"/>
      <c r="N2" s="1802"/>
      <c r="O2" s="1803"/>
      <c r="P2" s="760"/>
      <c r="Q2" s="417"/>
    </row>
    <row r="3" spans="1:23" ht="34.5" customHeight="1" thickBot="1" x14ac:dyDescent="0.25">
      <c r="A3" s="753"/>
      <c r="C3" s="324" t="s">
        <v>2904</v>
      </c>
      <c r="D3" s="323" t="s">
        <v>1140</v>
      </c>
      <c r="E3" s="100"/>
      <c r="F3" s="100"/>
      <c r="G3" s="1799" t="s">
        <v>1084</v>
      </c>
      <c r="H3" s="1519"/>
      <c r="I3" s="517">
        <f>CoverSheet!D13</f>
        <v>43101</v>
      </c>
      <c r="J3" s="967"/>
      <c r="K3" s="701" t="str">
        <f>CoverSheet!K12</f>
        <v>Date de fin:</v>
      </c>
      <c r="L3" s="517">
        <f>CoverSheet!L12</f>
        <v>43830</v>
      </c>
      <c r="M3" s="1804"/>
      <c r="N3" s="1805"/>
      <c r="O3" s="1806"/>
    </row>
    <row r="4" spans="1:23" ht="29.1" customHeight="1" thickBot="1" x14ac:dyDescent="0.25">
      <c r="A4" s="754"/>
      <c r="B4" s="755"/>
      <c r="C4" s="705" t="s">
        <v>2905</v>
      </c>
      <c r="D4" s="706"/>
      <c r="E4" s="707"/>
      <c r="F4" s="707"/>
      <c r="G4" s="707"/>
      <c r="H4" s="708"/>
      <c r="I4" s="709"/>
      <c r="J4" s="709"/>
      <c r="K4" s="100"/>
      <c r="L4" s="709"/>
      <c r="M4" s="709"/>
      <c r="N4" s="709"/>
      <c r="O4" s="710"/>
      <c r="Q4" s="61"/>
    </row>
    <row r="5" spans="1:23" ht="29.1" hidden="1" customHeight="1" x14ac:dyDescent="0.2">
      <c r="C5" s="322"/>
      <c r="D5" s="279"/>
      <c r="E5" s="313"/>
      <c r="F5" s="313"/>
      <c r="G5" s="313"/>
      <c r="H5" s="312"/>
      <c r="I5" s="278"/>
      <c r="J5" s="278"/>
      <c r="L5" s="278"/>
      <c r="M5" s="278"/>
      <c r="N5" s="278"/>
      <c r="O5" s="278"/>
      <c r="Q5" s="61"/>
    </row>
    <row r="6" spans="1:23" ht="23.25" hidden="1" customHeight="1" thickBot="1" x14ac:dyDescent="0.25">
      <c r="C6" s="315"/>
      <c r="E6" s="321" t="s">
        <v>2906</v>
      </c>
      <c r="F6" s="321"/>
      <c r="G6" s="321"/>
      <c r="H6" s="321"/>
      <c r="I6" s="321"/>
      <c r="J6" s="321"/>
      <c r="L6" s="321" t="s">
        <v>2907</v>
      </c>
      <c r="M6" s="321"/>
      <c r="N6" s="321"/>
      <c r="O6" s="321"/>
      <c r="Q6" s="61"/>
    </row>
    <row r="7" spans="1:23" ht="62.45" customHeight="1" x14ac:dyDescent="0.2">
      <c r="A7" s="644" t="s">
        <v>2337</v>
      </c>
      <c r="C7" s="702" t="s">
        <v>2908</v>
      </c>
      <c r="D7" s="673"/>
      <c r="E7" s="703" t="s">
        <v>1117</v>
      </c>
      <c r="F7" s="703" t="s">
        <v>2909</v>
      </c>
      <c r="G7" s="703" t="s">
        <v>2910</v>
      </c>
      <c r="H7" s="703" t="s">
        <v>1119</v>
      </c>
      <c r="I7" s="703" t="s">
        <v>2669</v>
      </c>
      <c r="J7" s="703" t="s">
        <v>2911</v>
      </c>
      <c r="K7" s="673"/>
      <c r="L7" s="703" t="s">
        <v>2671</v>
      </c>
      <c r="M7" s="703" t="s">
        <v>2672</v>
      </c>
      <c r="N7" s="703" t="s">
        <v>1124</v>
      </c>
      <c r="O7" s="704" t="s">
        <v>2669</v>
      </c>
      <c r="Q7" s="61"/>
      <c r="R7" s="280"/>
      <c r="S7" s="280"/>
      <c r="T7" s="280"/>
      <c r="U7" s="280"/>
      <c r="V7" s="280"/>
    </row>
    <row r="8" spans="1:23" ht="17.45" customHeight="1" x14ac:dyDescent="0.2">
      <c r="A8" s="644" t="str">
        <f>IF(C8&lt;&gt;"","Show","Don't Show")</f>
        <v>Show</v>
      </c>
      <c r="B8" s="644" t="s">
        <v>2338</v>
      </c>
      <c r="C8" s="968" t="str">
        <f>IFERROR(INDEX('LFA Expenditure_7B imp-exp'!A$2:A$48,MATCH('LFA Expenditure_7B'!B8,'LFA Expenditure_7B imp-exp'!N$2:N$48,0)),"")</f>
        <v>1.1 Salaries - program management</v>
      </c>
      <c r="D8" s="1312"/>
      <c r="E8" s="1326">
        <f>IFERROR(INDEX('LFA Expenditure_7B imp-exp'!C$2:C$48,MATCH('LFA Expenditure_7B'!B8,'LFA Expenditure_7B imp-exp'!N$2:N$48,0)),"")</f>
        <v>1126029.92172694</v>
      </c>
      <c r="F8" s="1326">
        <f>'PR Expenditure_7A'!F9</f>
        <v>1193851.5516694947</v>
      </c>
      <c r="G8" s="1327"/>
      <c r="H8" s="1326">
        <f>IFERROR((E8)-(F8+G8),0)</f>
        <v>-67821.629942554748</v>
      </c>
      <c r="I8" s="1328">
        <f>IF(AND((E8)=0,(F8+G8)=0),"N/A",IF(AND((E8)=0,(F8+G8)&lt;&gt;0),"Not Budgeted",(F8+G8)/(E8)))</f>
        <v>1.0602307528724813</v>
      </c>
      <c r="J8" s="1329"/>
      <c r="K8" s="1312"/>
      <c r="L8" s="1326">
        <f>IFERROR(INDEX('LFA Expenditure_7B imp-exp'!J$2:J$48,MATCH('LFA Expenditure_7B'!B8,'LFA Expenditure_7B imp-exp'!N$2:N$48,0)),"")</f>
        <v>2288502.1381875598</v>
      </c>
      <c r="M8" s="1327"/>
      <c r="N8" s="1326">
        <f>IFERROR(L8-M8,0)</f>
        <v>2288502.1381875598</v>
      </c>
      <c r="O8" s="1330">
        <f>IF(AND(L8=0,M8=0),"N/A",IF(AND(L8=0,M8&lt;&gt;0),"Not Budgeted",M8/L8))</f>
        <v>0</v>
      </c>
      <c r="Q8" s="61"/>
      <c r="R8" s="280"/>
      <c r="S8" s="280"/>
      <c r="T8" s="280"/>
      <c r="U8" s="280"/>
      <c r="V8" s="280"/>
      <c r="W8" s="318"/>
    </row>
    <row r="9" spans="1:23" ht="17.45" customHeight="1" x14ac:dyDescent="0.2">
      <c r="A9" s="644" t="str">
        <f t="shared" ref="A9:A15" si="0">IF(C9&lt;&gt;"","Show","Don't Show")</f>
        <v>Show</v>
      </c>
      <c r="B9" s="644" t="s">
        <v>2340</v>
      </c>
      <c r="C9" s="968" t="str">
        <f>IFERROR(INDEX('LFA Expenditure_7B imp-exp'!A$2:A$48,MATCH('LFA Expenditure_7B'!B9,'LFA Expenditure_7B imp-exp'!N$2:N$48,0)),"")</f>
        <v>1.2 Salaries - outreach workers, medical staff and other service providers</v>
      </c>
      <c r="D9" s="1312"/>
      <c r="E9" s="1326">
        <f>IFERROR(INDEX('LFA Expenditure_7B imp-exp'!C$2:C$48,MATCH('LFA Expenditure_7B'!B9,'LFA Expenditure_7B imp-exp'!N$2:N$48,0)),"")</f>
        <v>1498591.1939461201</v>
      </c>
      <c r="F9" s="1326">
        <f>'PR Expenditure_7A'!F10</f>
        <v>1450446.0068211197</v>
      </c>
      <c r="G9" s="1327"/>
      <c r="H9" s="1326">
        <f t="shared" ref="H9:H15" si="1">IFERROR((E9)-(F9+G9),0)</f>
        <v>48145.187125000404</v>
      </c>
      <c r="I9" s="1328">
        <f t="shared" ref="I9:I15" si="2">IF(AND((E9)=0,(F9+G9)=0),"N/A",IF(AND((E9)=0,(F9+G9)&lt;&gt;0),"Not Budgeted",(F9+G9)/(E9)))</f>
        <v>0.96787303480796283</v>
      </c>
      <c r="J9" s="1329"/>
      <c r="K9" s="1312"/>
      <c r="L9" s="1326">
        <f>IFERROR(INDEX('LFA Expenditure_7B imp-exp'!J$2:J$48,MATCH('LFA Expenditure_7B'!B9,'LFA Expenditure_7B imp-exp'!N$2:N$48,0)),"")</f>
        <v>2934913.5273815901</v>
      </c>
      <c r="M9" s="1327"/>
      <c r="N9" s="1326">
        <f t="shared" ref="N9:N15" si="3">IFERROR(L9-M9,0)</f>
        <v>2934913.5273815901</v>
      </c>
      <c r="O9" s="1330">
        <f t="shared" ref="O9:O15" si="4">IF(AND(L9=0,M9=0),"N/A",IF(AND(L9=0,M9&lt;&gt;0),"Not Budgeted",M9/L9))</f>
        <v>0</v>
      </c>
      <c r="Q9" s="61"/>
      <c r="R9" s="280"/>
      <c r="S9" s="280"/>
      <c r="T9" s="280"/>
      <c r="U9" s="280"/>
      <c r="V9" s="280"/>
      <c r="W9" s="318"/>
    </row>
    <row r="10" spans="1:23" ht="17.45" customHeight="1" x14ac:dyDescent="0.2">
      <c r="A10" s="644" t="str">
        <f t="shared" si="0"/>
        <v>Show</v>
      </c>
      <c r="B10" s="644" t="s">
        <v>2342</v>
      </c>
      <c r="C10" s="968" t="str">
        <f>IFERROR(INDEX('LFA Expenditure_7B imp-exp'!A$2:A$48,MATCH('LFA Expenditure_7B'!B10,'LFA Expenditure_7B imp-exp'!N$2:N$48,0)),"")</f>
        <v>1.3 Performance-based supplements, incentives</v>
      </c>
      <c r="D10" s="1312"/>
      <c r="E10" s="1326">
        <f>IFERROR(INDEX('LFA Expenditure_7B imp-exp'!C$2:C$48,MATCH('LFA Expenditure_7B'!B10,'LFA Expenditure_7B imp-exp'!N$2:N$48,0)),"")</f>
        <v>39207.235164225698</v>
      </c>
      <c r="F10" s="1326">
        <f>'PR Expenditure_7A'!F11</f>
        <v>55156.369999999995</v>
      </c>
      <c r="G10" s="1327"/>
      <c r="H10" s="1326">
        <f t="shared" si="1"/>
        <v>-15949.134835774297</v>
      </c>
      <c r="I10" s="1328">
        <f t="shared" si="2"/>
        <v>1.4067906030345885</v>
      </c>
      <c r="J10" s="1329"/>
      <c r="K10" s="1312"/>
      <c r="L10" s="1326">
        <f>IFERROR(INDEX('LFA Expenditure_7B imp-exp'!J$2:J$48,MATCH('LFA Expenditure_7B'!B10,'LFA Expenditure_7B imp-exp'!N$2:N$48,0)),"")</f>
        <v>78414.470328451396</v>
      </c>
      <c r="M10" s="1327"/>
      <c r="N10" s="1326">
        <f t="shared" si="3"/>
        <v>78414.470328451396</v>
      </c>
      <c r="O10" s="1330">
        <f t="shared" si="4"/>
        <v>0</v>
      </c>
      <c r="Q10" s="61"/>
      <c r="R10" s="280"/>
      <c r="S10" s="280"/>
      <c r="T10" s="280"/>
      <c r="U10" s="280"/>
      <c r="V10" s="280"/>
      <c r="W10" s="318"/>
    </row>
    <row r="11" spans="1:23" ht="17.45" customHeight="1" x14ac:dyDescent="0.2">
      <c r="A11" s="644" t="str">
        <f t="shared" si="0"/>
        <v>Show</v>
      </c>
      <c r="B11" s="644" t="s">
        <v>2344</v>
      </c>
      <c r="C11" s="968" t="str">
        <f>IFERROR(INDEX('LFA Expenditure_7B imp-exp'!A$2:A$48,MATCH('LFA Expenditure_7B'!B11,'LFA Expenditure_7B imp-exp'!N$2:N$48,0)),"")</f>
        <v>2.1 Training related per diems/transport/other costs</v>
      </c>
      <c r="D11" s="1312"/>
      <c r="E11" s="1326">
        <f>IFERROR(INDEX('LFA Expenditure_7B imp-exp'!C$2:C$48,MATCH('LFA Expenditure_7B'!B11,'LFA Expenditure_7B imp-exp'!N$2:N$48,0)),"")</f>
        <v>149003.232147223</v>
      </c>
      <c r="F11" s="1326">
        <f>'PR Expenditure_7A'!F12</f>
        <v>168180.90156596762</v>
      </c>
      <c r="G11" s="1327"/>
      <c r="H11" s="1326">
        <f t="shared" si="1"/>
        <v>-19177.669418744626</v>
      </c>
      <c r="I11" s="1328">
        <f t="shared" si="2"/>
        <v>1.1287063987967461</v>
      </c>
      <c r="J11" s="1329"/>
      <c r="K11" s="1312"/>
      <c r="L11" s="1326">
        <f>IFERROR(INDEX('LFA Expenditure_7B imp-exp'!J$2:J$48,MATCH('LFA Expenditure_7B'!B11,'LFA Expenditure_7B imp-exp'!N$2:N$48,0)),"")</f>
        <v>500133.78904478799</v>
      </c>
      <c r="M11" s="1327"/>
      <c r="N11" s="1326">
        <f t="shared" si="3"/>
        <v>500133.78904478799</v>
      </c>
      <c r="O11" s="1330">
        <f t="shared" si="4"/>
        <v>0</v>
      </c>
      <c r="Q11" s="61"/>
      <c r="R11" s="280"/>
      <c r="S11" s="280"/>
      <c r="T11" s="280"/>
      <c r="U11" s="280"/>
      <c r="V11" s="280"/>
      <c r="W11" s="318"/>
    </row>
    <row r="12" spans="1:23" ht="17.45" customHeight="1" x14ac:dyDescent="0.2">
      <c r="A12" s="644" t="str">
        <f t="shared" si="0"/>
        <v>Show</v>
      </c>
      <c r="B12" s="644" t="s">
        <v>2346</v>
      </c>
      <c r="C12" s="968" t="str">
        <f>IFERROR(INDEX('LFA Expenditure_7B imp-exp'!A$2:A$48,MATCH('LFA Expenditure_7B'!B12,'LFA Expenditure_7B imp-exp'!N$2:N$48,0)),"")</f>
        <v>2.2 Technical assistance-related per diems/transport/other costs</v>
      </c>
      <c r="D12" s="1312"/>
      <c r="E12" s="1326">
        <f>IFERROR(INDEX('LFA Expenditure_7B imp-exp'!C$2:C$48,MATCH('LFA Expenditure_7B'!B12,'LFA Expenditure_7B imp-exp'!N$2:N$48,0)),"")</f>
        <v>0</v>
      </c>
      <c r="F12" s="1326">
        <f>'PR Expenditure_7A'!F13</f>
        <v>2910.545524920467</v>
      </c>
      <c r="G12" s="1327"/>
      <c r="H12" s="1326">
        <f t="shared" si="1"/>
        <v>-2910.545524920467</v>
      </c>
      <c r="I12" s="1328" t="str">
        <f t="shared" si="2"/>
        <v>Not Budgeted</v>
      </c>
      <c r="J12" s="1329"/>
      <c r="K12" s="1312"/>
      <c r="L12" s="1326">
        <f>IFERROR(INDEX('LFA Expenditure_7B imp-exp'!J$2:J$48,MATCH('LFA Expenditure_7B'!B12,'LFA Expenditure_7B imp-exp'!N$2:N$48,0)),"")</f>
        <v>3090.6982389280201</v>
      </c>
      <c r="M12" s="1327"/>
      <c r="N12" s="1326">
        <f t="shared" si="3"/>
        <v>3090.6982389280201</v>
      </c>
      <c r="O12" s="1330">
        <f t="shared" si="4"/>
        <v>0</v>
      </c>
      <c r="Q12" s="61"/>
      <c r="R12" s="280"/>
      <c r="S12" s="280"/>
      <c r="T12" s="280"/>
      <c r="U12" s="280"/>
      <c r="V12" s="280"/>
      <c r="W12" s="318"/>
    </row>
    <row r="13" spans="1:23" ht="17.45" customHeight="1" x14ac:dyDescent="0.2">
      <c r="A13" s="644" t="str">
        <f t="shared" si="0"/>
        <v>Show</v>
      </c>
      <c r="B13" s="644" t="s">
        <v>2348</v>
      </c>
      <c r="C13" s="968" t="str">
        <f>IFERROR(INDEX('LFA Expenditure_7B imp-exp'!A$2:A$48,MATCH('LFA Expenditure_7B'!B13,'LFA Expenditure_7B imp-exp'!N$2:N$48,0)),"")</f>
        <v>2.3 Supervision/surveys/data collection related per diems/transport/other costs</v>
      </c>
      <c r="D13" s="1312"/>
      <c r="E13" s="1326">
        <f>IFERROR(INDEX('LFA Expenditure_7B imp-exp'!C$2:C$48,MATCH('LFA Expenditure_7B'!B13,'LFA Expenditure_7B imp-exp'!N$2:N$48,0)),"")</f>
        <v>371613.36412214203</v>
      </c>
      <c r="F13" s="1326">
        <f>'PR Expenditure_7A'!F14</f>
        <v>315004.60936933581</v>
      </c>
      <c r="G13" s="1327"/>
      <c r="H13" s="1326">
        <f t="shared" si="1"/>
        <v>56608.754752806213</v>
      </c>
      <c r="I13" s="1328">
        <f t="shared" si="2"/>
        <v>0.84766760235727145</v>
      </c>
      <c r="J13" s="1329"/>
      <c r="K13" s="1312"/>
      <c r="L13" s="1326">
        <f>IFERROR(INDEX('LFA Expenditure_7B imp-exp'!J$2:J$48,MATCH('LFA Expenditure_7B'!B13,'LFA Expenditure_7B imp-exp'!N$2:N$48,0)),"")</f>
        <v>891577.55226037803</v>
      </c>
      <c r="M13" s="1327"/>
      <c r="N13" s="1326">
        <f t="shared" si="3"/>
        <v>891577.55226037803</v>
      </c>
      <c r="O13" s="1330">
        <f t="shared" si="4"/>
        <v>0</v>
      </c>
      <c r="Q13" s="61"/>
      <c r="R13" s="280"/>
      <c r="S13" s="280"/>
      <c r="T13" s="280"/>
      <c r="U13" s="280"/>
      <c r="V13" s="280"/>
      <c r="W13" s="318"/>
    </row>
    <row r="14" spans="1:23" ht="17.45" customHeight="1" x14ac:dyDescent="0.2">
      <c r="A14" s="644" t="str">
        <f t="shared" si="0"/>
        <v>Show</v>
      </c>
      <c r="B14" s="644" t="s">
        <v>2350</v>
      </c>
      <c r="C14" s="968" t="str">
        <f>IFERROR(INDEX('LFA Expenditure_7B imp-exp'!A$2:A$48,MATCH('LFA Expenditure_7B'!B14,'LFA Expenditure_7B imp-exp'!N$2:N$48,0)),"")</f>
        <v>2.4 Meeting/Advocacy related per diems/transport/other costs</v>
      </c>
      <c r="D14" s="1312"/>
      <c r="E14" s="1326">
        <f>IFERROR(INDEX('LFA Expenditure_7B imp-exp'!C$2:C$48,MATCH('LFA Expenditure_7B'!B14,'LFA Expenditure_7B imp-exp'!N$2:N$48,0)),"")</f>
        <v>152662.31586325</v>
      </c>
      <c r="F14" s="1326">
        <f>'PR Expenditure_7A'!F15</f>
        <v>73726.949204770615</v>
      </c>
      <c r="G14" s="1327"/>
      <c r="H14" s="1326">
        <f t="shared" si="1"/>
        <v>78935.366658479383</v>
      </c>
      <c r="I14" s="1328">
        <f t="shared" si="2"/>
        <v>0.48294137808581949</v>
      </c>
      <c r="J14" s="1329"/>
      <c r="K14" s="1312"/>
      <c r="L14" s="1326">
        <f>IFERROR(INDEX('LFA Expenditure_7B imp-exp'!J$2:J$48,MATCH('LFA Expenditure_7B'!B14,'LFA Expenditure_7B imp-exp'!N$2:N$48,0)),"")</f>
        <v>384237.60942539701</v>
      </c>
      <c r="M14" s="1327"/>
      <c r="N14" s="1326">
        <f t="shared" si="3"/>
        <v>384237.60942539701</v>
      </c>
      <c r="O14" s="1330">
        <f t="shared" si="4"/>
        <v>0</v>
      </c>
      <c r="Q14" s="61"/>
      <c r="R14" s="280"/>
      <c r="S14" s="280"/>
      <c r="T14" s="280"/>
      <c r="U14" s="280"/>
      <c r="V14" s="280"/>
      <c r="W14" s="318"/>
    </row>
    <row r="15" spans="1:23" ht="17.45" customHeight="1" x14ac:dyDescent="0.2">
      <c r="A15" s="644" t="str">
        <f t="shared" si="0"/>
        <v>Show</v>
      </c>
      <c r="B15" s="644" t="s">
        <v>2352</v>
      </c>
      <c r="C15" s="968" t="str">
        <f>IFERROR(INDEX('LFA Expenditure_7B imp-exp'!A$2:A$48,MATCH('LFA Expenditure_7B'!B15,'LFA Expenditure_7B imp-exp'!N$2:N$48,0)),"")</f>
        <v>2.5 Other Transportation costs</v>
      </c>
      <c r="D15" s="1312"/>
      <c r="E15" s="1326">
        <f>IFERROR(INDEX('LFA Expenditure_7B imp-exp'!C$2:C$48,MATCH('LFA Expenditure_7B'!B15,'LFA Expenditure_7B imp-exp'!N$2:N$48,0)),"")</f>
        <v>86619.915857884102</v>
      </c>
      <c r="F15" s="1326">
        <f>'PR Expenditure_7A'!F16</f>
        <v>44587.135309422039</v>
      </c>
      <c r="G15" s="1327"/>
      <c r="H15" s="1326">
        <f t="shared" si="1"/>
        <v>42032.780548462062</v>
      </c>
      <c r="I15" s="1328">
        <f t="shared" si="2"/>
        <v>0.51474461580608588</v>
      </c>
      <c r="J15" s="1329"/>
      <c r="K15" s="1312"/>
      <c r="L15" s="1326">
        <f>IFERROR(INDEX('LFA Expenditure_7B imp-exp'!J$2:J$48,MATCH('LFA Expenditure_7B'!B15,'LFA Expenditure_7B imp-exp'!N$2:N$48,0)),"")</f>
        <v>171679.87074759501</v>
      </c>
      <c r="M15" s="1327"/>
      <c r="N15" s="1326">
        <f t="shared" si="3"/>
        <v>171679.87074759501</v>
      </c>
      <c r="O15" s="1330">
        <f t="shared" si="4"/>
        <v>0</v>
      </c>
      <c r="Q15" s="61"/>
      <c r="R15" s="280"/>
      <c r="S15" s="280"/>
      <c r="T15" s="280"/>
      <c r="U15" s="280"/>
      <c r="V15" s="280"/>
      <c r="W15" s="318"/>
    </row>
    <row r="16" spans="1:23" ht="17.45" customHeight="1" x14ac:dyDescent="0.2">
      <c r="A16" s="644" t="str">
        <f t="shared" ref="A16:A67" si="5">IF(C16&lt;&gt;"","Show","Don't Show")</f>
        <v>Show</v>
      </c>
      <c r="B16" s="644" t="s">
        <v>2354</v>
      </c>
      <c r="C16" s="968" t="str">
        <f>IFERROR(INDEX('LFA Expenditure_7B imp-exp'!A$2:A$48,MATCH('LFA Expenditure_7B'!B16,'LFA Expenditure_7B imp-exp'!N$2:N$48,0)),"")</f>
        <v>3.1 Technical Assistance Fees/Consultants</v>
      </c>
      <c r="D16" s="1312"/>
      <c r="E16" s="1326">
        <f>IFERROR(INDEX('LFA Expenditure_7B imp-exp'!C$2:C$48,MATCH('LFA Expenditure_7B'!B16,'LFA Expenditure_7B imp-exp'!N$2:N$48,0)),"")</f>
        <v>25810</v>
      </c>
      <c r="F16" s="1326">
        <f>'PR Expenditure_7A'!F17</f>
        <v>103389.81</v>
      </c>
      <c r="G16" s="1327"/>
      <c r="H16" s="1326">
        <f t="shared" ref="H16:H67" si="6">IFERROR((E16)-(F16+G16),0)</f>
        <v>-77579.81</v>
      </c>
      <c r="I16" s="1328">
        <f t="shared" ref="I16:I67" si="7">IF(AND((E16)=0,(F16+G16)=0),"N/A",IF(AND((E16)=0,(F16+G16)&lt;&gt;0),"Not Budgeted",(F16+G16)/(E16)))</f>
        <v>4.0058043394033316</v>
      </c>
      <c r="J16" s="1329"/>
      <c r="K16" s="1312"/>
      <c r="L16" s="1326">
        <f>IFERROR(INDEX('LFA Expenditure_7B imp-exp'!J$2:J$48,MATCH('LFA Expenditure_7B'!B16,'LFA Expenditure_7B imp-exp'!N$2:N$48,0)),"")</f>
        <v>67420.303030302995</v>
      </c>
      <c r="M16" s="1327"/>
      <c r="N16" s="1326">
        <f t="shared" ref="N16:N67" si="8">IFERROR(L16-M16,0)</f>
        <v>67420.303030302995</v>
      </c>
      <c r="O16" s="1330">
        <f t="shared" ref="O16:O67" si="9">IF(AND(L16=0,M16=0),"N/A",IF(AND(L16=0,M16&lt;&gt;0),"Not Budgeted",M16/L16))</f>
        <v>0</v>
      </c>
      <c r="Q16" s="61"/>
      <c r="R16" s="280"/>
      <c r="S16" s="280"/>
      <c r="T16" s="280"/>
      <c r="U16" s="280"/>
      <c r="V16" s="280"/>
      <c r="W16" s="318"/>
    </row>
    <row r="17" spans="1:23" ht="17.45" customHeight="1" x14ac:dyDescent="0.2">
      <c r="A17" s="644" t="str">
        <f t="shared" si="5"/>
        <v>Show</v>
      </c>
      <c r="B17" s="644" t="s">
        <v>2356</v>
      </c>
      <c r="C17" s="968" t="str">
        <f>IFERROR(INDEX('LFA Expenditure_7B imp-exp'!A$2:A$48,MATCH('LFA Expenditure_7B'!B17,'LFA Expenditure_7B imp-exp'!N$2:N$48,0)),"")</f>
        <v>3.3 External audit fees</v>
      </c>
      <c r="D17" s="1312"/>
      <c r="E17" s="1326">
        <f>IFERROR(INDEX('LFA Expenditure_7B imp-exp'!C$2:C$48,MATCH('LFA Expenditure_7B'!B17,'LFA Expenditure_7B imp-exp'!N$2:N$48,0)),"")</f>
        <v>43900</v>
      </c>
      <c r="F17" s="1326">
        <f>'PR Expenditure_7A'!F18</f>
        <v>58390</v>
      </c>
      <c r="G17" s="1327"/>
      <c r="H17" s="1326">
        <f t="shared" si="6"/>
        <v>-14490</v>
      </c>
      <c r="I17" s="1328">
        <f t="shared" si="7"/>
        <v>1.3300683371298405</v>
      </c>
      <c r="J17" s="1329"/>
      <c r="K17" s="1312"/>
      <c r="L17" s="1326">
        <f>IFERROR(INDEX('LFA Expenditure_7B imp-exp'!J$2:J$48,MATCH('LFA Expenditure_7B'!B17,'LFA Expenditure_7B imp-exp'!N$2:N$48,0)),"")</f>
        <v>58900</v>
      </c>
      <c r="M17" s="1327"/>
      <c r="N17" s="1326">
        <f t="shared" si="8"/>
        <v>58900</v>
      </c>
      <c r="O17" s="1330">
        <f t="shared" si="9"/>
        <v>0</v>
      </c>
      <c r="Q17" s="61"/>
      <c r="R17" s="280"/>
      <c r="S17" s="280"/>
      <c r="T17" s="280"/>
      <c r="U17" s="280"/>
      <c r="V17" s="280"/>
      <c r="W17" s="318"/>
    </row>
    <row r="18" spans="1:23" ht="17.45" customHeight="1" x14ac:dyDescent="0.2">
      <c r="A18" s="644" t="str">
        <f t="shared" si="5"/>
        <v>Show</v>
      </c>
      <c r="B18" s="644" t="s">
        <v>2358</v>
      </c>
      <c r="C18" s="968" t="str">
        <f>IFERROR(INDEX('LFA Expenditure_7B imp-exp'!A$2:A$48,MATCH('LFA Expenditure_7B'!B18,'LFA Expenditure_7B imp-exp'!N$2:N$48,0)),"")</f>
        <v>3.4 Other external professional services</v>
      </c>
      <c r="D18" s="1312"/>
      <c r="E18" s="1326">
        <f>IFERROR(INDEX('LFA Expenditure_7B imp-exp'!C$2:C$48,MATCH('LFA Expenditure_7B'!B18,'LFA Expenditure_7B imp-exp'!N$2:N$48,0)),"")</f>
        <v>37872.672927453699</v>
      </c>
      <c r="F18" s="1326">
        <f>'PR Expenditure_7A'!F19</f>
        <v>7744.5599999999995</v>
      </c>
      <c r="G18" s="1327"/>
      <c r="H18" s="1326">
        <f t="shared" si="6"/>
        <v>30128.112927453702</v>
      </c>
      <c r="I18" s="1328">
        <f t="shared" si="7"/>
        <v>0.20448939568735877</v>
      </c>
      <c r="J18" s="1329"/>
      <c r="K18" s="1312"/>
      <c r="L18" s="1326">
        <f>IFERROR(INDEX('LFA Expenditure_7B imp-exp'!J$2:J$48,MATCH('LFA Expenditure_7B'!B18,'LFA Expenditure_7B imp-exp'!N$2:N$48,0)),"")</f>
        <v>108936.69419773101</v>
      </c>
      <c r="M18" s="1327"/>
      <c r="N18" s="1326">
        <f t="shared" si="8"/>
        <v>108936.69419773101</v>
      </c>
      <c r="O18" s="1330">
        <f t="shared" si="9"/>
        <v>0</v>
      </c>
      <c r="Q18" s="61"/>
      <c r="R18" s="280"/>
      <c r="S18" s="280"/>
      <c r="T18" s="280"/>
      <c r="U18" s="280"/>
      <c r="V18" s="280"/>
      <c r="W18" s="318"/>
    </row>
    <row r="19" spans="1:23" ht="17.45" customHeight="1" x14ac:dyDescent="0.2">
      <c r="A19" s="644" t="str">
        <f t="shared" si="5"/>
        <v>Show</v>
      </c>
      <c r="B19" s="644" t="s">
        <v>2360</v>
      </c>
      <c r="C19" s="968" t="str">
        <f>IFERROR(INDEX('LFA Expenditure_7B imp-exp'!A$2:A$48,MATCH('LFA Expenditure_7B'!B19,'LFA Expenditure_7B imp-exp'!N$2:N$48,0)),"")</f>
        <v>4.1 Antiretroviral medicines</v>
      </c>
      <c r="D19" s="1312"/>
      <c r="E19" s="1326">
        <f>IFERROR(INDEX('LFA Expenditure_7B imp-exp'!C$2:C$48,MATCH('LFA Expenditure_7B'!B19,'LFA Expenditure_7B imp-exp'!N$2:N$48,0)),"")</f>
        <v>2374573.84</v>
      </c>
      <c r="F19" s="1326">
        <f>'PR Expenditure_7A'!F20</f>
        <v>3112899.83</v>
      </c>
      <c r="G19" s="1327"/>
      <c r="H19" s="1326">
        <f t="shared" si="6"/>
        <v>-738325.99000000022</v>
      </c>
      <c r="I19" s="1328">
        <f t="shared" si="7"/>
        <v>1.3109298930034536</v>
      </c>
      <c r="J19" s="1329"/>
      <c r="K19" s="1312"/>
      <c r="L19" s="1326">
        <f>IFERROR(INDEX('LFA Expenditure_7B imp-exp'!J$2:J$48,MATCH('LFA Expenditure_7B'!B19,'LFA Expenditure_7B imp-exp'!N$2:N$48,0)),"")</f>
        <v>2797400.6</v>
      </c>
      <c r="M19" s="1327"/>
      <c r="N19" s="1326">
        <f t="shared" si="8"/>
        <v>2797400.6</v>
      </c>
      <c r="O19" s="1330">
        <f t="shared" si="9"/>
        <v>0</v>
      </c>
      <c r="Q19" s="61"/>
      <c r="R19" s="280"/>
      <c r="S19" s="280"/>
      <c r="T19" s="280"/>
      <c r="U19" s="280"/>
      <c r="V19" s="280"/>
      <c r="W19" s="318"/>
    </row>
    <row r="20" spans="1:23" ht="17.45" customHeight="1" x14ac:dyDescent="0.2">
      <c r="A20" s="644" t="str">
        <f t="shared" si="5"/>
        <v>Show</v>
      </c>
      <c r="B20" s="644" t="s">
        <v>2362</v>
      </c>
      <c r="C20" s="968" t="str">
        <f>IFERROR(INDEX('LFA Expenditure_7B imp-exp'!A$2:A$48,MATCH('LFA Expenditure_7B'!B20,'LFA Expenditure_7B imp-exp'!N$2:N$48,0)),"")</f>
        <v>4.2 Anti-tuberculosis medicines</v>
      </c>
      <c r="D20" s="1312"/>
      <c r="E20" s="1326">
        <f>IFERROR(INDEX('LFA Expenditure_7B imp-exp'!C$2:C$48,MATCH('LFA Expenditure_7B'!B20,'LFA Expenditure_7B imp-exp'!N$2:N$48,0)),"")</f>
        <v>523533.37</v>
      </c>
      <c r="F20" s="1326">
        <f>'PR Expenditure_7A'!F21</f>
        <v>327729.77</v>
      </c>
      <c r="G20" s="1327"/>
      <c r="H20" s="1326">
        <f t="shared" si="6"/>
        <v>195803.59999999998</v>
      </c>
      <c r="I20" s="1328">
        <f t="shared" si="7"/>
        <v>0.62599595131825125</v>
      </c>
      <c r="J20" s="1329"/>
      <c r="K20" s="1312"/>
      <c r="L20" s="1326">
        <f>IFERROR(INDEX('LFA Expenditure_7B imp-exp'!J$2:J$48,MATCH('LFA Expenditure_7B'!B20,'LFA Expenditure_7B imp-exp'!N$2:N$48,0)),"")</f>
        <v>1034709.24</v>
      </c>
      <c r="M20" s="1327"/>
      <c r="N20" s="1326">
        <f t="shared" si="8"/>
        <v>1034709.24</v>
      </c>
      <c r="O20" s="1330">
        <f t="shared" si="9"/>
        <v>0</v>
      </c>
      <c r="Q20" s="61"/>
      <c r="R20" s="280"/>
      <c r="S20" s="280"/>
      <c r="T20" s="280"/>
      <c r="U20" s="280"/>
      <c r="V20" s="280"/>
      <c r="W20" s="318"/>
    </row>
    <row r="21" spans="1:23" ht="17.45" customHeight="1" x14ac:dyDescent="0.2">
      <c r="A21" s="644" t="str">
        <f t="shared" si="5"/>
        <v>Show</v>
      </c>
      <c r="B21" s="644" t="s">
        <v>2364</v>
      </c>
      <c r="C21" s="968" t="str">
        <f>IFERROR(INDEX('LFA Expenditure_7B imp-exp'!A$2:A$48,MATCH('LFA Expenditure_7B'!B21,'LFA Expenditure_7B imp-exp'!N$2:N$48,0)),"")</f>
        <v>4.5 Opportunistic infections and STI medicines</v>
      </c>
      <c r="D21" s="1312"/>
      <c r="E21" s="1326">
        <f>IFERROR(INDEX('LFA Expenditure_7B imp-exp'!C$2:C$48,MATCH('LFA Expenditure_7B'!B21,'LFA Expenditure_7B imp-exp'!N$2:N$48,0)),"")</f>
        <v>76235.13</v>
      </c>
      <c r="F21" s="1326">
        <f>'PR Expenditure_7A'!F22</f>
        <v>67267.600000000006</v>
      </c>
      <c r="G21" s="1327"/>
      <c r="H21" s="1326">
        <f t="shared" si="6"/>
        <v>8967.5299999999988</v>
      </c>
      <c r="I21" s="1328">
        <f t="shared" si="7"/>
        <v>0.88237010942330663</v>
      </c>
      <c r="J21" s="1329"/>
      <c r="K21" s="1312"/>
      <c r="L21" s="1326">
        <f>IFERROR(INDEX('LFA Expenditure_7B imp-exp'!J$2:J$48,MATCH('LFA Expenditure_7B'!B21,'LFA Expenditure_7B imp-exp'!N$2:N$48,0)),"")</f>
        <v>134732.69</v>
      </c>
      <c r="M21" s="1327"/>
      <c r="N21" s="1326">
        <f t="shared" si="8"/>
        <v>134732.69</v>
      </c>
      <c r="O21" s="1330">
        <f t="shared" si="9"/>
        <v>0</v>
      </c>
      <c r="Q21" s="61"/>
      <c r="R21" s="280"/>
      <c r="S21" s="280"/>
      <c r="T21" s="280"/>
      <c r="U21" s="280"/>
      <c r="V21" s="280"/>
      <c r="W21" s="318"/>
    </row>
    <row r="22" spans="1:23" ht="17.45" customHeight="1" x14ac:dyDescent="0.2">
      <c r="A22" s="644" t="str">
        <f t="shared" si="5"/>
        <v>Show</v>
      </c>
      <c r="B22" s="644" t="s">
        <v>2366</v>
      </c>
      <c r="C22" s="968" t="str">
        <f>IFERROR(INDEX('LFA Expenditure_7B imp-exp'!A$2:A$48,MATCH('LFA Expenditure_7B'!B22,'LFA Expenditure_7B imp-exp'!N$2:N$48,0)),"")</f>
        <v>4.7 Other medicines</v>
      </c>
      <c r="D22" s="1312"/>
      <c r="E22" s="1326">
        <f>IFERROR(INDEX('LFA Expenditure_7B imp-exp'!C$2:C$48,MATCH('LFA Expenditure_7B'!B22,'LFA Expenditure_7B imp-exp'!N$2:N$48,0)),"")</f>
        <v>0</v>
      </c>
      <c r="F22" s="1326">
        <f>'PR Expenditure_7A'!F23</f>
        <v>0</v>
      </c>
      <c r="G22" s="1327"/>
      <c r="H22" s="1326">
        <f t="shared" si="6"/>
        <v>0</v>
      </c>
      <c r="I22" s="1328" t="str">
        <f t="shared" si="7"/>
        <v>N/A</v>
      </c>
      <c r="J22" s="1329"/>
      <c r="K22" s="1312"/>
      <c r="L22" s="1326">
        <f>IFERROR(INDEX('LFA Expenditure_7B imp-exp'!J$2:J$48,MATCH('LFA Expenditure_7B'!B22,'LFA Expenditure_7B imp-exp'!N$2:N$48,0)),"")</f>
        <v>9000</v>
      </c>
      <c r="M22" s="1327"/>
      <c r="N22" s="1326">
        <f t="shared" si="8"/>
        <v>9000</v>
      </c>
      <c r="O22" s="1330">
        <f t="shared" si="9"/>
        <v>0</v>
      </c>
      <c r="Q22" s="61"/>
      <c r="R22" s="280"/>
      <c r="S22" s="280"/>
      <c r="T22" s="280"/>
      <c r="U22" s="280"/>
      <c r="V22" s="280"/>
      <c r="W22" s="318"/>
    </row>
    <row r="23" spans="1:23" ht="17.45" customHeight="1" x14ac:dyDescent="0.2">
      <c r="A23" s="644" t="str">
        <f t="shared" si="5"/>
        <v>Show</v>
      </c>
      <c r="B23" s="644" t="s">
        <v>2367</v>
      </c>
      <c r="C23" s="968" t="str">
        <f>IFERROR(INDEX('LFA Expenditure_7B imp-exp'!A$2:A$48,MATCH('LFA Expenditure_7B'!B23,'LFA Expenditure_7B imp-exp'!N$2:N$48,0)),"")</f>
        <v>5.2 Condoms - Male</v>
      </c>
      <c r="D23" s="1312"/>
      <c r="E23" s="1326">
        <f>IFERROR(INDEX('LFA Expenditure_7B imp-exp'!C$2:C$48,MATCH('LFA Expenditure_7B'!B23,'LFA Expenditure_7B imp-exp'!N$2:N$48,0)),"")</f>
        <v>234419.53388854</v>
      </c>
      <c r="F23" s="1326">
        <f>'PR Expenditure_7A'!F24</f>
        <v>0</v>
      </c>
      <c r="G23" s="1327"/>
      <c r="H23" s="1326">
        <f t="shared" si="6"/>
        <v>234419.53388854</v>
      </c>
      <c r="I23" s="1328">
        <f t="shared" si="7"/>
        <v>0</v>
      </c>
      <c r="J23" s="1329"/>
      <c r="K23" s="1312"/>
      <c r="L23" s="1326">
        <f>IFERROR(INDEX('LFA Expenditure_7B imp-exp'!J$2:J$48,MATCH('LFA Expenditure_7B'!B23,'LFA Expenditure_7B imp-exp'!N$2:N$48,0)),"")</f>
        <v>234419.53388854</v>
      </c>
      <c r="M23" s="1327"/>
      <c r="N23" s="1326">
        <f t="shared" si="8"/>
        <v>234419.53388854</v>
      </c>
      <c r="O23" s="1330">
        <f t="shared" si="9"/>
        <v>0</v>
      </c>
      <c r="Q23" s="61"/>
      <c r="R23" s="280"/>
      <c r="S23" s="280"/>
      <c r="T23" s="280"/>
      <c r="U23" s="280"/>
      <c r="V23" s="280"/>
      <c r="W23" s="318"/>
    </row>
    <row r="24" spans="1:23" ht="17.45" customHeight="1" x14ac:dyDescent="0.2">
      <c r="A24" s="644" t="str">
        <f t="shared" si="5"/>
        <v>Show</v>
      </c>
      <c r="B24" s="644" t="s">
        <v>2369</v>
      </c>
      <c r="C24" s="968" t="str">
        <f>IFERROR(INDEX('LFA Expenditure_7B imp-exp'!A$2:A$48,MATCH('LFA Expenditure_7B'!B24,'LFA Expenditure_7B imp-exp'!N$2:N$48,0)),"")</f>
        <v>5.3 Condoms - Female</v>
      </c>
      <c r="D24" s="1312"/>
      <c r="E24" s="1326">
        <f>IFERROR(INDEX('LFA Expenditure_7B imp-exp'!C$2:C$48,MATCH('LFA Expenditure_7B'!B24,'LFA Expenditure_7B imp-exp'!N$2:N$48,0)),"")</f>
        <v>142498.65</v>
      </c>
      <c r="F24" s="1326">
        <f>'PR Expenditure_7A'!F25</f>
        <v>0</v>
      </c>
      <c r="G24" s="1327"/>
      <c r="H24" s="1326">
        <f t="shared" si="6"/>
        <v>142498.65</v>
      </c>
      <c r="I24" s="1328">
        <f t="shared" si="7"/>
        <v>0</v>
      </c>
      <c r="J24" s="1329"/>
      <c r="K24" s="1312"/>
      <c r="L24" s="1326">
        <f>IFERROR(INDEX('LFA Expenditure_7B imp-exp'!J$2:J$48,MATCH('LFA Expenditure_7B'!B24,'LFA Expenditure_7B imp-exp'!N$2:N$48,0)),"")</f>
        <v>155484.35</v>
      </c>
      <c r="M24" s="1327"/>
      <c r="N24" s="1326">
        <f t="shared" si="8"/>
        <v>155484.35</v>
      </c>
      <c r="O24" s="1330">
        <f t="shared" si="9"/>
        <v>0</v>
      </c>
      <c r="Q24" s="61"/>
      <c r="R24" s="280"/>
      <c r="S24" s="280"/>
      <c r="T24" s="280"/>
      <c r="U24" s="280"/>
      <c r="V24" s="280"/>
      <c r="W24" s="318"/>
    </row>
    <row r="25" spans="1:23" ht="17.45" customHeight="1" x14ac:dyDescent="0.2">
      <c r="A25" s="644" t="str">
        <f t="shared" si="5"/>
        <v>Show</v>
      </c>
      <c r="B25" s="644" t="s">
        <v>2371</v>
      </c>
      <c r="C25" s="968" t="str">
        <f>IFERROR(INDEX('LFA Expenditure_7B imp-exp'!A$2:A$48,MATCH('LFA Expenditure_7B'!B25,'LFA Expenditure_7B imp-exp'!N$2:N$48,0)),"")</f>
        <v>5.4 Rapid Diagnostic Test</v>
      </c>
      <c r="D25" s="1312"/>
      <c r="E25" s="1326">
        <f>IFERROR(INDEX('LFA Expenditure_7B imp-exp'!C$2:C$48,MATCH('LFA Expenditure_7B'!B25,'LFA Expenditure_7B imp-exp'!N$2:N$48,0)),"")</f>
        <v>404384.02</v>
      </c>
      <c r="F25" s="1326">
        <f>'PR Expenditure_7A'!F26</f>
        <v>792536.3600000001</v>
      </c>
      <c r="G25" s="1327"/>
      <c r="H25" s="1326">
        <f t="shared" si="6"/>
        <v>-388152.34000000008</v>
      </c>
      <c r="I25" s="1328">
        <f t="shared" si="7"/>
        <v>1.9598607284234428</v>
      </c>
      <c r="J25" s="1329"/>
      <c r="K25" s="1312"/>
      <c r="L25" s="1326">
        <f>IFERROR(INDEX('LFA Expenditure_7B imp-exp'!J$2:J$48,MATCH('LFA Expenditure_7B'!B25,'LFA Expenditure_7B imp-exp'!N$2:N$48,0)),"")</f>
        <v>524325.35</v>
      </c>
      <c r="M25" s="1327"/>
      <c r="N25" s="1326">
        <f t="shared" si="8"/>
        <v>524325.35</v>
      </c>
      <c r="O25" s="1330">
        <f t="shared" si="9"/>
        <v>0</v>
      </c>
      <c r="Q25" s="61"/>
      <c r="R25" s="280"/>
      <c r="S25" s="280"/>
      <c r="T25" s="280"/>
      <c r="U25" s="280"/>
      <c r="V25" s="280"/>
      <c r="W25" s="318"/>
    </row>
    <row r="26" spans="1:23" ht="17.45" customHeight="1" x14ac:dyDescent="0.2">
      <c r="A26" s="644" t="str">
        <f t="shared" si="5"/>
        <v>Show</v>
      </c>
      <c r="B26" s="644" t="s">
        <v>2373</v>
      </c>
      <c r="C26" s="968" t="str">
        <f>IFERROR(INDEX('LFA Expenditure_7B imp-exp'!A$2:A$48,MATCH('LFA Expenditure_7B'!B26,'LFA Expenditure_7B imp-exp'!N$2:N$48,0)),"")</f>
        <v>5.6 Laboratory reagents</v>
      </c>
      <c r="D26" s="1312"/>
      <c r="E26" s="1326">
        <f>IFERROR(INDEX('LFA Expenditure_7B imp-exp'!C$2:C$48,MATCH('LFA Expenditure_7B'!B26,'LFA Expenditure_7B imp-exp'!N$2:N$48,0)),"")</f>
        <v>353331.25</v>
      </c>
      <c r="F26" s="1326">
        <f>'PR Expenditure_7A'!F27</f>
        <v>477500.83000000007</v>
      </c>
      <c r="G26" s="1327"/>
      <c r="H26" s="1326">
        <f t="shared" si="6"/>
        <v>-124169.58000000007</v>
      </c>
      <c r="I26" s="1328">
        <f t="shared" si="7"/>
        <v>1.3514254117064373</v>
      </c>
      <c r="J26" s="1329"/>
      <c r="K26" s="1312"/>
      <c r="L26" s="1326">
        <f>IFERROR(INDEX('LFA Expenditure_7B imp-exp'!J$2:J$48,MATCH('LFA Expenditure_7B'!B26,'LFA Expenditure_7B imp-exp'!N$2:N$48,0)),"")</f>
        <v>657294.41</v>
      </c>
      <c r="M26" s="1327"/>
      <c r="N26" s="1326">
        <f t="shared" si="8"/>
        <v>657294.41</v>
      </c>
      <c r="O26" s="1330">
        <f t="shared" si="9"/>
        <v>0</v>
      </c>
      <c r="Q26" s="61"/>
      <c r="R26" s="280"/>
      <c r="S26" s="280"/>
      <c r="T26" s="280"/>
      <c r="U26" s="280"/>
      <c r="V26" s="280"/>
      <c r="W26" s="318"/>
    </row>
    <row r="27" spans="1:23" ht="17.45" customHeight="1" x14ac:dyDescent="0.2">
      <c r="A27" s="644" t="str">
        <f t="shared" si="5"/>
        <v>Show</v>
      </c>
      <c r="B27" s="644" t="s">
        <v>2375</v>
      </c>
      <c r="C27" s="968" t="str">
        <f>IFERROR(INDEX('LFA Expenditure_7B imp-exp'!A$2:A$48,MATCH('LFA Expenditure_7B'!B27,'LFA Expenditure_7B imp-exp'!N$2:N$48,0)),"")</f>
        <v>5.7 Syringes and needles</v>
      </c>
      <c r="D27" s="1312"/>
      <c r="E27" s="1326">
        <f>IFERROR(INDEX('LFA Expenditure_7B imp-exp'!C$2:C$48,MATCH('LFA Expenditure_7B'!B27,'LFA Expenditure_7B imp-exp'!N$2:N$48,0)),"")</f>
        <v>1148</v>
      </c>
      <c r="F27" s="1326">
        <f>'PR Expenditure_7A'!F28</f>
        <v>0</v>
      </c>
      <c r="G27" s="1327"/>
      <c r="H27" s="1326">
        <f t="shared" si="6"/>
        <v>1148</v>
      </c>
      <c r="I27" s="1328">
        <f t="shared" si="7"/>
        <v>0</v>
      </c>
      <c r="J27" s="1329"/>
      <c r="K27" s="1312"/>
      <c r="L27" s="1326">
        <f>IFERROR(INDEX('LFA Expenditure_7B imp-exp'!J$2:J$48,MATCH('LFA Expenditure_7B'!B27,'LFA Expenditure_7B imp-exp'!N$2:N$48,0)),"")</f>
        <v>2296</v>
      </c>
      <c r="M27" s="1327"/>
      <c r="N27" s="1326">
        <f t="shared" si="8"/>
        <v>2296</v>
      </c>
      <c r="O27" s="1330">
        <f t="shared" si="9"/>
        <v>0</v>
      </c>
      <c r="Q27" s="61"/>
      <c r="R27" s="280"/>
      <c r="S27" s="280"/>
      <c r="T27" s="280"/>
      <c r="U27" s="280"/>
      <c r="V27" s="280"/>
      <c r="W27" s="318"/>
    </row>
    <row r="28" spans="1:23" ht="17.45" customHeight="1" x14ac:dyDescent="0.2">
      <c r="A28" s="644" t="str">
        <f t="shared" si="5"/>
        <v>Show</v>
      </c>
      <c r="B28" s="644" t="s">
        <v>2377</v>
      </c>
      <c r="C28" s="968" t="str">
        <f>IFERROR(INDEX('LFA Expenditure_7B imp-exp'!A$2:A$48,MATCH('LFA Expenditure_7B'!B28,'LFA Expenditure_7B imp-exp'!N$2:N$48,0)),"")</f>
        <v>5.8 Other consumables</v>
      </c>
      <c r="D28" s="1312"/>
      <c r="E28" s="1326">
        <f>IFERROR(INDEX('LFA Expenditure_7B imp-exp'!C$2:C$48,MATCH('LFA Expenditure_7B'!B28,'LFA Expenditure_7B imp-exp'!N$2:N$48,0)),"")</f>
        <v>640261.87</v>
      </c>
      <c r="F28" s="1326">
        <f>'PR Expenditure_7A'!F29</f>
        <v>322043.73</v>
      </c>
      <c r="G28" s="1327"/>
      <c r="H28" s="1326">
        <f t="shared" si="6"/>
        <v>318218.14</v>
      </c>
      <c r="I28" s="1328">
        <f t="shared" si="7"/>
        <v>0.50298751977843059</v>
      </c>
      <c r="J28" s="1329"/>
      <c r="K28" s="1312"/>
      <c r="L28" s="1326">
        <f>IFERROR(INDEX('LFA Expenditure_7B imp-exp'!J$2:J$48,MATCH('LFA Expenditure_7B'!B28,'LFA Expenditure_7B imp-exp'!N$2:N$48,0)),"")</f>
        <v>968984.7</v>
      </c>
      <c r="M28" s="1327"/>
      <c r="N28" s="1326">
        <f t="shared" si="8"/>
        <v>968984.7</v>
      </c>
      <c r="O28" s="1330">
        <f t="shared" si="9"/>
        <v>0</v>
      </c>
      <c r="Q28" s="61"/>
      <c r="R28" s="280"/>
      <c r="S28" s="280"/>
      <c r="T28" s="280"/>
      <c r="U28" s="280"/>
      <c r="V28" s="280"/>
      <c r="W28" s="318"/>
    </row>
    <row r="29" spans="1:23" ht="17.45" customHeight="1" x14ac:dyDescent="0.2">
      <c r="A29" s="644" t="str">
        <f t="shared" si="5"/>
        <v>Show</v>
      </c>
      <c r="B29" s="644" t="s">
        <v>2379</v>
      </c>
      <c r="C29" s="968" t="str">
        <f>IFERROR(INDEX('LFA Expenditure_7B imp-exp'!A$2:A$48,MATCH('LFA Expenditure_7B'!B29,'LFA Expenditure_7B imp-exp'!N$2:N$48,0)),"")</f>
        <v>6.4 TB Molecular Test equipment</v>
      </c>
      <c r="D29" s="1312"/>
      <c r="E29" s="1326">
        <f>IFERROR(INDEX('LFA Expenditure_7B imp-exp'!C$2:C$48,MATCH('LFA Expenditure_7B'!B29,'LFA Expenditure_7B imp-exp'!N$2:N$48,0)),"")</f>
        <v>165668</v>
      </c>
      <c r="F29" s="1326">
        <f>'PR Expenditure_7A'!F30</f>
        <v>96428.66</v>
      </c>
      <c r="G29" s="1327"/>
      <c r="H29" s="1326">
        <f t="shared" si="6"/>
        <v>69239.34</v>
      </c>
      <c r="I29" s="1328">
        <f t="shared" si="7"/>
        <v>0.582059661491658</v>
      </c>
      <c r="J29" s="1329"/>
      <c r="K29" s="1312"/>
      <c r="L29" s="1326">
        <f>IFERROR(INDEX('LFA Expenditure_7B imp-exp'!J$2:J$48,MATCH('LFA Expenditure_7B'!B29,'LFA Expenditure_7B imp-exp'!N$2:N$48,0)),"")</f>
        <v>426828.97</v>
      </c>
      <c r="M29" s="1327"/>
      <c r="N29" s="1326">
        <f t="shared" si="8"/>
        <v>426828.97</v>
      </c>
      <c r="O29" s="1330">
        <f t="shared" si="9"/>
        <v>0</v>
      </c>
      <c r="Q29" s="61"/>
      <c r="R29" s="280"/>
      <c r="S29" s="280"/>
      <c r="T29" s="280"/>
      <c r="U29" s="280"/>
      <c r="V29" s="280"/>
      <c r="W29" s="318"/>
    </row>
    <row r="30" spans="1:23" ht="17.45" customHeight="1" x14ac:dyDescent="0.2">
      <c r="A30" s="644" t="str">
        <f t="shared" si="5"/>
        <v>Show</v>
      </c>
      <c r="B30" s="644" t="s">
        <v>2381</v>
      </c>
      <c r="C30" s="968" t="str">
        <f>IFERROR(INDEX('LFA Expenditure_7B imp-exp'!A$2:A$48,MATCH('LFA Expenditure_7B'!B30,'LFA Expenditure_7B imp-exp'!N$2:N$48,0)),"")</f>
        <v>6.5 Maintenance and service costs for health equipment</v>
      </c>
      <c r="D30" s="1312"/>
      <c r="E30" s="1326">
        <f>IFERROR(INDEX('LFA Expenditure_7B imp-exp'!C$2:C$48,MATCH('LFA Expenditure_7B'!B30,'LFA Expenditure_7B imp-exp'!N$2:N$48,0)),"")</f>
        <v>42021.19</v>
      </c>
      <c r="F30" s="1326">
        <f>'PR Expenditure_7A'!F31</f>
        <v>49127.68</v>
      </c>
      <c r="G30" s="1327"/>
      <c r="H30" s="1326">
        <f t="shared" si="6"/>
        <v>-7106.489999999998</v>
      </c>
      <c r="I30" s="1328">
        <f t="shared" si="7"/>
        <v>1.1691168193951671</v>
      </c>
      <c r="J30" s="1329"/>
      <c r="K30" s="1312"/>
      <c r="L30" s="1326">
        <f>IFERROR(INDEX('LFA Expenditure_7B imp-exp'!J$2:J$48,MATCH('LFA Expenditure_7B'!B30,'LFA Expenditure_7B imp-exp'!N$2:N$48,0)),"")</f>
        <v>71909.87</v>
      </c>
      <c r="M30" s="1327"/>
      <c r="N30" s="1326">
        <f t="shared" si="8"/>
        <v>71909.87</v>
      </c>
      <c r="O30" s="1330">
        <f t="shared" si="9"/>
        <v>0</v>
      </c>
      <c r="Q30" s="61"/>
      <c r="R30" s="280"/>
      <c r="S30" s="280"/>
      <c r="T30" s="280"/>
      <c r="U30" s="280"/>
      <c r="V30" s="280"/>
      <c r="W30" s="318"/>
    </row>
    <row r="31" spans="1:23" ht="17.45" customHeight="1" x14ac:dyDescent="0.2">
      <c r="A31" s="644" t="str">
        <f t="shared" si="5"/>
        <v>Show</v>
      </c>
      <c r="B31" s="644" t="s">
        <v>2383</v>
      </c>
      <c r="C31" s="968" t="str">
        <f>IFERROR(INDEX('LFA Expenditure_7B imp-exp'!A$2:A$48,MATCH('LFA Expenditure_7B'!B31,'LFA Expenditure_7B imp-exp'!N$2:N$48,0)),"")</f>
        <v>6.6 Other health equipment</v>
      </c>
      <c r="D31" s="1312"/>
      <c r="E31" s="1326">
        <f>IFERROR(INDEX('LFA Expenditure_7B imp-exp'!C$2:C$48,MATCH('LFA Expenditure_7B'!B31,'LFA Expenditure_7B imp-exp'!N$2:N$48,0)),"")</f>
        <v>8210.17</v>
      </c>
      <c r="F31" s="1326">
        <f>'PR Expenditure_7A'!F32</f>
        <v>16340.75</v>
      </c>
      <c r="G31" s="1327"/>
      <c r="H31" s="1326">
        <f t="shared" si="6"/>
        <v>-8130.58</v>
      </c>
      <c r="I31" s="1328">
        <f t="shared" si="7"/>
        <v>1.9903059254558675</v>
      </c>
      <c r="J31" s="1329"/>
      <c r="K31" s="1312"/>
      <c r="L31" s="1326">
        <f>IFERROR(INDEX('LFA Expenditure_7B imp-exp'!J$2:J$48,MATCH('LFA Expenditure_7B'!B31,'LFA Expenditure_7B imp-exp'!N$2:N$48,0)),"")</f>
        <v>16420.34</v>
      </c>
      <c r="M31" s="1327"/>
      <c r="N31" s="1326">
        <f t="shared" si="8"/>
        <v>16420.34</v>
      </c>
      <c r="O31" s="1330">
        <f t="shared" si="9"/>
        <v>0</v>
      </c>
      <c r="Q31" s="61"/>
      <c r="R31" s="280"/>
      <c r="S31" s="280"/>
      <c r="T31" s="280"/>
      <c r="U31" s="280"/>
      <c r="V31" s="280"/>
      <c r="W31" s="318"/>
    </row>
    <row r="32" spans="1:23" ht="17.45" customHeight="1" x14ac:dyDescent="0.2">
      <c r="A32" s="644" t="str">
        <f t="shared" si="5"/>
        <v>Show</v>
      </c>
      <c r="B32" s="644" t="s">
        <v>2385</v>
      </c>
      <c r="C32" s="968" t="str">
        <f>IFERROR(INDEX('LFA Expenditure_7B imp-exp'!A$2:A$48,MATCH('LFA Expenditure_7B'!B32,'LFA Expenditure_7B imp-exp'!N$2:N$48,0)),"")</f>
        <v>7.1 Procurement agent and handling fees</v>
      </c>
      <c r="D32" s="1312"/>
      <c r="E32" s="1326">
        <f>IFERROR(INDEX('LFA Expenditure_7B imp-exp'!C$2:C$48,MATCH('LFA Expenditure_7B'!B32,'LFA Expenditure_7B imp-exp'!N$2:N$48,0)),"")</f>
        <v>203060.32895</v>
      </c>
      <c r="F32" s="1326">
        <f>'PR Expenditure_7A'!F33</f>
        <v>105132.09000000001</v>
      </c>
      <c r="G32" s="1327"/>
      <c r="H32" s="1326">
        <f t="shared" si="6"/>
        <v>97928.238949999984</v>
      </c>
      <c r="I32" s="1328">
        <f t="shared" si="7"/>
        <v>0.51773820392996073</v>
      </c>
      <c r="J32" s="1329"/>
      <c r="K32" s="1312"/>
      <c r="L32" s="1326">
        <f>IFERROR(INDEX('LFA Expenditure_7B imp-exp'!J$2:J$48,MATCH('LFA Expenditure_7B'!B32,'LFA Expenditure_7B imp-exp'!N$2:N$48,0)),"")</f>
        <v>280136.41814999998</v>
      </c>
      <c r="M32" s="1327"/>
      <c r="N32" s="1326">
        <f t="shared" si="8"/>
        <v>280136.41814999998</v>
      </c>
      <c r="O32" s="1330">
        <f t="shared" si="9"/>
        <v>0</v>
      </c>
      <c r="Q32" s="61"/>
      <c r="R32" s="280"/>
      <c r="S32" s="280"/>
      <c r="T32" s="280"/>
      <c r="U32" s="280"/>
      <c r="V32" s="280"/>
      <c r="W32" s="318"/>
    </row>
    <row r="33" spans="1:23" ht="17.45" customHeight="1" x14ac:dyDescent="0.2">
      <c r="A33" s="644" t="str">
        <f t="shared" si="5"/>
        <v>Show</v>
      </c>
      <c r="B33" s="644" t="s">
        <v>2387</v>
      </c>
      <c r="C33" s="968" t="str">
        <f>IFERROR(INDEX('LFA Expenditure_7B imp-exp'!A$2:A$48,MATCH('LFA Expenditure_7B'!B33,'LFA Expenditure_7B imp-exp'!N$2:N$48,0)),"")</f>
        <v>7.2 Freight and insurance costs (Health products)</v>
      </c>
      <c r="D33" s="1312"/>
      <c r="E33" s="1326">
        <f>IFERROR(INDEX('LFA Expenditure_7B imp-exp'!C$2:C$48,MATCH('LFA Expenditure_7B'!B33,'LFA Expenditure_7B imp-exp'!N$2:N$48,0)),"")</f>
        <v>756924.26063599996</v>
      </c>
      <c r="F33" s="1326">
        <f>'PR Expenditure_7A'!F34</f>
        <v>646170.78</v>
      </c>
      <c r="G33" s="1327"/>
      <c r="H33" s="1326">
        <f t="shared" si="6"/>
        <v>110753.48063599993</v>
      </c>
      <c r="I33" s="1328">
        <f t="shared" si="7"/>
        <v>0.85367957351117252</v>
      </c>
      <c r="J33" s="1329"/>
      <c r="K33" s="1312"/>
      <c r="L33" s="1326">
        <f>IFERROR(INDEX('LFA Expenditure_7B imp-exp'!J$2:J$48,MATCH('LFA Expenditure_7B'!B33,'LFA Expenditure_7B imp-exp'!N$2:N$48,0)),"")</f>
        <v>1049192.3641959999</v>
      </c>
      <c r="M33" s="1327"/>
      <c r="N33" s="1326">
        <f t="shared" si="8"/>
        <v>1049192.3641959999</v>
      </c>
      <c r="O33" s="1330">
        <f t="shared" si="9"/>
        <v>0</v>
      </c>
      <c r="Q33" s="61"/>
      <c r="R33" s="280"/>
      <c r="S33" s="280"/>
      <c r="T33" s="280"/>
      <c r="U33" s="280"/>
      <c r="V33" s="280"/>
      <c r="W33" s="318"/>
    </row>
    <row r="34" spans="1:23" ht="17.45" customHeight="1" x14ac:dyDescent="0.2">
      <c r="A34" s="644" t="str">
        <f t="shared" si="5"/>
        <v>Show</v>
      </c>
      <c r="B34" s="644" t="s">
        <v>2389</v>
      </c>
      <c r="C34" s="968" t="str">
        <f>IFERROR(INDEX('LFA Expenditure_7B imp-exp'!A$2:A$48,MATCH('LFA Expenditure_7B'!B34,'LFA Expenditure_7B imp-exp'!N$2:N$48,0)),"")</f>
        <v>7.3 Warehouse and Storage Costs</v>
      </c>
      <c r="D34" s="1312"/>
      <c r="E34" s="1326">
        <f>IFERROR(INDEX('LFA Expenditure_7B imp-exp'!C$2:C$48,MATCH('LFA Expenditure_7B'!B34,'LFA Expenditure_7B imp-exp'!N$2:N$48,0)),"")</f>
        <v>246212.2635</v>
      </c>
      <c r="F34" s="1326">
        <f>'PR Expenditure_7A'!F35</f>
        <v>137748.19999999998</v>
      </c>
      <c r="G34" s="1327"/>
      <c r="H34" s="1326">
        <f t="shared" si="6"/>
        <v>108464.06350000002</v>
      </c>
      <c r="I34" s="1328">
        <f t="shared" si="7"/>
        <v>0.5594692889860865</v>
      </c>
      <c r="J34" s="1329"/>
      <c r="K34" s="1312"/>
      <c r="L34" s="1326">
        <f>IFERROR(INDEX('LFA Expenditure_7B imp-exp'!J$2:J$48,MATCH('LFA Expenditure_7B'!B34,'LFA Expenditure_7B imp-exp'!N$2:N$48,0)),"")</f>
        <v>342244.6385</v>
      </c>
      <c r="M34" s="1327"/>
      <c r="N34" s="1326">
        <f t="shared" si="8"/>
        <v>342244.6385</v>
      </c>
      <c r="O34" s="1330">
        <f t="shared" si="9"/>
        <v>0</v>
      </c>
      <c r="Q34" s="61"/>
      <c r="R34" s="280"/>
      <c r="S34" s="280"/>
      <c r="T34" s="280"/>
      <c r="U34" s="280"/>
      <c r="V34" s="280"/>
      <c r="W34" s="318"/>
    </row>
    <row r="35" spans="1:23" ht="17.45" customHeight="1" x14ac:dyDescent="0.2">
      <c r="A35" s="644" t="str">
        <f t="shared" si="5"/>
        <v>Show</v>
      </c>
      <c r="B35" s="644" t="s">
        <v>2391</v>
      </c>
      <c r="C35" s="968" t="str">
        <f>IFERROR(INDEX('LFA Expenditure_7B imp-exp'!A$2:A$48,MATCH('LFA Expenditure_7B'!B35,'LFA Expenditure_7B imp-exp'!N$2:N$48,0)),"")</f>
        <v>7.5 Quality assurance and quality control costs (QA/QC)</v>
      </c>
      <c r="D35" s="1312"/>
      <c r="E35" s="1326">
        <f>IFERROR(INDEX('LFA Expenditure_7B imp-exp'!C$2:C$48,MATCH('LFA Expenditure_7B'!B35,'LFA Expenditure_7B imp-exp'!N$2:N$48,0)),"")</f>
        <v>117455.52</v>
      </c>
      <c r="F35" s="1326">
        <f>'PR Expenditure_7A'!F36</f>
        <v>34647.94</v>
      </c>
      <c r="G35" s="1327"/>
      <c r="H35" s="1326">
        <f t="shared" si="6"/>
        <v>82807.58</v>
      </c>
      <c r="I35" s="1328">
        <f t="shared" si="7"/>
        <v>0.29498775366198199</v>
      </c>
      <c r="J35" s="1329"/>
      <c r="K35" s="1312"/>
      <c r="L35" s="1326">
        <f>IFERROR(INDEX('LFA Expenditure_7B imp-exp'!J$2:J$48,MATCH('LFA Expenditure_7B'!B35,'LFA Expenditure_7B imp-exp'!N$2:N$48,0)),"")</f>
        <v>180362.13</v>
      </c>
      <c r="M35" s="1327"/>
      <c r="N35" s="1326">
        <f t="shared" si="8"/>
        <v>180362.13</v>
      </c>
      <c r="O35" s="1330">
        <f t="shared" si="9"/>
        <v>0</v>
      </c>
      <c r="Q35" s="61"/>
      <c r="R35" s="280"/>
      <c r="S35" s="280"/>
      <c r="T35" s="280"/>
      <c r="U35" s="280"/>
      <c r="V35" s="280"/>
      <c r="W35" s="318"/>
    </row>
    <row r="36" spans="1:23" ht="17.45" customHeight="1" x14ac:dyDescent="0.2">
      <c r="A36" s="644" t="str">
        <f t="shared" si="5"/>
        <v>Show</v>
      </c>
      <c r="B36" s="644" t="s">
        <v>2393</v>
      </c>
      <c r="C36" s="968" t="str">
        <f>IFERROR(INDEX('LFA Expenditure_7B imp-exp'!A$2:A$48,MATCH('LFA Expenditure_7B'!B36,'LFA Expenditure_7B imp-exp'!N$2:N$48,0)),"")</f>
        <v>8.1 Furniture</v>
      </c>
      <c r="D36" s="1312"/>
      <c r="E36" s="1326">
        <f>IFERROR(INDEX('LFA Expenditure_7B imp-exp'!C$2:C$48,MATCH('LFA Expenditure_7B'!B36,'LFA Expenditure_7B imp-exp'!N$2:N$48,0)),"")</f>
        <v>0</v>
      </c>
      <c r="F36" s="1326">
        <f>'PR Expenditure_7A'!F37</f>
        <v>4843.0600000000013</v>
      </c>
      <c r="G36" s="1327"/>
      <c r="H36" s="1326">
        <f t="shared" si="6"/>
        <v>-4843.0600000000013</v>
      </c>
      <c r="I36" s="1328" t="str">
        <f t="shared" si="7"/>
        <v>Not Budgeted</v>
      </c>
      <c r="J36" s="1329"/>
      <c r="K36" s="1312"/>
      <c r="L36" s="1326">
        <f>IFERROR(INDEX('LFA Expenditure_7B imp-exp'!J$2:J$48,MATCH('LFA Expenditure_7B'!B36,'LFA Expenditure_7B imp-exp'!N$2:N$48,0)),"")</f>
        <v>7155</v>
      </c>
      <c r="M36" s="1327"/>
      <c r="N36" s="1326">
        <f t="shared" si="8"/>
        <v>7155</v>
      </c>
      <c r="O36" s="1330">
        <f t="shared" si="9"/>
        <v>0</v>
      </c>
      <c r="Q36" s="61"/>
      <c r="R36" s="280"/>
      <c r="S36" s="280"/>
      <c r="T36" s="280"/>
      <c r="U36" s="280"/>
      <c r="V36" s="280"/>
      <c r="W36" s="318"/>
    </row>
    <row r="37" spans="1:23" ht="17.45" customHeight="1" x14ac:dyDescent="0.2">
      <c r="A37" s="644" t="str">
        <f t="shared" si="5"/>
        <v>Show</v>
      </c>
      <c r="B37" s="644" t="s">
        <v>2395</v>
      </c>
      <c r="C37" s="968" t="str">
        <f>IFERROR(INDEX('LFA Expenditure_7B imp-exp'!A$2:A$48,MATCH('LFA Expenditure_7B'!B37,'LFA Expenditure_7B imp-exp'!N$2:N$48,0)),"")</f>
        <v>8.2 Renovation/constructions</v>
      </c>
      <c r="D37" s="1312"/>
      <c r="E37" s="1326">
        <f>IFERROR(INDEX('LFA Expenditure_7B imp-exp'!C$2:C$48,MATCH('LFA Expenditure_7B'!B37,'LFA Expenditure_7B imp-exp'!N$2:N$48,0)),"")</f>
        <v>0</v>
      </c>
      <c r="F37" s="1326">
        <f>'PR Expenditure_7A'!F38</f>
        <v>17000</v>
      </c>
      <c r="G37" s="1327"/>
      <c r="H37" s="1326">
        <f t="shared" si="6"/>
        <v>-17000</v>
      </c>
      <c r="I37" s="1328" t="str">
        <f t="shared" si="7"/>
        <v>Not Budgeted</v>
      </c>
      <c r="J37" s="1329"/>
      <c r="K37" s="1312"/>
      <c r="L37" s="1326">
        <f>IFERROR(INDEX('LFA Expenditure_7B imp-exp'!J$2:J$48,MATCH('LFA Expenditure_7B'!B37,'LFA Expenditure_7B imp-exp'!N$2:N$48,0)),"")</f>
        <v>17000</v>
      </c>
      <c r="M37" s="1327"/>
      <c r="N37" s="1326">
        <f t="shared" si="8"/>
        <v>17000</v>
      </c>
      <c r="O37" s="1330">
        <f t="shared" si="9"/>
        <v>0</v>
      </c>
      <c r="Q37" s="61"/>
      <c r="R37" s="280"/>
      <c r="S37" s="280"/>
      <c r="T37" s="280"/>
      <c r="U37" s="280"/>
      <c r="V37" s="280"/>
      <c r="W37" s="318"/>
    </row>
    <row r="38" spans="1:23" ht="17.45" customHeight="1" x14ac:dyDescent="0.2">
      <c r="A38" s="644" t="str">
        <f t="shared" si="5"/>
        <v>Show</v>
      </c>
      <c r="B38" s="644" t="s">
        <v>2397</v>
      </c>
      <c r="C38" s="968" t="str">
        <f>IFERROR(INDEX('LFA Expenditure_7B imp-exp'!A$2:A$48,MATCH('LFA Expenditure_7B'!B38,'LFA Expenditure_7B imp-exp'!N$2:N$48,0)),"")</f>
        <v>9.1 IT - Computers, computer equipment, Software and applications</v>
      </c>
      <c r="D38" s="1312"/>
      <c r="E38" s="1326">
        <f>IFERROR(INDEX('LFA Expenditure_7B imp-exp'!C$2:C$48,MATCH('LFA Expenditure_7B'!B38,'LFA Expenditure_7B imp-exp'!N$2:N$48,0)),"")</f>
        <v>0</v>
      </c>
      <c r="F38" s="1326">
        <f>'PR Expenditure_7A'!F39</f>
        <v>3647.76</v>
      </c>
      <c r="G38" s="1327"/>
      <c r="H38" s="1326">
        <f t="shared" si="6"/>
        <v>-3647.76</v>
      </c>
      <c r="I38" s="1328" t="str">
        <f t="shared" si="7"/>
        <v>Not Budgeted</v>
      </c>
      <c r="J38" s="1329"/>
      <c r="K38" s="1312"/>
      <c r="L38" s="1326">
        <f>IFERROR(INDEX('LFA Expenditure_7B imp-exp'!J$2:J$48,MATCH('LFA Expenditure_7B'!B38,'LFA Expenditure_7B imp-exp'!N$2:N$48,0)),"")</f>
        <v>10580</v>
      </c>
      <c r="M38" s="1327"/>
      <c r="N38" s="1326">
        <f t="shared" si="8"/>
        <v>10580</v>
      </c>
      <c r="O38" s="1330">
        <f t="shared" si="9"/>
        <v>0</v>
      </c>
      <c r="Q38" s="61"/>
      <c r="R38" s="280"/>
      <c r="S38" s="280"/>
      <c r="T38" s="280"/>
      <c r="U38" s="280"/>
      <c r="V38" s="280"/>
      <c r="W38" s="318"/>
    </row>
    <row r="39" spans="1:23" ht="17.45" customHeight="1" x14ac:dyDescent="0.2">
      <c r="A39" s="644" t="str">
        <f t="shared" si="5"/>
        <v>Show</v>
      </c>
      <c r="B39" s="644" t="s">
        <v>2399</v>
      </c>
      <c r="C39" s="968" t="str">
        <f>IFERROR(INDEX('LFA Expenditure_7B imp-exp'!A$2:A$48,MATCH('LFA Expenditure_7B'!B39,'LFA Expenditure_7B imp-exp'!N$2:N$48,0)),"")</f>
        <v>9.2 Vehicles</v>
      </c>
      <c r="D39" s="1312"/>
      <c r="E39" s="1326">
        <f>IFERROR(INDEX('LFA Expenditure_7B imp-exp'!C$2:C$48,MATCH('LFA Expenditure_7B'!B39,'LFA Expenditure_7B imp-exp'!N$2:N$48,0)),"")</f>
        <v>0</v>
      </c>
      <c r="F39" s="1326">
        <f>'PR Expenditure_7A'!F40</f>
        <v>0</v>
      </c>
      <c r="G39" s="1327"/>
      <c r="H39" s="1326">
        <f t="shared" si="6"/>
        <v>0</v>
      </c>
      <c r="I39" s="1328" t="str">
        <f t="shared" si="7"/>
        <v>N/A</v>
      </c>
      <c r="J39" s="1329"/>
      <c r="K39" s="1312"/>
      <c r="L39" s="1326">
        <f>IFERROR(INDEX('LFA Expenditure_7B imp-exp'!J$2:J$48,MATCH('LFA Expenditure_7B'!B39,'LFA Expenditure_7B imp-exp'!N$2:N$48,0)),"")</f>
        <v>30000</v>
      </c>
      <c r="M39" s="1327"/>
      <c r="N39" s="1326">
        <f t="shared" si="8"/>
        <v>30000</v>
      </c>
      <c r="O39" s="1330">
        <f t="shared" si="9"/>
        <v>0</v>
      </c>
      <c r="Q39" s="61"/>
      <c r="R39" s="280"/>
      <c r="S39" s="280"/>
      <c r="T39" s="280"/>
      <c r="U39" s="280"/>
      <c r="V39" s="280"/>
      <c r="W39" s="318"/>
    </row>
    <row r="40" spans="1:23" ht="17.45" customHeight="1" x14ac:dyDescent="0.2">
      <c r="A40" s="644" t="str">
        <f t="shared" si="5"/>
        <v>Show</v>
      </c>
      <c r="B40" s="644" t="s">
        <v>2400</v>
      </c>
      <c r="C40" s="968" t="str">
        <f>IFERROR(INDEX('LFA Expenditure_7B imp-exp'!A$2:A$48,MATCH('LFA Expenditure_7B'!B40,'LFA Expenditure_7B imp-exp'!N$2:N$48,0)),"")</f>
        <v>9.3 Other non-health equipment</v>
      </c>
      <c r="D40" s="1312"/>
      <c r="E40" s="1326">
        <f>IFERROR(INDEX('LFA Expenditure_7B imp-exp'!C$2:C$48,MATCH('LFA Expenditure_7B'!B40,'LFA Expenditure_7B imp-exp'!N$2:N$48,0)),"")</f>
        <v>0</v>
      </c>
      <c r="F40" s="1326">
        <f>'PR Expenditure_7A'!F41</f>
        <v>1035.3</v>
      </c>
      <c r="G40" s="1327"/>
      <c r="H40" s="1326">
        <f t="shared" si="6"/>
        <v>-1035.3</v>
      </c>
      <c r="I40" s="1328" t="str">
        <f t="shared" si="7"/>
        <v>Not Budgeted</v>
      </c>
      <c r="J40" s="1329"/>
      <c r="K40" s="1312"/>
      <c r="L40" s="1326">
        <f>IFERROR(INDEX('LFA Expenditure_7B imp-exp'!J$2:J$48,MATCH('LFA Expenditure_7B'!B40,'LFA Expenditure_7B imp-exp'!N$2:N$48,0)),"")</f>
        <v>4600</v>
      </c>
      <c r="M40" s="1327"/>
      <c r="N40" s="1326">
        <f t="shared" si="8"/>
        <v>4600</v>
      </c>
      <c r="O40" s="1330">
        <f t="shared" si="9"/>
        <v>0</v>
      </c>
      <c r="Q40" s="61"/>
      <c r="R40" s="280"/>
      <c r="S40" s="280"/>
      <c r="T40" s="280"/>
      <c r="U40" s="280"/>
      <c r="V40" s="280"/>
      <c r="W40" s="318"/>
    </row>
    <row r="41" spans="1:23" ht="17.45" customHeight="1" x14ac:dyDescent="0.2">
      <c r="A41" s="644" t="str">
        <f t="shared" si="5"/>
        <v>Show</v>
      </c>
      <c r="B41" s="644" t="s">
        <v>2402</v>
      </c>
      <c r="C41" s="968" t="str">
        <f>IFERROR(INDEX('LFA Expenditure_7B imp-exp'!A$2:A$48,MATCH('LFA Expenditure_7B'!B41,'LFA Expenditure_7B imp-exp'!N$2:N$48,0)),"")</f>
        <v>9.4 Maintenance and service costs non-health equipment</v>
      </c>
      <c r="D41" s="1312"/>
      <c r="E41" s="1326">
        <f>IFERROR(INDEX('LFA Expenditure_7B imp-exp'!C$2:C$48,MATCH('LFA Expenditure_7B'!B41,'LFA Expenditure_7B imp-exp'!N$2:N$48,0)),"")</f>
        <v>22764.758186967301</v>
      </c>
      <c r="F41" s="1326">
        <f>'PR Expenditure_7A'!F42</f>
        <v>25168</v>
      </c>
      <c r="G41" s="1327"/>
      <c r="H41" s="1326">
        <f t="shared" si="6"/>
        <v>-2403.2418130326987</v>
      </c>
      <c r="I41" s="1328">
        <f t="shared" si="7"/>
        <v>1.1055685192566</v>
      </c>
      <c r="J41" s="1329"/>
      <c r="K41" s="1312"/>
      <c r="L41" s="1326">
        <f>IFERROR(INDEX('LFA Expenditure_7B imp-exp'!J$2:J$48,MATCH('LFA Expenditure_7B'!B41,'LFA Expenditure_7B imp-exp'!N$2:N$48,0)),"")</f>
        <v>45529.516373934603</v>
      </c>
      <c r="M41" s="1327"/>
      <c r="N41" s="1326">
        <f t="shared" si="8"/>
        <v>45529.516373934603</v>
      </c>
      <c r="O41" s="1330">
        <f t="shared" si="9"/>
        <v>0</v>
      </c>
      <c r="Q41" s="61"/>
      <c r="R41" s="280"/>
      <c r="S41" s="280"/>
      <c r="T41" s="280"/>
      <c r="U41" s="280"/>
      <c r="V41" s="280"/>
      <c r="W41" s="318"/>
    </row>
    <row r="42" spans="1:23" ht="17.45" customHeight="1" x14ac:dyDescent="0.2">
      <c r="A42" s="644" t="str">
        <f t="shared" si="5"/>
        <v>Show</v>
      </c>
      <c r="B42" s="644" t="s">
        <v>2404</v>
      </c>
      <c r="C42" s="968" t="str">
        <f>IFERROR(INDEX('LFA Expenditure_7B imp-exp'!A$2:A$48,MATCH('LFA Expenditure_7B'!B42,'LFA Expenditure_7B imp-exp'!N$2:N$48,0)),"")</f>
        <v>10.1 Printed materials (forms, books, guidelines, brochure, leaflets...)</v>
      </c>
      <c r="D42" s="1312"/>
      <c r="E42" s="1326">
        <f>IFERROR(INDEX('LFA Expenditure_7B imp-exp'!C$2:C$48,MATCH('LFA Expenditure_7B'!B42,'LFA Expenditure_7B imp-exp'!N$2:N$48,0)),"")</f>
        <v>37820.140250483098</v>
      </c>
      <c r="F42" s="1326">
        <f>'PR Expenditure_7A'!F43</f>
        <v>7326.3255567338283</v>
      </c>
      <c r="G42" s="1327"/>
      <c r="H42" s="1326">
        <f t="shared" si="6"/>
        <v>30493.814693749271</v>
      </c>
      <c r="I42" s="1328">
        <f t="shared" si="7"/>
        <v>0.1937149230069353</v>
      </c>
      <c r="J42" s="1329"/>
      <c r="K42" s="1312"/>
      <c r="L42" s="1326">
        <f>IFERROR(INDEX('LFA Expenditure_7B imp-exp'!J$2:J$48,MATCH('LFA Expenditure_7B'!B42,'LFA Expenditure_7B imp-exp'!N$2:N$48,0)),"")</f>
        <v>87791.524325767197</v>
      </c>
      <c r="M42" s="1327"/>
      <c r="N42" s="1326">
        <f t="shared" si="8"/>
        <v>87791.524325767197</v>
      </c>
      <c r="O42" s="1330">
        <f t="shared" si="9"/>
        <v>0</v>
      </c>
      <c r="Q42" s="61"/>
      <c r="R42" s="280"/>
      <c r="S42" s="280"/>
      <c r="T42" s="280"/>
      <c r="U42" s="280"/>
      <c r="V42" s="280"/>
      <c r="W42" s="318"/>
    </row>
    <row r="43" spans="1:23" ht="17.45" customHeight="1" x14ac:dyDescent="0.2">
      <c r="A43" s="644" t="str">
        <f t="shared" si="5"/>
        <v>Show</v>
      </c>
      <c r="B43" s="644" t="s">
        <v>2406</v>
      </c>
      <c r="C43" s="968" t="str">
        <f>IFERROR(INDEX('LFA Expenditure_7B imp-exp'!A$2:A$48,MATCH('LFA Expenditure_7B'!B43,'LFA Expenditure_7B imp-exp'!N$2:N$48,0)),"")</f>
        <v>10.2 Television/Radio spots and programmes</v>
      </c>
      <c r="D43" s="1312"/>
      <c r="E43" s="1326">
        <f>IFERROR(INDEX('LFA Expenditure_7B imp-exp'!C$2:C$48,MATCH('LFA Expenditure_7B'!B43,'LFA Expenditure_7B imp-exp'!N$2:N$48,0)),"")</f>
        <v>46237.763862936103</v>
      </c>
      <c r="F43" s="1326">
        <f>'PR Expenditure_7A'!F44</f>
        <v>17964.170111053361</v>
      </c>
      <c r="G43" s="1327"/>
      <c r="H43" s="1326">
        <f t="shared" si="6"/>
        <v>28273.593751882741</v>
      </c>
      <c r="I43" s="1328">
        <f t="shared" si="7"/>
        <v>0.38851727700987126</v>
      </c>
      <c r="J43" s="1329"/>
      <c r="K43" s="1312"/>
      <c r="L43" s="1326">
        <f>IFERROR(INDEX('LFA Expenditure_7B imp-exp'!J$2:J$48,MATCH('LFA Expenditure_7B'!B43,'LFA Expenditure_7B imp-exp'!N$2:N$48,0)),"")</f>
        <v>87390.604375139694</v>
      </c>
      <c r="M43" s="1327"/>
      <c r="N43" s="1326">
        <f t="shared" si="8"/>
        <v>87390.604375139694</v>
      </c>
      <c r="O43" s="1330">
        <f t="shared" si="9"/>
        <v>0</v>
      </c>
      <c r="Q43" s="61"/>
      <c r="R43" s="280"/>
      <c r="S43" s="280"/>
      <c r="T43" s="280"/>
      <c r="U43" s="280"/>
      <c r="V43" s="280"/>
      <c r="W43" s="318"/>
    </row>
    <row r="44" spans="1:23" ht="17.45" customHeight="1" x14ac:dyDescent="0.2">
      <c r="A44" s="644" t="str">
        <f t="shared" si="5"/>
        <v>Show</v>
      </c>
      <c r="B44" s="644" t="s">
        <v>2408</v>
      </c>
      <c r="C44" s="968" t="str">
        <f>IFERROR(INDEX('LFA Expenditure_7B imp-exp'!A$2:A$48,MATCH('LFA Expenditure_7B'!B44,'LFA Expenditure_7B imp-exp'!N$2:N$48,0)),"")</f>
        <v>10.3 Promotional Material (t-shirts, mugs, pins...) and other CMP costs</v>
      </c>
      <c r="D44" s="1312"/>
      <c r="E44" s="1326">
        <f>IFERROR(INDEX('LFA Expenditure_7B imp-exp'!C$2:C$48,MATCH('LFA Expenditure_7B'!B44,'LFA Expenditure_7B imp-exp'!N$2:N$48,0)),"")</f>
        <v>20721.179549024899</v>
      </c>
      <c r="F44" s="1326">
        <f>'PR Expenditure_7A'!F45</f>
        <v>14733.896320254507</v>
      </c>
      <c r="G44" s="1327"/>
      <c r="H44" s="1326">
        <f t="shared" si="6"/>
        <v>5987.2832287703914</v>
      </c>
      <c r="I44" s="1328">
        <f t="shared" si="7"/>
        <v>0.71105490328845</v>
      </c>
      <c r="J44" s="1329"/>
      <c r="K44" s="1312"/>
      <c r="L44" s="1326">
        <f>IFERROR(INDEX('LFA Expenditure_7B imp-exp'!J$2:J$48,MATCH('LFA Expenditure_7B'!B44,'LFA Expenditure_7B imp-exp'!N$2:N$48,0)),"")</f>
        <v>41442.359098049703</v>
      </c>
      <c r="M44" s="1327"/>
      <c r="N44" s="1326">
        <f t="shared" si="8"/>
        <v>41442.359098049703</v>
      </c>
      <c r="O44" s="1330">
        <f t="shared" si="9"/>
        <v>0</v>
      </c>
      <c r="Q44" s="61"/>
      <c r="R44" s="280"/>
      <c r="S44" s="280"/>
      <c r="T44" s="280"/>
      <c r="U44" s="280"/>
      <c r="V44" s="280"/>
      <c r="W44" s="318"/>
    </row>
    <row r="45" spans="1:23" ht="17.45" customHeight="1" x14ac:dyDescent="0.2">
      <c r="A45" s="644" t="str">
        <f t="shared" si="5"/>
        <v>Show</v>
      </c>
      <c r="B45" s="644" t="s">
        <v>2410</v>
      </c>
      <c r="C45" s="968" t="str">
        <f>IFERROR(INDEX('LFA Expenditure_7B imp-exp'!A$2:A$48,MATCH('LFA Expenditure_7B'!B45,'LFA Expenditure_7B imp-exp'!N$2:N$48,0)),"")</f>
        <v>11.1 Office related costs</v>
      </c>
      <c r="D45" s="1312"/>
      <c r="E45" s="1326">
        <f>IFERROR(INDEX('LFA Expenditure_7B imp-exp'!C$2:C$48,MATCH('LFA Expenditure_7B'!B45,'LFA Expenditure_7B imp-exp'!N$2:N$48,0)),"")</f>
        <v>278450.45988567697</v>
      </c>
      <c r="F45" s="1326">
        <f>'PR Expenditure_7A'!F46</f>
        <v>229177.64055322952</v>
      </c>
      <c r="G45" s="1327"/>
      <c r="H45" s="1326">
        <f t="shared" si="6"/>
        <v>49272.819332447456</v>
      </c>
      <c r="I45" s="1328">
        <f t="shared" si="7"/>
        <v>0.82304637114739432</v>
      </c>
      <c r="J45" s="1329"/>
      <c r="K45" s="1312"/>
      <c r="L45" s="1326">
        <f>IFERROR(INDEX('LFA Expenditure_7B imp-exp'!J$2:J$48,MATCH('LFA Expenditure_7B'!B45,'LFA Expenditure_7B imp-exp'!N$2:N$48,0)),"")</f>
        <v>558301.31977135397</v>
      </c>
      <c r="M45" s="1327"/>
      <c r="N45" s="1326">
        <f t="shared" si="8"/>
        <v>558301.31977135397</v>
      </c>
      <c r="O45" s="1330">
        <f t="shared" si="9"/>
        <v>0</v>
      </c>
      <c r="Q45" s="61"/>
      <c r="R45" s="280"/>
      <c r="S45" s="280"/>
      <c r="T45" s="280"/>
      <c r="U45" s="280"/>
      <c r="V45" s="280"/>
      <c r="W45" s="318"/>
    </row>
    <row r="46" spans="1:23" ht="17.45" customHeight="1" x14ac:dyDescent="0.2">
      <c r="A46" s="644" t="str">
        <f t="shared" si="5"/>
        <v>Show</v>
      </c>
      <c r="B46" s="644" t="s">
        <v>2412</v>
      </c>
      <c r="C46" s="968" t="str">
        <f>IFERROR(INDEX('LFA Expenditure_7B imp-exp'!A$2:A$48,MATCH('LFA Expenditure_7B'!B46,'LFA Expenditure_7B imp-exp'!N$2:N$48,0)),"")</f>
        <v>11.3 Indirect cost recovery (ICR) - % based</v>
      </c>
      <c r="D46" s="1312"/>
      <c r="E46" s="1326">
        <f>IFERROR(INDEX('LFA Expenditure_7B imp-exp'!C$2:C$48,MATCH('LFA Expenditure_7B'!B46,'LFA Expenditure_7B imp-exp'!N$2:N$48,0)),"")</f>
        <v>769050.59500482504</v>
      </c>
      <c r="F46" s="1326">
        <f>'PR Expenditure_7A'!F47</f>
        <v>738072.23921605095</v>
      </c>
      <c r="G46" s="1327"/>
      <c r="H46" s="1326">
        <f t="shared" si="6"/>
        <v>30978.35578877409</v>
      </c>
      <c r="I46" s="1328">
        <f t="shared" si="7"/>
        <v>0.95971870252752389</v>
      </c>
      <c r="J46" s="1329"/>
      <c r="K46" s="1312"/>
      <c r="L46" s="1326">
        <f>IFERROR(INDEX('LFA Expenditure_7B imp-exp'!J$2:J$48,MATCH('LFA Expenditure_7B'!B46,'LFA Expenditure_7B imp-exp'!N$2:N$48,0)),"")</f>
        <v>1309371.4001204099</v>
      </c>
      <c r="M46" s="1327"/>
      <c r="N46" s="1326">
        <f t="shared" si="8"/>
        <v>1309371.4001204099</v>
      </c>
      <c r="O46" s="1330">
        <f t="shared" si="9"/>
        <v>0</v>
      </c>
      <c r="Q46" s="61"/>
      <c r="R46" s="280"/>
      <c r="S46" s="280"/>
      <c r="T46" s="280"/>
      <c r="U46" s="280"/>
      <c r="V46" s="280"/>
      <c r="W46" s="318"/>
    </row>
    <row r="47" spans="1:23" ht="17.45" customHeight="1" x14ac:dyDescent="0.2">
      <c r="A47" s="644" t="str">
        <f t="shared" si="5"/>
        <v>Show</v>
      </c>
      <c r="B47" s="644" t="s">
        <v>2414</v>
      </c>
      <c r="C47" s="968" t="str">
        <f>IFERROR(INDEX('LFA Expenditure_7B imp-exp'!A$2:A$48,MATCH('LFA Expenditure_7B'!B47,'LFA Expenditure_7B imp-exp'!N$2:N$48,0)),"")</f>
        <v>11.4 Other PA costs</v>
      </c>
      <c r="D47" s="1312"/>
      <c r="E47" s="1326">
        <f>IFERROR(INDEX('LFA Expenditure_7B imp-exp'!C$2:C$48,MATCH('LFA Expenditure_7B'!B47,'LFA Expenditure_7B imp-exp'!N$2:N$48,0)),"")</f>
        <v>0</v>
      </c>
      <c r="F47" s="1326">
        <f>'PR Expenditure_7A'!F48</f>
        <v>13278.28</v>
      </c>
      <c r="G47" s="1327"/>
      <c r="H47" s="1326">
        <f t="shared" si="6"/>
        <v>-13278.28</v>
      </c>
      <c r="I47" s="1328" t="str">
        <f t="shared" si="7"/>
        <v>Not Budgeted</v>
      </c>
      <c r="J47" s="1329"/>
      <c r="K47" s="1312"/>
      <c r="L47" s="1326">
        <f>IFERROR(INDEX('LFA Expenditure_7B imp-exp'!J$2:J$48,MATCH('LFA Expenditure_7B'!B47,'LFA Expenditure_7B imp-exp'!N$2:N$48,0)),"")</f>
        <v>0</v>
      </c>
      <c r="M47" s="1327"/>
      <c r="N47" s="1326">
        <f t="shared" si="8"/>
        <v>0</v>
      </c>
      <c r="O47" s="1330" t="str">
        <f t="shared" si="9"/>
        <v>N/A</v>
      </c>
      <c r="Q47" s="61"/>
      <c r="R47" s="280"/>
      <c r="S47" s="280"/>
      <c r="T47" s="280"/>
      <c r="U47" s="280"/>
      <c r="V47" s="280"/>
      <c r="W47" s="318"/>
    </row>
    <row r="48" spans="1:23" ht="17.45" customHeight="1" x14ac:dyDescent="0.2">
      <c r="A48" s="644" t="str">
        <f t="shared" si="5"/>
        <v>Show</v>
      </c>
      <c r="B48" s="644" t="s">
        <v>2416</v>
      </c>
      <c r="C48" s="968" t="str">
        <f>IFERROR(INDEX('LFA Expenditure_7B imp-exp'!A$2:A$48,MATCH('LFA Expenditure_7B'!B48,'LFA Expenditure_7B imp-exp'!N$2:N$48,0)),"")</f>
        <v>12.2 Food and care packages</v>
      </c>
      <c r="D48" s="1312"/>
      <c r="E48" s="1326">
        <f>IFERROR(INDEX('LFA Expenditure_7B imp-exp'!C$2:C$48,MATCH('LFA Expenditure_7B'!B48,'LFA Expenditure_7B imp-exp'!N$2:N$48,0)),"")</f>
        <v>346983.259336107</v>
      </c>
      <c r="F48" s="1326">
        <f>'PR Expenditure_7A'!F49</f>
        <v>348555.6</v>
      </c>
      <c r="G48" s="1327"/>
      <c r="H48" s="1326">
        <f t="shared" si="6"/>
        <v>-1572.3406638929737</v>
      </c>
      <c r="I48" s="1328">
        <f t="shared" si="7"/>
        <v>1.004531459722009</v>
      </c>
      <c r="J48" s="1329"/>
      <c r="K48" s="1312"/>
      <c r="L48" s="1326">
        <f>IFERROR(INDEX('LFA Expenditure_7B imp-exp'!J$2:J$48,MATCH('LFA Expenditure_7B'!B48,'LFA Expenditure_7B imp-exp'!N$2:N$48,0)),"")</f>
        <v>645523.17719629698</v>
      </c>
      <c r="M48" s="1327"/>
      <c r="N48" s="1326">
        <f t="shared" si="8"/>
        <v>645523.17719629698</v>
      </c>
      <c r="O48" s="1330">
        <f t="shared" si="9"/>
        <v>0</v>
      </c>
      <c r="Q48" s="61"/>
      <c r="R48" s="280"/>
      <c r="S48" s="280"/>
      <c r="T48" s="280"/>
      <c r="U48" s="280"/>
      <c r="V48" s="280"/>
      <c r="W48" s="318"/>
    </row>
    <row r="49" spans="1:23" ht="17.45" customHeight="1" x14ac:dyDescent="0.2">
      <c r="A49" s="644" t="str">
        <f t="shared" si="5"/>
        <v>Show</v>
      </c>
      <c r="B49" s="644" t="s">
        <v>2418</v>
      </c>
      <c r="C49" s="968" t="str">
        <f>IFERROR(INDEX('LFA Expenditure_7B imp-exp'!A$2:A$48,MATCH('LFA Expenditure_7B'!B49,'LFA Expenditure_7B imp-exp'!N$2:N$48,0)),"")</f>
        <v>12.3 Cash incentives/transfer to patients/beneficiaries/counsellors/mediators</v>
      </c>
      <c r="D49" s="1312"/>
      <c r="E49" s="1326">
        <f>IFERROR(INDEX('LFA Expenditure_7B imp-exp'!C$2:C$48,MATCH('LFA Expenditure_7B'!B49,'LFA Expenditure_7B imp-exp'!N$2:N$48,0)),"")</f>
        <v>900.08988047449998</v>
      </c>
      <c r="F49" s="1326">
        <f>'PR Expenditure_7A'!F50</f>
        <v>0</v>
      </c>
      <c r="G49" s="1327"/>
      <c r="H49" s="1326">
        <f t="shared" si="6"/>
        <v>900.08988047449998</v>
      </c>
      <c r="I49" s="1328">
        <f t="shared" si="7"/>
        <v>0</v>
      </c>
      <c r="J49" s="1329"/>
      <c r="K49" s="1312"/>
      <c r="L49" s="1326">
        <f>IFERROR(INDEX('LFA Expenditure_7B imp-exp'!J$2:J$48,MATCH('LFA Expenditure_7B'!B49,'LFA Expenditure_7B imp-exp'!N$2:N$48,0)),"")</f>
        <v>1800.179760949</v>
      </c>
      <c r="M49" s="1327"/>
      <c r="N49" s="1326">
        <f t="shared" si="8"/>
        <v>1800.179760949</v>
      </c>
      <c r="O49" s="1330">
        <f t="shared" si="9"/>
        <v>0</v>
      </c>
      <c r="Q49" s="61"/>
      <c r="R49" s="280"/>
      <c r="S49" s="280"/>
      <c r="T49" s="280"/>
      <c r="U49" s="280"/>
      <c r="V49" s="280"/>
      <c r="W49" s="318"/>
    </row>
    <row r="50" spans="1:23" ht="17.45" customHeight="1" x14ac:dyDescent="0.2">
      <c r="A50" s="644" t="str">
        <f t="shared" si="5"/>
        <v>Show</v>
      </c>
      <c r="B50" s="644" t="s">
        <v>2420</v>
      </c>
      <c r="C50" s="968" t="str">
        <f>IFERROR(INDEX('LFA Expenditure_7B imp-exp'!A$2:A$48,MATCH('LFA Expenditure_7B'!B50,'LFA Expenditure_7B imp-exp'!N$2:N$48,0)),"")</f>
        <v>12.5 Other LSCTP costs</v>
      </c>
      <c r="D50" s="1312"/>
      <c r="E50" s="1326">
        <f>IFERROR(INDEX('LFA Expenditure_7B imp-exp'!C$2:C$48,MATCH('LFA Expenditure_7B'!B50,'LFA Expenditure_7B imp-exp'!N$2:N$48,0)),"")</f>
        <v>411312.17181605502</v>
      </c>
      <c r="F50" s="1326">
        <f>'PR Expenditure_7A'!F51</f>
        <v>197151.48536585353</v>
      </c>
      <c r="G50" s="1327"/>
      <c r="H50" s="1326">
        <f t="shared" si="6"/>
        <v>214160.68645020149</v>
      </c>
      <c r="I50" s="1328">
        <f t="shared" si="7"/>
        <v>0.47932324612562799</v>
      </c>
      <c r="J50" s="1329"/>
      <c r="K50" s="1312"/>
      <c r="L50" s="1326">
        <f>IFERROR(INDEX('LFA Expenditure_7B imp-exp'!J$2:J$48,MATCH('LFA Expenditure_7B'!B50,'LFA Expenditure_7B imp-exp'!N$2:N$48,0)),"")</f>
        <v>794643.77752712497</v>
      </c>
      <c r="M50" s="1327"/>
      <c r="N50" s="1326">
        <f t="shared" si="8"/>
        <v>794643.77752712497</v>
      </c>
      <c r="O50" s="1330">
        <f t="shared" si="9"/>
        <v>0</v>
      </c>
      <c r="Q50" s="61"/>
      <c r="R50" s="280"/>
      <c r="S50" s="280"/>
      <c r="T50" s="280"/>
      <c r="U50" s="280"/>
      <c r="V50" s="280"/>
      <c r="W50" s="318"/>
    </row>
    <row r="51" spans="1:23" ht="17.45" hidden="1" customHeight="1" x14ac:dyDescent="0.2">
      <c r="A51" s="644" t="str">
        <f t="shared" si="5"/>
        <v>Don't Show</v>
      </c>
      <c r="B51" s="644" t="s">
        <v>2422</v>
      </c>
      <c r="C51" s="968" t="str">
        <f>IFERROR(INDEX('LFA Expenditure_7B imp-exp'!A$2:A$48,MATCH('LFA Expenditure_7B'!B51,'LFA Expenditure_7B imp-exp'!N$2:N$48,0)),"")</f>
        <v/>
      </c>
      <c r="D51" s="1312"/>
      <c r="E51" s="1326" t="str">
        <f>IFERROR(INDEX('LFA Expenditure_7B imp-exp'!C$2:C$48,MATCH('LFA Expenditure_7B'!B51,'LFA Expenditure_7B imp-exp'!N$2:N$48,0)),"")</f>
        <v/>
      </c>
      <c r="F51" s="1326">
        <f>'PR Expenditure_7A'!F52</f>
        <v>0</v>
      </c>
      <c r="G51" s="1327"/>
      <c r="H51" s="1326">
        <f t="shared" si="6"/>
        <v>0</v>
      </c>
      <c r="I51" s="1328" t="e">
        <f t="shared" si="7"/>
        <v>#VALUE!</v>
      </c>
      <c r="J51" s="1329"/>
      <c r="K51" s="1312"/>
      <c r="L51" s="1326" t="str">
        <f>IFERROR(INDEX('LFA Expenditure_7B imp-exp'!J$2:J$48,MATCH('LFA Expenditure_7B'!B51,'LFA Expenditure_7B imp-exp'!N$2:N$48,0)),"")</f>
        <v/>
      </c>
      <c r="M51" s="1327"/>
      <c r="N51" s="1326">
        <f t="shared" si="8"/>
        <v>0</v>
      </c>
      <c r="O51" s="1330" t="e">
        <f t="shared" si="9"/>
        <v>#VALUE!</v>
      </c>
      <c r="Q51" s="61"/>
      <c r="R51" s="280"/>
      <c r="S51" s="280"/>
      <c r="T51" s="280"/>
      <c r="U51" s="280"/>
      <c r="V51" s="280"/>
      <c r="W51" s="318"/>
    </row>
    <row r="52" spans="1:23" ht="17.45" hidden="1" customHeight="1" x14ac:dyDescent="0.2">
      <c r="A52" s="644" t="str">
        <f t="shared" si="5"/>
        <v>Don't Show</v>
      </c>
      <c r="B52" s="644" t="s">
        <v>2423</v>
      </c>
      <c r="C52" s="968" t="str">
        <f>IFERROR(INDEX('LFA Expenditure_7B imp-exp'!A$2:A$48,MATCH('LFA Expenditure_7B'!B52,'LFA Expenditure_7B imp-exp'!N$2:N$48,0)),"")</f>
        <v/>
      </c>
      <c r="D52" s="1312"/>
      <c r="E52" s="1326" t="str">
        <f>IFERROR(INDEX('LFA Expenditure_7B imp-exp'!C$2:C$48,MATCH('LFA Expenditure_7B'!B52,'LFA Expenditure_7B imp-exp'!N$2:N$48,0)),"")</f>
        <v/>
      </c>
      <c r="F52" s="1326">
        <f>'PR Expenditure_7A'!F53</f>
        <v>0</v>
      </c>
      <c r="G52" s="1327"/>
      <c r="H52" s="1326">
        <f t="shared" si="6"/>
        <v>0</v>
      </c>
      <c r="I52" s="1328" t="e">
        <f t="shared" si="7"/>
        <v>#VALUE!</v>
      </c>
      <c r="J52" s="1329"/>
      <c r="K52" s="1312"/>
      <c r="L52" s="1326" t="str">
        <f>IFERROR(INDEX('LFA Expenditure_7B imp-exp'!J$2:J$48,MATCH('LFA Expenditure_7B'!B52,'LFA Expenditure_7B imp-exp'!N$2:N$48,0)),"")</f>
        <v/>
      </c>
      <c r="M52" s="1327"/>
      <c r="N52" s="1326">
        <f t="shared" si="8"/>
        <v>0</v>
      </c>
      <c r="O52" s="1330" t="e">
        <f t="shared" si="9"/>
        <v>#VALUE!</v>
      </c>
      <c r="Q52" s="61"/>
      <c r="R52" s="280"/>
      <c r="S52" s="280"/>
      <c r="T52" s="280"/>
      <c r="U52" s="280"/>
      <c r="V52" s="280"/>
      <c r="W52" s="318"/>
    </row>
    <row r="53" spans="1:23" ht="17.45" hidden="1" customHeight="1" x14ac:dyDescent="0.2">
      <c r="A53" s="644" t="str">
        <f t="shared" si="5"/>
        <v>Don't Show</v>
      </c>
      <c r="B53" s="644" t="s">
        <v>2424</v>
      </c>
      <c r="C53" s="968" t="str">
        <f>IFERROR(INDEX('LFA Expenditure_7B imp-exp'!A$2:A$48,MATCH('LFA Expenditure_7B'!B53,'LFA Expenditure_7B imp-exp'!N$2:N$48,0)),"")</f>
        <v/>
      </c>
      <c r="D53" s="1312"/>
      <c r="E53" s="1326" t="str">
        <f>IFERROR(INDEX('LFA Expenditure_7B imp-exp'!C$2:C$48,MATCH('LFA Expenditure_7B'!B53,'LFA Expenditure_7B imp-exp'!N$2:N$48,0)),"")</f>
        <v/>
      </c>
      <c r="F53" s="1326">
        <f>'PR Expenditure_7A'!F54</f>
        <v>0</v>
      </c>
      <c r="G53" s="1327"/>
      <c r="H53" s="1326">
        <f t="shared" si="6"/>
        <v>0</v>
      </c>
      <c r="I53" s="1328" t="e">
        <f t="shared" si="7"/>
        <v>#VALUE!</v>
      </c>
      <c r="J53" s="1329"/>
      <c r="K53" s="1312"/>
      <c r="L53" s="1326" t="str">
        <f>IFERROR(INDEX('LFA Expenditure_7B imp-exp'!J$2:J$48,MATCH('LFA Expenditure_7B'!B53,'LFA Expenditure_7B imp-exp'!N$2:N$48,0)),"")</f>
        <v/>
      </c>
      <c r="M53" s="1327"/>
      <c r="N53" s="1326">
        <f t="shared" si="8"/>
        <v>0</v>
      </c>
      <c r="O53" s="1330" t="e">
        <f t="shared" si="9"/>
        <v>#VALUE!</v>
      </c>
      <c r="Q53" s="61"/>
      <c r="R53" s="280"/>
      <c r="S53" s="280"/>
      <c r="T53" s="280"/>
      <c r="U53" s="280"/>
      <c r="V53" s="280"/>
      <c r="W53" s="318"/>
    </row>
    <row r="54" spans="1:23" ht="17.45" hidden="1" customHeight="1" x14ac:dyDescent="0.2">
      <c r="A54" s="644" t="str">
        <f t="shared" si="5"/>
        <v>Don't Show</v>
      </c>
      <c r="B54" s="644" t="s">
        <v>2425</v>
      </c>
      <c r="C54" s="968" t="str">
        <f>IFERROR(INDEX('LFA Expenditure_7B imp-exp'!A$2:A$48,MATCH('LFA Expenditure_7B'!B54,'LFA Expenditure_7B imp-exp'!N$2:N$48,0)),"")</f>
        <v/>
      </c>
      <c r="D54" s="1312"/>
      <c r="E54" s="1326" t="str">
        <f>IFERROR(INDEX('LFA Expenditure_7B imp-exp'!C$2:C$48,MATCH('LFA Expenditure_7B'!B54,'LFA Expenditure_7B imp-exp'!N$2:N$48,0)),"")</f>
        <v/>
      </c>
      <c r="F54" s="1326">
        <f>'PR Expenditure_7A'!F55</f>
        <v>0</v>
      </c>
      <c r="G54" s="1327"/>
      <c r="H54" s="1326">
        <f t="shared" si="6"/>
        <v>0</v>
      </c>
      <c r="I54" s="1328" t="e">
        <f t="shared" si="7"/>
        <v>#VALUE!</v>
      </c>
      <c r="J54" s="1329"/>
      <c r="K54" s="1312"/>
      <c r="L54" s="1326" t="str">
        <f>IFERROR(INDEX('LFA Expenditure_7B imp-exp'!J$2:J$48,MATCH('LFA Expenditure_7B'!B54,'LFA Expenditure_7B imp-exp'!N$2:N$48,0)),"")</f>
        <v/>
      </c>
      <c r="M54" s="1327"/>
      <c r="N54" s="1326">
        <f t="shared" si="8"/>
        <v>0</v>
      </c>
      <c r="O54" s="1330" t="e">
        <f t="shared" si="9"/>
        <v>#VALUE!</v>
      </c>
      <c r="Q54" s="61"/>
      <c r="R54" s="280"/>
      <c r="S54" s="280"/>
      <c r="T54" s="280"/>
      <c r="U54" s="280"/>
      <c r="V54" s="280"/>
      <c r="W54" s="318"/>
    </row>
    <row r="55" spans="1:23" ht="17.45" hidden="1" customHeight="1" x14ac:dyDescent="0.2">
      <c r="A55" s="644" t="str">
        <f t="shared" si="5"/>
        <v>Don't Show</v>
      </c>
      <c r="B55" s="644" t="s">
        <v>2426</v>
      </c>
      <c r="C55" s="968" t="str">
        <f>IFERROR(INDEX('LFA Expenditure_7B imp-exp'!A$2:A$48,MATCH('LFA Expenditure_7B'!B55,'LFA Expenditure_7B imp-exp'!N$2:N$48,0)),"")</f>
        <v/>
      </c>
      <c r="D55" s="1312"/>
      <c r="E55" s="1326" t="str">
        <f>IFERROR(INDEX('LFA Expenditure_7B imp-exp'!C$2:C$48,MATCH('LFA Expenditure_7B'!B55,'LFA Expenditure_7B imp-exp'!N$2:N$48,0)),"")</f>
        <v/>
      </c>
      <c r="F55" s="1326">
        <f>'PR Expenditure_7A'!F56</f>
        <v>0</v>
      </c>
      <c r="G55" s="1327"/>
      <c r="H55" s="1326">
        <f t="shared" si="6"/>
        <v>0</v>
      </c>
      <c r="I55" s="1328" t="e">
        <f t="shared" si="7"/>
        <v>#VALUE!</v>
      </c>
      <c r="J55" s="1329"/>
      <c r="K55" s="1312"/>
      <c r="L55" s="1326" t="str">
        <f>IFERROR(INDEX('LFA Expenditure_7B imp-exp'!J$2:J$48,MATCH('LFA Expenditure_7B'!B55,'LFA Expenditure_7B imp-exp'!N$2:N$48,0)),"")</f>
        <v/>
      </c>
      <c r="M55" s="1327"/>
      <c r="N55" s="1326">
        <f t="shared" si="8"/>
        <v>0</v>
      </c>
      <c r="O55" s="1330" t="e">
        <f t="shared" si="9"/>
        <v>#VALUE!</v>
      </c>
      <c r="Q55" s="61"/>
      <c r="R55" s="280"/>
      <c r="S55" s="280"/>
      <c r="T55" s="280"/>
      <c r="U55" s="280"/>
      <c r="V55" s="280"/>
      <c r="W55" s="318"/>
    </row>
    <row r="56" spans="1:23" ht="17.45" hidden="1" customHeight="1" x14ac:dyDescent="0.2">
      <c r="A56" s="644" t="str">
        <f t="shared" si="5"/>
        <v>Don't Show</v>
      </c>
      <c r="B56" s="644" t="s">
        <v>2427</v>
      </c>
      <c r="C56" s="968" t="str">
        <f>IFERROR(INDEX('LFA Expenditure_7B imp-exp'!A$2:A$48,MATCH('LFA Expenditure_7B'!B56,'LFA Expenditure_7B imp-exp'!N$2:N$48,0)),"")</f>
        <v/>
      </c>
      <c r="D56" s="1312"/>
      <c r="E56" s="1326" t="str">
        <f>IFERROR(INDEX('LFA Expenditure_7B imp-exp'!C$2:C$48,MATCH('LFA Expenditure_7B'!B56,'LFA Expenditure_7B imp-exp'!N$2:N$48,0)),"")</f>
        <v/>
      </c>
      <c r="F56" s="1326">
        <f>'PR Expenditure_7A'!F57</f>
        <v>0</v>
      </c>
      <c r="G56" s="1327"/>
      <c r="H56" s="1326">
        <f t="shared" si="6"/>
        <v>0</v>
      </c>
      <c r="I56" s="1328" t="e">
        <f t="shared" si="7"/>
        <v>#VALUE!</v>
      </c>
      <c r="J56" s="1329"/>
      <c r="K56" s="1312"/>
      <c r="L56" s="1326" t="str">
        <f>IFERROR(INDEX('LFA Expenditure_7B imp-exp'!J$2:J$48,MATCH('LFA Expenditure_7B'!B56,'LFA Expenditure_7B imp-exp'!N$2:N$48,0)),"")</f>
        <v/>
      </c>
      <c r="M56" s="1327"/>
      <c r="N56" s="1326">
        <f t="shared" si="8"/>
        <v>0</v>
      </c>
      <c r="O56" s="1330" t="e">
        <f t="shared" si="9"/>
        <v>#VALUE!</v>
      </c>
      <c r="Q56" s="61"/>
      <c r="R56" s="280"/>
      <c r="S56" s="280"/>
      <c r="T56" s="280"/>
      <c r="U56" s="280"/>
      <c r="V56" s="280"/>
      <c r="W56" s="318"/>
    </row>
    <row r="57" spans="1:23" ht="17.45" hidden="1" customHeight="1" x14ac:dyDescent="0.2">
      <c r="A57" s="644" t="str">
        <f t="shared" si="5"/>
        <v>Don't Show</v>
      </c>
      <c r="B57" s="644" t="s">
        <v>2428</v>
      </c>
      <c r="C57" s="968" t="str">
        <f>IFERROR(INDEX('LFA Expenditure_7B imp-exp'!A$2:A$48,MATCH('LFA Expenditure_7B'!B57,'LFA Expenditure_7B imp-exp'!N$2:N$48,0)),"")</f>
        <v/>
      </c>
      <c r="D57" s="1312"/>
      <c r="E57" s="1326" t="str">
        <f>IFERROR(INDEX('LFA Expenditure_7B imp-exp'!C$2:C$48,MATCH('LFA Expenditure_7B'!B57,'LFA Expenditure_7B imp-exp'!N$2:N$48,0)),"")</f>
        <v/>
      </c>
      <c r="F57" s="1326">
        <f>'PR Expenditure_7A'!F58</f>
        <v>0</v>
      </c>
      <c r="G57" s="1327"/>
      <c r="H57" s="1326">
        <f t="shared" si="6"/>
        <v>0</v>
      </c>
      <c r="I57" s="1328" t="e">
        <f t="shared" si="7"/>
        <v>#VALUE!</v>
      </c>
      <c r="J57" s="1329"/>
      <c r="K57" s="1312"/>
      <c r="L57" s="1326" t="str">
        <f>IFERROR(INDEX('LFA Expenditure_7B imp-exp'!J$2:J$48,MATCH('LFA Expenditure_7B'!B57,'LFA Expenditure_7B imp-exp'!N$2:N$48,0)),"")</f>
        <v/>
      </c>
      <c r="M57" s="1327"/>
      <c r="N57" s="1326">
        <f t="shared" si="8"/>
        <v>0</v>
      </c>
      <c r="O57" s="1330" t="e">
        <f t="shared" si="9"/>
        <v>#VALUE!</v>
      </c>
      <c r="Q57" s="61"/>
      <c r="R57" s="280"/>
      <c r="S57" s="280"/>
      <c r="T57" s="280"/>
      <c r="U57" s="280"/>
      <c r="V57" s="280"/>
      <c r="W57" s="318"/>
    </row>
    <row r="58" spans="1:23" ht="17.45" hidden="1" customHeight="1" x14ac:dyDescent="0.2">
      <c r="A58" s="644" t="str">
        <f t="shared" si="5"/>
        <v>Don't Show</v>
      </c>
      <c r="B58" s="644" t="s">
        <v>2429</v>
      </c>
      <c r="C58" s="968" t="str">
        <f>IFERROR(INDEX('LFA Expenditure_7B imp-exp'!A$2:A$48,MATCH('LFA Expenditure_7B'!B58,'LFA Expenditure_7B imp-exp'!N$2:N$48,0)),"")</f>
        <v/>
      </c>
      <c r="D58" s="1312"/>
      <c r="E58" s="1326" t="str">
        <f>IFERROR(INDEX('LFA Expenditure_7B imp-exp'!C$2:C$48,MATCH('LFA Expenditure_7B'!B58,'LFA Expenditure_7B imp-exp'!N$2:N$48,0)),"")</f>
        <v/>
      </c>
      <c r="F58" s="1326">
        <f>'PR Expenditure_7A'!F59</f>
        <v>0</v>
      </c>
      <c r="G58" s="1327"/>
      <c r="H58" s="1326">
        <f t="shared" si="6"/>
        <v>0</v>
      </c>
      <c r="I58" s="1328" t="e">
        <f t="shared" si="7"/>
        <v>#VALUE!</v>
      </c>
      <c r="J58" s="1329"/>
      <c r="K58" s="1312"/>
      <c r="L58" s="1326" t="str">
        <f>IFERROR(INDEX('LFA Expenditure_7B imp-exp'!J$2:J$48,MATCH('LFA Expenditure_7B'!B58,'LFA Expenditure_7B imp-exp'!N$2:N$48,0)),"")</f>
        <v/>
      </c>
      <c r="M58" s="1327"/>
      <c r="N58" s="1326">
        <f t="shared" si="8"/>
        <v>0</v>
      </c>
      <c r="O58" s="1330" t="e">
        <f t="shared" si="9"/>
        <v>#VALUE!</v>
      </c>
      <c r="Q58" s="280"/>
      <c r="R58" s="280"/>
      <c r="S58" s="280"/>
      <c r="T58" s="280"/>
      <c r="U58" s="280"/>
      <c r="V58" s="280"/>
      <c r="W58" s="318"/>
    </row>
    <row r="59" spans="1:23" ht="17.45" hidden="1" customHeight="1" x14ac:dyDescent="0.2">
      <c r="A59" s="644" t="str">
        <f t="shared" si="5"/>
        <v>Don't Show</v>
      </c>
      <c r="B59" s="644" t="s">
        <v>2430</v>
      </c>
      <c r="C59" s="968" t="str">
        <f>IFERROR(INDEX('LFA Expenditure_7B imp-exp'!A$2:A$48,MATCH('LFA Expenditure_7B'!B59,'LFA Expenditure_7B imp-exp'!N$2:N$48,0)),"")</f>
        <v/>
      </c>
      <c r="D59" s="1312"/>
      <c r="E59" s="1326" t="str">
        <f>IFERROR(INDEX('LFA Expenditure_7B imp-exp'!C$2:C$48,MATCH('LFA Expenditure_7B'!B59,'LFA Expenditure_7B imp-exp'!N$2:N$48,0)),"")</f>
        <v/>
      </c>
      <c r="F59" s="1326">
        <f>'PR Expenditure_7A'!F60</f>
        <v>0</v>
      </c>
      <c r="G59" s="1327"/>
      <c r="H59" s="1326">
        <f t="shared" si="6"/>
        <v>0</v>
      </c>
      <c r="I59" s="1328" t="e">
        <f t="shared" si="7"/>
        <v>#VALUE!</v>
      </c>
      <c r="J59" s="1329"/>
      <c r="K59" s="1312"/>
      <c r="L59" s="1326" t="str">
        <f>IFERROR(INDEX('LFA Expenditure_7B imp-exp'!J$2:J$48,MATCH('LFA Expenditure_7B'!B59,'LFA Expenditure_7B imp-exp'!N$2:N$48,0)),"")</f>
        <v/>
      </c>
      <c r="M59" s="1327"/>
      <c r="N59" s="1326">
        <f t="shared" si="8"/>
        <v>0</v>
      </c>
      <c r="O59" s="1330" t="e">
        <f t="shared" si="9"/>
        <v>#VALUE!</v>
      </c>
      <c r="Q59" s="280"/>
      <c r="R59" s="280"/>
      <c r="S59" s="280"/>
      <c r="T59" s="280"/>
      <c r="U59" s="280"/>
      <c r="V59" s="280"/>
      <c r="W59" s="318"/>
    </row>
    <row r="60" spans="1:23" ht="17.45" hidden="1" customHeight="1" x14ac:dyDescent="0.2">
      <c r="A60" s="644" t="str">
        <f t="shared" si="5"/>
        <v>Don't Show</v>
      </c>
      <c r="B60" s="644" t="s">
        <v>2431</v>
      </c>
      <c r="C60" s="968" t="str">
        <f>IFERROR(INDEX('LFA Expenditure_7B imp-exp'!A$2:A$48,MATCH('LFA Expenditure_7B'!B60,'LFA Expenditure_7B imp-exp'!N$2:N$48,0)),"")</f>
        <v/>
      </c>
      <c r="D60" s="1312"/>
      <c r="E60" s="1326" t="str">
        <f>IFERROR(INDEX('LFA Expenditure_7B imp-exp'!C$2:C$48,MATCH('LFA Expenditure_7B'!B60,'LFA Expenditure_7B imp-exp'!N$2:N$48,0)),"")</f>
        <v/>
      </c>
      <c r="F60" s="1326">
        <f>'PR Expenditure_7A'!F61</f>
        <v>0</v>
      </c>
      <c r="G60" s="1327"/>
      <c r="H60" s="1326">
        <f t="shared" si="6"/>
        <v>0</v>
      </c>
      <c r="I60" s="1328" t="e">
        <f t="shared" si="7"/>
        <v>#VALUE!</v>
      </c>
      <c r="J60" s="1329"/>
      <c r="K60" s="1312"/>
      <c r="L60" s="1326" t="str">
        <f>IFERROR(INDEX('LFA Expenditure_7B imp-exp'!J$2:J$48,MATCH('LFA Expenditure_7B'!B60,'LFA Expenditure_7B imp-exp'!N$2:N$48,0)),"")</f>
        <v/>
      </c>
      <c r="M60" s="1327"/>
      <c r="N60" s="1326">
        <f t="shared" si="8"/>
        <v>0</v>
      </c>
      <c r="O60" s="1330" t="e">
        <f t="shared" si="9"/>
        <v>#VALUE!</v>
      </c>
      <c r="Q60" s="280"/>
      <c r="R60" s="280"/>
      <c r="S60" s="280"/>
      <c r="T60" s="280"/>
      <c r="U60" s="280"/>
      <c r="V60" s="280"/>
      <c r="W60" s="318"/>
    </row>
    <row r="61" spans="1:23" ht="17.45" hidden="1" customHeight="1" x14ac:dyDescent="0.2">
      <c r="A61" s="644" t="str">
        <f t="shared" si="5"/>
        <v>Don't Show</v>
      </c>
      <c r="B61" s="644" t="s">
        <v>2432</v>
      </c>
      <c r="C61" s="968" t="str">
        <f>IFERROR(INDEX('LFA Expenditure_7B imp-exp'!A$2:A$48,MATCH('LFA Expenditure_7B'!B61,'LFA Expenditure_7B imp-exp'!N$2:N$48,0)),"")</f>
        <v/>
      </c>
      <c r="D61" s="1312"/>
      <c r="E61" s="1326" t="str">
        <f>IFERROR(INDEX('LFA Expenditure_7B imp-exp'!C$2:C$48,MATCH('LFA Expenditure_7B'!B61,'LFA Expenditure_7B imp-exp'!N$2:N$48,0)),"")</f>
        <v/>
      </c>
      <c r="F61" s="1326">
        <f>'PR Expenditure_7A'!F62</f>
        <v>0</v>
      </c>
      <c r="G61" s="1327"/>
      <c r="H61" s="1326">
        <f t="shared" si="6"/>
        <v>0</v>
      </c>
      <c r="I61" s="1328" t="e">
        <f t="shared" si="7"/>
        <v>#VALUE!</v>
      </c>
      <c r="J61" s="1329"/>
      <c r="K61" s="1312"/>
      <c r="L61" s="1326" t="str">
        <f>IFERROR(INDEX('LFA Expenditure_7B imp-exp'!J$2:J$48,MATCH('LFA Expenditure_7B'!B61,'LFA Expenditure_7B imp-exp'!N$2:N$48,0)),"")</f>
        <v/>
      </c>
      <c r="M61" s="1327"/>
      <c r="N61" s="1326">
        <f t="shared" si="8"/>
        <v>0</v>
      </c>
      <c r="O61" s="1330" t="e">
        <f t="shared" si="9"/>
        <v>#VALUE!</v>
      </c>
      <c r="Q61" s="280"/>
      <c r="R61" s="280"/>
      <c r="S61" s="280"/>
      <c r="T61" s="280"/>
      <c r="U61" s="280"/>
      <c r="V61" s="280"/>
      <c r="W61" s="318"/>
    </row>
    <row r="62" spans="1:23" ht="17.45" hidden="1" customHeight="1" x14ac:dyDescent="0.2">
      <c r="A62" s="644" t="str">
        <f t="shared" si="5"/>
        <v>Don't Show</v>
      </c>
      <c r="B62" s="644" t="s">
        <v>2433</v>
      </c>
      <c r="C62" s="968" t="str">
        <f>IFERROR(INDEX('LFA Expenditure_7B imp-exp'!A$2:A$48,MATCH('LFA Expenditure_7B'!B62,'LFA Expenditure_7B imp-exp'!N$2:N$48,0)),"")</f>
        <v/>
      </c>
      <c r="D62" s="1312"/>
      <c r="E62" s="1326" t="str">
        <f>IFERROR(INDEX('LFA Expenditure_7B imp-exp'!C$2:C$48,MATCH('LFA Expenditure_7B'!B62,'LFA Expenditure_7B imp-exp'!N$2:N$48,0)),"")</f>
        <v/>
      </c>
      <c r="F62" s="1326">
        <f>'PR Expenditure_7A'!F63</f>
        <v>0</v>
      </c>
      <c r="G62" s="1327"/>
      <c r="H62" s="1326">
        <f t="shared" si="6"/>
        <v>0</v>
      </c>
      <c r="I62" s="1328" t="e">
        <f t="shared" si="7"/>
        <v>#VALUE!</v>
      </c>
      <c r="J62" s="1329"/>
      <c r="K62" s="1312"/>
      <c r="L62" s="1326" t="str">
        <f>IFERROR(INDEX('LFA Expenditure_7B imp-exp'!J$2:J$48,MATCH('LFA Expenditure_7B'!B62,'LFA Expenditure_7B imp-exp'!N$2:N$48,0)),"")</f>
        <v/>
      </c>
      <c r="M62" s="1327"/>
      <c r="N62" s="1326">
        <f t="shared" si="8"/>
        <v>0</v>
      </c>
      <c r="O62" s="1330" t="e">
        <f t="shared" si="9"/>
        <v>#VALUE!</v>
      </c>
      <c r="Q62" s="280"/>
      <c r="R62" s="280"/>
      <c r="S62" s="280"/>
      <c r="T62" s="280"/>
      <c r="U62" s="280"/>
      <c r="V62" s="280"/>
      <c r="W62" s="318"/>
    </row>
    <row r="63" spans="1:23" ht="17.45" hidden="1" customHeight="1" x14ac:dyDescent="0.2">
      <c r="A63" s="644" t="str">
        <f t="shared" si="5"/>
        <v>Don't Show</v>
      </c>
      <c r="B63" s="644" t="s">
        <v>2434</v>
      </c>
      <c r="C63" s="968" t="str">
        <f>IFERROR(INDEX('LFA Expenditure_7B imp-exp'!A$2:A$48,MATCH('LFA Expenditure_7B'!B63,'LFA Expenditure_7B imp-exp'!N$2:N$48,0)),"")</f>
        <v/>
      </c>
      <c r="D63" s="1312"/>
      <c r="E63" s="1326" t="str">
        <f>IFERROR(INDEX('LFA Expenditure_7B imp-exp'!C$2:C$48,MATCH('LFA Expenditure_7B'!B63,'LFA Expenditure_7B imp-exp'!N$2:N$48,0)),"")</f>
        <v/>
      </c>
      <c r="F63" s="1326">
        <f>'PR Expenditure_7A'!F64</f>
        <v>0</v>
      </c>
      <c r="G63" s="1327"/>
      <c r="H63" s="1326">
        <f t="shared" si="6"/>
        <v>0</v>
      </c>
      <c r="I63" s="1328" t="e">
        <f t="shared" si="7"/>
        <v>#VALUE!</v>
      </c>
      <c r="J63" s="1329"/>
      <c r="K63" s="1312"/>
      <c r="L63" s="1326" t="str">
        <f>IFERROR(INDEX('LFA Expenditure_7B imp-exp'!J$2:J$48,MATCH('LFA Expenditure_7B'!B63,'LFA Expenditure_7B imp-exp'!N$2:N$48,0)),"")</f>
        <v/>
      </c>
      <c r="M63" s="1327"/>
      <c r="N63" s="1326">
        <f t="shared" si="8"/>
        <v>0</v>
      </c>
      <c r="O63" s="1330" t="e">
        <f t="shared" si="9"/>
        <v>#VALUE!</v>
      </c>
      <c r="Q63" s="280"/>
      <c r="R63" s="280"/>
      <c r="S63" s="280"/>
      <c r="T63" s="280"/>
      <c r="U63" s="280"/>
      <c r="V63" s="280"/>
      <c r="W63" s="318"/>
    </row>
    <row r="64" spans="1:23" ht="17.45" hidden="1" customHeight="1" x14ac:dyDescent="0.2">
      <c r="A64" s="644" t="str">
        <f t="shared" si="5"/>
        <v>Don't Show</v>
      </c>
      <c r="B64" s="644" t="s">
        <v>2435</v>
      </c>
      <c r="C64" s="968" t="str">
        <f>IFERROR(INDEX('LFA Expenditure_7B imp-exp'!A$2:A$48,MATCH('LFA Expenditure_7B'!B64,'LFA Expenditure_7B imp-exp'!N$2:N$48,0)),"")</f>
        <v/>
      </c>
      <c r="D64" s="1312"/>
      <c r="E64" s="1326" t="str">
        <f>IFERROR(INDEX('LFA Expenditure_7B imp-exp'!C$2:C$48,MATCH('LFA Expenditure_7B'!B64,'LFA Expenditure_7B imp-exp'!N$2:N$48,0)),"")</f>
        <v/>
      </c>
      <c r="F64" s="1326">
        <f>'PR Expenditure_7A'!F65</f>
        <v>0</v>
      </c>
      <c r="G64" s="1327"/>
      <c r="H64" s="1326">
        <f t="shared" si="6"/>
        <v>0</v>
      </c>
      <c r="I64" s="1328" t="e">
        <f t="shared" si="7"/>
        <v>#VALUE!</v>
      </c>
      <c r="J64" s="1329"/>
      <c r="K64" s="1312"/>
      <c r="L64" s="1326" t="str">
        <f>IFERROR(INDEX('LFA Expenditure_7B imp-exp'!J$2:J$48,MATCH('LFA Expenditure_7B'!B64,'LFA Expenditure_7B imp-exp'!N$2:N$48,0)),"")</f>
        <v/>
      </c>
      <c r="M64" s="1327"/>
      <c r="N64" s="1326">
        <f t="shared" si="8"/>
        <v>0</v>
      </c>
      <c r="O64" s="1330" t="e">
        <f t="shared" si="9"/>
        <v>#VALUE!</v>
      </c>
      <c r="Q64" s="280"/>
      <c r="R64" s="280"/>
      <c r="S64" s="280"/>
      <c r="T64" s="280"/>
      <c r="U64" s="280"/>
      <c r="V64" s="280"/>
      <c r="W64" s="318"/>
    </row>
    <row r="65" spans="1:26" ht="17.45" hidden="1" customHeight="1" x14ac:dyDescent="0.2">
      <c r="A65" s="644" t="str">
        <f t="shared" si="5"/>
        <v>Don't Show</v>
      </c>
      <c r="B65" s="644" t="s">
        <v>2436</v>
      </c>
      <c r="C65" s="968" t="str">
        <f>IFERROR(INDEX('LFA Expenditure_7B imp-exp'!A$2:A$48,MATCH('LFA Expenditure_7B'!B65,'LFA Expenditure_7B imp-exp'!N$2:N$48,0)),"")</f>
        <v/>
      </c>
      <c r="D65" s="1312"/>
      <c r="E65" s="1326" t="str">
        <f>IFERROR(INDEX('LFA Expenditure_7B imp-exp'!C$2:C$48,MATCH('LFA Expenditure_7B'!B65,'LFA Expenditure_7B imp-exp'!N$2:N$48,0)),"")</f>
        <v/>
      </c>
      <c r="F65" s="1326">
        <f>'PR Expenditure_7A'!F66</f>
        <v>0</v>
      </c>
      <c r="G65" s="1327"/>
      <c r="H65" s="1326">
        <f t="shared" si="6"/>
        <v>0</v>
      </c>
      <c r="I65" s="1328" t="e">
        <f t="shared" si="7"/>
        <v>#VALUE!</v>
      </c>
      <c r="J65" s="1329"/>
      <c r="K65" s="1312"/>
      <c r="L65" s="1326" t="str">
        <f>IFERROR(INDEX('LFA Expenditure_7B imp-exp'!J$2:J$48,MATCH('LFA Expenditure_7B'!B65,'LFA Expenditure_7B imp-exp'!N$2:N$48,0)),"")</f>
        <v/>
      </c>
      <c r="M65" s="1327"/>
      <c r="N65" s="1326">
        <f t="shared" si="8"/>
        <v>0</v>
      </c>
      <c r="O65" s="1330" t="e">
        <f t="shared" si="9"/>
        <v>#VALUE!</v>
      </c>
      <c r="Q65" s="280"/>
      <c r="R65" s="280"/>
      <c r="S65" s="280"/>
      <c r="T65" s="280"/>
      <c r="U65" s="280"/>
      <c r="V65" s="280"/>
      <c r="W65" s="318"/>
    </row>
    <row r="66" spans="1:26" ht="17.45" hidden="1" customHeight="1" x14ac:dyDescent="0.2">
      <c r="A66" s="644" t="str">
        <f t="shared" si="5"/>
        <v>Don't Show</v>
      </c>
      <c r="B66" s="644" t="s">
        <v>2437</v>
      </c>
      <c r="C66" s="968" t="str">
        <f>IFERROR(INDEX('LFA Expenditure_7B imp-exp'!A$2:A$48,MATCH('LFA Expenditure_7B'!B66,'LFA Expenditure_7B imp-exp'!N$2:N$48,0)),"")</f>
        <v/>
      </c>
      <c r="D66" s="1312"/>
      <c r="E66" s="1326" t="str">
        <f>IFERROR(INDEX('LFA Expenditure_7B imp-exp'!C$2:C$48,MATCH('LFA Expenditure_7B'!B66,'LFA Expenditure_7B imp-exp'!N$2:N$48,0)),"")</f>
        <v/>
      </c>
      <c r="F66" s="1326">
        <f>'PR Expenditure_7A'!F67</f>
        <v>0</v>
      </c>
      <c r="G66" s="1327"/>
      <c r="H66" s="1326">
        <f t="shared" si="6"/>
        <v>0</v>
      </c>
      <c r="I66" s="1328" t="e">
        <f t="shared" si="7"/>
        <v>#VALUE!</v>
      </c>
      <c r="J66" s="1329"/>
      <c r="K66" s="1312"/>
      <c r="L66" s="1326" t="str">
        <f>IFERROR(INDEX('LFA Expenditure_7B imp-exp'!J$2:J$48,MATCH('LFA Expenditure_7B'!B66,'LFA Expenditure_7B imp-exp'!N$2:N$48,0)),"")</f>
        <v/>
      </c>
      <c r="M66" s="1327"/>
      <c r="N66" s="1326">
        <f t="shared" si="8"/>
        <v>0</v>
      </c>
      <c r="O66" s="1330" t="e">
        <f t="shared" si="9"/>
        <v>#VALUE!</v>
      </c>
      <c r="Q66" s="280"/>
      <c r="R66" s="280"/>
      <c r="S66" s="280"/>
      <c r="T66" s="280"/>
      <c r="U66" s="280"/>
      <c r="V66" s="280"/>
      <c r="W66" s="318"/>
    </row>
    <row r="67" spans="1:26" ht="17.45" hidden="1" customHeight="1" x14ac:dyDescent="0.2">
      <c r="A67" s="644" t="str">
        <f t="shared" si="5"/>
        <v>Don't Show</v>
      </c>
      <c r="B67" s="644" t="s">
        <v>2438</v>
      </c>
      <c r="C67" s="968" t="str">
        <f>IFERROR(INDEX('LFA Expenditure_7B imp-exp'!A$2:A$48,MATCH('LFA Expenditure_7B'!B67,'LFA Expenditure_7B imp-exp'!N$2:N$48,0)),"")</f>
        <v/>
      </c>
      <c r="D67" s="1312"/>
      <c r="E67" s="1326" t="str">
        <f>IFERROR(INDEX('LFA Expenditure_7B imp-exp'!C$2:C$48,MATCH('LFA Expenditure_7B'!B67,'LFA Expenditure_7B imp-exp'!N$2:N$48,0)),"")</f>
        <v/>
      </c>
      <c r="F67" s="1326">
        <f>'PR Expenditure_7A'!F68</f>
        <v>0</v>
      </c>
      <c r="G67" s="1327"/>
      <c r="H67" s="1326">
        <f t="shared" si="6"/>
        <v>0</v>
      </c>
      <c r="I67" s="1328" t="e">
        <f t="shared" si="7"/>
        <v>#VALUE!</v>
      </c>
      <c r="J67" s="1329"/>
      <c r="K67" s="1312"/>
      <c r="L67" s="1326" t="str">
        <f>IFERROR(INDEX('LFA Expenditure_7B imp-exp'!J$2:J$48,MATCH('LFA Expenditure_7B'!B67,'LFA Expenditure_7B imp-exp'!N$2:N$48,0)),"")</f>
        <v/>
      </c>
      <c r="M67" s="1327"/>
      <c r="N67" s="1326">
        <f t="shared" si="8"/>
        <v>0</v>
      </c>
      <c r="O67" s="1330" t="e">
        <f t="shared" si="9"/>
        <v>#VALUE!</v>
      </c>
      <c r="Q67" s="280"/>
      <c r="R67" s="280"/>
      <c r="S67" s="280"/>
      <c r="T67" s="280"/>
      <c r="U67" s="280"/>
      <c r="V67" s="280"/>
      <c r="W67" s="318"/>
    </row>
    <row r="68" spans="1:26" ht="20.100000000000001" customHeight="1" x14ac:dyDescent="0.2">
      <c r="A68" s="644" t="str">
        <f t="shared" ref="A68:A77" si="10">IF(_17950811_8f21_4fbf_a246_b3e20c374635=TRUE,"Show","Don't Show")</f>
        <v>Show</v>
      </c>
      <c r="B68" s="644" t="s">
        <v>2912</v>
      </c>
      <c r="C68" s="965" t="str">
        <f>IF('PR Expenditure_7A'!C69="","",'PR Expenditure_7A'!C69)</f>
        <v/>
      </c>
      <c r="D68" s="1312"/>
      <c r="E68" s="1326">
        <v>0</v>
      </c>
      <c r="F68" s="1326">
        <f>'PR Expenditure_7A'!F69</f>
        <v>0</v>
      </c>
      <c r="G68" s="1327"/>
      <c r="H68" s="1326">
        <f>IFERROR((E68)-(F68+G68),0)</f>
        <v>0</v>
      </c>
      <c r="I68" s="1328" t="str">
        <f>IF(AND((E68)=0,(F68+G68)=0),"N/A",IF(AND((E68)=0,(F68+G68)&lt;&gt;0),"Not Budgeted",(F68+G68)/(E68)))</f>
        <v>N/A</v>
      </c>
      <c r="J68" s="1329"/>
      <c r="K68" s="1312"/>
      <c r="L68" s="1326">
        <v>0</v>
      </c>
      <c r="M68" s="1327"/>
      <c r="N68" s="1326">
        <f>IFERROR(L68-M68,0)</f>
        <v>0</v>
      </c>
      <c r="O68" s="1330" t="str">
        <f>IF(AND(L68=0,M68=0),"N/A",IF(AND(L68=0,M68&lt;&gt;0),"Not Budgeted",M68/L68))</f>
        <v>N/A</v>
      </c>
      <c r="P68" s="762"/>
      <c r="Q68" s="280"/>
      <c r="R68" s="280"/>
      <c r="S68" s="280"/>
      <c r="T68" s="280"/>
      <c r="U68" s="280" t="str">
        <f>IF(C68&lt;&gt;"",VLOOKUP(C68,'Reference Records'!$E$221:$G$222,3,FALSE),"")</f>
        <v/>
      </c>
      <c r="V68" s="280"/>
      <c r="W68" s="318"/>
    </row>
    <row r="69" spans="1:26" ht="20.100000000000001" customHeight="1" x14ac:dyDescent="0.2">
      <c r="A69" s="644" t="str">
        <f t="shared" si="10"/>
        <v>Show</v>
      </c>
      <c r="B69" s="644" t="s">
        <v>2913</v>
      </c>
      <c r="C69" s="965" t="str">
        <f>IF('PR Expenditure_7A'!C70="","",'PR Expenditure_7A'!C70)</f>
        <v/>
      </c>
      <c r="D69" s="1312"/>
      <c r="E69" s="1326">
        <v>0</v>
      </c>
      <c r="F69" s="1326">
        <f>'PR Expenditure_7A'!F70</f>
        <v>0</v>
      </c>
      <c r="G69" s="1327"/>
      <c r="H69" s="1326">
        <f t="shared" ref="H69:H77" si="11">IFERROR((E69)-(F69+G69),0)</f>
        <v>0</v>
      </c>
      <c r="I69" s="1328" t="str">
        <f t="shared" ref="I69:I77" si="12">IF(AND((E69)=0,(F69+G69)=0),"N/A",IF(AND((E69)=0,(F69+G69)&lt;&gt;0),"Not Budgeted",(F69+G69)/(E69)))</f>
        <v>N/A</v>
      </c>
      <c r="J69" s="1329"/>
      <c r="K69" s="1312"/>
      <c r="L69" s="1326">
        <v>0</v>
      </c>
      <c r="M69" s="1327"/>
      <c r="N69" s="1326">
        <f t="shared" ref="N69:N77" si="13">IFERROR(L69-M69,0)</f>
        <v>0</v>
      </c>
      <c r="O69" s="1330" t="str">
        <f t="shared" ref="O69:O77" si="14">IF(AND(L69=0,M69=0),"N/A",IF(AND(L69=0,M69&lt;&gt;0),"Not Budgeted",M69/L69))</f>
        <v>N/A</v>
      </c>
      <c r="Q69" s="280"/>
      <c r="R69" s="280"/>
      <c r="S69" s="280"/>
      <c r="T69" s="280"/>
      <c r="U69" s="280"/>
      <c r="V69" s="280"/>
      <c r="W69" s="318"/>
    </row>
    <row r="70" spans="1:26" ht="20.100000000000001" customHeight="1" x14ac:dyDescent="0.2">
      <c r="A70" s="644" t="str">
        <f t="shared" si="10"/>
        <v>Show</v>
      </c>
      <c r="B70" s="644" t="s">
        <v>2914</v>
      </c>
      <c r="C70" s="965" t="str">
        <f>IF('PR Expenditure_7A'!C71="","",'PR Expenditure_7A'!C71)</f>
        <v/>
      </c>
      <c r="D70" s="1312"/>
      <c r="E70" s="1326">
        <v>0</v>
      </c>
      <c r="F70" s="1326">
        <f>'PR Expenditure_7A'!F71</f>
        <v>0</v>
      </c>
      <c r="G70" s="1327"/>
      <c r="H70" s="1326">
        <f t="shared" si="11"/>
        <v>0</v>
      </c>
      <c r="I70" s="1328" t="str">
        <f t="shared" si="12"/>
        <v>N/A</v>
      </c>
      <c r="J70" s="1329"/>
      <c r="K70" s="1312"/>
      <c r="L70" s="1326">
        <v>0</v>
      </c>
      <c r="M70" s="1327"/>
      <c r="N70" s="1326">
        <f t="shared" si="13"/>
        <v>0</v>
      </c>
      <c r="O70" s="1330" t="str">
        <f t="shared" si="14"/>
        <v>N/A</v>
      </c>
      <c r="Q70" s="280"/>
      <c r="R70" s="280"/>
      <c r="S70" s="280"/>
      <c r="T70" s="280"/>
      <c r="U70" s="280"/>
      <c r="V70" s="280"/>
      <c r="W70" s="318"/>
    </row>
    <row r="71" spans="1:26" ht="20.100000000000001" customHeight="1" x14ac:dyDescent="0.2">
      <c r="A71" s="644" t="str">
        <f t="shared" si="10"/>
        <v>Show</v>
      </c>
      <c r="B71" s="644" t="s">
        <v>2915</v>
      </c>
      <c r="C71" s="965" t="str">
        <f>IF('PR Expenditure_7A'!C72="","",'PR Expenditure_7A'!C72)</f>
        <v/>
      </c>
      <c r="D71" s="1312"/>
      <c r="E71" s="1326">
        <v>0</v>
      </c>
      <c r="F71" s="1326">
        <f>'PR Expenditure_7A'!F72</f>
        <v>0</v>
      </c>
      <c r="G71" s="1327"/>
      <c r="H71" s="1326">
        <f t="shared" si="11"/>
        <v>0</v>
      </c>
      <c r="I71" s="1328" t="str">
        <f t="shared" si="12"/>
        <v>N/A</v>
      </c>
      <c r="J71" s="1329"/>
      <c r="K71" s="1312"/>
      <c r="L71" s="1326">
        <v>0</v>
      </c>
      <c r="M71" s="1327"/>
      <c r="N71" s="1326">
        <f t="shared" si="13"/>
        <v>0</v>
      </c>
      <c r="O71" s="1330" t="str">
        <f t="shared" si="14"/>
        <v>N/A</v>
      </c>
      <c r="Q71" s="280"/>
      <c r="R71" s="280"/>
      <c r="S71" s="280"/>
      <c r="T71" s="280"/>
      <c r="U71" s="280"/>
      <c r="V71" s="280"/>
      <c r="W71" s="318"/>
    </row>
    <row r="72" spans="1:26" ht="20.100000000000001" customHeight="1" x14ac:dyDescent="0.2">
      <c r="A72" s="644" t="str">
        <f t="shared" si="10"/>
        <v>Show</v>
      </c>
      <c r="B72" s="644" t="s">
        <v>2916</v>
      </c>
      <c r="C72" s="965" t="str">
        <f>IF('PR Expenditure_7A'!C73="","",'PR Expenditure_7A'!C73)</f>
        <v/>
      </c>
      <c r="D72" s="1312"/>
      <c r="E72" s="1326">
        <v>0</v>
      </c>
      <c r="F72" s="1326">
        <f>'PR Expenditure_7A'!F73</f>
        <v>0</v>
      </c>
      <c r="G72" s="1327"/>
      <c r="H72" s="1326">
        <f t="shared" si="11"/>
        <v>0</v>
      </c>
      <c r="I72" s="1328" t="str">
        <f t="shared" si="12"/>
        <v>N/A</v>
      </c>
      <c r="J72" s="1329"/>
      <c r="K72" s="1312"/>
      <c r="L72" s="1326">
        <v>0</v>
      </c>
      <c r="M72" s="1327"/>
      <c r="N72" s="1326">
        <f t="shared" si="13"/>
        <v>0</v>
      </c>
      <c r="O72" s="1330" t="str">
        <f t="shared" si="14"/>
        <v>N/A</v>
      </c>
      <c r="Q72" s="280"/>
      <c r="R72" s="280"/>
      <c r="S72" s="280"/>
      <c r="T72" s="280"/>
      <c r="U72" s="280"/>
      <c r="V72" s="280"/>
      <c r="W72" s="318"/>
    </row>
    <row r="73" spans="1:26" ht="20.100000000000001" customHeight="1" x14ac:dyDescent="0.2">
      <c r="A73" s="644" t="str">
        <f t="shared" si="10"/>
        <v>Show</v>
      </c>
      <c r="B73" s="644" t="s">
        <v>2917</v>
      </c>
      <c r="C73" s="965" t="str">
        <f>IF('PR Expenditure_7A'!C74="","",'PR Expenditure_7A'!C74)</f>
        <v/>
      </c>
      <c r="D73" s="1312"/>
      <c r="E73" s="1326">
        <v>0</v>
      </c>
      <c r="F73" s="1326">
        <f>'PR Expenditure_7A'!F74</f>
        <v>0</v>
      </c>
      <c r="G73" s="1327"/>
      <c r="H73" s="1326">
        <f t="shared" si="11"/>
        <v>0</v>
      </c>
      <c r="I73" s="1328" t="str">
        <f t="shared" si="12"/>
        <v>N/A</v>
      </c>
      <c r="J73" s="1329"/>
      <c r="K73" s="1312"/>
      <c r="L73" s="1326">
        <v>0</v>
      </c>
      <c r="M73" s="1327"/>
      <c r="N73" s="1326">
        <f t="shared" si="13"/>
        <v>0</v>
      </c>
      <c r="O73" s="1330" t="str">
        <f t="shared" si="14"/>
        <v>N/A</v>
      </c>
      <c r="Q73" s="280"/>
      <c r="R73" s="280"/>
      <c r="S73" s="280"/>
      <c r="T73" s="280"/>
      <c r="U73" s="280"/>
      <c r="V73" s="280"/>
      <c r="W73" s="318"/>
    </row>
    <row r="74" spans="1:26" ht="20.100000000000001" customHeight="1" x14ac:dyDescent="0.2">
      <c r="A74" s="644" t="str">
        <f t="shared" si="10"/>
        <v>Show</v>
      </c>
      <c r="B74" s="644" t="s">
        <v>2918</v>
      </c>
      <c r="C74" s="965" t="str">
        <f>IF('PR Expenditure_7A'!C75="","",'PR Expenditure_7A'!C75)</f>
        <v/>
      </c>
      <c r="D74" s="1312"/>
      <c r="E74" s="1326">
        <v>0</v>
      </c>
      <c r="F74" s="1326">
        <f>'PR Expenditure_7A'!F75</f>
        <v>0</v>
      </c>
      <c r="G74" s="1327"/>
      <c r="H74" s="1326">
        <f t="shared" si="11"/>
        <v>0</v>
      </c>
      <c r="I74" s="1328" t="str">
        <f t="shared" si="12"/>
        <v>N/A</v>
      </c>
      <c r="J74" s="1329"/>
      <c r="K74" s="1312"/>
      <c r="L74" s="1326">
        <v>0</v>
      </c>
      <c r="M74" s="1327"/>
      <c r="N74" s="1326">
        <f t="shared" si="13"/>
        <v>0</v>
      </c>
      <c r="O74" s="1330" t="str">
        <f t="shared" si="14"/>
        <v>N/A</v>
      </c>
      <c r="Q74" s="280"/>
      <c r="R74" s="280"/>
      <c r="S74" s="280"/>
      <c r="T74" s="280"/>
      <c r="U74" s="280"/>
      <c r="V74" s="280"/>
      <c r="W74" s="318"/>
    </row>
    <row r="75" spans="1:26" ht="20.100000000000001" customHeight="1" x14ac:dyDescent="0.2">
      <c r="A75" s="644" t="str">
        <f t="shared" si="10"/>
        <v>Show</v>
      </c>
      <c r="B75" s="644" t="s">
        <v>2919</v>
      </c>
      <c r="C75" s="965" t="str">
        <f>IF('PR Expenditure_7A'!C76="","",'PR Expenditure_7A'!C76)</f>
        <v/>
      </c>
      <c r="D75" s="1312"/>
      <c r="E75" s="1326">
        <v>0</v>
      </c>
      <c r="F75" s="1326">
        <f>'PR Expenditure_7A'!F76</f>
        <v>0</v>
      </c>
      <c r="G75" s="1327"/>
      <c r="H75" s="1326">
        <f t="shared" si="11"/>
        <v>0</v>
      </c>
      <c r="I75" s="1328" t="str">
        <f t="shared" si="12"/>
        <v>N/A</v>
      </c>
      <c r="J75" s="1329"/>
      <c r="K75" s="1312"/>
      <c r="L75" s="1326">
        <v>0</v>
      </c>
      <c r="M75" s="1327"/>
      <c r="N75" s="1326">
        <f t="shared" si="13"/>
        <v>0</v>
      </c>
      <c r="O75" s="1330" t="str">
        <f t="shared" si="14"/>
        <v>N/A</v>
      </c>
      <c r="Q75" s="280"/>
      <c r="R75" s="280"/>
      <c r="S75" s="280"/>
      <c r="T75" s="280"/>
      <c r="U75" s="280"/>
      <c r="V75" s="280"/>
      <c r="W75" s="318"/>
    </row>
    <row r="76" spans="1:26" ht="20.100000000000001" customHeight="1" x14ac:dyDescent="0.2">
      <c r="A76" s="644" t="str">
        <f t="shared" si="10"/>
        <v>Show</v>
      </c>
      <c r="B76" s="644" t="s">
        <v>2920</v>
      </c>
      <c r="C76" s="965" t="str">
        <f>IF('PR Expenditure_7A'!C77="","",'PR Expenditure_7A'!C77)</f>
        <v/>
      </c>
      <c r="D76" s="1312"/>
      <c r="E76" s="1326">
        <v>0</v>
      </c>
      <c r="F76" s="1326">
        <f>'PR Expenditure_7A'!F77</f>
        <v>0</v>
      </c>
      <c r="G76" s="1327"/>
      <c r="H76" s="1326">
        <f t="shared" si="11"/>
        <v>0</v>
      </c>
      <c r="I76" s="1328" t="str">
        <f t="shared" si="12"/>
        <v>N/A</v>
      </c>
      <c r="J76" s="1329"/>
      <c r="K76" s="1312"/>
      <c r="L76" s="1326">
        <v>0</v>
      </c>
      <c r="M76" s="1327"/>
      <c r="N76" s="1326">
        <f t="shared" si="13"/>
        <v>0</v>
      </c>
      <c r="O76" s="1330" t="str">
        <f t="shared" si="14"/>
        <v>N/A</v>
      </c>
      <c r="Q76" s="280"/>
      <c r="R76" s="280"/>
      <c r="S76" s="280"/>
      <c r="T76" s="280"/>
      <c r="U76" s="280"/>
      <c r="V76" s="280"/>
      <c r="W76" s="318"/>
    </row>
    <row r="77" spans="1:26" ht="20.100000000000001" customHeight="1" x14ac:dyDescent="0.2">
      <c r="A77" s="644" t="str">
        <f t="shared" si="10"/>
        <v>Show</v>
      </c>
      <c r="B77" s="644" t="s">
        <v>2921</v>
      </c>
      <c r="C77" s="965" t="str">
        <f>IF('PR Expenditure_7A'!C78="","",'PR Expenditure_7A'!C78)</f>
        <v/>
      </c>
      <c r="D77" s="1312"/>
      <c r="E77" s="1326">
        <v>0</v>
      </c>
      <c r="F77" s="1326">
        <f>'PR Expenditure_7A'!F78</f>
        <v>0</v>
      </c>
      <c r="G77" s="1327"/>
      <c r="H77" s="1326">
        <f t="shared" si="11"/>
        <v>0</v>
      </c>
      <c r="I77" s="1328" t="str">
        <f t="shared" si="12"/>
        <v>N/A</v>
      </c>
      <c r="J77" s="1329"/>
      <c r="K77" s="1312"/>
      <c r="L77" s="1326">
        <v>0</v>
      </c>
      <c r="M77" s="1327"/>
      <c r="N77" s="1326">
        <f t="shared" si="13"/>
        <v>0</v>
      </c>
      <c r="O77" s="1330" t="str">
        <f t="shared" si="14"/>
        <v>N/A</v>
      </c>
      <c r="Q77" s="280"/>
      <c r="R77" s="280"/>
      <c r="S77" s="280"/>
      <c r="T77" s="280"/>
      <c r="U77" s="280"/>
      <c r="V77" s="280"/>
      <c r="W77" s="318"/>
    </row>
    <row r="78" spans="1:26" customFormat="1" ht="20.100000000000001" customHeight="1" thickBot="1" x14ac:dyDescent="0.3">
      <c r="A78" s="644" t="s">
        <v>2337</v>
      </c>
      <c r="B78" s="650"/>
      <c r="C78" s="1331" t="s">
        <v>2449</v>
      </c>
      <c r="D78" s="1325"/>
      <c r="E78" s="1332">
        <f>ROUND(SUM(E8:E77),2)</f>
        <v>11755487.67</v>
      </c>
      <c r="F78" s="1332">
        <f>ROUND(SUM(F8:F77),2)</f>
        <v>11276916.42</v>
      </c>
      <c r="G78" s="1332">
        <f>ROUND(SUM(G8:G77),2)</f>
        <v>0</v>
      </c>
      <c r="H78" s="1332">
        <f>ROUND(SUM(H8:H77),2)</f>
        <v>478571.25</v>
      </c>
      <c r="I78" s="1333">
        <f>(F78+G78)/(E78)</f>
        <v>0.95928954515248965</v>
      </c>
      <c r="J78" s="1333"/>
      <c r="K78" s="1325"/>
      <c r="L78" s="1332">
        <f>ROUND(SUM(L8:L77),2)</f>
        <v>20014677.120000001</v>
      </c>
      <c r="M78" s="1332">
        <f>ROUND(SUM(M8:M77),2)</f>
        <v>0</v>
      </c>
      <c r="N78" s="1332">
        <f>ROUND(SUM(N8:N77),2)</f>
        <v>20014677.120000001</v>
      </c>
      <c r="O78" s="1334">
        <f>M78/L78</f>
        <v>0</v>
      </c>
      <c r="P78" s="759"/>
      <c r="Q78" s="280"/>
      <c r="R78" s="280"/>
      <c r="S78" s="280"/>
      <c r="T78" s="280"/>
      <c r="U78" s="280"/>
      <c r="V78" s="280"/>
      <c r="W78" s="318"/>
      <c r="X78" s="61"/>
      <c r="Y78" s="61"/>
      <c r="Z78" s="61"/>
    </row>
    <row r="79" spans="1:26" customFormat="1" ht="20.100000000000001" customHeight="1" x14ac:dyDescent="0.25">
      <c r="A79" s="644" t="s">
        <v>2337</v>
      </c>
      <c r="B79" s="650"/>
      <c r="C79" s="61"/>
      <c r="D79" s="61"/>
      <c r="E79" s="61"/>
      <c r="F79" s="61"/>
      <c r="G79" s="61"/>
      <c r="H79" s="61"/>
      <c r="I79" s="61"/>
      <c r="J79" s="61"/>
      <c r="K79" s="61"/>
      <c r="L79" s="61"/>
      <c r="M79" s="61"/>
      <c r="N79" s="61"/>
      <c r="O79" s="61"/>
      <c r="P79" s="759"/>
      <c r="Q79" s="280"/>
      <c r="R79" s="280"/>
      <c r="S79" s="280"/>
      <c r="T79" s="280"/>
      <c r="U79" s="280"/>
      <c r="V79" s="280"/>
      <c r="W79" s="318"/>
      <c r="X79" s="61"/>
      <c r="Y79" s="61"/>
      <c r="Z79" s="61"/>
    </row>
    <row r="80" spans="1:26" customFormat="1" ht="20.100000000000001" customHeight="1" x14ac:dyDescent="0.25">
      <c r="A80" s="644" t="s">
        <v>2337</v>
      </c>
      <c r="B80" s="650"/>
      <c r="C80" s="279" t="s">
        <v>2922</v>
      </c>
      <c r="D80" s="279"/>
      <c r="E80" s="313"/>
      <c r="F80" s="313"/>
      <c r="G80" s="313"/>
      <c r="H80" s="312"/>
      <c r="I80" s="278"/>
      <c r="J80" s="278"/>
      <c r="K80" s="278"/>
      <c r="L80" s="278"/>
      <c r="M80" s="278"/>
      <c r="N80" s="278"/>
      <c r="O80" s="278"/>
      <c r="P80" s="759"/>
      <c r="Q80" s="280"/>
      <c r="R80" s="280"/>
      <c r="S80" s="280"/>
      <c r="T80" s="280"/>
      <c r="U80" s="280"/>
      <c r="V80" s="280"/>
      <c r="W80" s="318"/>
      <c r="X80" s="61"/>
      <c r="Y80" s="61"/>
      <c r="Z80" s="61"/>
    </row>
    <row r="81" spans="1:26" customFormat="1" ht="20.100000000000001" customHeight="1" thickBot="1" x14ac:dyDescent="0.3">
      <c r="A81" s="644" t="s">
        <v>2337</v>
      </c>
      <c r="B81" s="650"/>
      <c r="C81" s="315"/>
      <c r="D81" s="61"/>
      <c r="E81" s="61"/>
      <c r="F81" s="61"/>
      <c r="G81" s="61"/>
      <c r="H81" s="61"/>
      <c r="I81" s="61"/>
      <c r="J81" s="61"/>
      <c r="K81" s="61"/>
      <c r="L81" s="61"/>
      <c r="M81" s="61"/>
      <c r="N81" s="61"/>
      <c r="O81" s="61"/>
      <c r="P81" s="759"/>
      <c r="Q81" s="280"/>
      <c r="R81" s="280"/>
      <c r="S81" s="280"/>
      <c r="T81" s="280"/>
      <c r="U81" s="280"/>
      <c r="V81" s="280"/>
      <c r="W81" s="318"/>
      <c r="X81" s="61"/>
      <c r="Y81" s="61"/>
      <c r="Z81" s="61"/>
    </row>
    <row r="82" spans="1:26" s="232" customFormat="1" ht="60" x14ac:dyDescent="0.2">
      <c r="A82" s="644" t="s">
        <v>2337</v>
      </c>
      <c r="B82" s="676"/>
      <c r="C82" s="670" t="s">
        <v>2778</v>
      </c>
      <c r="D82" s="671" t="s">
        <v>2779</v>
      </c>
      <c r="E82" s="703" t="s">
        <v>1117</v>
      </c>
      <c r="F82" s="703" t="s">
        <v>2909</v>
      </c>
      <c r="G82" s="703" t="s">
        <v>2910</v>
      </c>
      <c r="H82" s="703" t="s">
        <v>1119</v>
      </c>
      <c r="I82" s="703" t="s">
        <v>2669</v>
      </c>
      <c r="J82" s="703" t="s">
        <v>2911</v>
      </c>
      <c r="K82" s="673"/>
      <c r="L82" s="703" t="s">
        <v>2671</v>
      </c>
      <c r="M82" s="703" t="s">
        <v>2672</v>
      </c>
      <c r="N82" s="703" t="s">
        <v>1124</v>
      </c>
      <c r="O82" s="704" t="s">
        <v>2669</v>
      </c>
      <c r="P82" s="760"/>
      <c r="Q82" s="280"/>
      <c r="R82" s="418"/>
      <c r="S82" s="418"/>
      <c r="T82" s="418"/>
      <c r="U82" s="418"/>
      <c r="V82" s="418"/>
      <c r="W82" s="317"/>
    </row>
    <row r="83" spans="1:26" ht="25.5" x14ac:dyDescent="0.2">
      <c r="A83" s="644" t="str">
        <f>IF(C83&lt;&gt;"","Show","Don't Show")</f>
        <v>Show</v>
      </c>
      <c r="B83" s="644" t="s">
        <v>2450</v>
      </c>
      <c r="C83" s="969" t="str">
        <f>IFERROR(INDEX('LFA Expenditure_7B imp-exp'!A$62:A$108,MATCH('LFA Expenditure_7B'!B83,'LFA Expenditure_7B imp-exp'!N$62:N$108,0)),"")</f>
        <v>Comprehensive prevention programs for people who inject drugs (PWID) and their partners</v>
      </c>
      <c r="D83" s="1335" t="str">
        <f>IFERROR(INDEX('LFA Expenditure_7B imp-exp'!B$62:B$108,MATCH('LFA Expenditure_7B'!B83,'LFA Expenditure_7B imp-exp'!N$62:N$108,0)),"")</f>
        <v>Behavioral interventions for PWID</v>
      </c>
      <c r="E83" s="1326">
        <f>IFERROR(INDEX('LFA Expenditure_7B imp-exp'!C$62:C$108,MATCH('LFA Expenditure_7B'!B83,'LFA Expenditure_7B imp-exp'!N$62:N$108,0)),"")</f>
        <v>1083.6147002595601</v>
      </c>
      <c r="F83" s="1326">
        <f>'PR Expenditure_7A'!F84</f>
        <v>820.44774207433113</v>
      </c>
      <c r="G83" s="1327"/>
      <c r="H83" s="1326">
        <f>IFERROR((E83)-(F83+G83),0)</f>
        <v>263.16695818522896</v>
      </c>
      <c r="I83" s="1328">
        <f>IF(AND((E83)=0,(F83+G83)=0),"N/A",IF(AND((E83)=0,(F83+G83)&lt;&gt;0),"Not Budgeted",(F83+G83)/(E83)))</f>
        <v>0.75713973045752136</v>
      </c>
      <c r="J83" s="1329"/>
      <c r="K83" s="1312"/>
      <c r="L83" s="1326">
        <f>IFERROR(INDEX('LFA Expenditure_7B imp-exp'!J$62:J$108,MATCH('LFA Expenditure_7B'!B83,'LFA Expenditure_7B imp-exp'!N$62:N$108,0)),"")</f>
        <v>5868.9367050627498</v>
      </c>
      <c r="M83" s="1327"/>
      <c r="N83" s="1326">
        <f>IFERROR(L83-M83,0)</f>
        <v>5868.9367050627498</v>
      </c>
      <c r="O83" s="1330">
        <f>IF(AND(L83=0,M83=0),"N/A",IF(AND(L83=0,M83&lt;&gt;0),"Not Budgeted",M83/L83))</f>
        <v>0</v>
      </c>
      <c r="Q83" s="280"/>
      <c r="R83" s="280"/>
      <c r="S83" s="280"/>
      <c r="T83" s="280"/>
      <c r="U83" s="280"/>
      <c r="V83" s="280"/>
    </row>
    <row r="84" spans="1:26" ht="15" x14ac:dyDescent="0.2">
      <c r="A84" s="644" t="str">
        <f t="shared" ref="A84:A88" si="15">IF(C84&lt;&gt;"","Show","Don't Show")</f>
        <v>Show</v>
      </c>
      <c r="B84" s="644" t="s">
        <v>2452</v>
      </c>
      <c r="C84" s="969" t="str">
        <f>IFERROR(INDEX('LFA Expenditure_7B imp-exp'!A$62:A$108,MATCH('LFA Expenditure_7B'!B84,'LFA Expenditure_7B imp-exp'!N$62:N$108,0)),"")</f>
        <v>TB care and prevention</v>
      </c>
      <c r="D84" s="1335" t="str">
        <f>IFERROR(INDEX('LFA Expenditure_7B imp-exp'!B$62:B$108,MATCH('LFA Expenditure_7B'!B84,'LFA Expenditure_7B imp-exp'!N$62:N$108,0)),"")</f>
        <v>Case detection and diagnosis</v>
      </c>
      <c r="E84" s="1326">
        <f>IFERROR(INDEX('LFA Expenditure_7B imp-exp'!C$62:C$108,MATCH('LFA Expenditure_7B'!B84,'LFA Expenditure_7B imp-exp'!N$62:N$108,0)),"")</f>
        <v>417648.47202143702</v>
      </c>
      <c r="F84" s="1326">
        <f>'PR Expenditure_7A'!F85</f>
        <v>244262.22</v>
      </c>
      <c r="G84" s="1327"/>
      <c r="H84" s="1326">
        <f t="shared" ref="H84:H88" si="16">IFERROR((E84)-(F84+G84),0)</f>
        <v>173386.25202143702</v>
      </c>
      <c r="I84" s="1328">
        <f t="shared" ref="I84:I88" si="17">IF(AND((E84)=0,(F84+G84)=0),"N/A",IF(AND((E84)=0,(F84+G84)&lt;&gt;0),"Not Budgeted",(F84+G84)/(E84)))</f>
        <v>0.58485122384803678</v>
      </c>
      <c r="J84" s="1329"/>
      <c r="K84" s="1312"/>
      <c r="L84" s="1326">
        <f>IFERROR(INDEX('LFA Expenditure_7B imp-exp'!J$62:J$108,MATCH('LFA Expenditure_7B'!B84,'LFA Expenditure_7B imp-exp'!N$62:N$108,0)),"")</f>
        <v>920506.54512416304</v>
      </c>
      <c r="M84" s="1327"/>
      <c r="N84" s="1326">
        <f t="shared" ref="N84:N88" si="18">IFERROR(L84-M84,0)</f>
        <v>920506.54512416304</v>
      </c>
      <c r="O84" s="1330">
        <f t="shared" ref="O84:O88" si="19">IF(AND(L84=0,M84=0),"N/A",IF(AND(L84=0,M84&lt;&gt;0),"Not Budgeted",M84/L84))</f>
        <v>0</v>
      </c>
      <c r="Q84" s="280"/>
      <c r="R84" s="280"/>
      <c r="S84" s="280"/>
      <c r="T84" s="280"/>
      <c r="U84" s="280"/>
      <c r="V84" s="280"/>
    </row>
    <row r="85" spans="1:26" ht="15" x14ac:dyDescent="0.2">
      <c r="A85" s="644" t="str">
        <f t="shared" si="15"/>
        <v>Show</v>
      </c>
      <c r="B85" s="644" t="s">
        <v>2454</v>
      </c>
      <c r="C85" s="969" t="str">
        <f>IFERROR(INDEX('LFA Expenditure_7B imp-exp'!A$62:A$108,MATCH('LFA Expenditure_7B'!B85,'LFA Expenditure_7B imp-exp'!N$62:N$108,0)),"")</f>
        <v>TB care and prevention</v>
      </c>
      <c r="D85" s="1335" t="str">
        <f>IFERROR(INDEX('LFA Expenditure_7B imp-exp'!B$62:B$108,MATCH('LFA Expenditure_7B'!B85,'LFA Expenditure_7B imp-exp'!N$62:N$108,0)),"")</f>
        <v>Key populations (TB care and prevention) - Others</v>
      </c>
      <c r="E85" s="1326">
        <f>IFERROR(INDEX('LFA Expenditure_7B imp-exp'!C$62:C$108,MATCH('LFA Expenditure_7B'!B85,'LFA Expenditure_7B imp-exp'!N$62:N$108,0)),"")</f>
        <v>45110.868282326497</v>
      </c>
      <c r="F85" s="1326">
        <f>'PR Expenditure_7A'!F86</f>
        <v>3535.6005357863141</v>
      </c>
      <c r="G85" s="1327"/>
      <c r="H85" s="1326">
        <f t="shared" si="16"/>
        <v>41575.267746540179</v>
      </c>
      <c r="I85" s="1328">
        <f t="shared" si="17"/>
        <v>7.837580322459653E-2</v>
      </c>
      <c r="J85" s="1329"/>
      <c r="K85" s="1312"/>
      <c r="L85" s="1326">
        <f>IFERROR(INDEX('LFA Expenditure_7B imp-exp'!J$62:J$108,MATCH('LFA Expenditure_7B'!B85,'LFA Expenditure_7B imp-exp'!N$62:N$108,0)),"")</f>
        <v>139563.02728521</v>
      </c>
      <c r="M85" s="1327"/>
      <c r="N85" s="1326">
        <f t="shared" si="18"/>
        <v>139563.02728521</v>
      </c>
      <c r="O85" s="1330">
        <f t="shared" si="19"/>
        <v>0</v>
      </c>
      <c r="Q85" s="280"/>
      <c r="R85" s="280"/>
      <c r="S85" s="280"/>
      <c r="T85" s="280"/>
      <c r="U85" s="280"/>
      <c r="V85" s="280"/>
    </row>
    <row r="86" spans="1:26" ht="15" x14ac:dyDescent="0.2">
      <c r="A86" s="644" t="str">
        <f t="shared" si="15"/>
        <v>Show</v>
      </c>
      <c r="B86" s="644" t="s">
        <v>2456</v>
      </c>
      <c r="C86" s="969" t="str">
        <f>IFERROR(INDEX('LFA Expenditure_7B imp-exp'!A$62:A$108,MATCH('LFA Expenditure_7B'!B86,'LFA Expenditure_7B imp-exp'!N$62:N$108,0)),"")</f>
        <v>TB care and prevention</v>
      </c>
      <c r="D86" s="1335" t="str">
        <f>IFERROR(INDEX('LFA Expenditure_7B imp-exp'!B$62:B$108,MATCH('LFA Expenditure_7B'!B86,'LFA Expenditure_7B imp-exp'!N$62:N$108,0)),"")</f>
        <v>Key populations (TB care and prevention) - Prisoners</v>
      </c>
      <c r="E86" s="1326">
        <f>IFERROR(INDEX('LFA Expenditure_7B imp-exp'!C$62:C$108,MATCH('LFA Expenditure_7B'!B86,'LFA Expenditure_7B imp-exp'!N$62:N$108,0)),"")</f>
        <v>12086.9212520861</v>
      </c>
      <c r="F86" s="1326">
        <f>'PR Expenditure_7A'!F87</f>
        <v>2443.4799999999996</v>
      </c>
      <c r="G86" s="1327"/>
      <c r="H86" s="1326">
        <f t="shared" si="16"/>
        <v>9643.4412520861006</v>
      </c>
      <c r="I86" s="1328">
        <f t="shared" si="17"/>
        <v>0.20215900716472987</v>
      </c>
      <c r="J86" s="1329"/>
      <c r="K86" s="1312"/>
      <c r="L86" s="1326">
        <f>IFERROR(INDEX('LFA Expenditure_7B imp-exp'!J$62:J$108,MATCH('LFA Expenditure_7B'!B86,'LFA Expenditure_7B imp-exp'!N$62:N$108,0)),"")</f>
        <v>24173.8425041722</v>
      </c>
      <c r="M86" s="1327"/>
      <c r="N86" s="1326">
        <f t="shared" si="18"/>
        <v>24173.8425041722</v>
      </c>
      <c r="O86" s="1330">
        <f t="shared" si="19"/>
        <v>0</v>
      </c>
      <c r="Q86" s="280"/>
      <c r="R86" s="280"/>
      <c r="S86" s="280"/>
      <c r="T86" s="280"/>
      <c r="U86" s="280"/>
      <c r="V86" s="280"/>
    </row>
    <row r="87" spans="1:26" ht="15" x14ac:dyDescent="0.2">
      <c r="A87" s="644" t="str">
        <f t="shared" si="15"/>
        <v>Show</v>
      </c>
      <c r="B87" s="644" t="s">
        <v>2458</v>
      </c>
      <c r="C87" s="969" t="str">
        <f>IFERROR(INDEX('LFA Expenditure_7B imp-exp'!A$62:A$108,MATCH('LFA Expenditure_7B'!B87,'LFA Expenditure_7B imp-exp'!N$62:N$108,0)),"")</f>
        <v>TB care and prevention</v>
      </c>
      <c r="D87" s="1335" t="str">
        <f>IFERROR(INDEX('LFA Expenditure_7B imp-exp'!B$62:B$108,MATCH('LFA Expenditure_7B'!B87,'LFA Expenditure_7B imp-exp'!N$62:N$108,0)),"")</f>
        <v>Prevention</v>
      </c>
      <c r="E87" s="1326">
        <f>IFERROR(INDEX('LFA Expenditure_7B imp-exp'!C$62:C$108,MATCH('LFA Expenditure_7B'!B87,'LFA Expenditure_7B imp-exp'!N$62:N$108,0)),"")</f>
        <v>6342.4190506292398</v>
      </c>
      <c r="F87" s="1326">
        <f>'PR Expenditure_7A'!F88</f>
        <v>5973.34</v>
      </c>
      <c r="G87" s="1327"/>
      <c r="H87" s="1326">
        <f t="shared" si="16"/>
        <v>369.07905062923965</v>
      </c>
      <c r="I87" s="1328">
        <f t="shared" si="17"/>
        <v>0.94180784213672808</v>
      </c>
      <c r="J87" s="1329"/>
      <c r="K87" s="1312"/>
      <c r="L87" s="1326">
        <f>IFERROR(INDEX('LFA Expenditure_7B imp-exp'!J$62:J$108,MATCH('LFA Expenditure_7B'!B87,'LFA Expenditure_7B imp-exp'!N$62:N$108,0)),"")</f>
        <v>12684.8381012585</v>
      </c>
      <c r="M87" s="1327"/>
      <c r="N87" s="1326">
        <f t="shared" si="18"/>
        <v>12684.8381012585</v>
      </c>
      <c r="O87" s="1330">
        <f t="shared" si="19"/>
        <v>0</v>
      </c>
      <c r="Q87" s="280"/>
      <c r="R87" s="280"/>
      <c r="S87" s="280"/>
      <c r="T87" s="280"/>
      <c r="U87" s="280"/>
      <c r="V87" s="280"/>
    </row>
    <row r="88" spans="1:26" ht="15" x14ac:dyDescent="0.2">
      <c r="A88" s="644" t="str">
        <f t="shared" si="15"/>
        <v>Show</v>
      </c>
      <c r="B88" s="644" t="s">
        <v>2460</v>
      </c>
      <c r="C88" s="969" t="str">
        <f>IFERROR(INDEX('LFA Expenditure_7B imp-exp'!A$62:A$108,MATCH('LFA Expenditure_7B'!B88,'LFA Expenditure_7B imp-exp'!N$62:N$108,0)),"")</f>
        <v>TB care and prevention</v>
      </c>
      <c r="D88" s="1335" t="str">
        <f>IFERROR(INDEX('LFA Expenditure_7B imp-exp'!B$62:B$108,MATCH('LFA Expenditure_7B'!B88,'LFA Expenditure_7B imp-exp'!N$62:N$108,0)),"")</f>
        <v>Treatment</v>
      </c>
      <c r="E88" s="1326">
        <f>IFERROR(INDEX('LFA Expenditure_7B imp-exp'!C$62:C$108,MATCH('LFA Expenditure_7B'!B88,'LFA Expenditure_7B imp-exp'!N$62:N$108,0)),"")</f>
        <v>362592.288397895</v>
      </c>
      <c r="F88" s="1326">
        <f>'PR Expenditure_7A'!F89</f>
        <v>252743.04000000004</v>
      </c>
      <c r="G88" s="1327"/>
      <c r="H88" s="1326">
        <f t="shared" si="16"/>
        <v>109849.24839789496</v>
      </c>
      <c r="I88" s="1328">
        <f t="shared" si="17"/>
        <v>0.6970447196125954</v>
      </c>
      <c r="J88" s="1329"/>
      <c r="K88" s="1312"/>
      <c r="L88" s="1326">
        <f>IFERROR(INDEX('LFA Expenditure_7B imp-exp'!J$62:J$108,MATCH('LFA Expenditure_7B'!B88,'LFA Expenditure_7B imp-exp'!N$62:N$108,0)),"")</f>
        <v>725184.57679578895</v>
      </c>
      <c r="M88" s="1327"/>
      <c r="N88" s="1326">
        <f t="shared" si="18"/>
        <v>725184.57679578895</v>
      </c>
      <c r="O88" s="1330">
        <f t="shared" si="19"/>
        <v>0</v>
      </c>
      <c r="Q88" s="280"/>
      <c r="R88" s="280"/>
      <c r="S88" s="280"/>
      <c r="T88" s="280"/>
      <c r="U88" s="280"/>
      <c r="V88" s="280"/>
    </row>
    <row r="89" spans="1:26" ht="15" x14ac:dyDescent="0.2">
      <c r="A89" s="644" t="str">
        <f t="shared" ref="A89:A152" si="20">IF(C89&lt;&gt;"","Show","Don't Show")</f>
        <v>Show</v>
      </c>
      <c r="B89" s="644" t="s">
        <v>2462</v>
      </c>
      <c r="C89" s="969" t="str">
        <f>IFERROR(INDEX('LFA Expenditure_7B imp-exp'!A$62:A$108,MATCH('LFA Expenditure_7B'!B89,'LFA Expenditure_7B imp-exp'!N$62:N$108,0)),"")</f>
        <v>TB care and prevention</v>
      </c>
      <c r="D89" s="1335" t="str">
        <f>IFERROR(INDEX('LFA Expenditure_7B imp-exp'!B$62:B$108,MATCH('LFA Expenditure_7B'!B89,'LFA Expenditure_7B imp-exp'!N$62:N$108,0)),"")</f>
        <v>Community TB care delivery</v>
      </c>
      <c r="E89" s="1326">
        <f>IFERROR(INDEX('LFA Expenditure_7B imp-exp'!C$62:C$108,MATCH('LFA Expenditure_7B'!B89,'LFA Expenditure_7B imp-exp'!N$62:N$108,0)),"")</f>
        <v>22513.615614632101</v>
      </c>
      <c r="F89" s="1326">
        <f>'PR Expenditure_7A'!F90</f>
        <v>17042.030969260966</v>
      </c>
      <c r="G89" s="1327"/>
      <c r="H89" s="1326">
        <f t="shared" ref="H89:H152" si="21">IFERROR((E89)-(F89+G89),0)</f>
        <v>5471.5846453711347</v>
      </c>
      <c r="I89" s="1328">
        <f t="shared" ref="I89:I152" si="22">IF(AND((E89)=0,(F89+G89)=0),"N/A",IF(AND((E89)=0,(F89+G89)&lt;&gt;0),"Not Budgeted",(F89+G89)/(E89)))</f>
        <v>0.75696552970305531</v>
      </c>
      <c r="J89" s="1329"/>
      <c r="K89" s="1312"/>
      <c r="L89" s="1326">
        <f>IFERROR(INDEX('LFA Expenditure_7B imp-exp'!J$62:J$108,MATCH('LFA Expenditure_7B'!B89,'LFA Expenditure_7B imp-exp'!N$62:N$108,0)),"")</f>
        <v>48117.929468192102</v>
      </c>
      <c r="M89" s="1327"/>
      <c r="N89" s="1326">
        <f t="shared" ref="N89:N152" si="23">IFERROR(L89-M89,0)</f>
        <v>48117.929468192102</v>
      </c>
      <c r="O89" s="1330">
        <f t="shared" ref="O89:O152" si="24">IF(AND(L89=0,M89=0),"N/A",IF(AND(L89=0,M89&lt;&gt;0),"Not Budgeted",M89/L89))</f>
        <v>0</v>
      </c>
      <c r="Q89" s="280"/>
      <c r="R89" s="280"/>
      <c r="S89" s="280"/>
      <c r="T89" s="280"/>
      <c r="U89" s="280"/>
      <c r="V89" s="280"/>
    </row>
    <row r="90" spans="1:26" ht="15" x14ac:dyDescent="0.2">
      <c r="A90" s="644" t="str">
        <f t="shared" si="20"/>
        <v>Show</v>
      </c>
      <c r="B90" s="644" t="s">
        <v>2464</v>
      </c>
      <c r="C90" s="969" t="str">
        <f>IFERROR(INDEX('LFA Expenditure_7B imp-exp'!A$62:A$108,MATCH('LFA Expenditure_7B'!B90,'LFA Expenditure_7B imp-exp'!N$62:N$108,0)),"")</f>
        <v>RSSH: Health management information systems and M&amp;E</v>
      </c>
      <c r="D90" s="1335" t="str">
        <f>IFERROR(INDEX('LFA Expenditure_7B imp-exp'!B$62:B$108,MATCH('LFA Expenditure_7B'!B90,'LFA Expenditure_7B imp-exp'!N$62:N$108,0)),"")</f>
        <v>Analysis, review and transparency</v>
      </c>
      <c r="E90" s="1326">
        <f>IFERROR(INDEX('LFA Expenditure_7B imp-exp'!C$62:C$108,MATCH('LFA Expenditure_7B'!B90,'LFA Expenditure_7B imp-exp'!N$62:N$108,0)),"")</f>
        <v>175560.76264251501</v>
      </c>
      <c r="F90" s="1326">
        <f>'PR Expenditure_7A'!F91</f>
        <v>181664.87002959239</v>
      </c>
      <c r="G90" s="1327"/>
      <c r="H90" s="1326">
        <f t="shared" si="21"/>
        <v>-6104.1073870773835</v>
      </c>
      <c r="I90" s="1328">
        <f t="shared" si="22"/>
        <v>1.0347692006755909</v>
      </c>
      <c r="J90" s="1329"/>
      <c r="K90" s="1312"/>
      <c r="L90" s="1326">
        <f>IFERROR(INDEX('LFA Expenditure_7B imp-exp'!J$62:J$108,MATCH('LFA Expenditure_7B'!B90,'LFA Expenditure_7B imp-exp'!N$62:N$108,0)),"")</f>
        <v>449057.42519641097</v>
      </c>
      <c r="M90" s="1327"/>
      <c r="N90" s="1326">
        <f t="shared" si="23"/>
        <v>449057.42519641097</v>
      </c>
      <c r="O90" s="1330">
        <f t="shared" si="24"/>
        <v>0</v>
      </c>
      <c r="Q90" s="280"/>
      <c r="R90" s="280"/>
      <c r="S90" s="280"/>
      <c r="T90" s="280"/>
      <c r="U90" s="280"/>
      <c r="V90" s="280"/>
    </row>
    <row r="91" spans="1:26" ht="15" x14ac:dyDescent="0.2">
      <c r="A91" s="644" t="str">
        <f t="shared" si="20"/>
        <v>Show</v>
      </c>
      <c r="B91" s="644" t="s">
        <v>2466</v>
      </c>
      <c r="C91" s="969" t="str">
        <f>IFERROR(INDEX('LFA Expenditure_7B imp-exp'!A$62:A$108,MATCH('LFA Expenditure_7B'!B91,'LFA Expenditure_7B imp-exp'!N$62:N$108,0)),"")</f>
        <v>RSSH: Health management information systems and M&amp;E</v>
      </c>
      <c r="D91" s="1335" t="str">
        <f>IFERROR(INDEX('LFA Expenditure_7B imp-exp'!B$62:B$108,MATCH('LFA Expenditure_7B'!B91,'LFA Expenditure_7B imp-exp'!N$62:N$108,0)),"")</f>
        <v>Surveys</v>
      </c>
      <c r="E91" s="1326">
        <f>IFERROR(INDEX('LFA Expenditure_7B imp-exp'!C$62:C$108,MATCH('LFA Expenditure_7B'!B91,'LFA Expenditure_7B imp-exp'!N$62:N$108,0)),"")</f>
        <v>0</v>
      </c>
      <c r="F91" s="1326">
        <f>'PR Expenditure_7A'!F92</f>
        <v>0</v>
      </c>
      <c r="G91" s="1327"/>
      <c r="H91" s="1326">
        <f t="shared" si="21"/>
        <v>0</v>
      </c>
      <c r="I91" s="1328" t="str">
        <f t="shared" si="22"/>
        <v>N/A</v>
      </c>
      <c r="J91" s="1329"/>
      <c r="K91" s="1312"/>
      <c r="L91" s="1326">
        <f>IFERROR(INDEX('LFA Expenditure_7B imp-exp'!J$62:J$108,MATCH('LFA Expenditure_7B'!B91,'LFA Expenditure_7B imp-exp'!N$62:N$108,0)),"")</f>
        <v>128041.523258478</v>
      </c>
      <c r="M91" s="1327"/>
      <c r="N91" s="1326">
        <f t="shared" si="23"/>
        <v>128041.523258478</v>
      </c>
      <c r="O91" s="1330">
        <f t="shared" si="24"/>
        <v>0</v>
      </c>
      <c r="Q91" s="280"/>
      <c r="R91" s="280"/>
      <c r="S91" s="280"/>
      <c r="T91" s="280"/>
      <c r="U91" s="280"/>
      <c r="V91" s="280"/>
    </row>
    <row r="92" spans="1:26" ht="15" x14ac:dyDescent="0.2">
      <c r="A92" s="644" t="str">
        <f t="shared" si="20"/>
        <v>Show</v>
      </c>
      <c r="B92" s="644" t="s">
        <v>2467</v>
      </c>
      <c r="C92" s="969" t="str">
        <f>IFERROR(INDEX('LFA Expenditure_7B imp-exp'!A$62:A$108,MATCH('LFA Expenditure_7B'!B92,'LFA Expenditure_7B imp-exp'!N$62:N$108,0)),"")</f>
        <v>RSSH: Health management information systems and M&amp;E</v>
      </c>
      <c r="D92" s="1335" t="str">
        <f>IFERROR(INDEX('LFA Expenditure_7B imp-exp'!B$62:B$108,MATCH('LFA Expenditure_7B'!B92,'LFA Expenditure_7B imp-exp'!N$62:N$108,0)),"")</f>
        <v>Routine reporting</v>
      </c>
      <c r="E92" s="1326">
        <f>IFERROR(INDEX('LFA Expenditure_7B imp-exp'!C$62:C$108,MATCH('LFA Expenditure_7B'!B92,'LFA Expenditure_7B imp-exp'!N$62:N$108,0)),"")</f>
        <v>118885.63710887</v>
      </c>
      <c r="F92" s="1326">
        <f>'PR Expenditure_7A'!F93</f>
        <v>140238.6155567338</v>
      </c>
      <c r="G92" s="1327"/>
      <c r="H92" s="1326">
        <f t="shared" si="21"/>
        <v>-21352.978447863803</v>
      </c>
      <c r="I92" s="1328">
        <f t="shared" si="22"/>
        <v>1.1796094041899252</v>
      </c>
      <c r="J92" s="1329"/>
      <c r="K92" s="1312"/>
      <c r="L92" s="1326">
        <f>IFERROR(INDEX('LFA Expenditure_7B imp-exp'!J$62:J$108,MATCH('LFA Expenditure_7B'!B92,'LFA Expenditure_7B imp-exp'!N$62:N$108,0)),"")</f>
        <v>213212.718686804</v>
      </c>
      <c r="M92" s="1327"/>
      <c r="N92" s="1326">
        <f t="shared" si="23"/>
        <v>213212.718686804</v>
      </c>
      <c r="O92" s="1330">
        <f t="shared" si="24"/>
        <v>0</v>
      </c>
      <c r="Q92" s="280"/>
      <c r="R92" s="280"/>
      <c r="S92" s="280"/>
      <c r="T92" s="280"/>
      <c r="U92" s="280"/>
      <c r="V92" s="280"/>
    </row>
    <row r="93" spans="1:26" ht="15" x14ac:dyDescent="0.2">
      <c r="A93" s="644" t="str">
        <f t="shared" si="20"/>
        <v>Show</v>
      </c>
      <c r="B93" s="644" t="s">
        <v>2469</v>
      </c>
      <c r="C93" s="969" t="str">
        <f>IFERROR(INDEX('LFA Expenditure_7B imp-exp'!A$62:A$108,MATCH('LFA Expenditure_7B'!B93,'LFA Expenditure_7B imp-exp'!N$62:N$108,0)),"")</f>
        <v>MDR-TB</v>
      </c>
      <c r="D93" s="1335" t="str">
        <f>IFERROR(INDEX('LFA Expenditure_7B imp-exp'!B$62:B$108,MATCH('LFA Expenditure_7B'!B93,'LFA Expenditure_7B imp-exp'!N$62:N$108,0)),"")</f>
        <v>Treatment: MDR-TB</v>
      </c>
      <c r="E93" s="1326">
        <f>IFERROR(INDEX('LFA Expenditure_7B imp-exp'!C$62:C$108,MATCH('LFA Expenditure_7B'!B93,'LFA Expenditure_7B imp-exp'!N$62:N$108,0)),"")</f>
        <v>297453.14335106098</v>
      </c>
      <c r="F93" s="1326">
        <f>'PR Expenditure_7A'!F94</f>
        <v>102144.93536585367</v>
      </c>
      <c r="G93" s="1327"/>
      <c r="H93" s="1326">
        <f t="shared" si="21"/>
        <v>195308.20798520732</v>
      </c>
      <c r="I93" s="1328">
        <f t="shared" si="22"/>
        <v>0.34339840626696583</v>
      </c>
      <c r="J93" s="1329"/>
      <c r="K93" s="1312"/>
      <c r="L93" s="1326">
        <f>IFERROR(INDEX('LFA Expenditure_7B imp-exp'!J$62:J$108,MATCH('LFA Expenditure_7B'!B93,'LFA Expenditure_7B imp-exp'!N$62:N$108,0)),"")</f>
        <v>590424.82335148798</v>
      </c>
      <c r="M93" s="1327"/>
      <c r="N93" s="1326">
        <f t="shared" si="23"/>
        <v>590424.82335148798</v>
      </c>
      <c r="O93" s="1330">
        <f t="shared" si="24"/>
        <v>0</v>
      </c>
      <c r="Q93" s="280"/>
      <c r="R93" s="280"/>
      <c r="S93" s="280"/>
      <c r="T93" s="280"/>
      <c r="U93" s="280"/>
      <c r="V93" s="280"/>
    </row>
    <row r="94" spans="1:26" ht="15" x14ac:dyDescent="0.2">
      <c r="A94" s="644" t="str">
        <f t="shared" si="20"/>
        <v>Show</v>
      </c>
      <c r="B94" s="644" t="s">
        <v>2471</v>
      </c>
      <c r="C94" s="969" t="str">
        <f>IFERROR(INDEX('LFA Expenditure_7B imp-exp'!A$62:A$108,MATCH('LFA Expenditure_7B'!B94,'LFA Expenditure_7B imp-exp'!N$62:N$108,0)),"")</f>
        <v>TB/HIV</v>
      </c>
      <c r="D94" s="1335" t="str">
        <f>IFERROR(INDEX('LFA Expenditure_7B imp-exp'!B$62:B$108,MATCH('LFA Expenditure_7B'!B94,'LFA Expenditure_7B imp-exp'!N$62:N$108,0)),"")</f>
        <v>TB/HIV collaborative interventions</v>
      </c>
      <c r="E94" s="1326">
        <f>IFERROR(INDEX('LFA Expenditure_7B imp-exp'!C$62:C$108,MATCH('LFA Expenditure_7B'!B94,'LFA Expenditure_7B imp-exp'!N$62:N$108,0)),"")</f>
        <v>151021.356975537</v>
      </c>
      <c r="F94" s="1326">
        <f>'PR Expenditure_7A'!F95</f>
        <v>118117.4</v>
      </c>
      <c r="G94" s="1327"/>
      <c r="H94" s="1326">
        <f t="shared" si="21"/>
        <v>32903.956975537003</v>
      </c>
      <c r="I94" s="1328">
        <f t="shared" si="22"/>
        <v>0.78212381589931745</v>
      </c>
      <c r="J94" s="1329"/>
      <c r="K94" s="1312"/>
      <c r="L94" s="1326">
        <f>IFERROR(INDEX('LFA Expenditure_7B imp-exp'!J$62:J$108,MATCH('LFA Expenditure_7B'!B94,'LFA Expenditure_7B imp-exp'!N$62:N$108,0)),"")</f>
        <v>325068.86107999401</v>
      </c>
      <c r="M94" s="1327"/>
      <c r="N94" s="1326">
        <f t="shared" si="23"/>
        <v>325068.86107999401</v>
      </c>
      <c r="O94" s="1330">
        <f t="shared" si="24"/>
        <v>0</v>
      </c>
      <c r="Q94" s="280"/>
      <c r="R94" s="280"/>
      <c r="S94" s="280"/>
      <c r="T94" s="280"/>
      <c r="U94" s="280"/>
      <c r="V94" s="280"/>
    </row>
    <row r="95" spans="1:26" ht="15" x14ac:dyDescent="0.2">
      <c r="A95" s="644" t="str">
        <f t="shared" si="20"/>
        <v>Show</v>
      </c>
      <c r="B95" s="644" t="s">
        <v>2473</v>
      </c>
      <c r="C95" s="969" t="str">
        <f>IFERROR(INDEX('LFA Expenditure_7B imp-exp'!A$62:A$108,MATCH('LFA Expenditure_7B'!B95,'LFA Expenditure_7B imp-exp'!N$62:N$108,0)),"")</f>
        <v>Program management</v>
      </c>
      <c r="D95" s="1335" t="str">
        <f>IFERROR(INDEX('LFA Expenditure_7B imp-exp'!B$62:B$108,MATCH('LFA Expenditure_7B'!B95,'LFA Expenditure_7B imp-exp'!N$62:N$108,0)),"")</f>
        <v>Grant management</v>
      </c>
      <c r="E95" s="1326">
        <f>IFERROR(INDEX('LFA Expenditure_7B imp-exp'!C$62:C$108,MATCH('LFA Expenditure_7B'!B95,'LFA Expenditure_7B imp-exp'!N$62:N$108,0)),"")</f>
        <v>2068169.66294363</v>
      </c>
      <c r="F95" s="1326">
        <f>'PR Expenditure_7A'!F96</f>
        <v>2117930.1342065446</v>
      </c>
      <c r="G95" s="1327"/>
      <c r="H95" s="1326">
        <f t="shared" si="21"/>
        <v>-49760.471262914594</v>
      </c>
      <c r="I95" s="1328">
        <f t="shared" si="22"/>
        <v>1.0240601494908741</v>
      </c>
      <c r="J95" s="1329"/>
      <c r="K95" s="1312"/>
      <c r="L95" s="1326">
        <f>IFERROR(INDEX('LFA Expenditure_7B imp-exp'!J$62:J$108,MATCH('LFA Expenditure_7B'!B95,'LFA Expenditure_7B imp-exp'!N$62:N$108,0)),"")</f>
        <v>4033977.12654887</v>
      </c>
      <c r="M95" s="1327"/>
      <c r="N95" s="1326">
        <f t="shared" si="23"/>
        <v>4033977.12654887</v>
      </c>
      <c r="O95" s="1330">
        <f t="shared" si="24"/>
        <v>0</v>
      </c>
      <c r="Q95" s="280"/>
      <c r="R95" s="280"/>
      <c r="S95" s="280"/>
      <c r="T95" s="280"/>
      <c r="U95" s="280"/>
      <c r="V95" s="280"/>
    </row>
    <row r="96" spans="1:26" ht="25.5" x14ac:dyDescent="0.2">
      <c r="A96" s="644" t="str">
        <f t="shared" si="20"/>
        <v>Show</v>
      </c>
      <c r="B96" s="644" t="s">
        <v>2475</v>
      </c>
      <c r="C96" s="969" t="str">
        <f>IFERROR(INDEX('LFA Expenditure_7B imp-exp'!A$62:A$108,MATCH('LFA Expenditure_7B'!B96,'LFA Expenditure_7B imp-exp'!N$62:N$108,0)),"")</f>
        <v>Program management</v>
      </c>
      <c r="D96" s="1335" t="str">
        <f>IFERROR(INDEX('LFA Expenditure_7B imp-exp'!B$62:B$108,MATCH('LFA Expenditure_7B'!B96,'LFA Expenditure_7B imp-exp'!N$62:N$108,0)),"")</f>
        <v>Policy, planning, coordination and management of national disease control programs</v>
      </c>
      <c r="E96" s="1326">
        <f>IFERROR(INDEX('LFA Expenditure_7B imp-exp'!C$62:C$108,MATCH('LFA Expenditure_7B'!B96,'LFA Expenditure_7B imp-exp'!N$62:N$108,0)),"")</f>
        <v>210578.60347420399</v>
      </c>
      <c r="F96" s="1326">
        <f>'PR Expenditure_7A'!F97</f>
        <v>218759.27450354589</v>
      </c>
      <c r="G96" s="1327"/>
      <c r="H96" s="1326">
        <f t="shared" si="21"/>
        <v>-8180.6710293419019</v>
      </c>
      <c r="I96" s="1328">
        <f t="shared" si="22"/>
        <v>1.0388485387136877</v>
      </c>
      <c r="J96" s="1329"/>
      <c r="K96" s="1312"/>
      <c r="L96" s="1326">
        <f>IFERROR(INDEX('LFA Expenditure_7B imp-exp'!J$62:J$108,MATCH('LFA Expenditure_7B'!B96,'LFA Expenditure_7B imp-exp'!N$62:N$108,0)),"")</f>
        <v>420409.07916637498</v>
      </c>
      <c r="M96" s="1327"/>
      <c r="N96" s="1326">
        <f t="shared" si="23"/>
        <v>420409.07916637498</v>
      </c>
      <c r="O96" s="1330">
        <f t="shared" si="24"/>
        <v>0</v>
      </c>
      <c r="Q96" s="280"/>
      <c r="R96" s="280"/>
      <c r="S96" s="280"/>
      <c r="T96" s="280"/>
      <c r="U96" s="280"/>
      <c r="V96" s="280"/>
    </row>
    <row r="97" spans="1:22" ht="25.5" x14ac:dyDescent="0.2">
      <c r="A97" s="644" t="str">
        <f t="shared" si="20"/>
        <v>Show</v>
      </c>
      <c r="B97" s="644" t="s">
        <v>2477</v>
      </c>
      <c r="C97" s="969" t="str">
        <f>IFERROR(INDEX('LFA Expenditure_7B imp-exp'!A$62:A$108,MATCH('LFA Expenditure_7B'!B97,'LFA Expenditure_7B imp-exp'!N$62:N$108,0)),"")</f>
        <v>PMTCT</v>
      </c>
      <c r="D97" s="1335" t="str">
        <f>IFERROR(INDEX('LFA Expenditure_7B imp-exp'!B$62:B$108,MATCH('LFA Expenditure_7B'!B97,'LFA Expenditure_7B imp-exp'!N$62:N$108,0)),"")</f>
        <v>Prong 1: Primary prevention of HIV infection among women of childbearing age</v>
      </c>
      <c r="E97" s="1326">
        <f>IFERROR(INDEX('LFA Expenditure_7B imp-exp'!C$62:C$108,MATCH('LFA Expenditure_7B'!B97,'LFA Expenditure_7B imp-exp'!N$62:N$108,0)),"")</f>
        <v>13826.315722405699</v>
      </c>
      <c r="F97" s="1326">
        <f>'PR Expenditure_7A'!F98</f>
        <v>12008.6</v>
      </c>
      <c r="G97" s="1327"/>
      <c r="H97" s="1326">
        <f t="shared" si="21"/>
        <v>1817.7157224056991</v>
      </c>
      <c r="I97" s="1328">
        <f t="shared" si="22"/>
        <v>0.86853217018181705</v>
      </c>
      <c r="J97" s="1329"/>
      <c r="K97" s="1312"/>
      <c r="L97" s="1326">
        <f>IFERROR(INDEX('LFA Expenditure_7B imp-exp'!J$62:J$108,MATCH('LFA Expenditure_7B'!B97,'LFA Expenditure_7B imp-exp'!N$62:N$108,0)),"")</f>
        <v>27652.631444811399</v>
      </c>
      <c r="M97" s="1327"/>
      <c r="N97" s="1326">
        <f t="shared" si="23"/>
        <v>27652.631444811399</v>
      </c>
      <c r="O97" s="1330">
        <f t="shared" si="24"/>
        <v>0</v>
      </c>
      <c r="Q97" s="280"/>
      <c r="R97" s="280"/>
      <c r="S97" s="280"/>
      <c r="T97" s="280"/>
      <c r="U97" s="280"/>
      <c r="V97" s="280"/>
    </row>
    <row r="98" spans="1:22" ht="15" x14ac:dyDescent="0.2">
      <c r="A98" s="644" t="str">
        <f t="shared" si="20"/>
        <v>Show</v>
      </c>
      <c r="B98" s="644" t="s">
        <v>2479</v>
      </c>
      <c r="C98" s="969" t="str">
        <f>IFERROR(INDEX('LFA Expenditure_7B imp-exp'!A$62:A$108,MATCH('LFA Expenditure_7B'!B98,'LFA Expenditure_7B imp-exp'!N$62:N$108,0)),"")</f>
        <v>PMTCT</v>
      </c>
      <c r="D98" s="1335" t="str">
        <f>IFERROR(INDEX('LFA Expenditure_7B imp-exp'!B$62:B$108,MATCH('LFA Expenditure_7B'!B98,'LFA Expenditure_7B imp-exp'!N$62:N$108,0)),"")</f>
        <v>Prong 3: Preventing vertical HIV transmission</v>
      </c>
      <c r="E98" s="1326">
        <f>IFERROR(INDEX('LFA Expenditure_7B imp-exp'!C$62:C$108,MATCH('LFA Expenditure_7B'!B98,'LFA Expenditure_7B imp-exp'!N$62:N$108,0)),"")</f>
        <v>176767.48</v>
      </c>
      <c r="F98" s="1326">
        <f>'PR Expenditure_7A'!F99</f>
        <v>413448.15</v>
      </c>
      <c r="G98" s="1327"/>
      <c r="H98" s="1326">
        <f t="shared" si="21"/>
        <v>-236680.67</v>
      </c>
      <c r="I98" s="1328">
        <f t="shared" si="22"/>
        <v>2.3389378521433919</v>
      </c>
      <c r="J98" s="1329"/>
      <c r="K98" s="1312"/>
      <c r="L98" s="1326">
        <f>IFERROR(INDEX('LFA Expenditure_7B imp-exp'!J$62:J$108,MATCH('LFA Expenditure_7B'!B98,'LFA Expenditure_7B imp-exp'!N$62:N$108,0)),"")</f>
        <v>575943.01959726296</v>
      </c>
      <c r="M98" s="1327"/>
      <c r="N98" s="1326">
        <f t="shared" si="23"/>
        <v>575943.01959726296</v>
      </c>
      <c r="O98" s="1330">
        <f t="shared" si="24"/>
        <v>0</v>
      </c>
      <c r="Q98" s="280"/>
      <c r="R98" s="280"/>
      <c r="S98" s="280"/>
      <c r="T98" s="280"/>
      <c r="U98" s="280"/>
      <c r="V98" s="280"/>
    </row>
    <row r="99" spans="1:22" ht="25.5" x14ac:dyDescent="0.2">
      <c r="A99" s="644" t="str">
        <f t="shared" si="20"/>
        <v>Show</v>
      </c>
      <c r="B99" s="644" t="s">
        <v>2481</v>
      </c>
      <c r="C99" s="969" t="str">
        <f>IFERROR(INDEX('LFA Expenditure_7B imp-exp'!A$62:A$108,MATCH('LFA Expenditure_7B'!B99,'LFA Expenditure_7B imp-exp'!N$62:N$108,0)),"")</f>
        <v>PMTCT</v>
      </c>
      <c r="D99" s="1335" t="str">
        <f>IFERROR(INDEX('LFA Expenditure_7B imp-exp'!B$62:B$108,MATCH('LFA Expenditure_7B'!B99,'LFA Expenditure_7B imp-exp'!N$62:N$108,0)),"")</f>
        <v>Prong 4: Treatment, care and support to mothers living with HIV, their children and families</v>
      </c>
      <c r="E99" s="1326">
        <f>IFERROR(INDEX('LFA Expenditure_7B imp-exp'!C$62:C$108,MATCH('LFA Expenditure_7B'!B99,'LFA Expenditure_7B imp-exp'!N$62:N$108,0)),"")</f>
        <v>14639.026747600299</v>
      </c>
      <c r="F99" s="1326">
        <f>'PR Expenditure_7A'!F100</f>
        <v>58267.939999999995</v>
      </c>
      <c r="G99" s="1327"/>
      <c r="H99" s="1326">
        <f t="shared" si="21"/>
        <v>-43628.913252399696</v>
      </c>
      <c r="I99" s="1328">
        <f t="shared" si="22"/>
        <v>3.9803151537756127</v>
      </c>
      <c r="J99" s="1329"/>
      <c r="K99" s="1312"/>
      <c r="L99" s="1326">
        <f>IFERROR(INDEX('LFA Expenditure_7B imp-exp'!J$62:J$108,MATCH('LFA Expenditure_7B'!B99,'LFA Expenditure_7B imp-exp'!N$62:N$108,0)),"")</f>
        <v>77457.410006417602</v>
      </c>
      <c r="M99" s="1327"/>
      <c r="N99" s="1326">
        <f t="shared" si="23"/>
        <v>77457.410006417602</v>
      </c>
      <c r="O99" s="1330">
        <f t="shared" si="24"/>
        <v>0</v>
      </c>
      <c r="Q99" s="280"/>
      <c r="R99" s="280"/>
      <c r="S99" s="280"/>
      <c r="T99" s="280"/>
      <c r="U99" s="280"/>
      <c r="V99" s="280"/>
    </row>
    <row r="100" spans="1:22" ht="15" x14ac:dyDescent="0.2">
      <c r="A100" s="644" t="str">
        <f t="shared" si="20"/>
        <v>Show</v>
      </c>
      <c r="B100" s="644" t="s">
        <v>2483</v>
      </c>
      <c r="C100" s="969" t="str">
        <f>IFERROR(INDEX('LFA Expenditure_7B imp-exp'!A$62:A$108,MATCH('LFA Expenditure_7B'!B100,'LFA Expenditure_7B imp-exp'!N$62:N$108,0)),"")</f>
        <v>Prevention programs for general population</v>
      </c>
      <c r="D100" s="1335" t="str">
        <f>IFERROR(INDEX('LFA Expenditure_7B imp-exp'!B$62:B$108,MATCH('LFA Expenditure_7B'!B100,'LFA Expenditure_7B imp-exp'!N$62:N$108,0)),"")</f>
        <v>Other intervention(s) for general population</v>
      </c>
      <c r="E100" s="1326">
        <f>IFERROR(INDEX('LFA Expenditure_7B imp-exp'!C$62:C$108,MATCH('LFA Expenditure_7B'!B100,'LFA Expenditure_7B imp-exp'!N$62:N$108,0)),"")</f>
        <v>227549.03827324999</v>
      </c>
      <c r="F100" s="1326">
        <f>'PR Expenditure_7A'!F101</f>
        <v>347243.30778366921</v>
      </c>
      <c r="G100" s="1327"/>
      <c r="H100" s="1326">
        <f t="shared" si="21"/>
        <v>-119694.26951041922</v>
      </c>
      <c r="I100" s="1328">
        <f t="shared" si="22"/>
        <v>1.5260152730976853</v>
      </c>
      <c r="J100" s="1329"/>
      <c r="K100" s="1312"/>
      <c r="L100" s="1326">
        <f>IFERROR(INDEX('LFA Expenditure_7B imp-exp'!J$62:J$108,MATCH('LFA Expenditure_7B'!B100,'LFA Expenditure_7B imp-exp'!N$62:N$108,0)),"")</f>
        <v>421062.39837243198</v>
      </c>
      <c r="M100" s="1327"/>
      <c r="N100" s="1326">
        <f t="shared" si="23"/>
        <v>421062.39837243198</v>
      </c>
      <c r="O100" s="1330">
        <f t="shared" si="24"/>
        <v>0</v>
      </c>
      <c r="Q100" s="280"/>
      <c r="R100" s="280"/>
      <c r="S100" s="280"/>
      <c r="T100" s="280"/>
      <c r="U100" s="280"/>
      <c r="V100" s="280"/>
    </row>
    <row r="101" spans="1:22" ht="15" x14ac:dyDescent="0.2">
      <c r="A101" s="644" t="str">
        <f t="shared" si="20"/>
        <v>Show</v>
      </c>
      <c r="B101" s="644" t="s">
        <v>2485</v>
      </c>
      <c r="C101" s="969" t="str">
        <f>IFERROR(INDEX('LFA Expenditure_7B imp-exp'!A$62:A$108,MATCH('LFA Expenditure_7B'!B101,'LFA Expenditure_7B imp-exp'!N$62:N$108,0)),"")</f>
        <v>PMTCT</v>
      </c>
      <c r="D101" s="1335" t="str">
        <f>IFERROR(INDEX('LFA Expenditure_7B imp-exp'!B$62:B$108,MATCH('LFA Expenditure_7B'!B101,'LFA Expenditure_7B imp-exp'!N$62:N$108,0)),"")</f>
        <v>Other intervention(s) for PMTCT</v>
      </c>
      <c r="E101" s="1326">
        <f>IFERROR(INDEX('LFA Expenditure_7B imp-exp'!C$62:C$108,MATCH('LFA Expenditure_7B'!B101,'LFA Expenditure_7B imp-exp'!N$62:N$108,0)),"")</f>
        <v>0</v>
      </c>
      <c r="F101" s="1326">
        <f>'PR Expenditure_7A'!F102</f>
        <v>5200.8999999999996</v>
      </c>
      <c r="G101" s="1327"/>
      <c r="H101" s="1326">
        <f t="shared" si="21"/>
        <v>-5200.8999999999996</v>
      </c>
      <c r="I101" s="1328" t="str">
        <f t="shared" si="22"/>
        <v>Not Budgeted</v>
      </c>
      <c r="J101" s="1329"/>
      <c r="K101" s="1312"/>
      <c r="L101" s="1326">
        <f>IFERROR(INDEX('LFA Expenditure_7B imp-exp'!J$62:J$108,MATCH('LFA Expenditure_7B'!B101,'LFA Expenditure_7B imp-exp'!N$62:N$108,0)),"")</f>
        <v>9533.6468086751993</v>
      </c>
      <c r="M101" s="1327"/>
      <c r="N101" s="1326">
        <f t="shared" si="23"/>
        <v>9533.6468086751993</v>
      </c>
      <c r="O101" s="1330">
        <f t="shared" si="24"/>
        <v>0</v>
      </c>
      <c r="Q101" s="280"/>
      <c r="R101" s="280"/>
      <c r="S101" s="280"/>
      <c r="T101" s="280"/>
      <c r="U101" s="280"/>
      <c r="V101" s="280"/>
    </row>
    <row r="102" spans="1:22" ht="15" x14ac:dyDescent="0.2">
      <c r="A102" s="644" t="str">
        <f t="shared" si="20"/>
        <v>Show</v>
      </c>
      <c r="B102" s="644" t="s">
        <v>2487</v>
      </c>
      <c r="C102" s="969" t="str">
        <f>IFERROR(INDEX('LFA Expenditure_7B imp-exp'!A$62:A$108,MATCH('LFA Expenditure_7B'!B102,'LFA Expenditure_7B imp-exp'!N$62:N$108,0)),"")</f>
        <v>Comprehensive prevention programs for MSM</v>
      </c>
      <c r="D102" s="1335" t="str">
        <f>IFERROR(INDEX('LFA Expenditure_7B imp-exp'!B$62:B$108,MATCH('LFA Expenditure_7B'!B102,'LFA Expenditure_7B imp-exp'!N$62:N$108,0)),"")</f>
        <v>Behavioral interventions for MSM</v>
      </c>
      <c r="E102" s="1326">
        <f>IFERROR(INDEX('LFA Expenditure_7B imp-exp'!C$62:C$108,MATCH('LFA Expenditure_7B'!B102,'LFA Expenditure_7B imp-exp'!N$62:N$108,0)),"")</f>
        <v>4453.6914865036897</v>
      </c>
      <c r="F102" s="1326">
        <f>'PR Expenditure_7A'!F103</f>
        <v>1122.6199999999999</v>
      </c>
      <c r="G102" s="1327"/>
      <c r="H102" s="1326">
        <f t="shared" si="21"/>
        <v>3331.0714865036898</v>
      </c>
      <c r="I102" s="1328">
        <f t="shared" si="22"/>
        <v>0.25206505735791268</v>
      </c>
      <c r="J102" s="1329"/>
      <c r="K102" s="1312"/>
      <c r="L102" s="1326">
        <f>IFERROR(INDEX('LFA Expenditure_7B imp-exp'!J$62:J$108,MATCH('LFA Expenditure_7B'!B102,'LFA Expenditure_7B imp-exp'!N$62:N$108,0)),"")</f>
        <v>8907.3829730073794</v>
      </c>
      <c r="M102" s="1327"/>
      <c r="N102" s="1326">
        <f t="shared" si="23"/>
        <v>8907.3829730073794</v>
      </c>
      <c r="O102" s="1330">
        <f t="shared" si="24"/>
        <v>0</v>
      </c>
      <c r="Q102" s="280"/>
      <c r="R102" s="280"/>
      <c r="S102" s="280"/>
      <c r="T102" s="280"/>
      <c r="U102" s="280"/>
      <c r="V102" s="280"/>
    </row>
    <row r="103" spans="1:22" ht="15" x14ac:dyDescent="0.2">
      <c r="A103" s="644" t="str">
        <f t="shared" si="20"/>
        <v>Show</v>
      </c>
      <c r="B103" s="644" t="s">
        <v>2489</v>
      </c>
      <c r="C103" s="969" t="str">
        <f>IFERROR(INDEX('LFA Expenditure_7B imp-exp'!A$62:A$108,MATCH('LFA Expenditure_7B'!B103,'LFA Expenditure_7B imp-exp'!N$62:N$108,0)),"")</f>
        <v>Comprehensive prevention programs for MSM</v>
      </c>
      <c r="D103" s="1335" t="str">
        <f>IFERROR(INDEX('LFA Expenditure_7B imp-exp'!B$62:B$108,MATCH('LFA Expenditure_7B'!B103,'LFA Expenditure_7B imp-exp'!N$62:N$108,0)),"")</f>
        <v>Condoms and lubricant programming for MSM</v>
      </c>
      <c r="E103" s="1326">
        <f>IFERROR(INDEX('LFA Expenditure_7B imp-exp'!C$62:C$108,MATCH('LFA Expenditure_7B'!B103,'LFA Expenditure_7B imp-exp'!N$62:N$108,0)),"")</f>
        <v>38928.9939290701</v>
      </c>
      <c r="F103" s="1326">
        <f>'PR Expenditure_7A'!F104</f>
        <v>0</v>
      </c>
      <c r="G103" s="1327"/>
      <c r="H103" s="1326">
        <f t="shared" si="21"/>
        <v>38928.9939290701</v>
      </c>
      <c r="I103" s="1328">
        <f t="shared" si="22"/>
        <v>0</v>
      </c>
      <c r="J103" s="1329"/>
      <c r="K103" s="1312"/>
      <c r="L103" s="1326">
        <f>IFERROR(INDEX('LFA Expenditure_7B imp-exp'!J$62:J$108,MATCH('LFA Expenditure_7B'!B103,'LFA Expenditure_7B imp-exp'!N$62:N$108,0)),"")</f>
        <v>43468.0869686402</v>
      </c>
      <c r="M103" s="1327"/>
      <c r="N103" s="1326">
        <f t="shared" si="23"/>
        <v>43468.0869686402</v>
      </c>
      <c r="O103" s="1330">
        <f t="shared" si="24"/>
        <v>0</v>
      </c>
      <c r="Q103" s="280"/>
      <c r="R103" s="280"/>
      <c r="S103" s="280"/>
      <c r="T103" s="280"/>
      <c r="U103" s="280"/>
      <c r="V103" s="280"/>
    </row>
    <row r="104" spans="1:22" ht="15" x14ac:dyDescent="0.2">
      <c r="A104" s="644" t="str">
        <f t="shared" si="20"/>
        <v>Show</v>
      </c>
      <c r="B104" s="644" t="s">
        <v>2491</v>
      </c>
      <c r="C104" s="969" t="str">
        <f>IFERROR(INDEX('LFA Expenditure_7B imp-exp'!A$62:A$108,MATCH('LFA Expenditure_7B'!B104,'LFA Expenditure_7B imp-exp'!N$62:N$108,0)),"")</f>
        <v>Comprehensive prevention programs for MSM</v>
      </c>
      <c r="D104" s="1335" t="str">
        <f>IFERROR(INDEX('LFA Expenditure_7B imp-exp'!B$62:B$108,MATCH('LFA Expenditure_7B'!B104,'LFA Expenditure_7B imp-exp'!N$62:N$108,0)),"")</f>
        <v>Other intervention(s) for MSM</v>
      </c>
      <c r="E104" s="1326">
        <f>IFERROR(INDEX('LFA Expenditure_7B imp-exp'!C$62:C$108,MATCH('LFA Expenditure_7B'!B104,'LFA Expenditure_7B imp-exp'!N$62:N$108,0)),"")</f>
        <v>31009.459375594099</v>
      </c>
      <c r="F104" s="1326">
        <f>'PR Expenditure_7A'!F105</f>
        <v>17771.023684721076</v>
      </c>
      <c r="G104" s="1327"/>
      <c r="H104" s="1326">
        <f t="shared" si="21"/>
        <v>13238.435690873022</v>
      </c>
      <c r="I104" s="1328">
        <f t="shared" si="22"/>
        <v>0.57308395704272441</v>
      </c>
      <c r="J104" s="1329"/>
      <c r="K104" s="1312"/>
      <c r="L104" s="1326">
        <f>IFERROR(INDEX('LFA Expenditure_7B imp-exp'!J$62:J$108,MATCH('LFA Expenditure_7B'!B104,'LFA Expenditure_7B imp-exp'!N$62:N$108,0)),"")</f>
        <v>62018.918751188197</v>
      </c>
      <c r="M104" s="1327"/>
      <c r="N104" s="1326">
        <f t="shared" si="23"/>
        <v>62018.918751188197</v>
      </c>
      <c r="O104" s="1330">
        <f t="shared" si="24"/>
        <v>0</v>
      </c>
      <c r="Q104" s="280"/>
      <c r="R104" s="280"/>
      <c r="S104" s="280"/>
      <c r="T104" s="280"/>
      <c r="U104" s="280"/>
      <c r="V104" s="280"/>
    </row>
    <row r="105" spans="1:22" ht="25.5" x14ac:dyDescent="0.2">
      <c r="A105" s="644" t="str">
        <f t="shared" si="20"/>
        <v>Show</v>
      </c>
      <c r="B105" s="644" t="s">
        <v>2493</v>
      </c>
      <c r="C105" s="969" t="str">
        <f>IFERROR(INDEX('LFA Expenditure_7B imp-exp'!A$62:A$108,MATCH('LFA Expenditure_7B'!B105,'LFA Expenditure_7B imp-exp'!N$62:N$108,0)),"")</f>
        <v>Comprehensive prevention programs for sex workers and their clients</v>
      </c>
      <c r="D105" s="1335" t="str">
        <f>IFERROR(INDEX('LFA Expenditure_7B imp-exp'!B$62:B$108,MATCH('LFA Expenditure_7B'!B105,'LFA Expenditure_7B imp-exp'!N$62:N$108,0)),"")</f>
        <v>Behavioral interventions for sex workers</v>
      </c>
      <c r="E105" s="1326">
        <f>IFERROR(INDEX('LFA Expenditure_7B imp-exp'!C$62:C$108,MATCH('LFA Expenditure_7B'!B105,'LFA Expenditure_7B imp-exp'!N$62:N$108,0)),"")</f>
        <v>7127.7766950406804</v>
      </c>
      <c r="F105" s="1326">
        <f>'PR Expenditure_7A'!F106</f>
        <v>2399.38</v>
      </c>
      <c r="G105" s="1327"/>
      <c r="H105" s="1326">
        <f t="shared" si="21"/>
        <v>4728.3966950406802</v>
      </c>
      <c r="I105" s="1328">
        <f t="shared" si="22"/>
        <v>0.33662390148521709</v>
      </c>
      <c r="J105" s="1329"/>
      <c r="K105" s="1312"/>
      <c r="L105" s="1326">
        <f>IFERROR(INDEX('LFA Expenditure_7B imp-exp'!J$62:J$108,MATCH('LFA Expenditure_7B'!B105,'LFA Expenditure_7B imp-exp'!N$62:N$108,0)),"")</f>
        <v>14255.553390081401</v>
      </c>
      <c r="M105" s="1327"/>
      <c r="N105" s="1326">
        <f t="shared" si="23"/>
        <v>14255.553390081401</v>
      </c>
      <c r="O105" s="1330">
        <f t="shared" si="24"/>
        <v>0</v>
      </c>
      <c r="Q105" s="280"/>
      <c r="R105" s="280"/>
      <c r="S105" s="280"/>
      <c r="T105" s="280"/>
      <c r="U105" s="280"/>
      <c r="V105" s="280"/>
    </row>
    <row r="106" spans="1:22" ht="25.5" x14ac:dyDescent="0.2">
      <c r="A106" s="644" t="str">
        <f t="shared" si="20"/>
        <v>Show</v>
      </c>
      <c r="B106" s="644" t="s">
        <v>2495</v>
      </c>
      <c r="C106" s="969" t="str">
        <f>IFERROR(INDEX('LFA Expenditure_7B imp-exp'!A$62:A$108,MATCH('LFA Expenditure_7B'!B106,'LFA Expenditure_7B imp-exp'!N$62:N$108,0)),"")</f>
        <v>Comprehensive prevention programs for sex workers and their clients</v>
      </c>
      <c r="D106" s="1335" t="str">
        <f>IFERROR(INDEX('LFA Expenditure_7B imp-exp'!B$62:B$108,MATCH('LFA Expenditure_7B'!B106,'LFA Expenditure_7B imp-exp'!N$62:N$108,0)),"")</f>
        <v>Condoms and lubricant programming for sex workers</v>
      </c>
      <c r="E106" s="1326">
        <f>IFERROR(INDEX('LFA Expenditure_7B imp-exp'!C$62:C$108,MATCH('LFA Expenditure_7B'!B106,'LFA Expenditure_7B imp-exp'!N$62:N$108,0)),"")</f>
        <v>622985.52204536099</v>
      </c>
      <c r="F106" s="1326">
        <f>'PR Expenditure_7A'!F107</f>
        <v>13961.495184609677</v>
      </c>
      <c r="G106" s="1327"/>
      <c r="H106" s="1326">
        <f t="shared" si="21"/>
        <v>609024.02686075133</v>
      </c>
      <c r="I106" s="1328">
        <f t="shared" si="22"/>
        <v>2.2410625432789929E-2</v>
      </c>
      <c r="J106" s="1329"/>
      <c r="K106" s="1312"/>
      <c r="L106" s="1326">
        <f>IFERROR(INDEX('LFA Expenditure_7B imp-exp'!J$62:J$108,MATCH('LFA Expenditure_7B'!B106,'LFA Expenditure_7B imp-exp'!N$62:N$108,0)),"")</f>
        <v>636388.59280762204</v>
      </c>
      <c r="M106" s="1327"/>
      <c r="N106" s="1326">
        <f t="shared" si="23"/>
        <v>636388.59280762204</v>
      </c>
      <c r="O106" s="1330">
        <f t="shared" si="24"/>
        <v>0</v>
      </c>
      <c r="Q106" s="280"/>
      <c r="R106" s="280"/>
      <c r="S106" s="280"/>
      <c r="T106" s="280"/>
      <c r="U106" s="280"/>
      <c r="V106" s="280"/>
    </row>
    <row r="107" spans="1:22" ht="25.5" x14ac:dyDescent="0.2">
      <c r="A107" s="644" t="str">
        <f t="shared" si="20"/>
        <v>Show</v>
      </c>
      <c r="B107" s="644" t="s">
        <v>2497</v>
      </c>
      <c r="C107" s="969" t="str">
        <f>IFERROR(INDEX('LFA Expenditure_7B imp-exp'!A$62:A$108,MATCH('LFA Expenditure_7B'!B107,'LFA Expenditure_7B imp-exp'!N$62:N$108,0)),"")</f>
        <v>Comprehensive prevention programs for sex workers and their clients</v>
      </c>
      <c r="D107" s="1335" t="str">
        <f>IFERROR(INDEX('LFA Expenditure_7B imp-exp'!B$62:B$108,MATCH('LFA Expenditure_7B'!B107,'LFA Expenditure_7B imp-exp'!N$62:N$108,0)),"")</f>
        <v>Other intervention(s) for sex workers and their clients</v>
      </c>
      <c r="E107" s="1326">
        <f>IFERROR(INDEX('LFA Expenditure_7B imp-exp'!C$62:C$108,MATCH('LFA Expenditure_7B'!B107,'LFA Expenditure_7B imp-exp'!N$62:N$108,0)),"")</f>
        <v>29457.486997347201</v>
      </c>
      <c r="F107" s="1326">
        <f>'PR Expenditure_7A'!F108</f>
        <v>18012.609037450595</v>
      </c>
      <c r="G107" s="1327"/>
      <c r="H107" s="1326">
        <f t="shared" si="21"/>
        <v>11444.877959896607</v>
      </c>
      <c r="I107" s="1328">
        <f t="shared" si="22"/>
        <v>0.61147812911103794</v>
      </c>
      <c r="J107" s="1329"/>
      <c r="K107" s="1312"/>
      <c r="L107" s="1326">
        <f>IFERROR(INDEX('LFA Expenditure_7B imp-exp'!J$62:J$108,MATCH('LFA Expenditure_7B'!B107,'LFA Expenditure_7B imp-exp'!N$62:N$108,0)),"")</f>
        <v>58914.973994694497</v>
      </c>
      <c r="M107" s="1327"/>
      <c r="N107" s="1326">
        <f t="shared" si="23"/>
        <v>58914.973994694497</v>
      </c>
      <c r="O107" s="1330">
        <f t="shared" si="24"/>
        <v>0</v>
      </c>
      <c r="Q107" s="280"/>
      <c r="R107" s="280"/>
      <c r="S107" s="280"/>
      <c r="T107" s="280"/>
      <c r="U107" s="280"/>
      <c r="V107" s="280"/>
    </row>
    <row r="108" spans="1:22" ht="25.5" x14ac:dyDescent="0.2">
      <c r="A108" s="644" t="str">
        <f t="shared" si="20"/>
        <v>Show</v>
      </c>
      <c r="B108" s="644" t="s">
        <v>2499</v>
      </c>
      <c r="C108" s="969" t="str">
        <f>IFERROR(INDEX('LFA Expenditure_7B imp-exp'!A$62:A$108,MATCH('LFA Expenditure_7B'!B108,'LFA Expenditure_7B imp-exp'!N$62:N$108,0)),"")</f>
        <v>Comprehensive prevention programs for people who inject drugs (PWID) and their partners</v>
      </c>
      <c r="D108" s="1335" t="str">
        <f>IFERROR(INDEX('LFA Expenditure_7B imp-exp'!B$62:B$108,MATCH('LFA Expenditure_7B'!B108,'LFA Expenditure_7B imp-exp'!N$62:N$108,0)),"")</f>
        <v>Other intervention(s) for IDUs and their partners</v>
      </c>
      <c r="E108" s="1326">
        <f>IFERROR(INDEX('LFA Expenditure_7B imp-exp'!C$62:C$108,MATCH('LFA Expenditure_7B'!B108,'LFA Expenditure_7B imp-exp'!N$62:N$108,0)),"")</f>
        <v>13628.062159122001</v>
      </c>
      <c r="F108" s="1326">
        <f>'PR Expenditure_7A'!F109</f>
        <v>14263.364608860929</v>
      </c>
      <c r="G108" s="1327"/>
      <c r="H108" s="1326">
        <f t="shared" si="21"/>
        <v>-635.30244973892877</v>
      </c>
      <c r="I108" s="1328">
        <f t="shared" si="22"/>
        <v>1.046617225715667</v>
      </c>
      <c r="J108" s="1329"/>
      <c r="K108" s="1312"/>
      <c r="L108" s="1326">
        <f>IFERROR(INDEX('LFA Expenditure_7B imp-exp'!J$62:J$108,MATCH('LFA Expenditure_7B'!B108,'LFA Expenditure_7B imp-exp'!N$62:N$108,0)),"")</f>
        <v>27256.124318243899</v>
      </c>
      <c r="M108" s="1327"/>
      <c r="N108" s="1326">
        <f t="shared" si="23"/>
        <v>27256.124318243899</v>
      </c>
      <c r="O108" s="1330">
        <f t="shared" si="24"/>
        <v>0</v>
      </c>
      <c r="Q108" s="280"/>
      <c r="R108" s="280"/>
      <c r="S108" s="280"/>
      <c r="T108" s="280"/>
      <c r="U108" s="280"/>
      <c r="V108" s="280"/>
    </row>
    <row r="109" spans="1:22" ht="25.5" x14ac:dyDescent="0.2">
      <c r="A109" s="644" t="str">
        <f t="shared" si="20"/>
        <v>Show</v>
      </c>
      <c r="B109" s="644" t="s">
        <v>2501</v>
      </c>
      <c r="C109" s="969" t="str">
        <f>IFERROR(INDEX('LFA Expenditure_7B imp-exp'!A$62:A$108,MATCH('LFA Expenditure_7B'!B109,'LFA Expenditure_7B imp-exp'!N$62:N$108,0)),"")</f>
        <v>Prevention programs for general population</v>
      </c>
      <c r="D109" s="1335" t="str">
        <f>IFERROR(INDEX('LFA Expenditure_7B imp-exp'!B$62:B$108,MATCH('LFA Expenditure_7B'!B109,'LFA Expenditure_7B imp-exp'!N$62:N$108,0)),"")</f>
        <v>Behavioral interventions as part of programs for general population</v>
      </c>
      <c r="E109" s="1326">
        <f>IFERROR(INDEX('LFA Expenditure_7B imp-exp'!C$62:C$108,MATCH('LFA Expenditure_7B'!B109,'LFA Expenditure_7B imp-exp'!N$62:N$108,0)),"")</f>
        <v>114220.697039722</v>
      </c>
      <c r="F109" s="1326">
        <f>'PR Expenditure_7A'!F110</f>
        <v>62610.296214963135</v>
      </c>
      <c r="G109" s="1327"/>
      <c r="H109" s="1326">
        <f t="shared" si="21"/>
        <v>51610.400824758864</v>
      </c>
      <c r="I109" s="1328">
        <f t="shared" si="22"/>
        <v>0.54815193601199474</v>
      </c>
      <c r="J109" s="1329"/>
      <c r="K109" s="1312"/>
      <c r="L109" s="1326">
        <f>IFERROR(INDEX('LFA Expenditure_7B imp-exp'!J$62:J$108,MATCH('LFA Expenditure_7B'!B109,'LFA Expenditure_7B imp-exp'!N$62:N$108,0)),"")</f>
        <v>224301.48327685599</v>
      </c>
      <c r="M109" s="1327"/>
      <c r="N109" s="1326">
        <f t="shared" si="23"/>
        <v>224301.48327685599</v>
      </c>
      <c r="O109" s="1330">
        <f t="shared" si="24"/>
        <v>0</v>
      </c>
      <c r="Q109" s="280"/>
      <c r="R109" s="280"/>
      <c r="S109" s="280"/>
      <c r="T109" s="280"/>
      <c r="U109" s="280"/>
      <c r="V109" s="280"/>
    </row>
    <row r="110" spans="1:22" ht="15" x14ac:dyDescent="0.2">
      <c r="A110" s="644" t="str">
        <f t="shared" si="20"/>
        <v>Show</v>
      </c>
      <c r="B110" s="644" t="s">
        <v>2503</v>
      </c>
      <c r="C110" s="969" t="str">
        <f>IFERROR(INDEX('LFA Expenditure_7B imp-exp'!A$62:A$108,MATCH('LFA Expenditure_7B'!B110,'LFA Expenditure_7B imp-exp'!N$62:N$108,0)),"")</f>
        <v>Prevention programs for other vulnerable populations</v>
      </c>
      <c r="D110" s="1335" t="str">
        <f>IFERROR(INDEX('LFA Expenditure_7B imp-exp'!B$62:B$108,MATCH('LFA Expenditure_7B'!B110,'LFA Expenditure_7B imp-exp'!N$62:N$108,0)),"")</f>
        <v>HIV testing services for other vulnerable populations</v>
      </c>
      <c r="E110" s="1326">
        <f>IFERROR(INDEX('LFA Expenditure_7B imp-exp'!C$62:C$108,MATCH('LFA Expenditure_7B'!B110,'LFA Expenditure_7B imp-exp'!N$62:N$108,0)),"")</f>
        <v>1163.05</v>
      </c>
      <c r="F110" s="1326">
        <f>'PR Expenditure_7A'!F111</f>
        <v>137005.34000000003</v>
      </c>
      <c r="G110" s="1327"/>
      <c r="H110" s="1326">
        <f t="shared" si="21"/>
        <v>-135842.29000000004</v>
      </c>
      <c r="I110" s="1328">
        <f t="shared" si="22"/>
        <v>117.79832337388765</v>
      </c>
      <c r="J110" s="1329"/>
      <c r="K110" s="1312"/>
      <c r="L110" s="1326">
        <f>IFERROR(INDEX('LFA Expenditure_7B imp-exp'!J$62:J$108,MATCH('LFA Expenditure_7B'!B110,'LFA Expenditure_7B imp-exp'!N$62:N$108,0)),"")</f>
        <v>31213.81</v>
      </c>
      <c r="M110" s="1327"/>
      <c r="N110" s="1326">
        <f t="shared" si="23"/>
        <v>31213.81</v>
      </c>
      <c r="O110" s="1330">
        <f t="shared" si="24"/>
        <v>0</v>
      </c>
      <c r="Q110" s="280"/>
      <c r="R110" s="280"/>
      <c r="S110" s="280"/>
      <c r="T110" s="280"/>
      <c r="U110" s="280"/>
      <c r="V110" s="280"/>
    </row>
    <row r="111" spans="1:22" ht="15" x14ac:dyDescent="0.2">
      <c r="A111" s="644" t="str">
        <f t="shared" si="20"/>
        <v>Show</v>
      </c>
      <c r="B111" s="644" t="s">
        <v>2505</v>
      </c>
      <c r="C111" s="969" t="str">
        <f>IFERROR(INDEX('LFA Expenditure_7B imp-exp'!A$62:A$108,MATCH('LFA Expenditure_7B'!B111,'LFA Expenditure_7B imp-exp'!N$62:N$108,0)),"")</f>
        <v>HIV Testing Services</v>
      </c>
      <c r="D111" s="1335" t="str">
        <f>IFERROR(INDEX('LFA Expenditure_7B imp-exp'!B$62:B$108,MATCH('LFA Expenditure_7B'!B111,'LFA Expenditure_7B imp-exp'!N$62:N$108,0)),"")</f>
        <v>Differentiated HIV testing services</v>
      </c>
      <c r="E111" s="1326">
        <f>IFERROR(INDEX('LFA Expenditure_7B imp-exp'!C$62:C$108,MATCH('LFA Expenditure_7B'!B111,'LFA Expenditure_7B imp-exp'!N$62:N$108,0)),"")</f>
        <v>268251.85155221203</v>
      </c>
      <c r="F111" s="1326">
        <f>'PR Expenditure_7A'!F112</f>
        <v>344750.72000000003</v>
      </c>
      <c r="G111" s="1327"/>
      <c r="H111" s="1326">
        <f t="shared" si="21"/>
        <v>-76498.868447788002</v>
      </c>
      <c r="I111" s="1328">
        <f t="shared" si="22"/>
        <v>1.2851755468047474</v>
      </c>
      <c r="J111" s="1329"/>
      <c r="K111" s="1312"/>
      <c r="L111" s="1326">
        <f>IFERROR(INDEX('LFA Expenditure_7B imp-exp'!J$62:J$108,MATCH('LFA Expenditure_7B'!B111,'LFA Expenditure_7B imp-exp'!N$62:N$108,0)),"")</f>
        <v>293188.98310442403</v>
      </c>
      <c r="M111" s="1327"/>
      <c r="N111" s="1326">
        <f t="shared" si="23"/>
        <v>293188.98310442403</v>
      </c>
      <c r="O111" s="1330">
        <f t="shared" si="24"/>
        <v>0</v>
      </c>
      <c r="Q111" s="280"/>
      <c r="R111" s="280"/>
      <c r="S111" s="280"/>
      <c r="T111" s="280"/>
      <c r="U111" s="280"/>
      <c r="V111" s="280"/>
    </row>
    <row r="112" spans="1:22" ht="25.5" x14ac:dyDescent="0.2">
      <c r="A112" s="644" t="str">
        <f t="shared" si="20"/>
        <v>Show</v>
      </c>
      <c r="B112" s="644" t="s">
        <v>2507</v>
      </c>
      <c r="C112" s="969" t="str">
        <f>IFERROR(INDEX('LFA Expenditure_7B imp-exp'!A$62:A$108,MATCH('LFA Expenditure_7B'!B112,'LFA Expenditure_7B imp-exp'!N$62:N$108,0)),"")</f>
        <v>RSSH: Integrated service delivery and quality improvement</v>
      </c>
      <c r="D112" s="1335" t="str">
        <f>IFERROR(INDEX('LFA Expenditure_7B imp-exp'!B$62:B$108,MATCH('LFA Expenditure_7B'!B112,'LFA Expenditure_7B imp-exp'!N$62:N$108,0)),"")</f>
        <v>Laboratory systems for disease prevention, control, treatment and disease surveillance</v>
      </c>
      <c r="E112" s="1326">
        <f>IFERROR(INDEX('LFA Expenditure_7B imp-exp'!C$62:C$108,MATCH('LFA Expenditure_7B'!B112,'LFA Expenditure_7B imp-exp'!N$62:N$108,0)),"")</f>
        <v>20509.3129564829</v>
      </c>
      <c r="F112" s="1326">
        <f>'PR Expenditure_7A'!F113</f>
        <v>9126.369999999999</v>
      </c>
      <c r="G112" s="1327"/>
      <c r="H112" s="1326">
        <f t="shared" si="21"/>
        <v>11382.942956482901</v>
      </c>
      <c r="I112" s="1328">
        <f t="shared" si="22"/>
        <v>0.44498662726364979</v>
      </c>
      <c r="J112" s="1329"/>
      <c r="K112" s="1312"/>
      <c r="L112" s="1326">
        <f>IFERROR(INDEX('LFA Expenditure_7B imp-exp'!J$62:J$108,MATCH('LFA Expenditure_7B'!B112,'LFA Expenditure_7B imp-exp'!N$62:N$108,0)),"")</f>
        <v>46276.525912965801</v>
      </c>
      <c r="M112" s="1327"/>
      <c r="N112" s="1326">
        <f t="shared" si="23"/>
        <v>46276.525912965801</v>
      </c>
      <c r="O112" s="1330">
        <f t="shared" si="24"/>
        <v>0</v>
      </c>
      <c r="Q112" s="280"/>
      <c r="R112" s="280"/>
      <c r="S112" s="280"/>
      <c r="T112" s="280"/>
      <c r="U112" s="280"/>
      <c r="V112" s="280"/>
    </row>
    <row r="113" spans="1:22" ht="15" x14ac:dyDescent="0.2">
      <c r="A113" s="644" t="str">
        <f t="shared" si="20"/>
        <v>Show</v>
      </c>
      <c r="B113" s="644" t="s">
        <v>2509</v>
      </c>
      <c r="C113" s="969" t="str">
        <f>IFERROR(INDEX('LFA Expenditure_7B imp-exp'!A$62:A$108,MATCH('LFA Expenditure_7B'!B113,'LFA Expenditure_7B imp-exp'!N$62:N$108,0)),"")</f>
        <v>RSSH: Health management information systems and M&amp;E</v>
      </c>
      <c r="D113" s="1335" t="str">
        <f>IFERROR(INDEX('LFA Expenditure_7B imp-exp'!B$62:B$108,MATCH('LFA Expenditure_7B'!B113,'LFA Expenditure_7B imp-exp'!N$62:N$108,0)),"")</f>
        <v>Program and data quality</v>
      </c>
      <c r="E113" s="1326">
        <f>IFERROR(INDEX('LFA Expenditure_7B imp-exp'!C$62:C$108,MATCH('LFA Expenditure_7B'!B113,'LFA Expenditure_7B imp-exp'!N$62:N$108,0)),"")</f>
        <v>187657.37905091501</v>
      </c>
      <c r="F113" s="1326">
        <f>'PR Expenditure_7A'!F114</f>
        <v>76378.417420337268</v>
      </c>
      <c r="G113" s="1327"/>
      <c r="H113" s="1326">
        <f t="shared" si="21"/>
        <v>111278.96163057775</v>
      </c>
      <c r="I113" s="1328">
        <f t="shared" si="22"/>
        <v>0.4070099337773142</v>
      </c>
      <c r="J113" s="1329"/>
      <c r="K113" s="1312"/>
      <c r="L113" s="1326">
        <f>IFERROR(INDEX('LFA Expenditure_7B imp-exp'!J$62:J$108,MATCH('LFA Expenditure_7B'!B113,'LFA Expenditure_7B imp-exp'!N$62:N$108,0)),"")</f>
        <v>372345.53119457298</v>
      </c>
      <c r="M113" s="1327"/>
      <c r="N113" s="1326">
        <f t="shared" si="23"/>
        <v>372345.53119457298</v>
      </c>
      <c r="O113" s="1330">
        <f t="shared" si="24"/>
        <v>0</v>
      </c>
      <c r="Q113" s="280"/>
      <c r="R113" s="280"/>
      <c r="S113" s="280"/>
      <c r="T113" s="280"/>
      <c r="U113" s="280"/>
      <c r="V113" s="280"/>
    </row>
    <row r="114" spans="1:22" ht="15" x14ac:dyDescent="0.2">
      <c r="A114" s="644" t="str">
        <f t="shared" si="20"/>
        <v>Show</v>
      </c>
      <c r="B114" s="644" t="s">
        <v>2511</v>
      </c>
      <c r="C114" s="969" t="str">
        <f>IFERROR(INDEX('LFA Expenditure_7B imp-exp'!A$62:A$108,MATCH('LFA Expenditure_7B'!B114,'LFA Expenditure_7B imp-exp'!N$62:N$108,0)),"")</f>
        <v>Treatment, care and support</v>
      </c>
      <c r="D114" s="1335" t="str">
        <f>IFERROR(INDEX('LFA Expenditure_7B imp-exp'!B$62:B$108,MATCH('LFA Expenditure_7B'!B114,'LFA Expenditure_7B imp-exp'!N$62:N$108,0)),"")</f>
        <v>Counseling and psycho-social support</v>
      </c>
      <c r="E114" s="1326">
        <f>IFERROR(INDEX('LFA Expenditure_7B imp-exp'!C$62:C$108,MATCH('LFA Expenditure_7B'!B114,'LFA Expenditure_7B imp-exp'!N$62:N$108,0)),"")</f>
        <v>1068283.68218652</v>
      </c>
      <c r="F114" s="1326">
        <f>'PR Expenditure_7A'!F115</f>
        <v>961915.97234358441</v>
      </c>
      <c r="G114" s="1327"/>
      <c r="H114" s="1326">
        <f t="shared" si="21"/>
        <v>106367.70984293555</v>
      </c>
      <c r="I114" s="1328">
        <f t="shared" si="22"/>
        <v>0.90043121352820221</v>
      </c>
      <c r="J114" s="1329"/>
      <c r="K114" s="1312"/>
      <c r="L114" s="1326">
        <f>IFERROR(INDEX('LFA Expenditure_7B imp-exp'!J$62:J$108,MATCH('LFA Expenditure_7B'!B114,'LFA Expenditure_7B imp-exp'!N$62:N$108,0)),"")</f>
        <v>2090564.7177717099</v>
      </c>
      <c r="M114" s="1327"/>
      <c r="N114" s="1326">
        <f t="shared" si="23"/>
        <v>2090564.7177717099</v>
      </c>
      <c r="O114" s="1330">
        <f t="shared" si="24"/>
        <v>0</v>
      </c>
      <c r="Q114" s="280"/>
      <c r="R114" s="280"/>
      <c r="S114" s="280"/>
      <c r="T114" s="280"/>
      <c r="U114" s="280"/>
      <c r="V114" s="280"/>
    </row>
    <row r="115" spans="1:22" ht="15" x14ac:dyDescent="0.2">
      <c r="A115" s="644" t="str">
        <f t="shared" si="20"/>
        <v>Show</v>
      </c>
      <c r="B115" s="644" t="s">
        <v>2513</v>
      </c>
      <c r="C115" s="969" t="str">
        <f>IFERROR(INDEX('LFA Expenditure_7B imp-exp'!A$62:A$108,MATCH('LFA Expenditure_7B'!B115,'LFA Expenditure_7B imp-exp'!N$62:N$108,0)),"")</f>
        <v>Treatment, care and support</v>
      </c>
      <c r="D115" s="1335" t="str">
        <f>IFERROR(INDEX('LFA Expenditure_7B imp-exp'!B$62:B$108,MATCH('LFA Expenditure_7B'!B115,'LFA Expenditure_7B imp-exp'!N$62:N$108,0)),"")</f>
        <v>Other intervention(s) for treatment</v>
      </c>
      <c r="E115" s="1326">
        <f>IFERROR(INDEX('LFA Expenditure_7B imp-exp'!C$62:C$108,MATCH('LFA Expenditure_7B'!B115,'LFA Expenditure_7B imp-exp'!N$62:N$108,0)),"")</f>
        <v>694038.37243824103</v>
      </c>
      <c r="F115" s="1326">
        <f>'PR Expenditure_7A'!F116</f>
        <v>756795.19382389309</v>
      </c>
      <c r="G115" s="1327"/>
      <c r="H115" s="1326">
        <f t="shared" si="21"/>
        <v>-62756.82138565206</v>
      </c>
      <c r="I115" s="1328">
        <f t="shared" si="22"/>
        <v>1.0904226968966857</v>
      </c>
      <c r="J115" s="1329"/>
      <c r="K115" s="1312"/>
      <c r="L115" s="1326">
        <f>IFERROR(INDEX('LFA Expenditure_7B imp-exp'!J$62:J$108,MATCH('LFA Expenditure_7B'!B115,'LFA Expenditure_7B imp-exp'!N$62:N$108,0)),"")</f>
        <v>1325440.78616524</v>
      </c>
      <c r="M115" s="1327"/>
      <c r="N115" s="1326">
        <f t="shared" si="23"/>
        <v>1325440.78616524</v>
      </c>
      <c r="O115" s="1330">
        <f t="shared" si="24"/>
        <v>0</v>
      </c>
      <c r="Q115" s="280"/>
      <c r="R115" s="280"/>
      <c r="S115" s="280"/>
      <c r="T115" s="280"/>
      <c r="U115" s="280"/>
      <c r="V115" s="280"/>
    </row>
    <row r="116" spans="1:22" ht="15" x14ac:dyDescent="0.2">
      <c r="A116" s="644" t="str">
        <f t="shared" si="20"/>
        <v>Show</v>
      </c>
      <c r="B116" s="644" t="s">
        <v>2515</v>
      </c>
      <c r="C116" s="969" t="str">
        <f>IFERROR(INDEX('LFA Expenditure_7B imp-exp'!A$62:A$108,MATCH('LFA Expenditure_7B'!B116,'LFA Expenditure_7B imp-exp'!N$62:N$108,0)),"")</f>
        <v>Treatment, care and support</v>
      </c>
      <c r="D116" s="1335" t="str">
        <f>IFERROR(INDEX('LFA Expenditure_7B imp-exp'!B$62:B$108,MATCH('LFA Expenditure_7B'!B116,'LFA Expenditure_7B imp-exp'!N$62:N$108,0)),"")</f>
        <v>Differentiated ART service delivery</v>
      </c>
      <c r="E116" s="1326">
        <f>IFERROR(INDEX('LFA Expenditure_7B imp-exp'!C$62:C$108,MATCH('LFA Expenditure_7B'!B116,'LFA Expenditure_7B imp-exp'!N$62:N$108,0)),"")</f>
        <v>385032.36622405198</v>
      </c>
      <c r="F116" s="1326">
        <f>'PR Expenditure_7A'!F117</f>
        <v>173679.92999999988</v>
      </c>
      <c r="G116" s="1327"/>
      <c r="H116" s="1326">
        <f t="shared" si="21"/>
        <v>211352.4362240521</v>
      </c>
      <c r="I116" s="1328">
        <f t="shared" si="22"/>
        <v>0.45107877995621487</v>
      </c>
      <c r="J116" s="1329"/>
      <c r="K116" s="1312"/>
      <c r="L116" s="1326">
        <f>IFERROR(INDEX('LFA Expenditure_7B imp-exp'!J$62:J$108,MATCH('LFA Expenditure_7B'!B116,'LFA Expenditure_7B imp-exp'!N$62:N$108,0)),"")</f>
        <v>753980.967571388</v>
      </c>
      <c r="M116" s="1327"/>
      <c r="N116" s="1326">
        <f t="shared" si="23"/>
        <v>753980.967571388</v>
      </c>
      <c r="O116" s="1330">
        <f t="shared" si="24"/>
        <v>0</v>
      </c>
      <c r="Q116" s="280"/>
      <c r="R116" s="280"/>
      <c r="S116" s="280"/>
      <c r="T116" s="280"/>
      <c r="U116" s="280"/>
      <c r="V116" s="280"/>
    </row>
    <row r="117" spans="1:22" ht="25.5" x14ac:dyDescent="0.2">
      <c r="A117" s="644" t="str">
        <f t="shared" si="20"/>
        <v>Show</v>
      </c>
      <c r="B117" s="644" t="s">
        <v>2517</v>
      </c>
      <c r="C117" s="969" t="str">
        <f>IFERROR(INDEX('LFA Expenditure_7B imp-exp'!A$62:A$108,MATCH('LFA Expenditure_7B'!B117,'LFA Expenditure_7B imp-exp'!N$62:N$108,0)),"")</f>
        <v>Treatment, care and support</v>
      </c>
      <c r="D117" s="1335" t="str">
        <f>IFERROR(INDEX('LFA Expenditure_7B imp-exp'!B$62:B$108,MATCH('LFA Expenditure_7B'!B117,'LFA Expenditure_7B imp-exp'!N$62:N$108,0)),"")</f>
        <v>Prevention, diagnosis and treatment of opportunistic infections</v>
      </c>
      <c r="E117" s="1326">
        <f>IFERROR(INDEX('LFA Expenditure_7B imp-exp'!C$62:C$108,MATCH('LFA Expenditure_7B'!B117,'LFA Expenditure_7B imp-exp'!N$62:N$108,0)),"")</f>
        <v>96879.65</v>
      </c>
      <c r="F117" s="1326">
        <f>'PR Expenditure_7A'!F118</f>
        <v>110783.38000000002</v>
      </c>
      <c r="G117" s="1327"/>
      <c r="H117" s="1326">
        <f t="shared" si="21"/>
        <v>-13903.730000000025</v>
      </c>
      <c r="I117" s="1328">
        <f t="shared" si="22"/>
        <v>1.1435154854502469</v>
      </c>
      <c r="J117" s="1329"/>
      <c r="K117" s="1312"/>
      <c r="L117" s="1326">
        <f>IFERROR(INDEX('LFA Expenditure_7B imp-exp'!J$62:J$108,MATCH('LFA Expenditure_7B'!B117,'LFA Expenditure_7B imp-exp'!N$62:N$108,0)),"")</f>
        <v>205386.00484017201</v>
      </c>
      <c r="M117" s="1327"/>
      <c r="N117" s="1326">
        <f t="shared" si="23"/>
        <v>205386.00484017201</v>
      </c>
      <c r="O117" s="1330">
        <f t="shared" si="24"/>
        <v>0</v>
      </c>
      <c r="Q117" s="280"/>
      <c r="R117" s="280"/>
      <c r="S117" s="280"/>
      <c r="T117" s="280"/>
      <c r="U117" s="280"/>
      <c r="V117" s="280"/>
    </row>
    <row r="118" spans="1:22" ht="15" x14ac:dyDescent="0.2">
      <c r="A118" s="644" t="str">
        <f t="shared" si="20"/>
        <v>Show</v>
      </c>
      <c r="B118" s="644" t="s">
        <v>2519</v>
      </c>
      <c r="C118" s="969" t="str">
        <f>IFERROR(INDEX('LFA Expenditure_7B imp-exp'!A$62:A$108,MATCH('LFA Expenditure_7B'!B118,'LFA Expenditure_7B imp-exp'!N$62:N$108,0)),"")</f>
        <v>Treatment, care and support</v>
      </c>
      <c r="D118" s="1335" t="str">
        <f>IFERROR(INDEX('LFA Expenditure_7B imp-exp'!B$62:B$108,MATCH('LFA Expenditure_7B'!B118,'LFA Expenditure_7B imp-exp'!N$62:N$108,0)),"")</f>
        <v>HIV care</v>
      </c>
      <c r="E118" s="1326">
        <f>IFERROR(INDEX('LFA Expenditure_7B imp-exp'!C$62:C$108,MATCH('LFA Expenditure_7B'!B118,'LFA Expenditure_7B imp-exp'!N$62:N$108,0)),"")</f>
        <v>3031850.71</v>
      </c>
      <c r="F118" s="1326">
        <f>'PR Expenditure_7A'!F119</f>
        <v>3675255.7800000003</v>
      </c>
      <c r="G118" s="1327"/>
      <c r="H118" s="1326">
        <f t="shared" si="21"/>
        <v>-643405.0700000003</v>
      </c>
      <c r="I118" s="1328">
        <f t="shared" si="22"/>
        <v>1.2122152874737029</v>
      </c>
      <c r="J118" s="1329"/>
      <c r="K118" s="1312"/>
      <c r="L118" s="1326">
        <f>IFERROR(INDEX('LFA Expenditure_7B imp-exp'!J$62:J$108,MATCH('LFA Expenditure_7B'!B118,'LFA Expenditure_7B imp-exp'!N$62:N$108,0)),"")</f>
        <v>3279654.91</v>
      </c>
      <c r="M118" s="1327"/>
      <c r="N118" s="1326">
        <f t="shared" si="23"/>
        <v>3279654.91</v>
      </c>
      <c r="O118" s="1330">
        <f t="shared" si="24"/>
        <v>0</v>
      </c>
      <c r="Q118" s="280"/>
      <c r="R118" s="280"/>
      <c r="S118" s="280"/>
      <c r="T118" s="280"/>
      <c r="U118" s="280"/>
      <c r="V118" s="280"/>
    </row>
    <row r="119" spans="1:22" ht="15" x14ac:dyDescent="0.2">
      <c r="A119" s="644" t="str">
        <f t="shared" si="20"/>
        <v>Show</v>
      </c>
      <c r="B119" s="644" t="s">
        <v>2521</v>
      </c>
      <c r="C119" s="969" t="str">
        <f>IFERROR(INDEX('LFA Expenditure_7B imp-exp'!A$62:A$108,MATCH('LFA Expenditure_7B'!B119,'LFA Expenditure_7B imp-exp'!N$62:N$108,0)),"")</f>
        <v>Treatment, care and support</v>
      </c>
      <c r="D119" s="1335" t="str">
        <f>IFERROR(INDEX('LFA Expenditure_7B imp-exp'!B$62:B$108,MATCH('LFA Expenditure_7B'!B119,'LFA Expenditure_7B imp-exp'!N$62:N$108,0)),"")</f>
        <v>Treatment monitoring - Viral load</v>
      </c>
      <c r="E119" s="1326">
        <f>IFERROR(INDEX('LFA Expenditure_7B imp-exp'!C$62:C$108,MATCH('LFA Expenditure_7B'!B119,'LFA Expenditure_7B imp-exp'!N$62:N$108,0)),"")</f>
        <v>607897.69134983898</v>
      </c>
      <c r="F119" s="1326">
        <f>'PR Expenditure_7A'!F120</f>
        <v>636751.87000000011</v>
      </c>
      <c r="G119" s="1327"/>
      <c r="H119" s="1326">
        <f t="shared" si="21"/>
        <v>-28854.178650161135</v>
      </c>
      <c r="I119" s="1328">
        <f t="shared" si="22"/>
        <v>1.0474655177355425</v>
      </c>
      <c r="J119" s="1329"/>
      <c r="K119" s="1312"/>
      <c r="L119" s="1326">
        <f>IFERROR(INDEX('LFA Expenditure_7B imp-exp'!J$62:J$108,MATCH('LFA Expenditure_7B'!B119,'LFA Expenditure_7B imp-exp'!N$62:N$108,0)),"")</f>
        <v>986521.99948607804</v>
      </c>
      <c r="M119" s="1327"/>
      <c r="N119" s="1326">
        <f t="shared" si="23"/>
        <v>986521.99948607804</v>
      </c>
      <c r="O119" s="1330">
        <f t="shared" si="24"/>
        <v>0</v>
      </c>
      <c r="Q119" s="280"/>
      <c r="R119" s="280"/>
      <c r="S119" s="280"/>
      <c r="T119" s="280"/>
      <c r="U119" s="280"/>
      <c r="V119" s="280"/>
    </row>
    <row r="120" spans="1:22" ht="15" x14ac:dyDescent="0.2">
      <c r="A120" s="644" t="str">
        <f t="shared" si="20"/>
        <v>Show</v>
      </c>
      <c r="B120" s="644" t="s">
        <v>2523</v>
      </c>
      <c r="C120" s="969" t="str">
        <f>IFERROR(INDEX('LFA Expenditure_7B imp-exp'!A$62:A$108,MATCH('LFA Expenditure_7B'!B120,'LFA Expenditure_7B imp-exp'!N$62:N$108,0)),"")</f>
        <v>Treatment, care and support</v>
      </c>
      <c r="D120" s="1335" t="str">
        <f>IFERROR(INDEX('LFA Expenditure_7B imp-exp'!B$62:B$108,MATCH('LFA Expenditure_7B'!B120,'LFA Expenditure_7B imp-exp'!N$62:N$108,0)),"")</f>
        <v>Treatment monitoring - Drug resistance surveillance</v>
      </c>
      <c r="E120" s="1326">
        <f>IFERROR(INDEX('LFA Expenditure_7B imp-exp'!C$62:C$108,MATCH('LFA Expenditure_7B'!B120,'LFA Expenditure_7B imp-exp'!N$62:N$108,0)),"")</f>
        <v>85041.91</v>
      </c>
      <c r="F120" s="1326">
        <f>'PR Expenditure_7A'!F121</f>
        <v>6591.4499999999989</v>
      </c>
      <c r="G120" s="1327"/>
      <c r="H120" s="1326">
        <f t="shared" si="21"/>
        <v>78450.460000000006</v>
      </c>
      <c r="I120" s="1328">
        <f t="shared" si="22"/>
        <v>7.7508254459477663E-2</v>
      </c>
      <c r="J120" s="1329"/>
      <c r="K120" s="1312"/>
      <c r="L120" s="1326">
        <f>IFERROR(INDEX('LFA Expenditure_7B imp-exp'!J$62:J$108,MATCH('LFA Expenditure_7B'!B120,'LFA Expenditure_7B imp-exp'!N$62:N$108,0)),"")</f>
        <v>251043.58</v>
      </c>
      <c r="M120" s="1327"/>
      <c r="N120" s="1326">
        <f t="shared" si="23"/>
        <v>251043.58</v>
      </c>
      <c r="O120" s="1330">
        <f t="shared" si="24"/>
        <v>0</v>
      </c>
      <c r="Q120" s="280"/>
      <c r="R120" s="280"/>
      <c r="S120" s="280"/>
      <c r="T120" s="280"/>
      <c r="U120" s="280"/>
      <c r="V120" s="280"/>
    </row>
    <row r="121" spans="1:22" ht="25.5" x14ac:dyDescent="0.2">
      <c r="A121" s="644" t="str">
        <f t="shared" si="20"/>
        <v>Show</v>
      </c>
      <c r="B121" s="644" t="s">
        <v>2525</v>
      </c>
      <c r="C121" s="969" t="str">
        <f>IFERROR(INDEX('LFA Expenditure_7B imp-exp'!A$62:A$108,MATCH('LFA Expenditure_7B'!B121,'LFA Expenditure_7B imp-exp'!N$62:N$108,0)),"")</f>
        <v>Comprehensive prevention programs for sex workers and their clients</v>
      </c>
      <c r="D121" s="1335" t="str">
        <f>IFERROR(INDEX('LFA Expenditure_7B imp-exp'!B$62:B$108,MATCH('LFA Expenditure_7B'!B121,'LFA Expenditure_7B imp-exp'!N$62:N$108,0)),"")</f>
        <v>HIV testing services for sex workers</v>
      </c>
      <c r="E121" s="1326">
        <f>IFERROR(INDEX('LFA Expenditure_7B imp-exp'!C$62:C$108,MATCH('LFA Expenditure_7B'!B121,'LFA Expenditure_7B imp-exp'!N$62:N$108,0)),"")</f>
        <v>367.04963957012001</v>
      </c>
      <c r="F121" s="1326">
        <f>'PR Expenditure_7A'!F122</f>
        <v>191.15757672556381</v>
      </c>
      <c r="G121" s="1327"/>
      <c r="H121" s="1326">
        <f t="shared" si="21"/>
        <v>175.89206284455619</v>
      </c>
      <c r="I121" s="1328">
        <f t="shared" si="22"/>
        <v>0.52079489016647207</v>
      </c>
      <c r="J121" s="1329"/>
      <c r="K121" s="1312"/>
      <c r="L121" s="1326">
        <f>IFERROR(INDEX('LFA Expenditure_7B imp-exp'!J$62:J$108,MATCH('LFA Expenditure_7B'!B121,'LFA Expenditure_7B imp-exp'!N$62:N$108,0)),"")</f>
        <v>734.09927914024001</v>
      </c>
      <c r="M121" s="1327"/>
      <c r="N121" s="1326">
        <f t="shared" si="23"/>
        <v>734.09927914024001</v>
      </c>
      <c r="O121" s="1330">
        <f t="shared" si="24"/>
        <v>0</v>
      </c>
      <c r="Q121" s="280"/>
      <c r="R121" s="280"/>
      <c r="S121" s="280"/>
      <c r="T121" s="280"/>
      <c r="U121" s="280"/>
      <c r="V121" s="280"/>
    </row>
    <row r="122" spans="1:22" ht="25.5" x14ac:dyDescent="0.2">
      <c r="A122" s="644" t="str">
        <f t="shared" si="20"/>
        <v>Show</v>
      </c>
      <c r="B122" s="644" t="s">
        <v>2527</v>
      </c>
      <c r="C122" s="969" t="str">
        <f>IFERROR(INDEX('LFA Expenditure_7B imp-exp'!A$62:A$108,MATCH('LFA Expenditure_7B'!B122,'LFA Expenditure_7B imp-exp'!N$62:N$108,0)),"")</f>
        <v>Prevention programs for general population</v>
      </c>
      <c r="D122" s="1335" t="str">
        <f>IFERROR(INDEX('LFA Expenditure_7B imp-exp'!B$62:B$108,MATCH('LFA Expenditure_7B'!B122,'LFA Expenditure_7B imp-exp'!N$62:N$108,0)),"")</f>
        <v>Gender-based violence prevention and treatment programs for general population</v>
      </c>
      <c r="E122" s="1326">
        <f>IFERROR(INDEX('LFA Expenditure_7B imp-exp'!C$62:C$108,MATCH('LFA Expenditure_7B'!B122,'LFA Expenditure_7B imp-exp'!N$62:N$108,0)),"")</f>
        <v>10891.0875537415</v>
      </c>
      <c r="F122" s="1326">
        <f>'PR Expenditure_7A'!F123</f>
        <v>7247.49</v>
      </c>
      <c r="G122" s="1327"/>
      <c r="H122" s="1326">
        <f t="shared" si="21"/>
        <v>3643.5975537414997</v>
      </c>
      <c r="I122" s="1328">
        <f t="shared" si="22"/>
        <v>0.66545144956714752</v>
      </c>
      <c r="J122" s="1329"/>
      <c r="K122" s="1312"/>
      <c r="L122" s="1326">
        <f>IFERROR(INDEX('LFA Expenditure_7B imp-exp'!J$62:J$108,MATCH('LFA Expenditure_7B'!B122,'LFA Expenditure_7B imp-exp'!N$62:N$108,0)),"")</f>
        <v>40891.087553741403</v>
      </c>
      <c r="M122" s="1327"/>
      <c r="N122" s="1326">
        <f t="shared" si="23"/>
        <v>40891.087553741403</v>
      </c>
      <c r="O122" s="1330">
        <f t="shared" si="24"/>
        <v>0</v>
      </c>
      <c r="Q122" s="280"/>
      <c r="R122" s="280"/>
      <c r="S122" s="280"/>
      <c r="T122" s="280"/>
      <c r="U122" s="280"/>
      <c r="V122" s="280"/>
    </row>
    <row r="123" spans="1:22" ht="15" x14ac:dyDescent="0.2">
      <c r="A123" s="644" t="str">
        <f t="shared" si="20"/>
        <v>Show</v>
      </c>
      <c r="B123" s="644" t="s">
        <v>2529</v>
      </c>
      <c r="C123" s="969" t="str">
        <f>IFERROR(INDEX('LFA Expenditure_7B imp-exp'!A$62:A$108,MATCH('LFA Expenditure_7B'!B123,'LFA Expenditure_7B imp-exp'!N$62:N$108,0)),"")</f>
        <v>MDR-TB</v>
      </c>
      <c r="D123" s="1335" t="str">
        <f>IFERROR(INDEX('LFA Expenditure_7B imp-exp'!B$62:B$108,MATCH('LFA Expenditure_7B'!B123,'LFA Expenditure_7B imp-exp'!N$62:N$108,0)),"")</f>
        <v>Case detection and diagnosis: MDR-TB</v>
      </c>
      <c r="E123" s="1326">
        <f>IFERROR(INDEX('LFA Expenditure_7B imp-exp'!C$62:C$108,MATCH('LFA Expenditure_7B'!B123,'LFA Expenditure_7B imp-exp'!N$62:N$108,0)),"")</f>
        <v>27789.511472717601</v>
      </c>
      <c r="F123" s="1326">
        <f>'PR Expenditure_7A'!F124</f>
        <v>8021.170000000001</v>
      </c>
      <c r="G123" s="1327"/>
      <c r="H123" s="1326">
        <f t="shared" si="21"/>
        <v>19768.341472717599</v>
      </c>
      <c r="I123" s="1328">
        <f t="shared" si="22"/>
        <v>0.28864019462432067</v>
      </c>
      <c r="J123" s="1329"/>
      <c r="K123" s="1312"/>
      <c r="L123" s="1326">
        <f>IFERROR(INDEX('LFA Expenditure_7B imp-exp'!J$62:J$108,MATCH('LFA Expenditure_7B'!B123,'LFA Expenditure_7B imp-exp'!N$62:N$108,0)),"")</f>
        <v>27789.511472717601</v>
      </c>
      <c r="M123" s="1327"/>
      <c r="N123" s="1326">
        <f t="shared" si="23"/>
        <v>27789.511472717601</v>
      </c>
      <c r="O123" s="1330">
        <f t="shared" si="24"/>
        <v>0</v>
      </c>
      <c r="Q123" s="280"/>
      <c r="R123" s="280"/>
      <c r="S123" s="280"/>
      <c r="T123" s="280"/>
      <c r="U123" s="280"/>
      <c r="V123" s="280"/>
    </row>
    <row r="124" spans="1:22" ht="25.5" x14ac:dyDescent="0.2">
      <c r="A124" s="644" t="str">
        <f t="shared" si="20"/>
        <v>Show</v>
      </c>
      <c r="B124" s="644" t="s">
        <v>2531</v>
      </c>
      <c r="C124" s="969" t="str">
        <f>IFERROR(INDEX('LFA Expenditure_7B imp-exp'!A$62:A$108,MATCH('LFA Expenditure_7B'!B124,'LFA Expenditure_7B imp-exp'!N$62:N$108,0)),"")</f>
        <v>Comprehensive programs for people in prisons and other closed settings</v>
      </c>
      <c r="D124" s="1335" t="str">
        <f>IFERROR(INDEX('LFA Expenditure_7B imp-exp'!B$62:B$108,MATCH('LFA Expenditure_7B'!B124,'LFA Expenditure_7B imp-exp'!N$62:N$108,0)),"")</f>
        <v>Condoms and lubricant programming for people in prisons and other closed settings</v>
      </c>
      <c r="E124" s="1326">
        <f>IFERROR(INDEX('LFA Expenditure_7B imp-exp'!C$62:C$108,MATCH('LFA Expenditure_7B'!B124,'LFA Expenditure_7B imp-exp'!N$62:N$108,0)),"")</f>
        <v>6058.6886303199999</v>
      </c>
      <c r="F124" s="1326">
        <f>'PR Expenditure_7A'!F125</f>
        <v>0</v>
      </c>
      <c r="G124" s="1327"/>
      <c r="H124" s="1326">
        <f t="shared" si="21"/>
        <v>6058.6886303199999</v>
      </c>
      <c r="I124" s="1328">
        <f t="shared" si="22"/>
        <v>0</v>
      </c>
      <c r="J124" s="1329"/>
      <c r="K124" s="1312"/>
      <c r="L124" s="1326">
        <f>IFERROR(INDEX('LFA Expenditure_7B imp-exp'!J$62:J$108,MATCH('LFA Expenditure_7B'!B124,'LFA Expenditure_7B imp-exp'!N$62:N$108,0)),"")</f>
        <v>6058.6886303199999</v>
      </c>
      <c r="M124" s="1327"/>
      <c r="N124" s="1326">
        <f t="shared" si="23"/>
        <v>6058.6886303199999</v>
      </c>
      <c r="O124" s="1330">
        <f t="shared" si="24"/>
        <v>0</v>
      </c>
      <c r="Q124" s="280"/>
      <c r="R124" s="280"/>
      <c r="S124" s="280"/>
      <c r="T124" s="280"/>
      <c r="U124" s="280"/>
      <c r="V124" s="280"/>
    </row>
    <row r="125" spans="1:22" ht="25.5" x14ac:dyDescent="0.2">
      <c r="A125" s="644" t="str">
        <f t="shared" si="20"/>
        <v>Show</v>
      </c>
      <c r="B125" s="644" t="s">
        <v>2533</v>
      </c>
      <c r="C125" s="969" t="str">
        <f>IFERROR(INDEX('LFA Expenditure_7B imp-exp'!A$62:A$108,MATCH('LFA Expenditure_7B'!B125,'LFA Expenditure_7B imp-exp'!N$62:N$108,0)),"")</f>
        <v>Comprehensive prevention programs for people who inject drugs (PWID) and their partners</v>
      </c>
      <c r="D125" s="1335" t="str">
        <f>IFERROR(INDEX('LFA Expenditure_7B imp-exp'!B$62:B$108,MATCH('LFA Expenditure_7B'!B125,'LFA Expenditure_7B imp-exp'!N$62:N$108,0)),"")</f>
        <v>Condoms and lubricant programming for PWID</v>
      </c>
      <c r="E125" s="1326">
        <f>IFERROR(INDEX('LFA Expenditure_7B imp-exp'!C$62:C$108,MATCH('LFA Expenditure_7B'!B125,'LFA Expenditure_7B imp-exp'!N$62:N$108,0)),"")</f>
        <v>278.23917061999998</v>
      </c>
      <c r="F125" s="1326">
        <f>'PR Expenditure_7A'!F126</f>
        <v>0</v>
      </c>
      <c r="G125" s="1327"/>
      <c r="H125" s="1326">
        <f t="shared" si="21"/>
        <v>278.23917061999998</v>
      </c>
      <c r="I125" s="1328">
        <f t="shared" si="22"/>
        <v>0</v>
      </c>
      <c r="J125" s="1329"/>
      <c r="K125" s="1312"/>
      <c r="L125" s="1326">
        <f>IFERROR(INDEX('LFA Expenditure_7B imp-exp'!J$62:J$108,MATCH('LFA Expenditure_7B'!B125,'LFA Expenditure_7B imp-exp'!N$62:N$108,0)),"")</f>
        <v>278.23917061999998</v>
      </c>
      <c r="M125" s="1327"/>
      <c r="N125" s="1326">
        <f t="shared" si="23"/>
        <v>278.23917061999998</v>
      </c>
      <c r="O125" s="1330">
        <f t="shared" si="24"/>
        <v>0</v>
      </c>
      <c r="Q125" s="280"/>
      <c r="R125" s="280"/>
      <c r="S125" s="280"/>
      <c r="T125" s="280"/>
      <c r="U125" s="280"/>
      <c r="V125" s="280"/>
    </row>
    <row r="126" spans="1:22" ht="25.5" x14ac:dyDescent="0.2">
      <c r="A126" s="644" t="str">
        <f t="shared" si="20"/>
        <v>Show</v>
      </c>
      <c r="B126" s="644" t="s">
        <v>2535</v>
      </c>
      <c r="C126" s="969" t="str">
        <f>IFERROR(INDEX('LFA Expenditure_7B imp-exp'!A$62:A$108,MATCH('LFA Expenditure_7B'!B126,'LFA Expenditure_7B imp-exp'!N$62:N$108,0)),"")</f>
        <v>Prevention programs for adolescents and youth, in and out of school</v>
      </c>
      <c r="D126" s="1335" t="str">
        <f>IFERROR(INDEX('LFA Expenditure_7B imp-exp'!B$62:B$108,MATCH('LFA Expenditure_7B'!B126,'LFA Expenditure_7B imp-exp'!N$62:N$108,0)),"")</f>
        <v>Male and Female condoms for adolescents and youth, in and out of school</v>
      </c>
      <c r="E126" s="1326">
        <f>IFERROR(INDEX('LFA Expenditure_7B imp-exp'!C$62:C$108,MATCH('LFA Expenditure_7B'!B126,'LFA Expenditure_7B imp-exp'!N$62:N$108,0)),"")</f>
        <v>66006.276648359999</v>
      </c>
      <c r="F126" s="1326">
        <f>'PR Expenditure_7A'!F127</f>
        <v>46.38</v>
      </c>
      <c r="G126" s="1327"/>
      <c r="H126" s="1326">
        <f t="shared" si="21"/>
        <v>65959.896648359994</v>
      </c>
      <c r="I126" s="1328">
        <f t="shared" si="22"/>
        <v>7.0266044920369499E-4</v>
      </c>
      <c r="J126" s="1329"/>
      <c r="K126" s="1312"/>
      <c r="L126" s="1326">
        <f>IFERROR(INDEX('LFA Expenditure_7B imp-exp'!J$62:J$108,MATCH('LFA Expenditure_7B'!B126,'LFA Expenditure_7B imp-exp'!N$62:N$108,0)),"")</f>
        <v>66006.276648359999</v>
      </c>
      <c r="M126" s="1327"/>
      <c r="N126" s="1326">
        <f t="shared" si="23"/>
        <v>66006.276648359999</v>
      </c>
      <c r="O126" s="1330">
        <f t="shared" si="24"/>
        <v>0</v>
      </c>
      <c r="Q126" s="280"/>
      <c r="R126" s="280"/>
      <c r="S126" s="280"/>
      <c r="T126" s="280"/>
      <c r="U126" s="280"/>
      <c r="V126" s="280"/>
    </row>
    <row r="127" spans="1:22" ht="25.5" x14ac:dyDescent="0.2">
      <c r="A127" s="644" t="str">
        <f t="shared" si="20"/>
        <v>Show</v>
      </c>
      <c r="B127" s="644" t="s">
        <v>2537</v>
      </c>
      <c r="C127" s="969" t="str">
        <f>IFERROR(INDEX('LFA Expenditure_7B imp-exp'!A$62:A$108,MATCH('LFA Expenditure_7B'!B127,'LFA Expenditure_7B imp-exp'!N$62:N$108,0)),"")</f>
        <v>Prevention programs for other vulnerable populations</v>
      </c>
      <c r="D127" s="1335" t="str">
        <f>IFERROR(INDEX('LFA Expenditure_7B imp-exp'!B$62:B$108,MATCH('LFA Expenditure_7B'!B127,'LFA Expenditure_7B imp-exp'!N$62:N$108,0)),"")</f>
        <v>Male and female condoms for other vulnerable populations</v>
      </c>
      <c r="E127" s="1326">
        <f>IFERROR(INDEX('LFA Expenditure_7B imp-exp'!C$62:C$108,MATCH('LFA Expenditure_7B'!B127,'LFA Expenditure_7B imp-exp'!N$62:N$108,0)),"")</f>
        <v>13849.92134264</v>
      </c>
      <c r="F127" s="1326">
        <f>'PR Expenditure_7A'!F128</f>
        <v>390.72</v>
      </c>
      <c r="G127" s="1327"/>
      <c r="H127" s="1326">
        <f t="shared" si="21"/>
        <v>13459.201342640001</v>
      </c>
      <c r="I127" s="1328">
        <f t="shared" si="22"/>
        <v>2.8210990541663466E-2</v>
      </c>
      <c r="J127" s="1329"/>
      <c r="K127" s="1312"/>
      <c r="L127" s="1326">
        <f>IFERROR(INDEX('LFA Expenditure_7B imp-exp'!J$62:J$108,MATCH('LFA Expenditure_7B'!B127,'LFA Expenditure_7B imp-exp'!N$62:N$108,0)),"")</f>
        <v>13849.92134264</v>
      </c>
      <c r="M127" s="1327"/>
      <c r="N127" s="1326">
        <f t="shared" si="23"/>
        <v>13849.92134264</v>
      </c>
      <c r="O127" s="1330">
        <f t="shared" si="24"/>
        <v>0</v>
      </c>
      <c r="Q127" s="280"/>
      <c r="R127" s="280"/>
      <c r="S127" s="280"/>
      <c r="T127" s="280"/>
      <c r="U127" s="280"/>
      <c r="V127" s="280"/>
    </row>
    <row r="128" spans="1:22" ht="15" hidden="1" x14ac:dyDescent="0.2">
      <c r="A128" s="644" t="str">
        <f t="shared" si="20"/>
        <v>Don't Show</v>
      </c>
      <c r="B128" s="644" t="s">
        <v>2539</v>
      </c>
      <c r="C128" s="969" t="str">
        <f>IFERROR(INDEX('LFA Expenditure_7B imp-exp'!A$62:A$108,MATCH('LFA Expenditure_7B'!B128,'LFA Expenditure_7B imp-exp'!N$62:N$108,0)),"")</f>
        <v/>
      </c>
      <c r="D128" s="1335" t="str">
        <f>IFERROR(INDEX('LFA Expenditure_7B imp-exp'!B$62:B$108,MATCH('LFA Expenditure_7B'!B128,'LFA Expenditure_7B imp-exp'!N$62:N$108,0)),"")</f>
        <v/>
      </c>
      <c r="E128" s="1326" t="str">
        <f>IFERROR(INDEX('LFA Expenditure_7B imp-exp'!C$62:C$108,MATCH('LFA Expenditure_7B'!B128,'LFA Expenditure_7B imp-exp'!N$62:N$108,0)),"")</f>
        <v/>
      </c>
      <c r="F128" s="1326">
        <f>'PR Expenditure_7A'!F129</f>
        <v>0</v>
      </c>
      <c r="G128" s="1327"/>
      <c r="H128" s="1326">
        <f t="shared" si="21"/>
        <v>0</v>
      </c>
      <c r="I128" s="1328" t="e">
        <f t="shared" si="22"/>
        <v>#VALUE!</v>
      </c>
      <c r="J128" s="1329"/>
      <c r="K128" s="1312"/>
      <c r="L128" s="1326" t="str">
        <f>IFERROR(INDEX('LFA Expenditure_7B imp-exp'!J$62:J$108,MATCH('LFA Expenditure_7B'!B128,'LFA Expenditure_7B imp-exp'!N$62:N$108,0)),"")</f>
        <v/>
      </c>
      <c r="M128" s="1327"/>
      <c r="N128" s="1326">
        <f t="shared" si="23"/>
        <v>0</v>
      </c>
      <c r="O128" s="1330" t="e">
        <f t="shared" si="24"/>
        <v>#VALUE!</v>
      </c>
      <c r="Q128" s="280"/>
      <c r="R128" s="280"/>
      <c r="S128" s="280"/>
      <c r="T128" s="280"/>
      <c r="U128" s="280"/>
      <c r="V128" s="280"/>
    </row>
    <row r="129" spans="1:22" ht="15" hidden="1" x14ac:dyDescent="0.2">
      <c r="A129" s="644" t="str">
        <f t="shared" si="20"/>
        <v>Don't Show</v>
      </c>
      <c r="B129" s="644" t="s">
        <v>2540</v>
      </c>
      <c r="C129" s="969" t="str">
        <f>IFERROR(INDEX('LFA Expenditure_7B imp-exp'!A$62:A$108,MATCH('LFA Expenditure_7B'!B129,'LFA Expenditure_7B imp-exp'!N$62:N$108,0)),"")</f>
        <v/>
      </c>
      <c r="D129" s="1335" t="str">
        <f>IFERROR(INDEX('LFA Expenditure_7B imp-exp'!B$62:B$108,MATCH('LFA Expenditure_7B'!B129,'LFA Expenditure_7B imp-exp'!N$62:N$108,0)),"")</f>
        <v/>
      </c>
      <c r="E129" s="1326" t="str">
        <f>IFERROR(INDEX('LFA Expenditure_7B imp-exp'!C$62:C$108,MATCH('LFA Expenditure_7B'!B129,'LFA Expenditure_7B imp-exp'!N$62:N$108,0)),"")</f>
        <v/>
      </c>
      <c r="F129" s="1326">
        <f>'PR Expenditure_7A'!F130</f>
        <v>0</v>
      </c>
      <c r="G129" s="1327"/>
      <c r="H129" s="1326">
        <f t="shared" si="21"/>
        <v>0</v>
      </c>
      <c r="I129" s="1328" t="e">
        <f t="shared" si="22"/>
        <v>#VALUE!</v>
      </c>
      <c r="J129" s="1329"/>
      <c r="K129" s="1312"/>
      <c r="L129" s="1326" t="str">
        <f>IFERROR(INDEX('LFA Expenditure_7B imp-exp'!J$62:J$108,MATCH('LFA Expenditure_7B'!B129,'LFA Expenditure_7B imp-exp'!N$62:N$108,0)),"")</f>
        <v/>
      </c>
      <c r="M129" s="1327"/>
      <c r="N129" s="1326">
        <f t="shared" si="23"/>
        <v>0</v>
      </c>
      <c r="O129" s="1330" t="e">
        <f t="shared" si="24"/>
        <v>#VALUE!</v>
      </c>
      <c r="Q129" s="280"/>
      <c r="R129" s="280"/>
      <c r="S129" s="280"/>
      <c r="T129" s="280"/>
      <c r="U129" s="280"/>
      <c r="V129" s="280"/>
    </row>
    <row r="130" spans="1:22" ht="15" hidden="1" x14ac:dyDescent="0.2">
      <c r="A130" s="644" t="str">
        <f t="shared" si="20"/>
        <v>Don't Show</v>
      </c>
      <c r="B130" s="644" t="s">
        <v>2541</v>
      </c>
      <c r="C130" s="969" t="str">
        <f>IFERROR(INDEX('LFA Expenditure_7B imp-exp'!A$62:A$108,MATCH('LFA Expenditure_7B'!B130,'LFA Expenditure_7B imp-exp'!N$62:N$108,0)),"")</f>
        <v/>
      </c>
      <c r="D130" s="1335" t="str">
        <f>IFERROR(INDEX('LFA Expenditure_7B imp-exp'!B$62:B$108,MATCH('LFA Expenditure_7B'!B130,'LFA Expenditure_7B imp-exp'!N$62:N$108,0)),"")</f>
        <v/>
      </c>
      <c r="E130" s="1326" t="str">
        <f>IFERROR(INDEX('LFA Expenditure_7B imp-exp'!C$62:C$108,MATCH('LFA Expenditure_7B'!B130,'LFA Expenditure_7B imp-exp'!N$62:N$108,0)),"")</f>
        <v/>
      </c>
      <c r="F130" s="1326">
        <f>'PR Expenditure_7A'!F131</f>
        <v>0</v>
      </c>
      <c r="G130" s="1327"/>
      <c r="H130" s="1326">
        <f t="shared" si="21"/>
        <v>0</v>
      </c>
      <c r="I130" s="1328" t="e">
        <f t="shared" si="22"/>
        <v>#VALUE!</v>
      </c>
      <c r="J130" s="1329"/>
      <c r="K130" s="1312"/>
      <c r="L130" s="1326" t="str">
        <f>IFERROR(INDEX('LFA Expenditure_7B imp-exp'!J$62:J$108,MATCH('LFA Expenditure_7B'!B130,'LFA Expenditure_7B imp-exp'!N$62:N$108,0)),"")</f>
        <v/>
      </c>
      <c r="M130" s="1327"/>
      <c r="N130" s="1326">
        <f t="shared" si="23"/>
        <v>0</v>
      </c>
      <c r="O130" s="1330" t="e">
        <f t="shared" si="24"/>
        <v>#VALUE!</v>
      </c>
      <c r="Q130" s="280"/>
      <c r="R130" s="280"/>
      <c r="S130" s="280"/>
      <c r="T130" s="280"/>
      <c r="U130" s="280"/>
      <c r="V130" s="280"/>
    </row>
    <row r="131" spans="1:22" ht="15" hidden="1" x14ac:dyDescent="0.2">
      <c r="A131" s="644" t="str">
        <f t="shared" si="20"/>
        <v>Don't Show</v>
      </c>
      <c r="B131" s="644" t="s">
        <v>2542</v>
      </c>
      <c r="C131" s="969" t="str">
        <f>IFERROR(INDEX('LFA Expenditure_7B imp-exp'!A$62:A$108,MATCH('LFA Expenditure_7B'!B131,'LFA Expenditure_7B imp-exp'!N$62:N$108,0)),"")</f>
        <v/>
      </c>
      <c r="D131" s="1335" t="str">
        <f>IFERROR(INDEX('LFA Expenditure_7B imp-exp'!B$62:B$108,MATCH('LFA Expenditure_7B'!B131,'LFA Expenditure_7B imp-exp'!N$62:N$108,0)),"")</f>
        <v/>
      </c>
      <c r="E131" s="1326" t="str">
        <f>IFERROR(INDEX('LFA Expenditure_7B imp-exp'!C$62:C$108,MATCH('LFA Expenditure_7B'!B131,'LFA Expenditure_7B imp-exp'!N$62:N$108,0)),"")</f>
        <v/>
      </c>
      <c r="F131" s="1326">
        <f>'PR Expenditure_7A'!F132</f>
        <v>0</v>
      </c>
      <c r="G131" s="1327"/>
      <c r="H131" s="1326">
        <f t="shared" si="21"/>
        <v>0</v>
      </c>
      <c r="I131" s="1328" t="e">
        <f t="shared" si="22"/>
        <v>#VALUE!</v>
      </c>
      <c r="J131" s="1329"/>
      <c r="K131" s="1312"/>
      <c r="L131" s="1326" t="str">
        <f>IFERROR(INDEX('LFA Expenditure_7B imp-exp'!J$62:J$108,MATCH('LFA Expenditure_7B'!B131,'LFA Expenditure_7B imp-exp'!N$62:N$108,0)),"")</f>
        <v/>
      </c>
      <c r="M131" s="1327"/>
      <c r="N131" s="1326">
        <f t="shared" si="23"/>
        <v>0</v>
      </c>
      <c r="O131" s="1330" t="e">
        <f t="shared" si="24"/>
        <v>#VALUE!</v>
      </c>
      <c r="Q131" s="280"/>
      <c r="R131" s="280"/>
      <c r="S131" s="280"/>
      <c r="T131" s="280"/>
      <c r="U131" s="280"/>
      <c r="V131" s="280"/>
    </row>
    <row r="132" spans="1:22" ht="15" hidden="1" x14ac:dyDescent="0.2">
      <c r="A132" s="644" t="str">
        <f t="shared" si="20"/>
        <v>Don't Show</v>
      </c>
      <c r="B132" s="644" t="s">
        <v>2543</v>
      </c>
      <c r="C132" s="969" t="str">
        <f>IFERROR(INDEX('LFA Expenditure_7B imp-exp'!A$62:A$108,MATCH('LFA Expenditure_7B'!B132,'LFA Expenditure_7B imp-exp'!N$62:N$108,0)),"")</f>
        <v/>
      </c>
      <c r="D132" s="1335" t="str">
        <f>IFERROR(INDEX('LFA Expenditure_7B imp-exp'!B$62:B$108,MATCH('LFA Expenditure_7B'!B132,'LFA Expenditure_7B imp-exp'!N$62:N$108,0)),"")</f>
        <v/>
      </c>
      <c r="E132" s="1326" t="str">
        <f>IFERROR(INDEX('LFA Expenditure_7B imp-exp'!C$62:C$108,MATCH('LFA Expenditure_7B'!B132,'LFA Expenditure_7B imp-exp'!N$62:N$108,0)),"")</f>
        <v/>
      </c>
      <c r="F132" s="1326">
        <f>'PR Expenditure_7A'!F133</f>
        <v>0</v>
      </c>
      <c r="G132" s="1327"/>
      <c r="H132" s="1326">
        <f t="shared" si="21"/>
        <v>0</v>
      </c>
      <c r="I132" s="1328" t="e">
        <f t="shared" si="22"/>
        <v>#VALUE!</v>
      </c>
      <c r="J132" s="1329"/>
      <c r="K132" s="1312"/>
      <c r="L132" s="1326" t="str">
        <f>IFERROR(INDEX('LFA Expenditure_7B imp-exp'!J$62:J$108,MATCH('LFA Expenditure_7B'!B132,'LFA Expenditure_7B imp-exp'!N$62:N$108,0)),"")</f>
        <v/>
      </c>
      <c r="M132" s="1327"/>
      <c r="N132" s="1326">
        <f t="shared" si="23"/>
        <v>0</v>
      </c>
      <c r="O132" s="1330" t="e">
        <f t="shared" si="24"/>
        <v>#VALUE!</v>
      </c>
      <c r="Q132" s="280"/>
      <c r="R132" s="280"/>
      <c r="S132" s="280"/>
      <c r="T132" s="280"/>
      <c r="U132" s="280"/>
      <c r="V132" s="280"/>
    </row>
    <row r="133" spans="1:22" ht="15" hidden="1" x14ac:dyDescent="0.2">
      <c r="A133" s="644" t="str">
        <f t="shared" si="20"/>
        <v>Don't Show</v>
      </c>
      <c r="B133" s="644" t="s">
        <v>2544</v>
      </c>
      <c r="C133" s="969" t="str">
        <f>IFERROR(INDEX('LFA Expenditure_7B imp-exp'!A$62:A$108,MATCH('LFA Expenditure_7B'!B133,'LFA Expenditure_7B imp-exp'!N$62:N$108,0)),"")</f>
        <v/>
      </c>
      <c r="D133" s="1335" t="str">
        <f>IFERROR(INDEX('LFA Expenditure_7B imp-exp'!B$62:B$108,MATCH('LFA Expenditure_7B'!B133,'LFA Expenditure_7B imp-exp'!N$62:N$108,0)),"")</f>
        <v/>
      </c>
      <c r="E133" s="1326" t="str">
        <f>IFERROR(INDEX('LFA Expenditure_7B imp-exp'!C$62:C$108,MATCH('LFA Expenditure_7B'!B133,'LFA Expenditure_7B imp-exp'!N$62:N$108,0)),"")</f>
        <v/>
      </c>
      <c r="F133" s="1326">
        <f>'PR Expenditure_7A'!F134</f>
        <v>0</v>
      </c>
      <c r="G133" s="1327"/>
      <c r="H133" s="1326">
        <f t="shared" si="21"/>
        <v>0</v>
      </c>
      <c r="I133" s="1328" t="e">
        <f t="shared" si="22"/>
        <v>#VALUE!</v>
      </c>
      <c r="J133" s="1329"/>
      <c r="K133" s="1312"/>
      <c r="L133" s="1326" t="str">
        <f>IFERROR(INDEX('LFA Expenditure_7B imp-exp'!J$62:J$108,MATCH('LFA Expenditure_7B'!B133,'LFA Expenditure_7B imp-exp'!N$62:N$108,0)),"")</f>
        <v/>
      </c>
      <c r="M133" s="1327"/>
      <c r="N133" s="1326">
        <f t="shared" si="23"/>
        <v>0</v>
      </c>
      <c r="O133" s="1330" t="e">
        <f t="shared" si="24"/>
        <v>#VALUE!</v>
      </c>
      <c r="Q133" s="280"/>
      <c r="R133" s="280"/>
      <c r="S133" s="280"/>
      <c r="T133" s="280"/>
      <c r="U133" s="280"/>
      <c r="V133" s="280"/>
    </row>
    <row r="134" spans="1:22" ht="15" hidden="1" x14ac:dyDescent="0.2">
      <c r="A134" s="644" t="str">
        <f t="shared" si="20"/>
        <v>Don't Show</v>
      </c>
      <c r="B134" s="644" t="s">
        <v>2545</v>
      </c>
      <c r="C134" s="969" t="str">
        <f>IFERROR(INDEX('LFA Expenditure_7B imp-exp'!A$62:A$108,MATCH('LFA Expenditure_7B'!B134,'LFA Expenditure_7B imp-exp'!N$62:N$108,0)),"")</f>
        <v/>
      </c>
      <c r="D134" s="1335" t="str">
        <f>IFERROR(INDEX('LFA Expenditure_7B imp-exp'!B$62:B$108,MATCH('LFA Expenditure_7B'!B134,'LFA Expenditure_7B imp-exp'!N$62:N$108,0)),"")</f>
        <v/>
      </c>
      <c r="E134" s="1326" t="str">
        <f>IFERROR(INDEX('LFA Expenditure_7B imp-exp'!C$62:C$108,MATCH('LFA Expenditure_7B'!B134,'LFA Expenditure_7B imp-exp'!N$62:N$108,0)),"")</f>
        <v/>
      </c>
      <c r="F134" s="1326">
        <f>'PR Expenditure_7A'!F135</f>
        <v>0</v>
      </c>
      <c r="G134" s="1327"/>
      <c r="H134" s="1326">
        <f t="shared" si="21"/>
        <v>0</v>
      </c>
      <c r="I134" s="1328" t="e">
        <f t="shared" si="22"/>
        <v>#VALUE!</v>
      </c>
      <c r="J134" s="1329"/>
      <c r="K134" s="1312"/>
      <c r="L134" s="1326" t="str">
        <f>IFERROR(INDEX('LFA Expenditure_7B imp-exp'!J$62:J$108,MATCH('LFA Expenditure_7B'!B134,'LFA Expenditure_7B imp-exp'!N$62:N$108,0)),"")</f>
        <v/>
      </c>
      <c r="M134" s="1327"/>
      <c r="N134" s="1326">
        <f t="shared" si="23"/>
        <v>0</v>
      </c>
      <c r="O134" s="1330" t="e">
        <f t="shared" si="24"/>
        <v>#VALUE!</v>
      </c>
      <c r="Q134" s="280"/>
      <c r="R134" s="280"/>
      <c r="S134" s="280"/>
      <c r="T134" s="280"/>
      <c r="U134" s="280"/>
      <c r="V134" s="280"/>
    </row>
    <row r="135" spans="1:22" ht="15" hidden="1" x14ac:dyDescent="0.2">
      <c r="A135" s="644" t="str">
        <f t="shared" si="20"/>
        <v>Don't Show</v>
      </c>
      <c r="B135" s="644" t="s">
        <v>2546</v>
      </c>
      <c r="C135" s="969" t="str">
        <f>IFERROR(INDEX('LFA Expenditure_7B imp-exp'!A$62:A$108,MATCH('LFA Expenditure_7B'!B135,'LFA Expenditure_7B imp-exp'!N$62:N$108,0)),"")</f>
        <v/>
      </c>
      <c r="D135" s="1335" t="str">
        <f>IFERROR(INDEX('LFA Expenditure_7B imp-exp'!B$62:B$108,MATCH('LFA Expenditure_7B'!B135,'LFA Expenditure_7B imp-exp'!N$62:N$108,0)),"")</f>
        <v/>
      </c>
      <c r="E135" s="1326" t="str">
        <f>IFERROR(INDEX('LFA Expenditure_7B imp-exp'!C$62:C$108,MATCH('LFA Expenditure_7B'!B135,'LFA Expenditure_7B imp-exp'!N$62:N$108,0)),"")</f>
        <v/>
      </c>
      <c r="F135" s="1326">
        <f>'PR Expenditure_7A'!F136</f>
        <v>0</v>
      </c>
      <c r="G135" s="1327"/>
      <c r="H135" s="1326">
        <f t="shared" si="21"/>
        <v>0</v>
      </c>
      <c r="I135" s="1328" t="e">
        <f t="shared" si="22"/>
        <v>#VALUE!</v>
      </c>
      <c r="J135" s="1329"/>
      <c r="K135" s="1312"/>
      <c r="L135" s="1326" t="str">
        <f>IFERROR(INDEX('LFA Expenditure_7B imp-exp'!J$62:J$108,MATCH('LFA Expenditure_7B'!B135,'LFA Expenditure_7B imp-exp'!N$62:N$108,0)),"")</f>
        <v/>
      </c>
      <c r="M135" s="1327"/>
      <c r="N135" s="1326">
        <f t="shared" si="23"/>
        <v>0</v>
      </c>
      <c r="O135" s="1330" t="e">
        <f t="shared" si="24"/>
        <v>#VALUE!</v>
      </c>
      <c r="Q135" s="280"/>
      <c r="R135" s="280"/>
      <c r="S135" s="280"/>
      <c r="T135" s="280"/>
      <c r="U135" s="280"/>
      <c r="V135" s="280"/>
    </row>
    <row r="136" spans="1:22" ht="15" hidden="1" x14ac:dyDescent="0.2">
      <c r="A136" s="644" t="str">
        <f t="shared" si="20"/>
        <v>Don't Show</v>
      </c>
      <c r="B136" s="644" t="s">
        <v>2547</v>
      </c>
      <c r="C136" s="969" t="str">
        <f>IFERROR(INDEX('LFA Expenditure_7B imp-exp'!A$62:A$108,MATCH('LFA Expenditure_7B'!B136,'LFA Expenditure_7B imp-exp'!N$62:N$108,0)),"")</f>
        <v/>
      </c>
      <c r="D136" s="1335" t="str">
        <f>IFERROR(INDEX('LFA Expenditure_7B imp-exp'!B$62:B$108,MATCH('LFA Expenditure_7B'!B136,'LFA Expenditure_7B imp-exp'!N$62:N$108,0)),"")</f>
        <v/>
      </c>
      <c r="E136" s="1326" t="str">
        <f>IFERROR(INDEX('LFA Expenditure_7B imp-exp'!C$62:C$108,MATCH('LFA Expenditure_7B'!B136,'LFA Expenditure_7B imp-exp'!N$62:N$108,0)),"")</f>
        <v/>
      </c>
      <c r="F136" s="1326">
        <f>'PR Expenditure_7A'!F137</f>
        <v>0</v>
      </c>
      <c r="G136" s="1327"/>
      <c r="H136" s="1326">
        <f t="shared" si="21"/>
        <v>0</v>
      </c>
      <c r="I136" s="1328" t="e">
        <f t="shared" si="22"/>
        <v>#VALUE!</v>
      </c>
      <c r="J136" s="1329"/>
      <c r="K136" s="1312"/>
      <c r="L136" s="1326" t="str">
        <f>IFERROR(INDEX('LFA Expenditure_7B imp-exp'!J$62:J$108,MATCH('LFA Expenditure_7B'!B136,'LFA Expenditure_7B imp-exp'!N$62:N$108,0)),"")</f>
        <v/>
      </c>
      <c r="M136" s="1327"/>
      <c r="N136" s="1326">
        <f t="shared" si="23"/>
        <v>0</v>
      </c>
      <c r="O136" s="1330" t="e">
        <f t="shared" si="24"/>
        <v>#VALUE!</v>
      </c>
      <c r="Q136" s="280"/>
      <c r="R136" s="280"/>
      <c r="S136" s="280"/>
      <c r="T136" s="280"/>
      <c r="U136" s="280"/>
      <c r="V136" s="280"/>
    </row>
    <row r="137" spans="1:22" ht="15" hidden="1" x14ac:dyDescent="0.2">
      <c r="A137" s="644" t="str">
        <f t="shared" si="20"/>
        <v>Don't Show</v>
      </c>
      <c r="B137" s="644" t="s">
        <v>2548</v>
      </c>
      <c r="C137" s="969" t="str">
        <f>IFERROR(INDEX('LFA Expenditure_7B imp-exp'!A$62:A$108,MATCH('LFA Expenditure_7B'!B137,'LFA Expenditure_7B imp-exp'!N$62:N$108,0)),"")</f>
        <v/>
      </c>
      <c r="D137" s="1335" t="str">
        <f>IFERROR(INDEX('LFA Expenditure_7B imp-exp'!B$62:B$108,MATCH('LFA Expenditure_7B'!B137,'LFA Expenditure_7B imp-exp'!N$62:N$108,0)),"")</f>
        <v/>
      </c>
      <c r="E137" s="1326" t="str">
        <f>IFERROR(INDEX('LFA Expenditure_7B imp-exp'!C$62:C$108,MATCH('LFA Expenditure_7B'!B137,'LFA Expenditure_7B imp-exp'!N$62:N$108,0)),"")</f>
        <v/>
      </c>
      <c r="F137" s="1326">
        <f>'PR Expenditure_7A'!F138</f>
        <v>0</v>
      </c>
      <c r="G137" s="1327"/>
      <c r="H137" s="1326">
        <f t="shared" si="21"/>
        <v>0</v>
      </c>
      <c r="I137" s="1328" t="e">
        <f t="shared" si="22"/>
        <v>#VALUE!</v>
      </c>
      <c r="J137" s="1329"/>
      <c r="K137" s="1312"/>
      <c r="L137" s="1326" t="str">
        <f>IFERROR(INDEX('LFA Expenditure_7B imp-exp'!J$62:J$108,MATCH('LFA Expenditure_7B'!B137,'LFA Expenditure_7B imp-exp'!N$62:N$108,0)),"")</f>
        <v/>
      </c>
      <c r="M137" s="1327"/>
      <c r="N137" s="1326">
        <f t="shared" si="23"/>
        <v>0</v>
      </c>
      <c r="O137" s="1330" t="e">
        <f t="shared" si="24"/>
        <v>#VALUE!</v>
      </c>
      <c r="Q137" s="280"/>
      <c r="R137" s="280"/>
      <c r="S137" s="280"/>
      <c r="T137" s="280"/>
      <c r="U137" s="280"/>
      <c r="V137" s="280"/>
    </row>
    <row r="138" spans="1:22" ht="15" hidden="1" x14ac:dyDescent="0.2">
      <c r="A138" s="644" t="str">
        <f t="shared" si="20"/>
        <v>Don't Show</v>
      </c>
      <c r="B138" s="644" t="s">
        <v>2549</v>
      </c>
      <c r="C138" s="969" t="str">
        <f>IFERROR(INDEX('LFA Expenditure_7B imp-exp'!A$62:A$108,MATCH('LFA Expenditure_7B'!B138,'LFA Expenditure_7B imp-exp'!N$62:N$108,0)),"")</f>
        <v/>
      </c>
      <c r="D138" s="1335" t="str">
        <f>IFERROR(INDEX('LFA Expenditure_7B imp-exp'!B$62:B$108,MATCH('LFA Expenditure_7B'!B138,'LFA Expenditure_7B imp-exp'!N$62:N$108,0)),"")</f>
        <v/>
      </c>
      <c r="E138" s="1326" t="str">
        <f>IFERROR(INDEX('LFA Expenditure_7B imp-exp'!C$62:C$108,MATCH('LFA Expenditure_7B'!B138,'LFA Expenditure_7B imp-exp'!N$62:N$108,0)),"")</f>
        <v/>
      </c>
      <c r="F138" s="1326">
        <f>'PR Expenditure_7A'!F139</f>
        <v>0</v>
      </c>
      <c r="G138" s="1327"/>
      <c r="H138" s="1326">
        <f t="shared" si="21"/>
        <v>0</v>
      </c>
      <c r="I138" s="1328" t="e">
        <f t="shared" si="22"/>
        <v>#VALUE!</v>
      </c>
      <c r="J138" s="1329"/>
      <c r="K138" s="1312"/>
      <c r="L138" s="1326" t="str">
        <f>IFERROR(INDEX('LFA Expenditure_7B imp-exp'!J$62:J$108,MATCH('LFA Expenditure_7B'!B138,'LFA Expenditure_7B imp-exp'!N$62:N$108,0)),"")</f>
        <v/>
      </c>
      <c r="M138" s="1327"/>
      <c r="N138" s="1326">
        <f t="shared" si="23"/>
        <v>0</v>
      </c>
      <c r="O138" s="1330" t="e">
        <f t="shared" si="24"/>
        <v>#VALUE!</v>
      </c>
      <c r="Q138" s="280"/>
      <c r="R138" s="280"/>
      <c r="S138" s="280"/>
      <c r="T138" s="280"/>
      <c r="U138" s="280"/>
      <c r="V138" s="280"/>
    </row>
    <row r="139" spans="1:22" ht="15" hidden="1" x14ac:dyDescent="0.2">
      <c r="A139" s="644" t="str">
        <f t="shared" si="20"/>
        <v>Don't Show</v>
      </c>
      <c r="B139" s="644" t="s">
        <v>2550</v>
      </c>
      <c r="C139" s="969" t="str">
        <f>IFERROR(INDEX('LFA Expenditure_7B imp-exp'!A$62:A$108,MATCH('LFA Expenditure_7B'!B139,'LFA Expenditure_7B imp-exp'!N$62:N$108,0)),"")</f>
        <v/>
      </c>
      <c r="D139" s="1335" t="str">
        <f>IFERROR(INDEX('LFA Expenditure_7B imp-exp'!B$62:B$108,MATCH('LFA Expenditure_7B'!B139,'LFA Expenditure_7B imp-exp'!N$62:N$108,0)),"")</f>
        <v/>
      </c>
      <c r="E139" s="1326" t="str">
        <f>IFERROR(INDEX('LFA Expenditure_7B imp-exp'!C$62:C$108,MATCH('LFA Expenditure_7B'!B139,'LFA Expenditure_7B imp-exp'!N$62:N$108,0)),"")</f>
        <v/>
      </c>
      <c r="F139" s="1326">
        <f>'PR Expenditure_7A'!F140</f>
        <v>0</v>
      </c>
      <c r="G139" s="1327"/>
      <c r="H139" s="1326">
        <f t="shared" si="21"/>
        <v>0</v>
      </c>
      <c r="I139" s="1328" t="e">
        <f t="shared" si="22"/>
        <v>#VALUE!</v>
      </c>
      <c r="J139" s="1329"/>
      <c r="K139" s="1312"/>
      <c r="L139" s="1326" t="str">
        <f>IFERROR(INDEX('LFA Expenditure_7B imp-exp'!J$62:J$108,MATCH('LFA Expenditure_7B'!B139,'LFA Expenditure_7B imp-exp'!N$62:N$108,0)),"")</f>
        <v/>
      </c>
      <c r="M139" s="1327"/>
      <c r="N139" s="1326">
        <f t="shared" si="23"/>
        <v>0</v>
      </c>
      <c r="O139" s="1330" t="e">
        <f t="shared" si="24"/>
        <v>#VALUE!</v>
      </c>
      <c r="Q139" s="280"/>
      <c r="R139" s="280"/>
      <c r="S139" s="280"/>
      <c r="T139" s="280"/>
      <c r="U139" s="280"/>
      <c r="V139" s="280"/>
    </row>
    <row r="140" spans="1:22" ht="15" hidden="1" x14ac:dyDescent="0.2">
      <c r="A140" s="644" t="str">
        <f t="shared" si="20"/>
        <v>Don't Show</v>
      </c>
      <c r="B140" s="644" t="s">
        <v>2551</v>
      </c>
      <c r="C140" s="969" t="str">
        <f>IFERROR(INDEX('LFA Expenditure_7B imp-exp'!A$62:A$108,MATCH('LFA Expenditure_7B'!B140,'LFA Expenditure_7B imp-exp'!N$62:N$108,0)),"")</f>
        <v/>
      </c>
      <c r="D140" s="1335" t="str">
        <f>IFERROR(INDEX('LFA Expenditure_7B imp-exp'!B$62:B$108,MATCH('LFA Expenditure_7B'!B140,'LFA Expenditure_7B imp-exp'!N$62:N$108,0)),"")</f>
        <v/>
      </c>
      <c r="E140" s="1326" t="str">
        <f>IFERROR(INDEX('LFA Expenditure_7B imp-exp'!C$62:C$108,MATCH('LFA Expenditure_7B'!B140,'LFA Expenditure_7B imp-exp'!N$62:N$108,0)),"")</f>
        <v/>
      </c>
      <c r="F140" s="1326">
        <f>'PR Expenditure_7A'!F141</f>
        <v>0</v>
      </c>
      <c r="G140" s="1327"/>
      <c r="H140" s="1326">
        <f t="shared" si="21"/>
        <v>0</v>
      </c>
      <c r="I140" s="1328" t="e">
        <f t="shared" si="22"/>
        <v>#VALUE!</v>
      </c>
      <c r="J140" s="1329"/>
      <c r="K140" s="1312"/>
      <c r="L140" s="1326" t="str">
        <f>IFERROR(INDEX('LFA Expenditure_7B imp-exp'!J$62:J$108,MATCH('LFA Expenditure_7B'!B140,'LFA Expenditure_7B imp-exp'!N$62:N$108,0)),"")</f>
        <v/>
      </c>
      <c r="M140" s="1327"/>
      <c r="N140" s="1326">
        <f t="shared" si="23"/>
        <v>0</v>
      </c>
      <c r="O140" s="1330" t="e">
        <f t="shared" si="24"/>
        <v>#VALUE!</v>
      </c>
      <c r="Q140" s="280"/>
      <c r="R140" s="280"/>
      <c r="S140" s="280"/>
      <c r="T140" s="280"/>
      <c r="U140" s="280"/>
      <c r="V140" s="280"/>
    </row>
    <row r="141" spans="1:22" ht="15" hidden="1" x14ac:dyDescent="0.2">
      <c r="A141" s="644" t="str">
        <f t="shared" si="20"/>
        <v>Don't Show</v>
      </c>
      <c r="B141" s="644" t="s">
        <v>2552</v>
      </c>
      <c r="C141" s="969" t="str">
        <f>IFERROR(INDEX('LFA Expenditure_7B imp-exp'!A$62:A$108,MATCH('LFA Expenditure_7B'!B141,'LFA Expenditure_7B imp-exp'!N$62:N$108,0)),"")</f>
        <v/>
      </c>
      <c r="D141" s="1335" t="str">
        <f>IFERROR(INDEX('LFA Expenditure_7B imp-exp'!B$62:B$108,MATCH('LFA Expenditure_7B'!B141,'LFA Expenditure_7B imp-exp'!N$62:N$108,0)),"")</f>
        <v/>
      </c>
      <c r="E141" s="1326" t="str">
        <f>IFERROR(INDEX('LFA Expenditure_7B imp-exp'!C$62:C$108,MATCH('LFA Expenditure_7B'!B141,'LFA Expenditure_7B imp-exp'!N$62:N$108,0)),"")</f>
        <v/>
      </c>
      <c r="F141" s="1326">
        <f>'PR Expenditure_7A'!F142</f>
        <v>0</v>
      </c>
      <c r="G141" s="1327"/>
      <c r="H141" s="1326">
        <f t="shared" si="21"/>
        <v>0</v>
      </c>
      <c r="I141" s="1328" t="e">
        <f t="shared" si="22"/>
        <v>#VALUE!</v>
      </c>
      <c r="J141" s="1329"/>
      <c r="K141" s="1312"/>
      <c r="L141" s="1326" t="str">
        <f>IFERROR(INDEX('LFA Expenditure_7B imp-exp'!J$62:J$108,MATCH('LFA Expenditure_7B'!B141,'LFA Expenditure_7B imp-exp'!N$62:N$108,0)),"")</f>
        <v/>
      </c>
      <c r="M141" s="1327"/>
      <c r="N141" s="1326">
        <f t="shared" si="23"/>
        <v>0</v>
      </c>
      <c r="O141" s="1330" t="e">
        <f t="shared" si="24"/>
        <v>#VALUE!</v>
      </c>
      <c r="Q141" s="280"/>
      <c r="R141" s="280"/>
      <c r="S141" s="280"/>
      <c r="T141" s="280"/>
      <c r="U141" s="280"/>
      <c r="V141" s="280"/>
    </row>
    <row r="142" spans="1:22" ht="15" hidden="1" x14ac:dyDescent="0.2">
      <c r="A142" s="644" t="str">
        <f t="shared" si="20"/>
        <v>Don't Show</v>
      </c>
      <c r="B142" s="644" t="s">
        <v>2553</v>
      </c>
      <c r="C142" s="969" t="str">
        <f>IFERROR(INDEX('LFA Expenditure_7B imp-exp'!A$62:A$108,MATCH('LFA Expenditure_7B'!B142,'LFA Expenditure_7B imp-exp'!N$62:N$108,0)),"")</f>
        <v/>
      </c>
      <c r="D142" s="1335" t="str">
        <f>IFERROR(INDEX('LFA Expenditure_7B imp-exp'!B$62:B$108,MATCH('LFA Expenditure_7B'!B142,'LFA Expenditure_7B imp-exp'!N$62:N$108,0)),"")</f>
        <v/>
      </c>
      <c r="E142" s="1326" t="str">
        <f>IFERROR(INDEX('LFA Expenditure_7B imp-exp'!C$62:C$108,MATCH('LFA Expenditure_7B'!B142,'LFA Expenditure_7B imp-exp'!N$62:N$108,0)),"")</f>
        <v/>
      </c>
      <c r="F142" s="1326">
        <f>'PR Expenditure_7A'!F143</f>
        <v>0</v>
      </c>
      <c r="G142" s="1327"/>
      <c r="H142" s="1326">
        <f t="shared" si="21"/>
        <v>0</v>
      </c>
      <c r="I142" s="1328" t="e">
        <f t="shared" si="22"/>
        <v>#VALUE!</v>
      </c>
      <c r="J142" s="1329"/>
      <c r="K142" s="1312"/>
      <c r="L142" s="1326" t="str">
        <f>IFERROR(INDEX('LFA Expenditure_7B imp-exp'!J$62:J$108,MATCH('LFA Expenditure_7B'!B142,'LFA Expenditure_7B imp-exp'!N$62:N$108,0)),"")</f>
        <v/>
      </c>
      <c r="M142" s="1327"/>
      <c r="N142" s="1326">
        <f t="shared" si="23"/>
        <v>0</v>
      </c>
      <c r="O142" s="1330" t="e">
        <f t="shared" si="24"/>
        <v>#VALUE!</v>
      </c>
      <c r="Q142" s="280"/>
      <c r="R142" s="280"/>
      <c r="S142" s="280"/>
      <c r="T142" s="280"/>
      <c r="U142" s="280"/>
      <c r="V142" s="280"/>
    </row>
    <row r="143" spans="1:22" ht="15" hidden="1" x14ac:dyDescent="0.2">
      <c r="A143" s="644" t="str">
        <f t="shared" si="20"/>
        <v>Don't Show</v>
      </c>
      <c r="B143" s="644" t="s">
        <v>2554</v>
      </c>
      <c r="C143" s="969" t="str">
        <f>IFERROR(INDEX('LFA Expenditure_7B imp-exp'!A$62:A$108,MATCH('LFA Expenditure_7B'!B143,'LFA Expenditure_7B imp-exp'!N$62:N$108,0)),"")</f>
        <v/>
      </c>
      <c r="D143" s="1335" t="str">
        <f>IFERROR(INDEX('LFA Expenditure_7B imp-exp'!B$62:B$108,MATCH('LFA Expenditure_7B'!B143,'LFA Expenditure_7B imp-exp'!N$62:N$108,0)),"")</f>
        <v/>
      </c>
      <c r="E143" s="1326" t="str">
        <f>IFERROR(INDEX('LFA Expenditure_7B imp-exp'!C$62:C$108,MATCH('LFA Expenditure_7B'!B143,'LFA Expenditure_7B imp-exp'!N$62:N$108,0)),"")</f>
        <v/>
      </c>
      <c r="F143" s="1326">
        <f>'PR Expenditure_7A'!F144</f>
        <v>0</v>
      </c>
      <c r="G143" s="1327"/>
      <c r="H143" s="1326">
        <f t="shared" si="21"/>
        <v>0</v>
      </c>
      <c r="I143" s="1328" t="e">
        <f t="shared" si="22"/>
        <v>#VALUE!</v>
      </c>
      <c r="J143" s="1329"/>
      <c r="K143" s="1312"/>
      <c r="L143" s="1326" t="str">
        <f>IFERROR(INDEX('LFA Expenditure_7B imp-exp'!J$62:J$108,MATCH('LFA Expenditure_7B'!B143,'LFA Expenditure_7B imp-exp'!N$62:N$108,0)),"")</f>
        <v/>
      </c>
      <c r="M143" s="1327"/>
      <c r="N143" s="1326">
        <f t="shared" si="23"/>
        <v>0</v>
      </c>
      <c r="O143" s="1330" t="e">
        <f t="shared" si="24"/>
        <v>#VALUE!</v>
      </c>
      <c r="Q143" s="280"/>
      <c r="R143" s="280"/>
      <c r="S143" s="280"/>
      <c r="T143" s="280"/>
      <c r="U143" s="280"/>
      <c r="V143" s="280"/>
    </row>
    <row r="144" spans="1:22" ht="15" hidden="1" x14ac:dyDescent="0.2">
      <c r="A144" s="644" t="str">
        <f t="shared" si="20"/>
        <v>Don't Show</v>
      </c>
      <c r="B144" s="644" t="s">
        <v>2555</v>
      </c>
      <c r="C144" s="969" t="str">
        <f>IFERROR(INDEX('LFA Expenditure_7B imp-exp'!A$62:A$108,MATCH('LFA Expenditure_7B'!B144,'LFA Expenditure_7B imp-exp'!N$62:N$108,0)),"")</f>
        <v/>
      </c>
      <c r="D144" s="1335" t="str">
        <f>IFERROR(INDEX('LFA Expenditure_7B imp-exp'!B$62:B$108,MATCH('LFA Expenditure_7B'!B144,'LFA Expenditure_7B imp-exp'!N$62:N$108,0)),"")</f>
        <v/>
      </c>
      <c r="E144" s="1326" t="str">
        <f>IFERROR(INDEX('LFA Expenditure_7B imp-exp'!C$62:C$108,MATCH('LFA Expenditure_7B'!B144,'LFA Expenditure_7B imp-exp'!N$62:N$108,0)),"")</f>
        <v/>
      </c>
      <c r="F144" s="1326">
        <f>'PR Expenditure_7A'!F145</f>
        <v>0</v>
      </c>
      <c r="G144" s="1327"/>
      <c r="H144" s="1326">
        <f t="shared" si="21"/>
        <v>0</v>
      </c>
      <c r="I144" s="1328" t="e">
        <f t="shared" si="22"/>
        <v>#VALUE!</v>
      </c>
      <c r="J144" s="1329"/>
      <c r="K144" s="1312"/>
      <c r="L144" s="1326" t="str">
        <f>IFERROR(INDEX('LFA Expenditure_7B imp-exp'!J$62:J$108,MATCH('LFA Expenditure_7B'!B144,'LFA Expenditure_7B imp-exp'!N$62:N$108,0)),"")</f>
        <v/>
      </c>
      <c r="M144" s="1327"/>
      <c r="N144" s="1326">
        <f t="shared" si="23"/>
        <v>0</v>
      </c>
      <c r="O144" s="1330" t="e">
        <f t="shared" si="24"/>
        <v>#VALUE!</v>
      </c>
      <c r="Q144" s="280"/>
      <c r="R144" s="280"/>
      <c r="S144" s="280"/>
      <c r="T144" s="280"/>
      <c r="U144" s="280"/>
      <c r="V144" s="280"/>
    </row>
    <row r="145" spans="1:22" ht="15" hidden="1" x14ac:dyDescent="0.2">
      <c r="A145" s="644" t="str">
        <f t="shared" si="20"/>
        <v>Don't Show</v>
      </c>
      <c r="B145" s="644" t="s">
        <v>2556</v>
      </c>
      <c r="C145" s="969" t="str">
        <f>IFERROR(INDEX('LFA Expenditure_7B imp-exp'!A$62:A$108,MATCH('LFA Expenditure_7B'!B145,'LFA Expenditure_7B imp-exp'!N$62:N$108,0)),"")</f>
        <v/>
      </c>
      <c r="D145" s="1335" t="str">
        <f>IFERROR(INDEX('LFA Expenditure_7B imp-exp'!B$62:B$108,MATCH('LFA Expenditure_7B'!B145,'LFA Expenditure_7B imp-exp'!N$62:N$108,0)),"")</f>
        <v/>
      </c>
      <c r="E145" s="1326" t="str">
        <f>IFERROR(INDEX('LFA Expenditure_7B imp-exp'!C$62:C$108,MATCH('LFA Expenditure_7B'!B145,'LFA Expenditure_7B imp-exp'!N$62:N$108,0)),"")</f>
        <v/>
      </c>
      <c r="F145" s="1326">
        <f>'PR Expenditure_7A'!F146</f>
        <v>0</v>
      </c>
      <c r="G145" s="1327"/>
      <c r="H145" s="1326">
        <f t="shared" si="21"/>
        <v>0</v>
      </c>
      <c r="I145" s="1328" t="e">
        <f t="shared" si="22"/>
        <v>#VALUE!</v>
      </c>
      <c r="J145" s="1329"/>
      <c r="K145" s="1312"/>
      <c r="L145" s="1326" t="str">
        <f>IFERROR(INDEX('LFA Expenditure_7B imp-exp'!J$62:J$108,MATCH('LFA Expenditure_7B'!B145,'LFA Expenditure_7B imp-exp'!N$62:N$108,0)),"")</f>
        <v/>
      </c>
      <c r="M145" s="1327"/>
      <c r="N145" s="1326">
        <f t="shared" si="23"/>
        <v>0</v>
      </c>
      <c r="O145" s="1330" t="e">
        <f t="shared" si="24"/>
        <v>#VALUE!</v>
      </c>
      <c r="Q145" s="280"/>
      <c r="R145" s="280"/>
      <c r="S145" s="280"/>
      <c r="T145" s="280"/>
      <c r="U145" s="280"/>
      <c r="V145" s="280"/>
    </row>
    <row r="146" spans="1:22" ht="15" hidden="1" x14ac:dyDescent="0.2">
      <c r="A146" s="644" t="str">
        <f t="shared" si="20"/>
        <v>Don't Show</v>
      </c>
      <c r="B146" s="644" t="s">
        <v>2557</v>
      </c>
      <c r="C146" s="969" t="str">
        <f>IFERROR(INDEX('LFA Expenditure_7B imp-exp'!A$62:A$108,MATCH('LFA Expenditure_7B'!B146,'LFA Expenditure_7B imp-exp'!N$62:N$108,0)),"")</f>
        <v/>
      </c>
      <c r="D146" s="1335" t="str">
        <f>IFERROR(INDEX('LFA Expenditure_7B imp-exp'!B$62:B$108,MATCH('LFA Expenditure_7B'!B146,'LFA Expenditure_7B imp-exp'!N$62:N$108,0)),"")</f>
        <v/>
      </c>
      <c r="E146" s="1326" t="str">
        <f>IFERROR(INDEX('LFA Expenditure_7B imp-exp'!C$62:C$108,MATCH('LFA Expenditure_7B'!B146,'LFA Expenditure_7B imp-exp'!N$62:N$108,0)),"")</f>
        <v/>
      </c>
      <c r="F146" s="1326">
        <f>'PR Expenditure_7A'!F147</f>
        <v>0</v>
      </c>
      <c r="G146" s="1327"/>
      <c r="H146" s="1326">
        <f t="shared" si="21"/>
        <v>0</v>
      </c>
      <c r="I146" s="1328" t="e">
        <f t="shared" si="22"/>
        <v>#VALUE!</v>
      </c>
      <c r="J146" s="1329"/>
      <c r="K146" s="1312"/>
      <c r="L146" s="1326" t="str">
        <f>IFERROR(INDEX('LFA Expenditure_7B imp-exp'!J$62:J$108,MATCH('LFA Expenditure_7B'!B146,'LFA Expenditure_7B imp-exp'!N$62:N$108,0)),"")</f>
        <v/>
      </c>
      <c r="M146" s="1327"/>
      <c r="N146" s="1326">
        <f t="shared" si="23"/>
        <v>0</v>
      </c>
      <c r="O146" s="1330" t="e">
        <f t="shared" si="24"/>
        <v>#VALUE!</v>
      </c>
      <c r="Q146" s="280"/>
      <c r="R146" s="280"/>
      <c r="S146" s="280"/>
      <c r="T146" s="280"/>
      <c r="U146" s="280"/>
      <c r="V146" s="280"/>
    </row>
    <row r="147" spans="1:22" ht="15" hidden="1" x14ac:dyDescent="0.2">
      <c r="A147" s="644" t="str">
        <f t="shared" si="20"/>
        <v>Don't Show</v>
      </c>
      <c r="B147" s="644" t="s">
        <v>2558</v>
      </c>
      <c r="C147" s="969" t="str">
        <f>IFERROR(INDEX('LFA Expenditure_7B imp-exp'!A$62:A$108,MATCH('LFA Expenditure_7B'!B147,'LFA Expenditure_7B imp-exp'!N$62:N$108,0)),"")</f>
        <v/>
      </c>
      <c r="D147" s="1335" t="str">
        <f>IFERROR(INDEX('LFA Expenditure_7B imp-exp'!B$62:B$108,MATCH('LFA Expenditure_7B'!B147,'LFA Expenditure_7B imp-exp'!N$62:N$108,0)),"")</f>
        <v/>
      </c>
      <c r="E147" s="1326" t="str">
        <f>IFERROR(INDEX('LFA Expenditure_7B imp-exp'!C$62:C$108,MATCH('LFA Expenditure_7B'!B147,'LFA Expenditure_7B imp-exp'!N$62:N$108,0)),"")</f>
        <v/>
      </c>
      <c r="F147" s="1326">
        <f>'PR Expenditure_7A'!F148</f>
        <v>0</v>
      </c>
      <c r="G147" s="1327"/>
      <c r="H147" s="1326">
        <f t="shared" si="21"/>
        <v>0</v>
      </c>
      <c r="I147" s="1328" t="e">
        <f t="shared" si="22"/>
        <v>#VALUE!</v>
      </c>
      <c r="J147" s="1329"/>
      <c r="K147" s="1312"/>
      <c r="L147" s="1326" t="str">
        <f>IFERROR(INDEX('LFA Expenditure_7B imp-exp'!J$62:J$108,MATCH('LFA Expenditure_7B'!B147,'LFA Expenditure_7B imp-exp'!N$62:N$108,0)),"")</f>
        <v/>
      </c>
      <c r="M147" s="1327"/>
      <c r="N147" s="1326">
        <f t="shared" si="23"/>
        <v>0</v>
      </c>
      <c r="O147" s="1330" t="e">
        <f t="shared" si="24"/>
        <v>#VALUE!</v>
      </c>
      <c r="Q147" s="280"/>
      <c r="R147" s="280"/>
      <c r="S147" s="280"/>
      <c r="T147" s="280"/>
      <c r="U147" s="280"/>
      <c r="V147" s="280"/>
    </row>
    <row r="148" spans="1:22" ht="15" hidden="1" x14ac:dyDescent="0.2">
      <c r="A148" s="644" t="str">
        <f t="shared" si="20"/>
        <v>Don't Show</v>
      </c>
      <c r="B148" s="644" t="s">
        <v>2559</v>
      </c>
      <c r="C148" s="969" t="str">
        <f>IFERROR(INDEX('LFA Expenditure_7B imp-exp'!A$62:A$108,MATCH('LFA Expenditure_7B'!B148,'LFA Expenditure_7B imp-exp'!N$62:N$108,0)),"")</f>
        <v/>
      </c>
      <c r="D148" s="1335" t="str">
        <f>IFERROR(INDEX('LFA Expenditure_7B imp-exp'!B$62:B$108,MATCH('LFA Expenditure_7B'!B148,'LFA Expenditure_7B imp-exp'!N$62:N$108,0)),"")</f>
        <v/>
      </c>
      <c r="E148" s="1326" t="str">
        <f>IFERROR(INDEX('LFA Expenditure_7B imp-exp'!C$62:C$108,MATCH('LFA Expenditure_7B'!B148,'LFA Expenditure_7B imp-exp'!N$62:N$108,0)),"")</f>
        <v/>
      </c>
      <c r="F148" s="1326">
        <f>'PR Expenditure_7A'!F149</f>
        <v>0</v>
      </c>
      <c r="G148" s="1327"/>
      <c r="H148" s="1326">
        <f t="shared" si="21"/>
        <v>0</v>
      </c>
      <c r="I148" s="1328" t="e">
        <f t="shared" si="22"/>
        <v>#VALUE!</v>
      </c>
      <c r="J148" s="1329"/>
      <c r="K148" s="1312"/>
      <c r="L148" s="1326" t="str">
        <f>IFERROR(INDEX('LFA Expenditure_7B imp-exp'!J$62:J$108,MATCH('LFA Expenditure_7B'!B148,'LFA Expenditure_7B imp-exp'!N$62:N$108,0)),"")</f>
        <v/>
      </c>
      <c r="M148" s="1327"/>
      <c r="N148" s="1326">
        <f t="shared" si="23"/>
        <v>0</v>
      </c>
      <c r="O148" s="1330" t="e">
        <f t="shared" si="24"/>
        <v>#VALUE!</v>
      </c>
      <c r="Q148" s="280"/>
      <c r="R148" s="280"/>
      <c r="S148" s="280"/>
      <c r="T148" s="280"/>
      <c r="U148" s="280"/>
      <c r="V148" s="280"/>
    </row>
    <row r="149" spans="1:22" ht="15" hidden="1" x14ac:dyDescent="0.2">
      <c r="A149" s="644" t="str">
        <f t="shared" si="20"/>
        <v>Don't Show</v>
      </c>
      <c r="B149" s="644" t="s">
        <v>2560</v>
      </c>
      <c r="C149" s="969" t="str">
        <f>IFERROR(INDEX('LFA Expenditure_7B imp-exp'!A$62:A$108,MATCH('LFA Expenditure_7B'!B149,'LFA Expenditure_7B imp-exp'!N$62:N$108,0)),"")</f>
        <v/>
      </c>
      <c r="D149" s="1335" t="str">
        <f>IFERROR(INDEX('LFA Expenditure_7B imp-exp'!B$62:B$108,MATCH('LFA Expenditure_7B'!B149,'LFA Expenditure_7B imp-exp'!N$62:N$108,0)),"")</f>
        <v/>
      </c>
      <c r="E149" s="1326" t="str">
        <f>IFERROR(INDEX('LFA Expenditure_7B imp-exp'!C$62:C$108,MATCH('LFA Expenditure_7B'!B149,'LFA Expenditure_7B imp-exp'!N$62:N$108,0)),"")</f>
        <v/>
      </c>
      <c r="F149" s="1326">
        <f>'PR Expenditure_7A'!F150</f>
        <v>0</v>
      </c>
      <c r="G149" s="1327"/>
      <c r="H149" s="1326">
        <f t="shared" si="21"/>
        <v>0</v>
      </c>
      <c r="I149" s="1328" t="e">
        <f t="shared" si="22"/>
        <v>#VALUE!</v>
      </c>
      <c r="J149" s="1329"/>
      <c r="K149" s="1312"/>
      <c r="L149" s="1326" t="str">
        <f>IFERROR(INDEX('LFA Expenditure_7B imp-exp'!J$62:J$108,MATCH('LFA Expenditure_7B'!B149,'LFA Expenditure_7B imp-exp'!N$62:N$108,0)),"")</f>
        <v/>
      </c>
      <c r="M149" s="1327"/>
      <c r="N149" s="1326">
        <f t="shared" si="23"/>
        <v>0</v>
      </c>
      <c r="O149" s="1330" t="e">
        <f t="shared" si="24"/>
        <v>#VALUE!</v>
      </c>
      <c r="Q149" s="280"/>
      <c r="R149" s="280"/>
      <c r="S149" s="280"/>
      <c r="T149" s="280"/>
      <c r="U149" s="280"/>
      <c r="V149" s="280"/>
    </row>
    <row r="150" spans="1:22" ht="15" hidden="1" x14ac:dyDescent="0.2">
      <c r="A150" s="644" t="str">
        <f t="shared" si="20"/>
        <v>Don't Show</v>
      </c>
      <c r="B150" s="644" t="s">
        <v>2561</v>
      </c>
      <c r="C150" s="969" t="str">
        <f>IFERROR(INDEX('LFA Expenditure_7B imp-exp'!A$62:A$108,MATCH('LFA Expenditure_7B'!B150,'LFA Expenditure_7B imp-exp'!N$62:N$108,0)),"")</f>
        <v/>
      </c>
      <c r="D150" s="1335" t="str">
        <f>IFERROR(INDEX('LFA Expenditure_7B imp-exp'!B$62:B$108,MATCH('LFA Expenditure_7B'!B150,'LFA Expenditure_7B imp-exp'!N$62:N$108,0)),"")</f>
        <v/>
      </c>
      <c r="E150" s="1326" t="str">
        <f>IFERROR(INDEX('LFA Expenditure_7B imp-exp'!C$62:C$108,MATCH('LFA Expenditure_7B'!B150,'LFA Expenditure_7B imp-exp'!N$62:N$108,0)),"")</f>
        <v/>
      </c>
      <c r="F150" s="1326">
        <f>'PR Expenditure_7A'!F151</f>
        <v>0</v>
      </c>
      <c r="G150" s="1327"/>
      <c r="H150" s="1326">
        <f t="shared" si="21"/>
        <v>0</v>
      </c>
      <c r="I150" s="1328" t="e">
        <f t="shared" si="22"/>
        <v>#VALUE!</v>
      </c>
      <c r="J150" s="1329"/>
      <c r="K150" s="1312"/>
      <c r="L150" s="1326" t="str">
        <f>IFERROR(INDEX('LFA Expenditure_7B imp-exp'!J$62:J$108,MATCH('LFA Expenditure_7B'!B150,'LFA Expenditure_7B imp-exp'!N$62:N$108,0)),"")</f>
        <v/>
      </c>
      <c r="M150" s="1327"/>
      <c r="N150" s="1326">
        <f t="shared" si="23"/>
        <v>0</v>
      </c>
      <c r="O150" s="1330" t="e">
        <f t="shared" si="24"/>
        <v>#VALUE!</v>
      </c>
      <c r="Q150" s="280"/>
      <c r="R150" s="280"/>
      <c r="S150" s="280"/>
      <c r="T150" s="280"/>
      <c r="U150" s="280"/>
      <c r="V150" s="280"/>
    </row>
    <row r="151" spans="1:22" ht="15" hidden="1" x14ac:dyDescent="0.2">
      <c r="A151" s="644" t="str">
        <f t="shared" si="20"/>
        <v>Don't Show</v>
      </c>
      <c r="B151" s="644" t="s">
        <v>2562</v>
      </c>
      <c r="C151" s="969" t="str">
        <f>IFERROR(INDEX('LFA Expenditure_7B imp-exp'!A$62:A$108,MATCH('LFA Expenditure_7B'!B151,'LFA Expenditure_7B imp-exp'!N$62:N$108,0)),"")</f>
        <v/>
      </c>
      <c r="D151" s="1335" t="str">
        <f>IFERROR(INDEX('LFA Expenditure_7B imp-exp'!B$62:B$108,MATCH('LFA Expenditure_7B'!B151,'LFA Expenditure_7B imp-exp'!N$62:N$108,0)),"")</f>
        <v/>
      </c>
      <c r="E151" s="1326" t="str">
        <f>IFERROR(INDEX('LFA Expenditure_7B imp-exp'!C$62:C$108,MATCH('LFA Expenditure_7B'!B151,'LFA Expenditure_7B imp-exp'!N$62:N$108,0)),"")</f>
        <v/>
      </c>
      <c r="F151" s="1326">
        <f>'PR Expenditure_7A'!F152</f>
        <v>0</v>
      </c>
      <c r="G151" s="1327"/>
      <c r="H151" s="1326">
        <f t="shared" si="21"/>
        <v>0</v>
      </c>
      <c r="I151" s="1328" t="e">
        <f t="shared" si="22"/>
        <v>#VALUE!</v>
      </c>
      <c r="J151" s="1329"/>
      <c r="K151" s="1312"/>
      <c r="L151" s="1326" t="str">
        <f>IFERROR(INDEX('LFA Expenditure_7B imp-exp'!J$62:J$108,MATCH('LFA Expenditure_7B'!B151,'LFA Expenditure_7B imp-exp'!N$62:N$108,0)),"")</f>
        <v/>
      </c>
      <c r="M151" s="1327"/>
      <c r="N151" s="1326">
        <f t="shared" si="23"/>
        <v>0</v>
      </c>
      <c r="O151" s="1330" t="e">
        <f t="shared" si="24"/>
        <v>#VALUE!</v>
      </c>
      <c r="Q151" s="280"/>
      <c r="R151" s="280"/>
      <c r="S151" s="280"/>
      <c r="T151" s="280"/>
      <c r="U151" s="280"/>
      <c r="V151" s="280"/>
    </row>
    <row r="152" spans="1:22" ht="15" hidden="1" x14ac:dyDescent="0.2">
      <c r="A152" s="644" t="str">
        <f t="shared" si="20"/>
        <v>Don't Show</v>
      </c>
      <c r="B152" s="644" t="s">
        <v>2563</v>
      </c>
      <c r="C152" s="969" t="str">
        <f>IFERROR(INDEX('LFA Expenditure_7B imp-exp'!A$62:A$108,MATCH('LFA Expenditure_7B'!B152,'LFA Expenditure_7B imp-exp'!N$62:N$108,0)),"")</f>
        <v/>
      </c>
      <c r="D152" s="1335" t="str">
        <f>IFERROR(INDEX('LFA Expenditure_7B imp-exp'!B$62:B$108,MATCH('LFA Expenditure_7B'!B152,'LFA Expenditure_7B imp-exp'!N$62:N$108,0)),"")</f>
        <v/>
      </c>
      <c r="E152" s="1326" t="str">
        <f>IFERROR(INDEX('LFA Expenditure_7B imp-exp'!C$62:C$108,MATCH('LFA Expenditure_7B'!B152,'LFA Expenditure_7B imp-exp'!N$62:N$108,0)),"")</f>
        <v/>
      </c>
      <c r="F152" s="1326">
        <f>'PR Expenditure_7A'!F153</f>
        <v>0</v>
      </c>
      <c r="G152" s="1327"/>
      <c r="H152" s="1326">
        <f t="shared" si="21"/>
        <v>0</v>
      </c>
      <c r="I152" s="1328" t="e">
        <f t="shared" si="22"/>
        <v>#VALUE!</v>
      </c>
      <c r="J152" s="1329"/>
      <c r="K152" s="1312"/>
      <c r="L152" s="1326" t="str">
        <f>IFERROR(INDEX('LFA Expenditure_7B imp-exp'!J$62:J$108,MATCH('LFA Expenditure_7B'!B152,'LFA Expenditure_7B imp-exp'!N$62:N$108,0)),"")</f>
        <v/>
      </c>
      <c r="M152" s="1327"/>
      <c r="N152" s="1326">
        <f t="shared" si="23"/>
        <v>0</v>
      </c>
      <c r="O152" s="1330" t="e">
        <f t="shared" si="24"/>
        <v>#VALUE!</v>
      </c>
      <c r="Q152" s="280"/>
      <c r="R152" s="280"/>
      <c r="S152" s="280"/>
      <c r="T152" s="280"/>
      <c r="U152" s="280"/>
      <c r="V152" s="280"/>
    </row>
    <row r="153" spans="1:22" ht="15" hidden="1" x14ac:dyDescent="0.2">
      <c r="A153" s="644" t="str">
        <f t="shared" ref="A153:A182" si="25">IF(C153&lt;&gt;"","Show","Don't Show")</f>
        <v>Don't Show</v>
      </c>
      <c r="B153" s="644" t="s">
        <v>2564</v>
      </c>
      <c r="C153" s="969" t="str">
        <f>IFERROR(INDEX('LFA Expenditure_7B imp-exp'!A$62:A$108,MATCH('LFA Expenditure_7B'!B153,'LFA Expenditure_7B imp-exp'!N$62:N$108,0)),"")</f>
        <v/>
      </c>
      <c r="D153" s="1335" t="str">
        <f>IFERROR(INDEX('LFA Expenditure_7B imp-exp'!B$62:B$108,MATCH('LFA Expenditure_7B'!B153,'LFA Expenditure_7B imp-exp'!N$62:N$108,0)),"")</f>
        <v/>
      </c>
      <c r="E153" s="1326" t="str">
        <f>IFERROR(INDEX('LFA Expenditure_7B imp-exp'!C$62:C$108,MATCH('LFA Expenditure_7B'!B153,'LFA Expenditure_7B imp-exp'!N$62:N$108,0)),"")</f>
        <v/>
      </c>
      <c r="F153" s="1326">
        <f>'PR Expenditure_7A'!F154</f>
        <v>0</v>
      </c>
      <c r="G153" s="1327"/>
      <c r="H153" s="1326">
        <f t="shared" ref="H153:H182" si="26">IFERROR((E153)-(F153+G153),0)</f>
        <v>0</v>
      </c>
      <c r="I153" s="1328" t="e">
        <f t="shared" ref="I153:I182" si="27">IF(AND((E153)=0,(F153+G153)=0),"N/A",IF(AND((E153)=0,(F153+G153)&lt;&gt;0),"Not Budgeted",(F153+G153)/(E153)))</f>
        <v>#VALUE!</v>
      </c>
      <c r="J153" s="1329"/>
      <c r="K153" s="1312"/>
      <c r="L153" s="1326" t="str">
        <f>IFERROR(INDEX('LFA Expenditure_7B imp-exp'!J$62:J$108,MATCH('LFA Expenditure_7B'!B153,'LFA Expenditure_7B imp-exp'!N$62:N$108,0)),"")</f>
        <v/>
      </c>
      <c r="M153" s="1327"/>
      <c r="N153" s="1326">
        <f t="shared" ref="N153:N182" si="28">IFERROR(L153-M153,0)</f>
        <v>0</v>
      </c>
      <c r="O153" s="1330" t="e">
        <f t="shared" ref="O153:O182" si="29">IF(AND(L153=0,M153=0),"N/A",IF(AND(L153=0,M153&lt;&gt;0),"Not Budgeted",M153/L153))</f>
        <v>#VALUE!</v>
      </c>
      <c r="Q153" s="280"/>
      <c r="R153" s="280"/>
      <c r="S153" s="280"/>
      <c r="T153" s="280"/>
      <c r="U153" s="280"/>
      <c r="V153" s="280"/>
    </row>
    <row r="154" spans="1:22" ht="15" hidden="1" x14ac:dyDescent="0.2">
      <c r="A154" s="644" t="str">
        <f t="shared" si="25"/>
        <v>Don't Show</v>
      </c>
      <c r="B154" s="644" t="s">
        <v>2565</v>
      </c>
      <c r="C154" s="969" t="str">
        <f>IFERROR(INDEX('LFA Expenditure_7B imp-exp'!A$62:A$108,MATCH('LFA Expenditure_7B'!B154,'LFA Expenditure_7B imp-exp'!N$62:N$108,0)),"")</f>
        <v/>
      </c>
      <c r="D154" s="1335" t="str">
        <f>IFERROR(INDEX('LFA Expenditure_7B imp-exp'!B$62:B$108,MATCH('LFA Expenditure_7B'!B154,'LFA Expenditure_7B imp-exp'!N$62:N$108,0)),"")</f>
        <v/>
      </c>
      <c r="E154" s="1326" t="str">
        <f>IFERROR(INDEX('LFA Expenditure_7B imp-exp'!C$62:C$108,MATCH('LFA Expenditure_7B'!B154,'LFA Expenditure_7B imp-exp'!N$62:N$108,0)),"")</f>
        <v/>
      </c>
      <c r="F154" s="1326">
        <f>'PR Expenditure_7A'!F155</f>
        <v>0</v>
      </c>
      <c r="G154" s="1327"/>
      <c r="H154" s="1326">
        <f t="shared" si="26"/>
        <v>0</v>
      </c>
      <c r="I154" s="1328" t="e">
        <f t="shared" si="27"/>
        <v>#VALUE!</v>
      </c>
      <c r="J154" s="1329"/>
      <c r="K154" s="1312"/>
      <c r="L154" s="1326" t="str">
        <f>IFERROR(INDEX('LFA Expenditure_7B imp-exp'!J$62:J$108,MATCH('LFA Expenditure_7B'!B154,'LFA Expenditure_7B imp-exp'!N$62:N$108,0)),"")</f>
        <v/>
      </c>
      <c r="M154" s="1327"/>
      <c r="N154" s="1326">
        <f t="shared" si="28"/>
        <v>0</v>
      </c>
      <c r="O154" s="1330" t="e">
        <f t="shared" si="29"/>
        <v>#VALUE!</v>
      </c>
      <c r="Q154" s="280"/>
      <c r="R154" s="280"/>
      <c r="S154" s="280"/>
      <c r="T154" s="280"/>
      <c r="U154" s="280"/>
      <c r="V154" s="280"/>
    </row>
    <row r="155" spans="1:22" ht="15" hidden="1" x14ac:dyDescent="0.2">
      <c r="A155" s="644" t="str">
        <f t="shared" si="25"/>
        <v>Don't Show</v>
      </c>
      <c r="B155" s="644" t="s">
        <v>2566</v>
      </c>
      <c r="C155" s="969" t="str">
        <f>IFERROR(INDEX('LFA Expenditure_7B imp-exp'!A$62:A$108,MATCH('LFA Expenditure_7B'!B155,'LFA Expenditure_7B imp-exp'!N$62:N$108,0)),"")</f>
        <v/>
      </c>
      <c r="D155" s="1335" t="str">
        <f>IFERROR(INDEX('LFA Expenditure_7B imp-exp'!B$62:B$108,MATCH('LFA Expenditure_7B'!B155,'LFA Expenditure_7B imp-exp'!N$62:N$108,0)),"")</f>
        <v/>
      </c>
      <c r="E155" s="1326" t="str">
        <f>IFERROR(INDEX('LFA Expenditure_7B imp-exp'!C$62:C$108,MATCH('LFA Expenditure_7B'!B155,'LFA Expenditure_7B imp-exp'!N$62:N$108,0)),"")</f>
        <v/>
      </c>
      <c r="F155" s="1326">
        <f>'PR Expenditure_7A'!F156</f>
        <v>0</v>
      </c>
      <c r="G155" s="1327"/>
      <c r="H155" s="1326">
        <f t="shared" si="26"/>
        <v>0</v>
      </c>
      <c r="I155" s="1328" t="e">
        <f t="shared" si="27"/>
        <v>#VALUE!</v>
      </c>
      <c r="J155" s="1329"/>
      <c r="K155" s="1312"/>
      <c r="L155" s="1326" t="str">
        <f>IFERROR(INDEX('LFA Expenditure_7B imp-exp'!J$62:J$108,MATCH('LFA Expenditure_7B'!B155,'LFA Expenditure_7B imp-exp'!N$62:N$108,0)),"")</f>
        <v/>
      </c>
      <c r="M155" s="1327"/>
      <c r="N155" s="1326">
        <f t="shared" si="28"/>
        <v>0</v>
      </c>
      <c r="O155" s="1330" t="e">
        <f t="shared" si="29"/>
        <v>#VALUE!</v>
      </c>
      <c r="Q155" s="280"/>
      <c r="R155" s="280"/>
      <c r="S155" s="280"/>
      <c r="T155" s="280"/>
      <c r="U155" s="280"/>
      <c r="V155" s="280"/>
    </row>
    <row r="156" spans="1:22" ht="15" hidden="1" x14ac:dyDescent="0.2">
      <c r="A156" s="644" t="str">
        <f t="shared" si="25"/>
        <v>Don't Show</v>
      </c>
      <c r="B156" s="644" t="s">
        <v>2567</v>
      </c>
      <c r="C156" s="969" t="str">
        <f>IFERROR(INDEX('LFA Expenditure_7B imp-exp'!A$62:A$108,MATCH('LFA Expenditure_7B'!B156,'LFA Expenditure_7B imp-exp'!N$62:N$108,0)),"")</f>
        <v/>
      </c>
      <c r="D156" s="1335" t="str">
        <f>IFERROR(INDEX('LFA Expenditure_7B imp-exp'!B$62:B$108,MATCH('LFA Expenditure_7B'!B156,'LFA Expenditure_7B imp-exp'!N$62:N$108,0)),"")</f>
        <v/>
      </c>
      <c r="E156" s="1326" t="str">
        <f>IFERROR(INDEX('LFA Expenditure_7B imp-exp'!C$62:C$108,MATCH('LFA Expenditure_7B'!B156,'LFA Expenditure_7B imp-exp'!N$62:N$108,0)),"")</f>
        <v/>
      </c>
      <c r="F156" s="1326">
        <f>'PR Expenditure_7A'!F157</f>
        <v>0</v>
      </c>
      <c r="G156" s="1327"/>
      <c r="H156" s="1326">
        <f t="shared" si="26"/>
        <v>0</v>
      </c>
      <c r="I156" s="1328" t="e">
        <f t="shared" si="27"/>
        <v>#VALUE!</v>
      </c>
      <c r="J156" s="1329"/>
      <c r="K156" s="1312"/>
      <c r="L156" s="1326" t="str">
        <f>IFERROR(INDEX('LFA Expenditure_7B imp-exp'!J$62:J$108,MATCH('LFA Expenditure_7B'!B156,'LFA Expenditure_7B imp-exp'!N$62:N$108,0)),"")</f>
        <v/>
      </c>
      <c r="M156" s="1327"/>
      <c r="N156" s="1326">
        <f t="shared" si="28"/>
        <v>0</v>
      </c>
      <c r="O156" s="1330" t="e">
        <f t="shared" si="29"/>
        <v>#VALUE!</v>
      </c>
      <c r="Q156" s="280"/>
      <c r="R156" s="280"/>
      <c r="S156" s="280"/>
      <c r="T156" s="280"/>
      <c r="U156" s="280"/>
      <c r="V156" s="280"/>
    </row>
    <row r="157" spans="1:22" ht="15" hidden="1" x14ac:dyDescent="0.2">
      <c r="A157" s="644" t="str">
        <f t="shared" si="25"/>
        <v>Don't Show</v>
      </c>
      <c r="B157" s="644" t="s">
        <v>2568</v>
      </c>
      <c r="C157" s="969" t="str">
        <f>IFERROR(INDEX('LFA Expenditure_7B imp-exp'!A$62:A$108,MATCH('LFA Expenditure_7B'!B157,'LFA Expenditure_7B imp-exp'!N$62:N$108,0)),"")</f>
        <v/>
      </c>
      <c r="D157" s="1335" t="str">
        <f>IFERROR(INDEX('LFA Expenditure_7B imp-exp'!B$62:B$108,MATCH('LFA Expenditure_7B'!B157,'LFA Expenditure_7B imp-exp'!N$62:N$108,0)),"")</f>
        <v/>
      </c>
      <c r="E157" s="1326" t="str">
        <f>IFERROR(INDEX('LFA Expenditure_7B imp-exp'!C$62:C$108,MATCH('LFA Expenditure_7B'!B157,'LFA Expenditure_7B imp-exp'!N$62:N$108,0)),"")</f>
        <v/>
      </c>
      <c r="F157" s="1326">
        <f>'PR Expenditure_7A'!F158</f>
        <v>0</v>
      </c>
      <c r="G157" s="1327"/>
      <c r="H157" s="1326">
        <f t="shared" si="26"/>
        <v>0</v>
      </c>
      <c r="I157" s="1328" t="e">
        <f t="shared" si="27"/>
        <v>#VALUE!</v>
      </c>
      <c r="J157" s="1329"/>
      <c r="K157" s="1312"/>
      <c r="L157" s="1326" t="str">
        <f>IFERROR(INDEX('LFA Expenditure_7B imp-exp'!J$62:J$108,MATCH('LFA Expenditure_7B'!B157,'LFA Expenditure_7B imp-exp'!N$62:N$108,0)),"")</f>
        <v/>
      </c>
      <c r="M157" s="1327"/>
      <c r="N157" s="1326">
        <f t="shared" si="28"/>
        <v>0</v>
      </c>
      <c r="O157" s="1330" t="e">
        <f t="shared" si="29"/>
        <v>#VALUE!</v>
      </c>
      <c r="Q157" s="280"/>
      <c r="R157" s="280"/>
      <c r="S157" s="280"/>
      <c r="T157" s="280"/>
      <c r="U157" s="280"/>
      <c r="V157" s="280"/>
    </row>
    <row r="158" spans="1:22" ht="15" hidden="1" x14ac:dyDescent="0.2">
      <c r="A158" s="644" t="str">
        <f t="shared" si="25"/>
        <v>Don't Show</v>
      </c>
      <c r="B158" s="644" t="s">
        <v>2569</v>
      </c>
      <c r="C158" s="969" t="str">
        <f>IFERROR(INDEX('LFA Expenditure_7B imp-exp'!A$62:A$108,MATCH('LFA Expenditure_7B'!B158,'LFA Expenditure_7B imp-exp'!N$62:N$108,0)),"")</f>
        <v/>
      </c>
      <c r="D158" s="1335" t="str">
        <f>IFERROR(INDEX('LFA Expenditure_7B imp-exp'!B$62:B$108,MATCH('LFA Expenditure_7B'!B158,'LFA Expenditure_7B imp-exp'!N$62:N$108,0)),"")</f>
        <v/>
      </c>
      <c r="E158" s="1326" t="str">
        <f>IFERROR(INDEX('LFA Expenditure_7B imp-exp'!C$62:C$108,MATCH('LFA Expenditure_7B'!B158,'LFA Expenditure_7B imp-exp'!N$62:N$108,0)),"")</f>
        <v/>
      </c>
      <c r="F158" s="1326">
        <f>'PR Expenditure_7A'!F159</f>
        <v>0</v>
      </c>
      <c r="G158" s="1327"/>
      <c r="H158" s="1326">
        <f t="shared" si="26"/>
        <v>0</v>
      </c>
      <c r="I158" s="1328" t="e">
        <f t="shared" si="27"/>
        <v>#VALUE!</v>
      </c>
      <c r="J158" s="1329"/>
      <c r="K158" s="1312"/>
      <c r="L158" s="1326" t="str">
        <f>IFERROR(INDEX('LFA Expenditure_7B imp-exp'!J$62:J$108,MATCH('LFA Expenditure_7B'!B158,'LFA Expenditure_7B imp-exp'!N$62:N$108,0)),"")</f>
        <v/>
      </c>
      <c r="M158" s="1327"/>
      <c r="N158" s="1326">
        <f t="shared" si="28"/>
        <v>0</v>
      </c>
      <c r="O158" s="1330" t="e">
        <f t="shared" si="29"/>
        <v>#VALUE!</v>
      </c>
      <c r="Q158" s="280"/>
      <c r="R158" s="280"/>
      <c r="S158" s="280"/>
      <c r="T158" s="280"/>
      <c r="U158" s="280"/>
      <c r="V158" s="280"/>
    </row>
    <row r="159" spans="1:22" ht="15" hidden="1" x14ac:dyDescent="0.2">
      <c r="A159" s="644" t="str">
        <f t="shared" si="25"/>
        <v>Don't Show</v>
      </c>
      <c r="B159" s="644" t="s">
        <v>2570</v>
      </c>
      <c r="C159" s="969" t="str">
        <f>IFERROR(INDEX('LFA Expenditure_7B imp-exp'!A$62:A$108,MATCH('LFA Expenditure_7B'!B159,'LFA Expenditure_7B imp-exp'!N$62:N$108,0)),"")</f>
        <v/>
      </c>
      <c r="D159" s="1335" t="str">
        <f>IFERROR(INDEX('LFA Expenditure_7B imp-exp'!B$62:B$108,MATCH('LFA Expenditure_7B'!B159,'LFA Expenditure_7B imp-exp'!N$62:N$108,0)),"")</f>
        <v/>
      </c>
      <c r="E159" s="1326" t="str">
        <f>IFERROR(INDEX('LFA Expenditure_7B imp-exp'!C$62:C$108,MATCH('LFA Expenditure_7B'!B159,'LFA Expenditure_7B imp-exp'!N$62:N$108,0)),"")</f>
        <v/>
      </c>
      <c r="F159" s="1326">
        <f>'PR Expenditure_7A'!F160</f>
        <v>0</v>
      </c>
      <c r="G159" s="1327"/>
      <c r="H159" s="1326">
        <f t="shared" si="26"/>
        <v>0</v>
      </c>
      <c r="I159" s="1328" t="e">
        <f t="shared" si="27"/>
        <v>#VALUE!</v>
      </c>
      <c r="J159" s="1329"/>
      <c r="K159" s="1312"/>
      <c r="L159" s="1326" t="str">
        <f>IFERROR(INDEX('LFA Expenditure_7B imp-exp'!J$62:J$108,MATCH('LFA Expenditure_7B'!B159,'LFA Expenditure_7B imp-exp'!N$62:N$108,0)),"")</f>
        <v/>
      </c>
      <c r="M159" s="1327"/>
      <c r="N159" s="1326">
        <f t="shared" si="28"/>
        <v>0</v>
      </c>
      <c r="O159" s="1330" t="e">
        <f t="shared" si="29"/>
        <v>#VALUE!</v>
      </c>
      <c r="Q159" s="280"/>
      <c r="R159" s="280"/>
      <c r="S159" s="280"/>
      <c r="T159" s="280"/>
      <c r="U159" s="280"/>
      <c r="V159" s="280"/>
    </row>
    <row r="160" spans="1:22" ht="15" hidden="1" x14ac:dyDescent="0.2">
      <c r="A160" s="644" t="str">
        <f t="shared" si="25"/>
        <v>Don't Show</v>
      </c>
      <c r="B160" s="644" t="s">
        <v>2571</v>
      </c>
      <c r="C160" s="969" t="str">
        <f>IFERROR(INDEX('LFA Expenditure_7B imp-exp'!A$62:A$108,MATCH('LFA Expenditure_7B'!B160,'LFA Expenditure_7B imp-exp'!N$62:N$108,0)),"")</f>
        <v/>
      </c>
      <c r="D160" s="1335" t="str">
        <f>IFERROR(INDEX('LFA Expenditure_7B imp-exp'!B$62:B$108,MATCH('LFA Expenditure_7B'!B160,'LFA Expenditure_7B imp-exp'!N$62:N$108,0)),"")</f>
        <v/>
      </c>
      <c r="E160" s="1326" t="str">
        <f>IFERROR(INDEX('LFA Expenditure_7B imp-exp'!C$62:C$108,MATCH('LFA Expenditure_7B'!B160,'LFA Expenditure_7B imp-exp'!N$62:N$108,0)),"")</f>
        <v/>
      </c>
      <c r="F160" s="1326">
        <f>'PR Expenditure_7A'!F161</f>
        <v>0</v>
      </c>
      <c r="G160" s="1327"/>
      <c r="H160" s="1326">
        <f t="shared" si="26"/>
        <v>0</v>
      </c>
      <c r="I160" s="1328" t="e">
        <f t="shared" si="27"/>
        <v>#VALUE!</v>
      </c>
      <c r="J160" s="1329"/>
      <c r="K160" s="1312"/>
      <c r="L160" s="1326" t="str">
        <f>IFERROR(INDEX('LFA Expenditure_7B imp-exp'!J$62:J$108,MATCH('LFA Expenditure_7B'!B160,'LFA Expenditure_7B imp-exp'!N$62:N$108,0)),"")</f>
        <v/>
      </c>
      <c r="M160" s="1327"/>
      <c r="N160" s="1326">
        <f t="shared" si="28"/>
        <v>0</v>
      </c>
      <c r="O160" s="1330" t="e">
        <f t="shared" si="29"/>
        <v>#VALUE!</v>
      </c>
      <c r="Q160" s="280"/>
      <c r="R160" s="280"/>
      <c r="S160" s="280"/>
      <c r="T160" s="280"/>
      <c r="U160" s="280"/>
      <c r="V160" s="280"/>
    </row>
    <row r="161" spans="1:22" ht="15" hidden="1" x14ac:dyDescent="0.2">
      <c r="A161" s="644" t="str">
        <f t="shared" si="25"/>
        <v>Don't Show</v>
      </c>
      <c r="B161" s="644" t="s">
        <v>2572</v>
      </c>
      <c r="C161" s="969" t="str">
        <f>IFERROR(INDEX('LFA Expenditure_7B imp-exp'!A$62:A$108,MATCH('LFA Expenditure_7B'!B161,'LFA Expenditure_7B imp-exp'!N$62:N$108,0)),"")</f>
        <v/>
      </c>
      <c r="D161" s="1335" t="str">
        <f>IFERROR(INDEX('LFA Expenditure_7B imp-exp'!B$62:B$108,MATCH('LFA Expenditure_7B'!B161,'LFA Expenditure_7B imp-exp'!N$62:N$108,0)),"")</f>
        <v/>
      </c>
      <c r="E161" s="1326" t="str">
        <f>IFERROR(INDEX('LFA Expenditure_7B imp-exp'!C$62:C$108,MATCH('LFA Expenditure_7B'!B161,'LFA Expenditure_7B imp-exp'!N$62:N$108,0)),"")</f>
        <v/>
      </c>
      <c r="F161" s="1326">
        <f>'PR Expenditure_7A'!F162</f>
        <v>0</v>
      </c>
      <c r="G161" s="1327"/>
      <c r="H161" s="1326">
        <f t="shared" si="26"/>
        <v>0</v>
      </c>
      <c r="I161" s="1328" t="e">
        <f t="shared" si="27"/>
        <v>#VALUE!</v>
      </c>
      <c r="J161" s="1329"/>
      <c r="K161" s="1312"/>
      <c r="L161" s="1326" t="str">
        <f>IFERROR(INDEX('LFA Expenditure_7B imp-exp'!J$62:J$108,MATCH('LFA Expenditure_7B'!B161,'LFA Expenditure_7B imp-exp'!N$62:N$108,0)),"")</f>
        <v/>
      </c>
      <c r="M161" s="1327"/>
      <c r="N161" s="1326">
        <f t="shared" si="28"/>
        <v>0</v>
      </c>
      <c r="O161" s="1330" t="e">
        <f t="shared" si="29"/>
        <v>#VALUE!</v>
      </c>
      <c r="Q161" s="280"/>
      <c r="R161" s="280"/>
      <c r="S161" s="280"/>
      <c r="T161" s="280"/>
      <c r="U161" s="280"/>
      <c r="V161" s="280"/>
    </row>
    <row r="162" spans="1:22" ht="15" hidden="1" x14ac:dyDescent="0.2">
      <c r="A162" s="644" t="str">
        <f t="shared" si="25"/>
        <v>Don't Show</v>
      </c>
      <c r="B162" s="644" t="s">
        <v>2573</v>
      </c>
      <c r="C162" s="969" t="str">
        <f>IFERROR(INDEX('LFA Expenditure_7B imp-exp'!A$62:A$108,MATCH('LFA Expenditure_7B'!B162,'LFA Expenditure_7B imp-exp'!N$62:N$108,0)),"")</f>
        <v/>
      </c>
      <c r="D162" s="1335" t="str">
        <f>IFERROR(INDEX('LFA Expenditure_7B imp-exp'!B$62:B$108,MATCH('LFA Expenditure_7B'!B162,'LFA Expenditure_7B imp-exp'!N$62:N$108,0)),"")</f>
        <v/>
      </c>
      <c r="E162" s="1326" t="str">
        <f>IFERROR(INDEX('LFA Expenditure_7B imp-exp'!C$62:C$108,MATCH('LFA Expenditure_7B'!B162,'LFA Expenditure_7B imp-exp'!N$62:N$108,0)),"")</f>
        <v/>
      </c>
      <c r="F162" s="1326">
        <f>'PR Expenditure_7A'!F163</f>
        <v>0</v>
      </c>
      <c r="G162" s="1327"/>
      <c r="H162" s="1326">
        <f t="shared" si="26"/>
        <v>0</v>
      </c>
      <c r="I162" s="1328" t="e">
        <f t="shared" si="27"/>
        <v>#VALUE!</v>
      </c>
      <c r="J162" s="1329"/>
      <c r="K162" s="1312"/>
      <c r="L162" s="1326" t="str">
        <f>IFERROR(INDEX('LFA Expenditure_7B imp-exp'!J$62:J$108,MATCH('LFA Expenditure_7B'!B162,'LFA Expenditure_7B imp-exp'!N$62:N$108,0)),"")</f>
        <v/>
      </c>
      <c r="M162" s="1327"/>
      <c r="N162" s="1326">
        <f t="shared" si="28"/>
        <v>0</v>
      </c>
      <c r="O162" s="1330" t="e">
        <f t="shared" si="29"/>
        <v>#VALUE!</v>
      </c>
      <c r="Q162" s="280"/>
      <c r="R162" s="280"/>
      <c r="S162" s="280"/>
      <c r="T162" s="280"/>
      <c r="U162" s="280"/>
      <c r="V162" s="280"/>
    </row>
    <row r="163" spans="1:22" ht="15" hidden="1" x14ac:dyDescent="0.2">
      <c r="A163" s="644" t="str">
        <f t="shared" si="25"/>
        <v>Don't Show</v>
      </c>
      <c r="B163" s="644" t="s">
        <v>2574</v>
      </c>
      <c r="C163" s="969" t="str">
        <f>IFERROR(INDEX('LFA Expenditure_7B imp-exp'!A$62:A$108,MATCH('LFA Expenditure_7B'!B163,'LFA Expenditure_7B imp-exp'!N$62:N$108,0)),"")</f>
        <v/>
      </c>
      <c r="D163" s="1335" t="str">
        <f>IFERROR(INDEX('LFA Expenditure_7B imp-exp'!B$62:B$108,MATCH('LFA Expenditure_7B'!B163,'LFA Expenditure_7B imp-exp'!N$62:N$108,0)),"")</f>
        <v/>
      </c>
      <c r="E163" s="1326" t="str">
        <f>IFERROR(INDEX('LFA Expenditure_7B imp-exp'!C$62:C$108,MATCH('LFA Expenditure_7B'!B163,'LFA Expenditure_7B imp-exp'!N$62:N$108,0)),"")</f>
        <v/>
      </c>
      <c r="F163" s="1326">
        <f>'PR Expenditure_7A'!F164</f>
        <v>0</v>
      </c>
      <c r="G163" s="1327"/>
      <c r="H163" s="1326">
        <f t="shared" si="26"/>
        <v>0</v>
      </c>
      <c r="I163" s="1328" t="e">
        <f t="shared" si="27"/>
        <v>#VALUE!</v>
      </c>
      <c r="J163" s="1329"/>
      <c r="K163" s="1312"/>
      <c r="L163" s="1326" t="str">
        <f>IFERROR(INDEX('LFA Expenditure_7B imp-exp'!J$62:J$108,MATCH('LFA Expenditure_7B'!B163,'LFA Expenditure_7B imp-exp'!N$62:N$108,0)),"")</f>
        <v/>
      </c>
      <c r="M163" s="1327"/>
      <c r="N163" s="1326">
        <f t="shared" si="28"/>
        <v>0</v>
      </c>
      <c r="O163" s="1330" t="e">
        <f t="shared" si="29"/>
        <v>#VALUE!</v>
      </c>
      <c r="Q163" s="280"/>
      <c r="R163" s="280"/>
      <c r="S163" s="280"/>
      <c r="T163" s="280"/>
      <c r="U163" s="280"/>
      <c r="V163" s="280"/>
    </row>
    <row r="164" spans="1:22" ht="15" hidden="1" x14ac:dyDescent="0.2">
      <c r="A164" s="644" t="str">
        <f t="shared" si="25"/>
        <v>Don't Show</v>
      </c>
      <c r="B164" s="644" t="s">
        <v>2575</v>
      </c>
      <c r="C164" s="969" t="str">
        <f>IFERROR(INDEX('LFA Expenditure_7B imp-exp'!A$62:A$108,MATCH('LFA Expenditure_7B'!B164,'LFA Expenditure_7B imp-exp'!N$62:N$108,0)),"")</f>
        <v/>
      </c>
      <c r="D164" s="1335" t="str">
        <f>IFERROR(INDEX('LFA Expenditure_7B imp-exp'!B$62:B$108,MATCH('LFA Expenditure_7B'!B164,'LFA Expenditure_7B imp-exp'!N$62:N$108,0)),"")</f>
        <v/>
      </c>
      <c r="E164" s="1326" t="str">
        <f>IFERROR(INDEX('LFA Expenditure_7B imp-exp'!C$62:C$108,MATCH('LFA Expenditure_7B'!B164,'LFA Expenditure_7B imp-exp'!N$62:N$108,0)),"")</f>
        <v/>
      </c>
      <c r="F164" s="1326">
        <f>'PR Expenditure_7A'!F165</f>
        <v>0</v>
      </c>
      <c r="G164" s="1327"/>
      <c r="H164" s="1326">
        <f t="shared" si="26"/>
        <v>0</v>
      </c>
      <c r="I164" s="1328" t="e">
        <f t="shared" si="27"/>
        <v>#VALUE!</v>
      </c>
      <c r="J164" s="1329"/>
      <c r="K164" s="1312"/>
      <c r="L164" s="1326" t="str">
        <f>IFERROR(INDEX('LFA Expenditure_7B imp-exp'!J$62:J$108,MATCH('LFA Expenditure_7B'!B164,'LFA Expenditure_7B imp-exp'!N$62:N$108,0)),"")</f>
        <v/>
      </c>
      <c r="M164" s="1327"/>
      <c r="N164" s="1326">
        <f t="shared" si="28"/>
        <v>0</v>
      </c>
      <c r="O164" s="1330" t="e">
        <f t="shared" si="29"/>
        <v>#VALUE!</v>
      </c>
      <c r="Q164" s="280"/>
      <c r="R164" s="280"/>
      <c r="S164" s="280"/>
      <c r="T164" s="280"/>
      <c r="U164" s="280"/>
      <c r="V164" s="280"/>
    </row>
    <row r="165" spans="1:22" ht="15" hidden="1" x14ac:dyDescent="0.2">
      <c r="A165" s="644" t="str">
        <f t="shared" si="25"/>
        <v>Don't Show</v>
      </c>
      <c r="B165" s="644" t="s">
        <v>2576</v>
      </c>
      <c r="C165" s="969" t="str">
        <f>IFERROR(INDEX('LFA Expenditure_7B imp-exp'!A$62:A$108,MATCH('LFA Expenditure_7B'!B165,'LFA Expenditure_7B imp-exp'!N$62:N$108,0)),"")</f>
        <v/>
      </c>
      <c r="D165" s="1335" t="str">
        <f>IFERROR(INDEX('LFA Expenditure_7B imp-exp'!B$62:B$108,MATCH('LFA Expenditure_7B'!B165,'LFA Expenditure_7B imp-exp'!N$62:N$108,0)),"")</f>
        <v/>
      </c>
      <c r="E165" s="1326" t="str">
        <f>IFERROR(INDEX('LFA Expenditure_7B imp-exp'!C$62:C$108,MATCH('LFA Expenditure_7B'!B165,'LFA Expenditure_7B imp-exp'!N$62:N$108,0)),"")</f>
        <v/>
      </c>
      <c r="F165" s="1326">
        <f>'PR Expenditure_7A'!F166</f>
        <v>0</v>
      </c>
      <c r="G165" s="1327"/>
      <c r="H165" s="1326">
        <f t="shared" si="26"/>
        <v>0</v>
      </c>
      <c r="I165" s="1328" t="e">
        <f t="shared" si="27"/>
        <v>#VALUE!</v>
      </c>
      <c r="J165" s="1329"/>
      <c r="K165" s="1312"/>
      <c r="L165" s="1326" t="str">
        <f>IFERROR(INDEX('LFA Expenditure_7B imp-exp'!J$62:J$108,MATCH('LFA Expenditure_7B'!B165,'LFA Expenditure_7B imp-exp'!N$62:N$108,0)),"")</f>
        <v/>
      </c>
      <c r="M165" s="1327"/>
      <c r="N165" s="1326">
        <f t="shared" si="28"/>
        <v>0</v>
      </c>
      <c r="O165" s="1330" t="e">
        <f t="shared" si="29"/>
        <v>#VALUE!</v>
      </c>
      <c r="Q165" s="280"/>
      <c r="R165" s="280"/>
      <c r="S165" s="280"/>
      <c r="T165" s="280"/>
      <c r="U165" s="280"/>
      <c r="V165" s="280"/>
    </row>
    <row r="166" spans="1:22" ht="15" hidden="1" x14ac:dyDescent="0.2">
      <c r="A166" s="644" t="str">
        <f t="shared" si="25"/>
        <v>Don't Show</v>
      </c>
      <c r="B166" s="644" t="s">
        <v>2577</v>
      </c>
      <c r="C166" s="969" t="str">
        <f>IFERROR(INDEX('LFA Expenditure_7B imp-exp'!A$62:A$108,MATCH('LFA Expenditure_7B'!B166,'LFA Expenditure_7B imp-exp'!N$62:N$108,0)),"")</f>
        <v/>
      </c>
      <c r="D166" s="1335" t="str">
        <f>IFERROR(INDEX('LFA Expenditure_7B imp-exp'!B$62:B$108,MATCH('LFA Expenditure_7B'!B166,'LFA Expenditure_7B imp-exp'!N$62:N$108,0)),"")</f>
        <v/>
      </c>
      <c r="E166" s="1326" t="str">
        <f>IFERROR(INDEX('LFA Expenditure_7B imp-exp'!C$62:C$108,MATCH('LFA Expenditure_7B'!B166,'LFA Expenditure_7B imp-exp'!N$62:N$108,0)),"")</f>
        <v/>
      </c>
      <c r="F166" s="1326">
        <f>'PR Expenditure_7A'!F167</f>
        <v>0</v>
      </c>
      <c r="G166" s="1327"/>
      <c r="H166" s="1326">
        <f t="shared" si="26"/>
        <v>0</v>
      </c>
      <c r="I166" s="1328" t="e">
        <f t="shared" si="27"/>
        <v>#VALUE!</v>
      </c>
      <c r="J166" s="1329"/>
      <c r="K166" s="1312"/>
      <c r="L166" s="1326" t="str">
        <f>IFERROR(INDEX('LFA Expenditure_7B imp-exp'!J$62:J$108,MATCH('LFA Expenditure_7B'!B166,'LFA Expenditure_7B imp-exp'!N$62:N$108,0)),"")</f>
        <v/>
      </c>
      <c r="M166" s="1327"/>
      <c r="N166" s="1326">
        <f t="shared" si="28"/>
        <v>0</v>
      </c>
      <c r="O166" s="1330" t="e">
        <f t="shared" si="29"/>
        <v>#VALUE!</v>
      </c>
      <c r="Q166" s="280"/>
      <c r="R166" s="280"/>
      <c r="S166" s="280"/>
      <c r="T166" s="280"/>
      <c r="U166" s="280"/>
      <c r="V166" s="280"/>
    </row>
    <row r="167" spans="1:22" ht="15" hidden="1" x14ac:dyDescent="0.2">
      <c r="A167" s="644" t="str">
        <f t="shared" si="25"/>
        <v>Don't Show</v>
      </c>
      <c r="B167" s="644" t="s">
        <v>2578</v>
      </c>
      <c r="C167" s="969" t="str">
        <f>IFERROR(INDEX('LFA Expenditure_7B imp-exp'!A$62:A$108,MATCH('LFA Expenditure_7B'!B167,'LFA Expenditure_7B imp-exp'!N$62:N$108,0)),"")</f>
        <v/>
      </c>
      <c r="D167" s="1335" t="str">
        <f>IFERROR(INDEX('LFA Expenditure_7B imp-exp'!B$62:B$108,MATCH('LFA Expenditure_7B'!B167,'LFA Expenditure_7B imp-exp'!N$62:N$108,0)),"")</f>
        <v/>
      </c>
      <c r="E167" s="1326" t="str">
        <f>IFERROR(INDEX('LFA Expenditure_7B imp-exp'!C$62:C$108,MATCH('LFA Expenditure_7B'!B167,'LFA Expenditure_7B imp-exp'!N$62:N$108,0)),"")</f>
        <v/>
      </c>
      <c r="F167" s="1326">
        <f>'PR Expenditure_7A'!F168</f>
        <v>0</v>
      </c>
      <c r="G167" s="1327"/>
      <c r="H167" s="1326">
        <f t="shared" si="26"/>
        <v>0</v>
      </c>
      <c r="I167" s="1328" t="e">
        <f t="shared" si="27"/>
        <v>#VALUE!</v>
      </c>
      <c r="J167" s="1329"/>
      <c r="K167" s="1312"/>
      <c r="L167" s="1326" t="str">
        <f>IFERROR(INDEX('LFA Expenditure_7B imp-exp'!J$62:J$108,MATCH('LFA Expenditure_7B'!B167,'LFA Expenditure_7B imp-exp'!N$62:N$108,0)),"")</f>
        <v/>
      </c>
      <c r="M167" s="1327"/>
      <c r="N167" s="1326">
        <f t="shared" si="28"/>
        <v>0</v>
      </c>
      <c r="O167" s="1330" t="e">
        <f t="shared" si="29"/>
        <v>#VALUE!</v>
      </c>
      <c r="Q167" s="280"/>
      <c r="R167" s="280"/>
      <c r="S167" s="280"/>
      <c r="T167" s="280"/>
      <c r="U167" s="280"/>
      <c r="V167" s="280"/>
    </row>
    <row r="168" spans="1:22" ht="15" hidden="1" x14ac:dyDescent="0.2">
      <c r="A168" s="644" t="str">
        <f t="shared" si="25"/>
        <v>Don't Show</v>
      </c>
      <c r="B168" s="644" t="s">
        <v>2579</v>
      </c>
      <c r="C168" s="969" t="str">
        <f>IFERROR(INDEX('LFA Expenditure_7B imp-exp'!A$62:A$108,MATCH('LFA Expenditure_7B'!B168,'LFA Expenditure_7B imp-exp'!N$62:N$108,0)),"")</f>
        <v/>
      </c>
      <c r="D168" s="1335" t="str">
        <f>IFERROR(INDEX('LFA Expenditure_7B imp-exp'!B$62:B$108,MATCH('LFA Expenditure_7B'!B168,'LFA Expenditure_7B imp-exp'!N$62:N$108,0)),"")</f>
        <v/>
      </c>
      <c r="E168" s="1326" t="str">
        <f>IFERROR(INDEX('LFA Expenditure_7B imp-exp'!C$62:C$108,MATCH('LFA Expenditure_7B'!B168,'LFA Expenditure_7B imp-exp'!N$62:N$108,0)),"")</f>
        <v/>
      </c>
      <c r="F168" s="1326">
        <f>'PR Expenditure_7A'!F169</f>
        <v>0</v>
      </c>
      <c r="G168" s="1327"/>
      <c r="H168" s="1326">
        <f t="shared" si="26"/>
        <v>0</v>
      </c>
      <c r="I168" s="1328" t="e">
        <f t="shared" si="27"/>
        <v>#VALUE!</v>
      </c>
      <c r="J168" s="1329"/>
      <c r="K168" s="1312"/>
      <c r="L168" s="1326" t="str">
        <f>IFERROR(INDEX('LFA Expenditure_7B imp-exp'!J$62:J$108,MATCH('LFA Expenditure_7B'!B168,'LFA Expenditure_7B imp-exp'!N$62:N$108,0)),"")</f>
        <v/>
      </c>
      <c r="M168" s="1327"/>
      <c r="N168" s="1326">
        <f t="shared" si="28"/>
        <v>0</v>
      </c>
      <c r="O168" s="1330" t="e">
        <f t="shared" si="29"/>
        <v>#VALUE!</v>
      </c>
      <c r="Q168" s="280"/>
      <c r="R168" s="280"/>
      <c r="S168" s="280"/>
      <c r="T168" s="280"/>
      <c r="U168" s="280"/>
      <c r="V168" s="280"/>
    </row>
    <row r="169" spans="1:22" ht="15" hidden="1" x14ac:dyDescent="0.2">
      <c r="A169" s="644" t="str">
        <f t="shared" si="25"/>
        <v>Don't Show</v>
      </c>
      <c r="B169" s="644" t="s">
        <v>2580</v>
      </c>
      <c r="C169" s="969" t="str">
        <f>IFERROR(INDEX('LFA Expenditure_7B imp-exp'!A$62:A$108,MATCH('LFA Expenditure_7B'!B169,'LFA Expenditure_7B imp-exp'!N$62:N$108,0)),"")</f>
        <v/>
      </c>
      <c r="D169" s="1335" t="str">
        <f>IFERROR(INDEX('LFA Expenditure_7B imp-exp'!B$62:B$108,MATCH('LFA Expenditure_7B'!B169,'LFA Expenditure_7B imp-exp'!N$62:N$108,0)),"")</f>
        <v/>
      </c>
      <c r="E169" s="1326" t="str">
        <f>IFERROR(INDEX('LFA Expenditure_7B imp-exp'!C$62:C$108,MATCH('LFA Expenditure_7B'!B169,'LFA Expenditure_7B imp-exp'!N$62:N$108,0)),"")</f>
        <v/>
      </c>
      <c r="F169" s="1326">
        <f>'PR Expenditure_7A'!F170</f>
        <v>0</v>
      </c>
      <c r="G169" s="1327"/>
      <c r="H169" s="1326">
        <f t="shared" si="26"/>
        <v>0</v>
      </c>
      <c r="I169" s="1328" t="e">
        <f t="shared" si="27"/>
        <v>#VALUE!</v>
      </c>
      <c r="J169" s="1329"/>
      <c r="K169" s="1312"/>
      <c r="L169" s="1326" t="str">
        <f>IFERROR(INDEX('LFA Expenditure_7B imp-exp'!J$62:J$108,MATCH('LFA Expenditure_7B'!B169,'LFA Expenditure_7B imp-exp'!N$62:N$108,0)),"")</f>
        <v/>
      </c>
      <c r="M169" s="1327"/>
      <c r="N169" s="1326">
        <f t="shared" si="28"/>
        <v>0</v>
      </c>
      <c r="O169" s="1330" t="e">
        <f t="shared" si="29"/>
        <v>#VALUE!</v>
      </c>
      <c r="Q169" s="280"/>
      <c r="R169" s="280"/>
      <c r="S169" s="280"/>
      <c r="T169" s="280"/>
      <c r="U169" s="280"/>
      <c r="V169" s="280"/>
    </row>
    <row r="170" spans="1:22" ht="15" hidden="1" x14ac:dyDescent="0.2">
      <c r="A170" s="644" t="str">
        <f t="shared" si="25"/>
        <v>Don't Show</v>
      </c>
      <c r="B170" s="644" t="s">
        <v>2581</v>
      </c>
      <c r="C170" s="969" t="str">
        <f>IFERROR(INDEX('LFA Expenditure_7B imp-exp'!A$62:A$108,MATCH('LFA Expenditure_7B'!B170,'LFA Expenditure_7B imp-exp'!N$62:N$108,0)),"")</f>
        <v/>
      </c>
      <c r="D170" s="1335" t="str">
        <f>IFERROR(INDEX('LFA Expenditure_7B imp-exp'!B$62:B$108,MATCH('LFA Expenditure_7B'!B170,'LFA Expenditure_7B imp-exp'!N$62:N$108,0)),"")</f>
        <v/>
      </c>
      <c r="E170" s="1326" t="str">
        <f>IFERROR(INDEX('LFA Expenditure_7B imp-exp'!C$62:C$108,MATCH('LFA Expenditure_7B'!B170,'LFA Expenditure_7B imp-exp'!N$62:N$108,0)),"")</f>
        <v/>
      </c>
      <c r="F170" s="1326">
        <f>'PR Expenditure_7A'!F171</f>
        <v>0</v>
      </c>
      <c r="G170" s="1327"/>
      <c r="H170" s="1326">
        <f t="shared" si="26"/>
        <v>0</v>
      </c>
      <c r="I170" s="1328" t="e">
        <f t="shared" si="27"/>
        <v>#VALUE!</v>
      </c>
      <c r="J170" s="1329"/>
      <c r="K170" s="1312"/>
      <c r="L170" s="1326" t="str">
        <f>IFERROR(INDEX('LFA Expenditure_7B imp-exp'!J$62:J$108,MATCH('LFA Expenditure_7B'!B170,'LFA Expenditure_7B imp-exp'!N$62:N$108,0)),"")</f>
        <v/>
      </c>
      <c r="M170" s="1327"/>
      <c r="N170" s="1326">
        <f t="shared" si="28"/>
        <v>0</v>
      </c>
      <c r="O170" s="1330" t="e">
        <f t="shared" si="29"/>
        <v>#VALUE!</v>
      </c>
      <c r="Q170" s="280"/>
      <c r="R170" s="280"/>
      <c r="S170" s="280"/>
      <c r="T170" s="280"/>
      <c r="U170" s="280"/>
      <c r="V170" s="280"/>
    </row>
    <row r="171" spans="1:22" ht="15" hidden="1" x14ac:dyDescent="0.2">
      <c r="A171" s="644" t="str">
        <f t="shared" si="25"/>
        <v>Don't Show</v>
      </c>
      <c r="B171" s="644" t="s">
        <v>2582</v>
      </c>
      <c r="C171" s="969" t="str">
        <f>IFERROR(INDEX('LFA Expenditure_7B imp-exp'!A$62:A$108,MATCH('LFA Expenditure_7B'!B171,'LFA Expenditure_7B imp-exp'!N$62:N$108,0)),"")</f>
        <v/>
      </c>
      <c r="D171" s="1335" t="str">
        <f>IFERROR(INDEX('LFA Expenditure_7B imp-exp'!B$62:B$108,MATCH('LFA Expenditure_7B'!B171,'LFA Expenditure_7B imp-exp'!N$62:N$108,0)),"")</f>
        <v/>
      </c>
      <c r="E171" s="1326" t="str">
        <f>IFERROR(INDEX('LFA Expenditure_7B imp-exp'!C$62:C$108,MATCH('LFA Expenditure_7B'!B171,'LFA Expenditure_7B imp-exp'!N$62:N$108,0)),"")</f>
        <v/>
      </c>
      <c r="F171" s="1326">
        <f>'PR Expenditure_7A'!F172</f>
        <v>0</v>
      </c>
      <c r="G171" s="1327"/>
      <c r="H171" s="1326">
        <f t="shared" si="26"/>
        <v>0</v>
      </c>
      <c r="I171" s="1328" t="e">
        <f t="shared" si="27"/>
        <v>#VALUE!</v>
      </c>
      <c r="J171" s="1329"/>
      <c r="K171" s="1312"/>
      <c r="L171" s="1326" t="str">
        <f>IFERROR(INDEX('LFA Expenditure_7B imp-exp'!J$62:J$108,MATCH('LFA Expenditure_7B'!B171,'LFA Expenditure_7B imp-exp'!N$62:N$108,0)),"")</f>
        <v/>
      </c>
      <c r="M171" s="1327"/>
      <c r="N171" s="1326">
        <f t="shared" si="28"/>
        <v>0</v>
      </c>
      <c r="O171" s="1330" t="e">
        <f t="shared" si="29"/>
        <v>#VALUE!</v>
      </c>
      <c r="Q171" s="280"/>
      <c r="R171" s="280"/>
      <c r="S171" s="280"/>
      <c r="T171" s="280"/>
      <c r="U171" s="280"/>
      <c r="V171" s="280"/>
    </row>
    <row r="172" spans="1:22" ht="15" hidden="1" x14ac:dyDescent="0.2">
      <c r="A172" s="644" t="str">
        <f t="shared" si="25"/>
        <v>Don't Show</v>
      </c>
      <c r="B172" s="644" t="s">
        <v>2583</v>
      </c>
      <c r="C172" s="969" t="str">
        <f>IFERROR(INDEX('LFA Expenditure_7B imp-exp'!A$62:A$108,MATCH('LFA Expenditure_7B'!B172,'LFA Expenditure_7B imp-exp'!N$62:N$108,0)),"")</f>
        <v/>
      </c>
      <c r="D172" s="1335" t="str">
        <f>IFERROR(INDEX('LFA Expenditure_7B imp-exp'!B$62:B$108,MATCH('LFA Expenditure_7B'!B172,'LFA Expenditure_7B imp-exp'!N$62:N$108,0)),"")</f>
        <v/>
      </c>
      <c r="E172" s="1326" t="str">
        <f>IFERROR(INDEX('LFA Expenditure_7B imp-exp'!C$62:C$108,MATCH('LFA Expenditure_7B'!B172,'LFA Expenditure_7B imp-exp'!N$62:N$108,0)),"")</f>
        <v/>
      </c>
      <c r="F172" s="1326">
        <f>'PR Expenditure_7A'!F173</f>
        <v>0</v>
      </c>
      <c r="G172" s="1327"/>
      <c r="H172" s="1326">
        <f t="shared" si="26"/>
        <v>0</v>
      </c>
      <c r="I172" s="1328" t="e">
        <f t="shared" si="27"/>
        <v>#VALUE!</v>
      </c>
      <c r="J172" s="1329"/>
      <c r="K172" s="1312"/>
      <c r="L172" s="1326" t="str">
        <f>IFERROR(INDEX('LFA Expenditure_7B imp-exp'!J$62:J$108,MATCH('LFA Expenditure_7B'!B172,'LFA Expenditure_7B imp-exp'!N$62:N$108,0)),"")</f>
        <v/>
      </c>
      <c r="M172" s="1327"/>
      <c r="N172" s="1326">
        <f t="shared" si="28"/>
        <v>0</v>
      </c>
      <c r="O172" s="1330" t="e">
        <f t="shared" si="29"/>
        <v>#VALUE!</v>
      </c>
      <c r="Q172" s="280"/>
      <c r="R172" s="280"/>
      <c r="S172" s="280"/>
      <c r="T172" s="280"/>
      <c r="U172" s="280"/>
      <c r="V172" s="280"/>
    </row>
    <row r="173" spans="1:22" ht="15" hidden="1" x14ac:dyDescent="0.2">
      <c r="A173" s="644" t="str">
        <f t="shared" si="25"/>
        <v>Don't Show</v>
      </c>
      <c r="B173" s="644" t="s">
        <v>2584</v>
      </c>
      <c r="C173" s="969" t="str">
        <f>IFERROR(INDEX('LFA Expenditure_7B imp-exp'!A$62:A$108,MATCH('LFA Expenditure_7B'!B173,'LFA Expenditure_7B imp-exp'!N$62:N$108,0)),"")</f>
        <v/>
      </c>
      <c r="D173" s="1335" t="str">
        <f>IFERROR(INDEX('LFA Expenditure_7B imp-exp'!B$62:B$108,MATCH('LFA Expenditure_7B'!B173,'LFA Expenditure_7B imp-exp'!N$62:N$108,0)),"")</f>
        <v/>
      </c>
      <c r="E173" s="1326" t="str">
        <f>IFERROR(INDEX('LFA Expenditure_7B imp-exp'!C$62:C$108,MATCH('LFA Expenditure_7B'!B173,'LFA Expenditure_7B imp-exp'!N$62:N$108,0)),"")</f>
        <v/>
      </c>
      <c r="F173" s="1326">
        <f>'PR Expenditure_7A'!F174</f>
        <v>0</v>
      </c>
      <c r="G173" s="1327"/>
      <c r="H173" s="1326">
        <f t="shared" si="26"/>
        <v>0</v>
      </c>
      <c r="I173" s="1328" t="e">
        <f t="shared" si="27"/>
        <v>#VALUE!</v>
      </c>
      <c r="J173" s="1329"/>
      <c r="K173" s="1312"/>
      <c r="L173" s="1326" t="str">
        <f>IFERROR(INDEX('LFA Expenditure_7B imp-exp'!J$62:J$108,MATCH('LFA Expenditure_7B'!B173,'LFA Expenditure_7B imp-exp'!N$62:N$108,0)),"")</f>
        <v/>
      </c>
      <c r="M173" s="1327"/>
      <c r="N173" s="1326">
        <f t="shared" si="28"/>
        <v>0</v>
      </c>
      <c r="O173" s="1330" t="e">
        <f t="shared" si="29"/>
        <v>#VALUE!</v>
      </c>
      <c r="Q173" s="280"/>
      <c r="R173" s="280"/>
      <c r="S173" s="280"/>
      <c r="T173" s="280"/>
      <c r="U173" s="280"/>
      <c r="V173" s="280"/>
    </row>
    <row r="174" spans="1:22" ht="15" hidden="1" x14ac:dyDescent="0.2">
      <c r="A174" s="644" t="str">
        <f t="shared" si="25"/>
        <v>Don't Show</v>
      </c>
      <c r="B174" s="644" t="s">
        <v>2585</v>
      </c>
      <c r="C174" s="969" t="str">
        <f>IFERROR(INDEX('LFA Expenditure_7B imp-exp'!A$62:A$108,MATCH('LFA Expenditure_7B'!B174,'LFA Expenditure_7B imp-exp'!N$62:N$108,0)),"")</f>
        <v/>
      </c>
      <c r="D174" s="1335" t="str">
        <f>IFERROR(INDEX('LFA Expenditure_7B imp-exp'!B$62:B$108,MATCH('LFA Expenditure_7B'!B174,'LFA Expenditure_7B imp-exp'!N$62:N$108,0)),"")</f>
        <v/>
      </c>
      <c r="E174" s="1326" t="str">
        <f>IFERROR(INDEX('LFA Expenditure_7B imp-exp'!C$62:C$108,MATCH('LFA Expenditure_7B'!B174,'LFA Expenditure_7B imp-exp'!N$62:N$108,0)),"")</f>
        <v/>
      </c>
      <c r="F174" s="1326">
        <f>'PR Expenditure_7A'!F175</f>
        <v>0</v>
      </c>
      <c r="G174" s="1327"/>
      <c r="H174" s="1326">
        <f t="shared" si="26"/>
        <v>0</v>
      </c>
      <c r="I174" s="1328" t="e">
        <f t="shared" si="27"/>
        <v>#VALUE!</v>
      </c>
      <c r="J174" s="1329"/>
      <c r="K174" s="1312"/>
      <c r="L174" s="1326" t="str">
        <f>IFERROR(INDEX('LFA Expenditure_7B imp-exp'!J$62:J$108,MATCH('LFA Expenditure_7B'!B174,'LFA Expenditure_7B imp-exp'!N$62:N$108,0)),"")</f>
        <v/>
      </c>
      <c r="M174" s="1327"/>
      <c r="N174" s="1326">
        <f t="shared" si="28"/>
        <v>0</v>
      </c>
      <c r="O174" s="1330" t="e">
        <f t="shared" si="29"/>
        <v>#VALUE!</v>
      </c>
      <c r="Q174" s="280"/>
      <c r="R174" s="280"/>
      <c r="S174" s="280"/>
      <c r="T174" s="280"/>
      <c r="U174" s="280"/>
      <c r="V174" s="280"/>
    </row>
    <row r="175" spans="1:22" ht="15" hidden="1" x14ac:dyDescent="0.2">
      <c r="A175" s="644" t="str">
        <f t="shared" si="25"/>
        <v>Don't Show</v>
      </c>
      <c r="B175" s="644" t="s">
        <v>2586</v>
      </c>
      <c r="C175" s="969" t="str">
        <f>IFERROR(INDEX('LFA Expenditure_7B imp-exp'!A$62:A$108,MATCH('LFA Expenditure_7B'!B175,'LFA Expenditure_7B imp-exp'!N$62:N$108,0)),"")</f>
        <v/>
      </c>
      <c r="D175" s="1335" t="str">
        <f>IFERROR(INDEX('LFA Expenditure_7B imp-exp'!B$62:B$108,MATCH('LFA Expenditure_7B'!B175,'LFA Expenditure_7B imp-exp'!N$62:N$108,0)),"")</f>
        <v/>
      </c>
      <c r="E175" s="1326" t="str">
        <f>IFERROR(INDEX('LFA Expenditure_7B imp-exp'!C$62:C$108,MATCH('LFA Expenditure_7B'!B175,'LFA Expenditure_7B imp-exp'!N$62:N$108,0)),"")</f>
        <v/>
      </c>
      <c r="F175" s="1326">
        <f>'PR Expenditure_7A'!F176</f>
        <v>0</v>
      </c>
      <c r="G175" s="1327"/>
      <c r="H175" s="1326">
        <f t="shared" si="26"/>
        <v>0</v>
      </c>
      <c r="I175" s="1328" t="e">
        <f t="shared" si="27"/>
        <v>#VALUE!</v>
      </c>
      <c r="J175" s="1329"/>
      <c r="K175" s="1312"/>
      <c r="L175" s="1326" t="str">
        <f>IFERROR(INDEX('LFA Expenditure_7B imp-exp'!J$62:J$108,MATCH('LFA Expenditure_7B'!B175,'LFA Expenditure_7B imp-exp'!N$62:N$108,0)),"")</f>
        <v/>
      </c>
      <c r="M175" s="1327"/>
      <c r="N175" s="1326">
        <f t="shared" si="28"/>
        <v>0</v>
      </c>
      <c r="O175" s="1330" t="e">
        <f t="shared" si="29"/>
        <v>#VALUE!</v>
      </c>
      <c r="Q175" s="280"/>
      <c r="R175" s="280"/>
      <c r="S175" s="280"/>
      <c r="T175" s="280"/>
      <c r="U175" s="280"/>
      <c r="V175" s="280"/>
    </row>
    <row r="176" spans="1:22" ht="15" hidden="1" x14ac:dyDescent="0.2">
      <c r="A176" s="644" t="str">
        <f t="shared" si="25"/>
        <v>Don't Show</v>
      </c>
      <c r="B176" s="644" t="s">
        <v>2587</v>
      </c>
      <c r="C176" s="969" t="str">
        <f>IFERROR(INDEX('LFA Expenditure_7B imp-exp'!A$62:A$108,MATCH('LFA Expenditure_7B'!B176,'LFA Expenditure_7B imp-exp'!N$62:N$108,0)),"")</f>
        <v/>
      </c>
      <c r="D176" s="1335" t="str">
        <f>IFERROR(INDEX('LFA Expenditure_7B imp-exp'!B$62:B$108,MATCH('LFA Expenditure_7B'!B176,'LFA Expenditure_7B imp-exp'!N$62:N$108,0)),"")</f>
        <v/>
      </c>
      <c r="E176" s="1326" t="str">
        <f>IFERROR(INDEX('LFA Expenditure_7B imp-exp'!C$62:C$108,MATCH('LFA Expenditure_7B'!B176,'LFA Expenditure_7B imp-exp'!N$62:N$108,0)),"")</f>
        <v/>
      </c>
      <c r="F176" s="1326">
        <f>'PR Expenditure_7A'!F177</f>
        <v>0</v>
      </c>
      <c r="G176" s="1327"/>
      <c r="H176" s="1326">
        <f t="shared" si="26"/>
        <v>0</v>
      </c>
      <c r="I176" s="1328" t="e">
        <f t="shared" si="27"/>
        <v>#VALUE!</v>
      </c>
      <c r="J176" s="1329"/>
      <c r="K176" s="1312"/>
      <c r="L176" s="1326" t="str">
        <f>IFERROR(INDEX('LFA Expenditure_7B imp-exp'!J$62:J$108,MATCH('LFA Expenditure_7B'!B176,'LFA Expenditure_7B imp-exp'!N$62:N$108,0)),"")</f>
        <v/>
      </c>
      <c r="M176" s="1327"/>
      <c r="N176" s="1326">
        <f t="shared" si="28"/>
        <v>0</v>
      </c>
      <c r="O176" s="1330" t="e">
        <f t="shared" si="29"/>
        <v>#VALUE!</v>
      </c>
      <c r="Q176" s="280"/>
      <c r="R176" s="280"/>
      <c r="S176" s="280"/>
      <c r="T176" s="280"/>
      <c r="U176" s="280"/>
      <c r="V176" s="280"/>
    </row>
    <row r="177" spans="1:22" ht="15" hidden="1" x14ac:dyDescent="0.2">
      <c r="A177" s="644" t="str">
        <f t="shared" si="25"/>
        <v>Don't Show</v>
      </c>
      <c r="B177" s="644" t="s">
        <v>2588</v>
      </c>
      <c r="C177" s="969" t="str">
        <f>IFERROR(INDEX('LFA Expenditure_7B imp-exp'!A$62:A$108,MATCH('LFA Expenditure_7B'!B177,'LFA Expenditure_7B imp-exp'!N$62:N$108,0)),"")</f>
        <v/>
      </c>
      <c r="D177" s="1335" t="str">
        <f>IFERROR(INDEX('LFA Expenditure_7B imp-exp'!B$62:B$108,MATCH('LFA Expenditure_7B'!B177,'LFA Expenditure_7B imp-exp'!N$62:N$108,0)),"")</f>
        <v/>
      </c>
      <c r="E177" s="1326" t="str">
        <f>IFERROR(INDEX('LFA Expenditure_7B imp-exp'!C$62:C$108,MATCH('LFA Expenditure_7B'!B177,'LFA Expenditure_7B imp-exp'!N$62:N$108,0)),"")</f>
        <v/>
      </c>
      <c r="F177" s="1326">
        <f>'PR Expenditure_7A'!F178</f>
        <v>0</v>
      </c>
      <c r="G177" s="1327"/>
      <c r="H177" s="1326">
        <f t="shared" si="26"/>
        <v>0</v>
      </c>
      <c r="I177" s="1328" t="e">
        <f t="shared" si="27"/>
        <v>#VALUE!</v>
      </c>
      <c r="J177" s="1329"/>
      <c r="K177" s="1312"/>
      <c r="L177" s="1326" t="str">
        <f>IFERROR(INDEX('LFA Expenditure_7B imp-exp'!J$62:J$108,MATCH('LFA Expenditure_7B'!B177,'LFA Expenditure_7B imp-exp'!N$62:N$108,0)),"")</f>
        <v/>
      </c>
      <c r="M177" s="1327"/>
      <c r="N177" s="1326">
        <f t="shared" si="28"/>
        <v>0</v>
      </c>
      <c r="O177" s="1330" t="e">
        <f t="shared" si="29"/>
        <v>#VALUE!</v>
      </c>
      <c r="Q177" s="280"/>
      <c r="R177" s="280"/>
      <c r="S177" s="280"/>
      <c r="T177" s="280"/>
      <c r="U177" s="280"/>
      <c r="V177" s="280"/>
    </row>
    <row r="178" spans="1:22" ht="15" hidden="1" x14ac:dyDescent="0.2">
      <c r="A178" s="644" t="str">
        <f t="shared" si="25"/>
        <v>Don't Show</v>
      </c>
      <c r="B178" s="644" t="s">
        <v>2589</v>
      </c>
      <c r="C178" s="969" t="str">
        <f>IFERROR(INDEX('LFA Expenditure_7B imp-exp'!A$62:A$108,MATCH('LFA Expenditure_7B'!B178,'LFA Expenditure_7B imp-exp'!N$62:N$108,0)),"")</f>
        <v/>
      </c>
      <c r="D178" s="1335" t="str">
        <f>IFERROR(INDEX('LFA Expenditure_7B imp-exp'!B$62:B$108,MATCH('LFA Expenditure_7B'!B178,'LFA Expenditure_7B imp-exp'!N$62:N$108,0)),"")</f>
        <v/>
      </c>
      <c r="E178" s="1326" t="str">
        <f>IFERROR(INDEX('LFA Expenditure_7B imp-exp'!C$62:C$108,MATCH('LFA Expenditure_7B'!B178,'LFA Expenditure_7B imp-exp'!N$62:N$108,0)),"")</f>
        <v/>
      </c>
      <c r="F178" s="1326">
        <f>'PR Expenditure_7A'!F179</f>
        <v>0</v>
      </c>
      <c r="G178" s="1327"/>
      <c r="H178" s="1326">
        <f t="shared" si="26"/>
        <v>0</v>
      </c>
      <c r="I178" s="1328" t="e">
        <f t="shared" si="27"/>
        <v>#VALUE!</v>
      </c>
      <c r="J178" s="1329"/>
      <c r="K178" s="1312"/>
      <c r="L178" s="1326" t="str">
        <f>IFERROR(INDEX('LFA Expenditure_7B imp-exp'!J$62:J$108,MATCH('LFA Expenditure_7B'!B178,'LFA Expenditure_7B imp-exp'!N$62:N$108,0)),"")</f>
        <v/>
      </c>
      <c r="M178" s="1327"/>
      <c r="N178" s="1326">
        <f t="shared" si="28"/>
        <v>0</v>
      </c>
      <c r="O178" s="1330" t="e">
        <f t="shared" si="29"/>
        <v>#VALUE!</v>
      </c>
      <c r="Q178" s="280"/>
      <c r="R178" s="280"/>
      <c r="S178" s="280"/>
      <c r="T178" s="280"/>
      <c r="U178" s="280"/>
      <c r="V178" s="280"/>
    </row>
    <row r="179" spans="1:22" ht="15" hidden="1" x14ac:dyDescent="0.2">
      <c r="A179" s="644" t="str">
        <f t="shared" si="25"/>
        <v>Don't Show</v>
      </c>
      <c r="B179" s="644" t="s">
        <v>2590</v>
      </c>
      <c r="C179" s="969" t="str">
        <f>IFERROR(INDEX('LFA Expenditure_7B imp-exp'!A$62:A$108,MATCH('LFA Expenditure_7B'!B179,'LFA Expenditure_7B imp-exp'!N$62:N$108,0)),"")</f>
        <v/>
      </c>
      <c r="D179" s="1335" t="str">
        <f>IFERROR(INDEX('LFA Expenditure_7B imp-exp'!B$62:B$108,MATCH('LFA Expenditure_7B'!B179,'LFA Expenditure_7B imp-exp'!N$62:N$108,0)),"")</f>
        <v/>
      </c>
      <c r="E179" s="1326" t="str">
        <f>IFERROR(INDEX('LFA Expenditure_7B imp-exp'!C$62:C$108,MATCH('LFA Expenditure_7B'!B179,'LFA Expenditure_7B imp-exp'!N$62:N$108,0)),"")</f>
        <v/>
      </c>
      <c r="F179" s="1326">
        <f>'PR Expenditure_7A'!F180</f>
        <v>0</v>
      </c>
      <c r="G179" s="1327"/>
      <c r="H179" s="1326">
        <f t="shared" si="26"/>
        <v>0</v>
      </c>
      <c r="I179" s="1328" t="e">
        <f t="shared" si="27"/>
        <v>#VALUE!</v>
      </c>
      <c r="J179" s="1329"/>
      <c r="K179" s="1312"/>
      <c r="L179" s="1326" t="str">
        <f>IFERROR(INDEX('LFA Expenditure_7B imp-exp'!J$62:J$108,MATCH('LFA Expenditure_7B'!B179,'LFA Expenditure_7B imp-exp'!N$62:N$108,0)),"")</f>
        <v/>
      </c>
      <c r="M179" s="1327"/>
      <c r="N179" s="1326">
        <f t="shared" si="28"/>
        <v>0</v>
      </c>
      <c r="O179" s="1330" t="e">
        <f t="shared" si="29"/>
        <v>#VALUE!</v>
      </c>
      <c r="Q179" s="280"/>
      <c r="R179" s="280"/>
      <c r="S179" s="280"/>
      <c r="T179" s="280"/>
      <c r="U179" s="280"/>
      <c r="V179" s="280"/>
    </row>
    <row r="180" spans="1:22" ht="15" hidden="1" x14ac:dyDescent="0.2">
      <c r="A180" s="644" t="str">
        <f t="shared" si="25"/>
        <v>Don't Show</v>
      </c>
      <c r="B180" s="644" t="s">
        <v>2591</v>
      </c>
      <c r="C180" s="969" t="str">
        <f>IFERROR(INDEX('LFA Expenditure_7B imp-exp'!A$62:A$108,MATCH('LFA Expenditure_7B'!B180,'LFA Expenditure_7B imp-exp'!N$62:N$108,0)),"")</f>
        <v/>
      </c>
      <c r="D180" s="1335" t="str">
        <f>IFERROR(INDEX('LFA Expenditure_7B imp-exp'!B$62:B$108,MATCH('LFA Expenditure_7B'!B180,'LFA Expenditure_7B imp-exp'!N$62:N$108,0)),"")</f>
        <v/>
      </c>
      <c r="E180" s="1326" t="str">
        <f>IFERROR(INDEX('LFA Expenditure_7B imp-exp'!C$62:C$108,MATCH('LFA Expenditure_7B'!B180,'LFA Expenditure_7B imp-exp'!N$62:N$108,0)),"")</f>
        <v/>
      </c>
      <c r="F180" s="1326">
        <f>'PR Expenditure_7A'!F181</f>
        <v>0</v>
      </c>
      <c r="G180" s="1327"/>
      <c r="H180" s="1326">
        <f t="shared" si="26"/>
        <v>0</v>
      </c>
      <c r="I180" s="1328" t="e">
        <f t="shared" si="27"/>
        <v>#VALUE!</v>
      </c>
      <c r="J180" s="1329"/>
      <c r="K180" s="1312"/>
      <c r="L180" s="1326" t="str">
        <f>IFERROR(INDEX('LFA Expenditure_7B imp-exp'!J$62:J$108,MATCH('LFA Expenditure_7B'!B180,'LFA Expenditure_7B imp-exp'!N$62:N$108,0)),"")</f>
        <v/>
      </c>
      <c r="M180" s="1327"/>
      <c r="N180" s="1326">
        <f t="shared" si="28"/>
        <v>0</v>
      </c>
      <c r="O180" s="1330" t="e">
        <f t="shared" si="29"/>
        <v>#VALUE!</v>
      </c>
      <c r="Q180" s="280"/>
      <c r="R180" s="280"/>
      <c r="S180" s="280"/>
      <c r="T180" s="280"/>
      <c r="U180" s="280"/>
      <c r="V180" s="280"/>
    </row>
    <row r="181" spans="1:22" ht="15" hidden="1" x14ac:dyDescent="0.2">
      <c r="A181" s="644" t="str">
        <f t="shared" si="25"/>
        <v>Don't Show</v>
      </c>
      <c r="B181" s="644" t="s">
        <v>2592</v>
      </c>
      <c r="C181" s="969" t="str">
        <f>IFERROR(INDEX('LFA Expenditure_7B imp-exp'!A$62:A$108,MATCH('LFA Expenditure_7B'!B181,'LFA Expenditure_7B imp-exp'!N$62:N$108,0)),"")</f>
        <v/>
      </c>
      <c r="D181" s="1335" t="str">
        <f>IFERROR(INDEX('LFA Expenditure_7B imp-exp'!B$62:B$108,MATCH('LFA Expenditure_7B'!B181,'LFA Expenditure_7B imp-exp'!N$62:N$108,0)),"")</f>
        <v/>
      </c>
      <c r="E181" s="1326" t="str">
        <f>IFERROR(INDEX('LFA Expenditure_7B imp-exp'!C$62:C$108,MATCH('LFA Expenditure_7B'!B181,'LFA Expenditure_7B imp-exp'!N$62:N$108,0)),"")</f>
        <v/>
      </c>
      <c r="F181" s="1326">
        <f>'PR Expenditure_7A'!F182</f>
        <v>0</v>
      </c>
      <c r="G181" s="1327"/>
      <c r="H181" s="1326">
        <f t="shared" si="26"/>
        <v>0</v>
      </c>
      <c r="I181" s="1328" t="e">
        <f t="shared" si="27"/>
        <v>#VALUE!</v>
      </c>
      <c r="J181" s="1329"/>
      <c r="K181" s="1312"/>
      <c r="L181" s="1326" t="str">
        <f>IFERROR(INDEX('LFA Expenditure_7B imp-exp'!J$62:J$108,MATCH('LFA Expenditure_7B'!B181,'LFA Expenditure_7B imp-exp'!N$62:N$108,0)),"")</f>
        <v/>
      </c>
      <c r="M181" s="1327"/>
      <c r="N181" s="1326">
        <f t="shared" si="28"/>
        <v>0</v>
      </c>
      <c r="O181" s="1330" t="e">
        <f t="shared" si="29"/>
        <v>#VALUE!</v>
      </c>
      <c r="Q181" s="280"/>
      <c r="R181" s="280"/>
      <c r="S181" s="280"/>
      <c r="T181" s="280"/>
      <c r="U181" s="280"/>
      <c r="V181" s="280"/>
    </row>
    <row r="182" spans="1:22" ht="15" hidden="1" x14ac:dyDescent="0.2">
      <c r="A182" s="644" t="str">
        <f t="shared" si="25"/>
        <v>Don't Show</v>
      </c>
      <c r="B182" s="644" t="s">
        <v>2593</v>
      </c>
      <c r="C182" s="969" t="str">
        <f>IFERROR(INDEX('LFA Expenditure_7B imp-exp'!A$62:A$108,MATCH('LFA Expenditure_7B'!B182,'LFA Expenditure_7B imp-exp'!N$62:N$108,0)),"")</f>
        <v/>
      </c>
      <c r="D182" s="1335" t="str">
        <f>IFERROR(INDEX('LFA Expenditure_7B imp-exp'!B$62:B$108,MATCH('LFA Expenditure_7B'!B182,'LFA Expenditure_7B imp-exp'!N$62:N$108,0)),"")</f>
        <v/>
      </c>
      <c r="E182" s="1326" t="str">
        <f>IFERROR(INDEX('LFA Expenditure_7B imp-exp'!C$62:C$108,MATCH('LFA Expenditure_7B'!B182,'LFA Expenditure_7B imp-exp'!N$62:N$108,0)),"")</f>
        <v/>
      </c>
      <c r="F182" s="1326">
        <f>'PR Expenditure_7A'!F183</f>
        <v>0</v>
      </c>
      <c r="G182" s="1327"/>
      <c r="H182" s="1326">
        <f t="shared" si="26"/>
        <v>0</v>
      </c>
      <c r="I182" s="1328" t="e">
        <f t="shared" si="27"/>
        <v>#VALUE!</v>
      </c>
      <c r="J182" s="1329"/>
      <c r="K182" s="1312"/>
      <c r="L182" s="1326" t="str">
        <f>IFERROR(INDEX('LFA Expenditure_7B imp-exp'!J$62:J$108,MATCH('LFA Expenditure_7B'!B182,'LFA Expenditure_7B imp-exp'!N$62:N$108,0)),"")</f>
        <v/>
      </c>
      <c r="M182" s="1327"/>
      <c r="N182" s="1326">
        <f t="shared" si="28"/>
        <v>0</v>
      </c>
      <c r="O182" s="1330" t="e">
        <f t="shared" si="29"/>
        <v>#VALUE!</v>
      </c>
      <c r="Q182" s="280"/>
      <c r="R182" s="280"/>
      <c r="S182" s="280"/>
      <c r="T182" s="280"/>
      <c r="U182" s="280"/>
      <c r="V182" s="280"/>
    </row>
    <row r="183" spans="1:22" ht="15" x14ac:dyDescent="0.2">
      <c r="A183" s="644" t="s">
        <v>2337</v>
      </c>
      <c r="B183" s="644" t="s">
        <v>2923</v>
      </c>
      <c r="C183" s="970" t="str">
        <f>IF('PR Expenditure_7A'!C184="","",'PR Expenditure_7A'!C184)</f>
        <v/>
      </c>
      <c r="D183" s="1336" t="str">
        <f>IF('PR Expenditure_7A'!D184="","",'PR Expenditure_7A'!D184)</f>
        <v/>
      </c>
      <c r="E183" s="1326">
        <v>0</v>
      </c>
      <c r="F183" s="1326">
        <f>'PR Expenditure_7A'!F184</f>
        <v>0</v>
      </c>
      <c r="G183" s="1327"/>
      <c r="H183" s="1326">
        <f>IFERROR((E183)-(F183+G183),0)</f>
        <v>0</v>
      </c>
      <c r="I183" s="1328" t="str">
        <f>IF(AND((E183)=0,(F183+G183)=0),"N/A",IF(AND((E183)=0,(F183+G183)&lt;&gt;0),"Not Budgeted",(F183+G183)/(E183)))</f>
        <v>N/A</v>
      </c>
      <c r="J183" s="1329"/>
      <c r="K183" s="1312"/>
      <c r="L183" s="1326">
        <v>0</v>
      </c>
      <c r="M183" s="1327"/>
      <c r="N183" s="1326">
        <f>IFERROR(L183-M183,0)</f>
        <v>0</v>
      </c>
      <c r="O183" s="1330" t="str">
        <f>IF(AND(L183=0,M183=0),"N/A",IF(AND(L183=0,M183&lt;&gt;0),"Not Budgeted",M183/L183))</f>
        <v>N/A</v>
      </c>
      <c r="P183" s="759" t="str">
        <f>IFERROR(IF(VLOOKUP(C183,'Reference Records'!$B$13:$D$48,3,FALSE)=0,"",VLOOKUP(C183,'Reference Records'!$B$13:$D$48,3,FALSE)),"")</f>
        <v/>
      </c>
      <c r="Q183" s="280" t="str">
        <f>IFERROR(IF(VLOOKUP(C183,'Reference Records'!$B$13:$D$48,3,FALSE)=0,"",VLOOKUP(C183,'Reference Records'!$B$13:$D$48,3,FALSE)),"")</f>
        <v/>
      </c>
      <c r="R183" s="280"/>
      <c r="S183" s="280"/>
      <c r="T183" s="280"/>
      <c r="U183" s="280"/>
      <c r="V183" s="280"/>
    </row>
    <row r="184" spans="1:22" ht="15" x14ac:dyDescent="0.2">
      <c r="A184" s="644" t="s">
        <v>2337</v>
      </c>
      <c r="B184" s="644" t="s">
        <v>2924</v>
      </c>
      <c r="C184" s="970" t="str">
        <f>IF('PR Expenditure_7A'!C185="","",'PR Expenditure_7A'!C185)</f>
        <v/>
      </c>
      <c r="D184" s="1336" t="str">
        <f>IF('PR Expenditure_7A'!D185="","",'PR Expenditure_7A'!D185)</f>
        <v/>
      </c>
      <c r="E184" s="1326">
        <v>0</v>
      </c>
      <c r="F184" s="1326">
        <f>'PR Expenditure_7A'!F185</f>
        <v>0</v>
      </c>
      <c r="G184" s="1327"/>
      <c r="H184" s="1326">
        <f t="shared" ref="H184:H198" si="30">IFERROR((E184)-(F184+G184),0)</f>
        <v>0</v>
      </c>
      <c r="I184" s="1328" t="str">
        <f t="shared" ref="I184:I198" si="31">IF(AND((E184)=0,(F184+G184)=0),"N/A",IF(AND((E184)=0,(F184+G184)&lt;&gt;0),"Not Budgeted",(F184+G184)/(E184)))</f>
        <v>N/A</v>
      </c>
      <c r="J184" s="1329"/>
      <c r="K184" s="1312"/>
      <c r="L184" s="1326">
        <v>0</v>
      </c>
      <c r="M184" s="1327"/>
      <c r="N184" s="1326">
        <f t="shared" ref="N184:N198" si="32">IFERROR(L184-M184,0)</f>
        <v>0</v>
      </c>
      <c r="O184" s="1330" t="str">
        <f t="shared" ref="O184:O198" si="33">IF(AND(L184=0,M184=0),"N/A",IF(AND(L184=0,M184&lt;&gt;0),"Not Budgeted",M184/L184))</f>
        <v>N/A</v>
      </c>
      <c r="P184" s="759" t="str">
        <f>IFERROR(IF(VLOOKUP(C183,'Reference Records'!$B$13:$D$48,3,FALSE)=0,"",VLOOKUP(C183,'Reference Records'!$B$13:$D$48,3,FALSE)),"")</f>
        <v/>
      </c>
      <c r="Q184" s="280"/>
      <c r="R184" s="280"/>
      <c r="S184" s="280"/>
      <c r="T184" s="280"/>
      <c r="U184" s="280"/>
      <c r="V184" s="280"/>
    </row>
    <row r="185" spans="1:22" ht="15" x14ac:dyDescent="0.2">
      <c r="A185" s="644" t="s">
        <v>2337</v>
      </c>
      <c r="B185" s="644" t="s">
        <v>2925</v>
      </c>
      <c r="C185" s="970" t="str">
        <f>IF('PR Expenditure_7A'!C186="","",'PR Expenditure_7A'!C186)</f>
        <v/>
      </c>
      <c r="D185" s="1336" t="str">
        <f>IF('PR Expenditure_7A'!D186="","",'PR Expenditure_7A'!D186)</f>
        <v/>
      </c>
      <c r="E185" s="1326">
        <v>0</v>
      </c>
      <c r="F185" s="1326">
        <f>'PR Expenditure_7A'!F186</f>
        <v>0</v>
      </c>
      <c r="G185" s="1327"/>
      <c r="H185" s="1326">
        <f t="shared" si="30"/>
        <v>0</v>
      </c>
      <c r="I185" s="1328" t="str">
        <f t="shared" si="31"/>
        <v>N/A</v>
      </c>
      <c r="J185" s="1329"/>
      <c r="K185" s="1312"/>
      <c r="L185" s="1326">
        <v>0</v>
      </c>
      <c r="M185" s="1327"/>
      <c r="N185" s="1326">
        <f t="shared" si="32"/>
        <v>0</v>
      </c>
      <c r="O185" s="1330" t="str">
        <f t="shared" si="33"/>
        <v>N/A</v>
      </c>
      <c r="P185" s="759" t="str">
        <f>IFERROR(IF(VLOOKUP(C184,'Reference Records'!$B$13:$D$48,3,FALSE)=0,"",VLOOKUP(C184,'Reference Records'!$B$13:$D$48,3,FALSE)),"")</f>
        <v/>
      </c>
      <c r="Q185" s="280"/>
      <c r="R185" s="280"/>
      <c r="S185" s="280"/>
      <c r="T185" s="280"/>
      <c r="U185" s="280"/>
      <c r="V185" s="280"/>
    </row>
    <row r="186" spans="1:22" ht="15" x14ac:dyDescent="0.2">
      <c r="A186" s="644" t="s">
        <v>2337</v>
      </c>
      <c r="B186" s="644" t="s">
        <v>2926</v>
      </c>
      <c r="C186" s="970" t="str">
        <f>IF('PR Expenditure_7A'!C187="","",'PR Expenditure_7A'!C187)</f>
        <v/>
      </c>
      <c r="D186" s="1336" t="str">
        <f>IF('PR Expenditure_7A'!D187="","",'PR Expenditure_7A'!D187)</f>
        <v/>
      </c>
      <c r="E186" s="1326">
        <v>0</v>
      </c>
      <c r="F186" s="1326">
        <f>'PR Expenditure_7A'!F187</f>
        <v>0</v>
      </c>
      <c r="G186" s="1327"/>
      <c r="H186" s="1326">
        <f t="shared" si="30"/>
        <v>0</v>
      </c>
      <c r="I186" s="1328" t="str">
        <f t="shared" si="31"/>
        <v>N/A</v>
      </c>
      <c r="J186" s="1329"/>
      <c r="K186" s="1312"/>
      <c r="L186" s="1326">
        <v>0</v>
      </c>
      <c r="M186" s="1327"/>
      <c r="N186" s="1326">
        <f t="shared" si="32"/>
        <v>0</v>
      </c>
      <c r="O186" s="1330" t="str">
        <f t="shared" si="33"/>
        <v>N/A</v>
      </c>
      <c r="P186" s="759" t="str">
        <f>IFERROR(IF(VLOOKUP(C185,'Reference Records'!$B$13:$D$48,3,FALSE)=0,"",VLOOKUP(C185,'Reference Records'!$B$13:$D$48,3,FALSE)),"")</f>
        <v/>
      </c>
      <c r="Q186" s="280"/>
      <c r="R186" s="280"/>
      <c r="S186" s="280"/>
      <c r="T186" s="280"/>
      <c r="U186" s="280"/>
      <c r="V186" s="280"/>
    </row>
    <row r="187" spans="1:22" ht="15" x14ac:dyDescent="0.2">
      <c r="A187" s="644" t="s">
        <v>2337</v>
      </c>
      <c r="B187" s="644" t="s">
        <v>2927</v>
      </c>
      <c r="C187" s="970" t="str">
        <f>IF('PR Expenditure_7A'!C188="","",'PR Expenditure_7A'!C188)</f>
        <v/>
      </c>
      <c r="D187" s="1336" t="str">
        <f>IF('PR Expenditure_7A'!D188="","",'PR Expenditure_7A'!D188)</f>
        <v/>
      </c>
      <c r="E187" s="1326">
        <v>0</v>
      </c>
      <c r="F187" s="1326">
        <f>'PR Expenditure_7A'!F188</f>
        <v>0</v>
      </c>
      <c r="G187" s="1327"/>
      <c r="H187" s="1326">
        <f t="shared" si="30"/>
        <v>0</v>
      </c>
      <c r="I187" s="1328" t="str">
        <f t="shared" si="31"/>
        <v>N/A</v>
      </c>
      <c r="J187" s="1329"/>
      <c r="K187" s="1312"/>
      <c r="L187" s="1326">
        <v>0</v>
      </c>
      <c r="M187" s="1327"/>
      <c r="N187" s="1326">
        <f t="shared" si="32"/>
        <v>0</v>
      </c>
      <c r="O187" s="1330" t="str">
        <f t="shared" si="33"/>
        <v>N/A</v>
      </c>
      <c r="P187" s="759" t="str">
        <f>IFERROR(IF(VLOOKUP(C186,'Reference Records'!$B$13:$D$48,3,FALSE)=0,"",VLOOKUP(C186,'Reference Records'!$B$13:$D$48,3,FALSE)),"")</f>
        <v/>
      </c>
      <c r="Q187" s="280"/>
      <c r="R187" s="280"/>
      <c r="S187" s="280"/>
      <c r="T187" s="280"/>
      <c r="U187" s="280"/>
      <c r="V187" s="280"/>
    </row>
    <row r="188" spans="1:22" ht="15" x14ac:dyDescent="0.2">
      <c r="A188" s="644" t="s">
        <v>2337</v>
      </c>
      <c r="B188" s="644" t="s">
        <v>2928</v>
      </c>
      <c r="C188" s="970" t="str">
        <f>IF('PR Expenditure_7A'!C189="","",'PR Expenditure_7A'!C189)</f>
        <v/>
      </c>
      <c r="D188" s="1336" t="str">
        <f>IF('PR Expenditure_7A'!D189="","",'PR Expenditure_7A'!D189)</f>
        <v/>
      </c>
      <c r="E188" s="1326">
        <v>0</v>
      </c>
      <c r="F188" s="1326">
        <f>'PR Expenditure_7A'!F189</f>
        <v>0</v>
      </c>
      <c r="G188" s="1327"/>
      <c r="H188" s="1326">
        <f t="shared" si="30"/>
        <v>0</v>
      </c>
      <c r="I188" s="1328" t="str">
        <f t="shared" si="31"/>
        <v>N/A</v>
      </c>
      <c r="J188" s="1329"/>
      <c r="K188" s="1312"/>
      <c r="L188" s="1326">
        <v>0</v>
      </c>
      <c r="M188" s="1327"/>
      <c r="N188" s="1326">
        <f t="shared" si="32"/>
        <v>0</v>
      </c>
      <c r="O188" s="1330" t="str">
        <f t="shared" si="33"/>
        <v>N/A</v>
      </c>
      <c r="P188" s="759" t="str">
        <f>IFERROR(IF(VLOOKUP(C187,'Reference Records'!$B$13:$D$48,3,FALSE)=0,"",VLOOKUP(C187,'Reference Records'!$B$13:$D$48,3,FALSE)),"")</f>
        <v/>
      </c>
      <c r="Q188" s="280"/>
      <c r="R188" s="280"/>
      <c r="S188" s="280"/>
      <c r="T188" s="280"/>
      <c r="U188" s="280"/>
      <c r="V188" s="280"/>
    </row>
    <row r="189" spans="1:22" ht="15" x14ac:dyDescent="0.2">
      <c r="A189" s="644" t="s">
        <v>2337</v>
      </c>
      <c r="B189" s="644" t="s">
        <v>2929</v>
      </c>
      <c r="C189" s="970" t="str">
        <f>IF('PR Expenditure_7A'!C190="","",'PR Expenditure_7A'!C190)</f>
        <v/>
      </c>
      <c r="D189" s="1336" t="str">
        <f>IF('PR Expenditure_7A'!D190="","",'PR Expenditure_7A'!D190)</f>
        <v/>
      </c>
      <c r="E189" s="1326">
        <v>0</v>
      </c>
      <c r="F189" s="1326">
        <f>'PR Expenditure_7A'!F190</f>
        <v>0</v>
      </c>
      <c r="G189" s="1327"/>
      <c r="H189" s="1326">
        <f t="shared" si="30"/>
        <v>0</v>
      </c>
      <c r="I189" s="1328" t="str">
        <f t="shared" si="31"/>
        <v>N/A</v>
      </c>
      <c r="J189" s="1329"/>
      <c r="K189" s="1312"/>
      <c r="L189" s="1326">
        <v>0</v>
      </c>
      <c r="M189" s="1327"/>
      <c r="N189" s="1326">
        <f t="shared" si="32"/>
        <v>0</v>
      </c>
      <c r="O189" s="1330" t="str">
        <f t="shared" si="33"/>
        <v>N/A</v>
      </c>
      <c r="P189" s="759" t="str">
        <f>IFERROR(IF(VLOOKUP(C188,'Reference Records'!$B$13:$D$48,3,FALSE)=0,"",VLOOKUP(C188,'Reference Records'!$B$13:$D$48,3,FALSE)),"")</f>
        <v/>
      </c>
      <c r="Q189" s="280"/>
      <c r="R189" s="280"/>
      <c r="S189" s="280"/>
      <c r="T189" s="280"/>
      <c r="U189" s="280"/>
      <c r="V189" s="280"/>
    </row>
    <row r="190" spans="1:22" ht="15" x14ac:dyDescent="0.2">
      <c r="A190" s="644" t="s">
        <v>2337</v>
      </c>
      <c r="B190" s="644" t="s">
        <v>2930</v>
      </c>
      <c r="C190" s="970" t="str">
        <f>IF('PR Expenditure_7A'!C191="","",'PR Expenditure_7A'!C191)</f>
        <v/>
      </c>
      <c r="D190" s="1336" t="str">
        <f>IF('PR Expenditure_7A'!D191="","",'PR Expenditure_7A'!D191)</f>
        <v/>
      </c>
      <c r="E190" s="1326">
        <v>0</v>
      </c>
      <c r="F190" s="1326">
        <f>'PR Expenditure_7A'!F191</f>
        <v>0</v>
      </c>
      <c r="G190" s="1327"/>
      <c r="H190" s="1326">
        <f t="shared" si="30"/>
        <v>0</v>
      </c>
      <c r="I190" s="1328" t="str">
        <f t="shared" si="31"/>
        <v>N/A</v>
      </c>
      <c r="J190" s="1329"/>
      <c r="K190" s="1312"/>
      <c r="L190" s="1326">
        <v>0</v>
      </c>
      <c r="M190" s="1327"/>
      <c r="N190" s="1326">
        <f t="shared" si="32"/>
        <v>0</v>
      </c>
      <c r="O190" s="1330" t="str">
        <f t="shared" si="33"/>
        <v>N/A</v>
      </c>
      <c r="P190" s="759" t="str">
        <f>IFERROR(IF(VLOOKUP(C189,'Reference Records'!$B$13:$D$48,3,FALSE)=0,"",VLOOKUP(C189,'Reference Records'!$B$13:$D$48,3,FALSE)),"")</f>
        <v/>
      </c>
      <c r="Q190" s="280"/>
      <c r="R190" s="280"/>
      <c r="S190" s="280"/>
      <c r="T190" s="280"/>
      <c r="U190" s="280"/>
      <c r="V190" s="280"/>
    </row>
    <row r="191" spans="1:22" ht="15" x14ac:dyDescent="0.2">
      <c r="A191" s="644" t="s">
        <v>2337</v>
      </c>
      <c r="B191" s="644" t="s">
        <v>2931</v>
      </c>
      <c r="C191" s="970" t="str">
        <f>IF('PR Expenditure_7A'!C192="","",'PR Expenditure_7A'!C192)</f>
        <v/>
      </c>
      <c r="D191" s="1336" t="str">
        <f>IF('PR Expenditure_7A'!D192="","",'PR Expenditure_7A'!D192)</f>
        <v/>
      </c>
      <c r="E191" s="1326">
        <v>0</v>
      </c>
      <c r="F191" s="1326">
        <f>'PR Expenditure_7A'!F192</f>
        <v>0</v>
      </c>
      <c r="G191" s="1327"/>
      <c r="H191" s="1326">
        <f t="shared" si="30"/>
        <v>0</v>
      </c>
      <c r="I191" s="1328" t="str">
        <f t="shared" si="31"/>
        <v>N/A</v>
      </c>
      <c r="J191" s="1329"/>
      <c r="K191" s="1312"/>
      <c r="L191" s="1326">
        <v>0</v>
      </c>
      <c r="M191" s="1327"/>
      <c r="N191" s="1326">
        <f t="shared" si="32"/>
        <v>0</v>
      </c>
      <c r="O191" s="1330" t="str">
        <f t="shared" si="33"/>
        <v>N/A</v>
      </c>
      <c r="P191" s="759" t="str">
        <f>IFERROR(IF(VLOOKUP(C190,'Reference Records'!$B$13:$D$48,3,FALSE)=0,"",VLOOKUP(C190,'Reference Records'!$B$13:$D$48,3,FALSE)),"")</f>
        <v/>
      </c>
      <c r="Q191" s="280"/>
      <c r="R191" s="280"/>
      <c r="S191" s="280"/>
      <c r="T191" s="280"/>
      <c r="U191" s="280"/>
      <c r="V191" s="280"/>
    </row>
    <row r="192" spans="1:22" ht="15" x14ac:dyDescent="0.2">
      <c r="A192" s="644" t="s">
        <v>2337</v>
      </c>
      <c r="B192" s="644" t="s">
        <v>2932</v>
      </c>
      <c r="C192" s="970" t="str">
        <f>IF('PR Expenditure_7A'!C193="","",'PR Expenditure_7A'!C193)</f>
        <v/>
      </c>
      <c r="D192" s="1336" t="str">
        <f>IF('PR Expenditure_7A'!D193="","",'PR Expenditure_7A'!D193)</f>
        <v/>
      </c>
      <c r="E192" s="1326">
        <v>0</v>
      </c>
      <c r="F192" s="1326">
        <f>'PR Expenditure_7A'!F193</f>
        <v>0</v>
      </c>
      <c r="G192" s="1327"/>
      <c r="H192" s="1326">
        <f t="shared" si="30"/>
        <v>0</v>
      </c>
      <c r="I192" s="1328" t="str">
        <f t="shared" si="31"/>
        <v>N/A</v>
      </c>
      <c r="J192" s="1329"/>
      <c r="K192" s="1312"/>
      <c r="L192" s="1326">
        <v>0</v>
      </c>
      <c r="M192" s="1327"/>
      <c r="N192" s="1326">
        <f t="shared" si="32"/>
        <v>0</v>
      </c>
      <c r="O192" s="1330" t="str">
        <f t="shared" si="33"/>
        <v>N/A</v>
      </c>
      <c r="P192" s="759" t="str">
        <f>IFERROR(IF(VLOOKUP(C191,'Reference Records'!$B$13:$D$48,3,FALSE)=0,"",VLOOKUP(C191,'Reference Records'!$B$13:$D$48,3,FALSE)),"")</f>
        <v/>
      </c>
      <c r="Q192" s="280"/>
      <c r="R192" s="280"/>
      <c r="S192" s="280"/>
      <c r="T192" s="280"/>
      <c r="U192" s="280"/>
      <c r="V192" s="280"/>
    </row>
    <row r="193" spans="1:22" ht="15" x14ac:dyDescent="0.2">
      <c r="A193" s="644" t="s">
        <v>2337</v>
      </c>
      <c r="B193" s="644" t="s">
        <v>2933</v>
      </c>
      <c r="C193" s="970" t="str">
        <f>IF('PR Expenditure_7A'!C194="","",'PR Expenditure_7A'!C194)</f>
        <v/>
      </c>
      <c r="D193" s="1336" t="str">
        <f>IF('PR Expenditure_7A'!D194="","",'PR Expenditure_7A'!D194)</f>
        <v/>
      </c>
      <c r="E193" s="1326">
        <v>0</v>
      </c>
      <c r="F193" s="1326">
        <f>'PR Expenditure_7A'!F194</f>
        <v>0</v>
      </c>
      <c r="G193" s="1327"/>
      <c r="H193" s="1326">
        <f t="shared" si="30"/>
        <v>0</v>
      </c>
      <c r="I193" s="1328" t="str">
        <f t="shared" si="31"/>
        <v>N/A</v>
      </c>
      <c r="J193" s="1329"/>
      <c r="K193" s="1312"/>
      <c r="L193" s="1326">
        <v>0</v>
      </c>
      <c r="M193" s="1327"/>
      <c r="N193" s="1326">
        <f t="shared" si="32"/>
        <v>0</v>
      </c>
      <c r="O193" s="1330" t="str">
        <f t="shared" si="33"/>
        <v>N/A</v>
      </c>
      <c r="P193" s="759" t="str">
        <f>IFERROR(IF(VLOOKUP(C192,'Reference Records'!$B$13:$D$48,3,FALSE)=0,"",VLOOKUP(C192,'Reference Records'!$B$13:$D$48,3,FALSE)),"")</f>
        <v/>
      </c>
      <c r="Q193" s="280"/>
      <c r="R193" s="280"/>
      <c r="S193" s="280"/>
      <c r="T193" s="280"/>
      <c r="U193" s="280"/>
      <c r="V193" s="280"/>
    </row>
    <row r="194" spans="1:22" ht="15" x14ac:dyDescent="0.2">
      <c r="A194" s="644" t="s">
        <v>2337</v>
      </c>
      <c r="B194" s="644" t="s">
        <v>2934</v>
      </c>
      <c r="C194" s="970" t="str">
        <f>IF('PR Expenditure_7A'!C195="","",'PR Expenditure_7A'!C195)</f>
        <v/>
      </c>
      <c r="D194" s="1336" t="str">
        <f>IF('PR Expenditure_7A'!D195="","",'PR Expenditure_7A'!D195)</f>
        <v/>
      </c>
      <c r="E194" s="1326">
        <v>0</v>
      </c>
      <c r="F194" s="1326">
        <f>'PR Expenditure_7A'!F195</f>
        <v>0</v>
      </c>
      <c r="G194" s="1327"/>
      <c r="H194" s="1326">
        <f t="shared" si="30"/>
        <v>0</v>
      </c>
      <c r="I194" s="1328" t="str">
        <f t="shared" si="31"/>
        <v>N/A</v>
      </c>
      <c r="J194" s="1329"/>
      <c r="K194" s="1312"/>
      <c r="L194" s="1326">
        <v>0</v>
      </c>
      <c r="M194" s="1327"/>
      <c r="N194" s="1326">
        <f t="shared" si="32"/>
        <v>0</v>
      </c>
      <c r="O194" s="1330" t="str">
        <f t="shared" si="33"/>
        <v>N/A</v>
      </c>
      <c r="P194" s="759" t="str">
        <f>IFERROR(IF(VLOOKUP(C193,'Reference Records'!$B$13:$D$48,3,FALSE)=0,"",VLOOKUP(C193,'Reference Records'!$B$13:$D$48,3,FALSE)),"")</f>
        <v/>
      </c>
      <c r="Q194" s="280"/>
      <c r="R194" s="280"/>
      <c r="S194" s="280"/>
      <c r="T194" s="280"/>
      <c r="U194" s="280"/>
      <c r="V194" s="280"/>
    </row>
    <row r="195" spans="1:22" ht="15" x14ac:dyDescent="0.2">
      <c r="A195" s="644" t="s">
        <v>2337</v>
      </c>
      <c r="B195" s="644" t="s">
        <v>2935</v>
      </c>
      <c r="C195" s="970" t="str">
        <f>IF('PR Expenditure_7A'!C196="","",'PR Expenditure_7A'!C196)</f>
        <v/>
      </c>
      <c r="D195" s="1336" t="str">
        <f>IF('PR Expenditure_7A'!D196="","",'PR Expenditure_7A'!D196)</f>
        <v/>
      </c>
      <c r="E195" s="1326">
        <v>0</v>
      </c>
      <c r="F195" s="1326">
        <f>'PR Expenditure_7A'!F196</f>
        <v>0</v>
      </c>
      <c r="G195" s="1327"/>
      <c r="H195" s="1326">
        <f t="shared" si="30"/>
        <v>0</v>
      </c>
      <c r="I195" s="1328" t="str">
        <f t="shared" si="31"/>
        <v>N/A</v>
      </c>
      <c r="J195" s="1329"/>
      <c r="K195" s="1312"/>
      <c r="L195" s="1326">
        <v>0</v>
      </c>
      <c r="M195" s="1327"/>
      <c r="N195" s="1326">
        <f t="shared" si="32"/>
        <v>0</v>
      </c>
      <c r="O195" s="1330" t="str">
        <f t="shared" si="33"/>
        <v>N/A</v>
      </c>
      <c r="P195" s="759" t="str">
        <f>IFERROR(IF(VLOOKUP(C194,'Reference Records'!$B$13:$D$48,3,FALSE)=0,"",VLOOKUP(C194,'Reference Records'!$B$13:$D$48,3,FALSE)),"")</f>
        <v/>
      </c>
      <c r="Q195" s="280"/>
      <c r="R195" s="280"/>
      <c r="S195" s="280"/>
      <c r="T195" s="280"/>
      <c r="U195" s="280"/>
      <c r="V195" s="280"/>
    </row>
    <row r="196" spans="1:22" ht="15" x14ac:dyDescent="0.2">
      <c r="A196" s="644" t="s">
        <v>2337</v>
      </c>
      <c r="B196" s="644" t="s">
        <v>2936</v>
      </c>
      <c r="C196" s="970" t="str">
        <f>IF('PR Expenditure_7A'!C197="","",'PR Expenditure_7A'!C197)</f>
        <v/>
      </c>
      <c r="D196" s="1336" t="str">
        <f>IF('PR Expenditure_7A'!D197="","",'PR Expenditure_7A'!D197)</f>
        <v/>
      </c>
      <c r="E196" s="1326">
        <v>0</v>
      </c>
      <c r="F196" s="1326">
        <f>'PR Expenditure_7A'!F197</f>
        <v>0</v>
      </c>
      <c r="G196" s="1327"/>
      <c r="H196" s="1326">
        <f t="shared" si="30"/>
        <v>0</v>
      </c>
      <c r="I196" s="1328" t="str">
        <f t="shared" si="31"/>
        <v>N/A</v>
      </c>
      <c r="J196" s="1329"/>
      <c r="K196" s="1312"/>
      <c r="L196" s="1326">
        <v>0</v>
      </c>
      <c r="M196" s="1327"/>
      <c r="N196" s="1326">
        <f t="shared" si="32"/>
        <v>0</v>
      </c>
      <c r="O196" s="1330" t="str">
        <f t="shared" si="33"/>
        <v>N/A</v>
      </c>
      <c r="P196" s="759" t="str">
        <f>IFERROR(IF(VLOOKUP(C195,'Reference Records'!$B$13:$D$48,3,FALSE)=0,"",VLOOKUP(C195,'Reference Records'!$B$13:$D$48,3,FALSE)),"")</f>
        <v/>
      </c>
      <c r="Q196" s="280"/>
      <c r="R196" s="280"/>
      <c r="S196" s="280"/>
      <c r="T196" s="280"/>
      <c r="U196" s="280"/>
      <c r="V196" s="280"/>
    </row>
    <row r="197" spans="1:22" ht="15" x14ac:dyDescent="0.2">
      <c r="A197" s="644" t="s">
        <v>2337</v>
      </c>
      <c r="B197" s="644" t="s">
        <v>2937</v>
      </c>
      <c r="C197" s="970" t="str">
        <f>IF('PR Expenditure_7A'!C198="","",'PR Expenditure_7A'!C198)</f>
        <v/>
      </c>
      <c r="D197" s="1336" t="str">
        <f>IF('PR Expenditure_7A'!D198="","",'PR Expenditure_7A'!D198)</f>
        <v/>
      </c>
      <c r="E197" s="1326">
        <v>0</v>
      </c>
      <c r="F197" s="1326">
        <f>'PR Expenditure_7A'!F198</f>
        <v>0</v>
      </c>
      <c r="G197" s="1327"/>
      <c r="H197" s="1326">
        <f t="shared" si="30"/>
        <v>0</v>
      </c>
      <c r="I197" s="1328" t="str">
        <f t="shared" si="31"/>
        <v>N/A</v>
      </c>
      <c r="J197" s="1329"/>
      <c r="K197" s="1312"/>
      <c r="L197" s="1326">
        <v>0</v>
      </c>
      <c r="M197" s="1327"/>
      <c r="N197" s="1326">
        <f t="shared" si="32"/>
        <v>0</v>
      </c>
      <c r="O197" s="1330" t="str">
        <f t="shared" si="33"/>
        <v>N/A</v>
      </c>
      <c r="P197" s="759" t="str">
        <f>IFERROR(IF(VLOOKUP(C196,'Reference Records'!$B$13:$D$48,3,FALSE)=0,"",VLOOKUP(C196,'Reference Records'!$B$13:$D$48,3,FALSE)),"")</f>
        <v/>
      </c>
      <c r="Q197" s="280"/>
      <c r="R197" s="280"/>
      <c r="S197" s="280"/>
      <c r="T197" s="280"/>
      <c r="U197" s="280"/>
      <c r="V197" s="280"/>
    </row>
    <row r="198" spans="1:22" ht="15" hidden="1" x14ac:dyDescent="0.2">
      <c r="A198" s="644" t="s">
        <v>2609</v>
      </c>
      <c r="B198" s="644" t="s">
        <v>2938</v>
      </c>
      <c r="C198" s="970" t="str">
        <f>IF('PR Expenditure_7A'!C199="","",'PR Expenditure_7A'!C199)</f>
        <v/>
      </c>
      <c r="D198" s="1336" t="str">
        <f>IF('PR Expenditure_7A'!D199="","",'PR Expenditure_7A'!D199)</f>
        <v/>
      </c>
      <c r="E198" s="1326">
        <v>0</v>
      </c>
      <c r="F198" s="1326">
        <f>'PR Expenditure_7A'!F199</f>
        <v>0</v>
      </c>
      <c r="G198" s="1327"/>
      <c r="H198" s="1326">
        <f t="shared" si="30"/>
        <v>0</v>
      </c>
      <c r="I198" s="1328" t="str">
        <f t="shared" si="31"/>
        <v>N/A</v>
      </c>
      <c r="J198" s="1329"/>
      <c r="K198" s="1312"/>
      <c r="L198" s="1326">
        <v>0</v>
      </c>
      <c r="M198" s="1327"/>
      <c r="N198" s="1326">
        <f t="shared" si="32"/>
        <v>0</v>
      </c>
      <c r="O198" s="1330" t="str">
        <f t="shared" si="33"/>
        <v>N/A</v>
      </c>
      <c r="P198" s="759" t="str">
        <f>IFERROR(IF(VLOOKUP(C197,'Reference Records'!$B$13:$D$48,3,FALSE)=0,"",VLOOKUP(C197,'Reference Records'!$B$13:$D$48,3,FALSE)),"")</f>
        <v/>
      </c>
      <c r="Q198" s="280"/>
      <c r="R198" s="280"/>
      <c r="S198" s="280"/>
      <c r="T198" s="280"/>
      <c r="U198" s="280"/>
      <c r="V198" s="280"/>
    </row>
    <row r="199" spans="1:22" ht="23.25" customHeight="1" thickBot="1" x14ac:dyDescent="0.25">
      <c r="A199" s="644" t="s">
        <v>2337</v>
      </c>
      <c r="C199" s="1331" t="s">
        <v>2449</v>
      </c>
      <c r="D199" s="1337"/>
      <c r="E199" s="1332">
        <f>ROUND(SUM(E83:E198),2)</f>
        <v>11755487.67</v>
      </c>
      <c r="F199" s="1332">
        <f>ROUND(SUM(F83:F198),2)</f>
        <v>11276916.42</v>
      </c>
      <c r="G199" s="1332">
        <f>ROUND(SUM(G83:G198),2)</f>
        <v>0</v>
      </c>
      <c r="H199" s="1332">
        <f>ROUND(SUM(H83:H198),2)</f>
        <v>478571.25</v>
      </c>
      <c r="I199" s="1333">
        <f>(F199+G199)/E199</f>
        <v>0.95928954515248965</v>
      </c>
      <c r="J199" s="1333"/>
      <c r="K199" s="1325"/>
      <c r="L199" s="1332">
        <f>ROUND(SUM(L83:L198),2)</f>
        <v>20014677.120000001</v>
      </c>
      <c r="M199" s="1332">
        <f>ROUND(SUM(M83:M198),2)</f>
        <v>0</v>
      </c>
      <c r="N199" s="1332">
        <f>ROUND(SUM(N83:N198),2)</f>
        <v>20014677.120000001</v>
      </c>
      <c r="O199" s="1334">
        <f>M199/L199</f>
        <v>0</v>
      </c>
      <c r="Q199" s="280"/>
      <c r="R199" s="280"/>
      <c r="S199" s="280"/>
      <c r="T199" s="280"/>
      <c r="U199" s="280"/>
      <c r="V199" s="280"/>
    </row>
    <row r="200" spans="1:22" x14ac:dyDescent="0.2">
      <c r="A200" s="644" t="s">
        <v>2337</v>
      </c>
      <c r="Q200" s="280"/>
      <c r="R200" s="280"/>
      <c r="S200" s="280"/>
      <c r="T200" s="280"/>
      <c r="U200" s="280"/>
      <c r="V200" s="280"/>
    </row>
    <row r="201" spans="1:22" ht="15.75" thickBot="1" x14ac:dyDescent="0.25">
      <c r="A201" s="644" t="s">
        <v>2337</v>
      </c>
      <c r="C201" s="279" t="s">
        <v>2939</v>
      </c>
      <c r="D201" s="279"/>
      <c r="E201" s="313"/>
      <c r="F201" s="313"/>
      <c r="G201" s="313"/>
      <c r="H201" s="312"/>
      <c r="I201" s="278"/>
      <c r="J201" s="278"/>
      <c r="L201" s="278"/>
      <c r="M201" s="278"/>
      <c r="N201" s="278"/>
      <c r="O201" s="278"/>
      <c r="Q201" s="280"/>
      <c r="R201" s="280"/>
      <c r="S201" s="280"/>
      <c r="T201" s="280"/>
      <c r="U201" s="280"/>
    </row>
    <row r="202" spans="1:22" ht="15" customHeight="1" thickBot="1" x14ac:dyDescent="0.25">
      <c r="A202" s="644" t="s">
        <v>2337</v>
      </c>
      <c r="C202" s="311"/>
      <c r="D202" s="125"/>
      <c r="E202" s="125"/>
      <c r="F202" s="125"/>
      <c r="G202" s="125"/>
      <c r="H202" s="125"/>
      <c r="I202" s="125"/>
      <c r="J202" s="125"/>
      <c r="K202" s="125"/>
      <c r="L202" s="125"/>
      <c r="M202" s="125"/>
      <c r="N202" s="125"/>
      <c r="O202" s="125"/>
      <c r="Q202" s="280"/>
      <c r="R202" s="280"/>
      <c r="S202" s="280"/>
      <c r="T202" s="280"/>
      <c r="U202" s="280"/>
    </row>
    <row r="203" spans="1:22" s="232" customFormat="1" ht="60" x14ac:dyDescent="0.2">
      <c r="A203" s="644" t="s">
        <v>2337</v>
      </c>
      <c r="B203" s="676"/>
      <c r="C203" s="670" t="s">
        <v>2891</v>
      </c>
      <c r="D203" s="671" t="s">
        <v>2611</v>
      </c>
      <c r="E203" s="703" t="s">
        <v>1117</v>
      </c>
      <c r="F203" s="703" t="s">
        <v>2909</v>
      </c>
      <c r="G203" s="703" t="s">
        <v>2910</v>
      </c>
      <c r="H203" s="703" t="s">
        <v>1119</v>
      </c>
      <c r="I203" s="703" t="s">
        <v>2669</v>
      </c>
      <c r="J203" s="703" t="s">
        <v>2911</v>
      </c>
      <c r="K203" s="673"/>
      <c r="L203" s="703" t="s">
        <v>2671</v>
      </c>
      <c r="M203" s="703" t="s">
        <v>2672</v>
      </c>
      <c r="N203" s="703" t="s">
        <v>1124</v>
      </c>
      <c r="O203" s="704" t="s">
        <v>2669</v>
      </c>
      <c r="P203" s="760"/>
      <c r="Q203" s="418"/>
      <c r="R203" s="418"/>
      <c r="S203" s="418"/>
      <c r="T203" s="418"/>
      <c r="U203" s="418"/>
    </row>
    <row r="204" spans="1:22" ht="21.75" customHeight="1" x14ac:dyDescent="0.2">
      <c r="A204" s="644" t="str">
        <f>IF(C204&lt;&gt;"","Show","Don't Show")</f>
        <v>Show</v>
      </c>
      <c r="B204" s="644" t="s">
        <v>2612</v>
      </c>
      <c r="C204" s="969" t="str">
        <f>IFERROR(INDEX('LFA Expenditure_7B imp-exp'!A$127:A$132,MATCH('LFA Expenditure_7B'!B204,'LFA Expenditure_7B imp-exp'!N$127:N$132,0)),"")</f>
        <v>Red Cross Burundi</v>
      </c>
      <c r="D204" s="1338" t="str">
        <f>IFERROR(INDEX('LFA Expenditure_7B imp-exp'!B$127:B$132,MATCH('LFA Expenditure_7B'!B204,'LFA Expenditure_7B imp-exp'!N$127:N$132,0)),"")</f>
        <v>-</v>
      </c>
      <c r="E204" s="1326">
        <f>IFERROR(INDEX('LFA Expenditure_7B imp-exp'!C$127:C$132,MATCH('LFA Expenditure_7B'!B204,'LFA Expenditure_7B imp-exp'!N$127:N$132,0)),"")</f>
        <v>2078161.0190789199</v>
      </c>
      <c r="F204" s="1326">
        <f>'PR Expenditure_7A'!F205</f>
        <v>1826961.2794977755</v>
      </c>
      <c r="G204" s="1339"/>
      <c r="H204" s="1326">
        <f>IFERROR((E204)-(F204+G204),0)</f>
        <v>251199.73958114441</v>
      </c>
      <c r="I204" s="1328">
        <f>IF(AND((E204)=0,(F204+G204)=0),"N/A",IF(AND((E204)=0,(F204+G204)&lt;&gt;0),"Not Budgeted",(F204+G204)/(E204)))</f>
        <v>0.87912402490713604</v>
      </c>
      <c r="J204" s="1329"/>
      <c r="K204" s="1312"/>
      <c r="L204" s="1326">
        <f>IFERROR(INDEX('LFA Expenditure_7B imp-exp'!J$127:J$132,MATCH('LFA Expenditure_7B'!B204,'LFA Expenditure_7B imp-exp'!N$127:N$132,0)),"")</f>
        <v>4040600.2997711198</v>
      </c>
      <c r="M204" s="1339"/>
      <c r="N204" s="1326">
        <f>IFERROR(L204-M204,0)</f>
        <v>4040600.2997711198</v>
      </c>
      <c r="O204" s="1330">
        <f>IF(AND(L204=0,M204=0),"N/A",IF(AND(L204=0,M204&lt;&gt;0),"Not Budgeted",M204/L204))</f>
        <v>0</v>
      </c>
      <c r="Q204" s="280"/>
      <c r="R204" s="280"/>
      <c r="S204" s="280"/>
      <c r="T204" s="280"/>
      <c r="U204" s="280"/>
    </row>
    <row r="205" spans="1:22" ht="21.75" customHeight="1" x14ac:dyDescent="0.2">
      <c r="A205" s="644" t="str">
        <f t="shared" ref="A205:A253" si="34">IF(C205&lt;&gt;"","Show","Don't Show")</f>
        <v>Show</v>
      </c>
      <c r="B205" s="644" t="s">
        <v>2614</v>
      </c>
      <c r="C205" s="969" t="str">
        <f>IFERROR(INDEX('LFA Expenditure_7B imp-exp'!A$127:A$132,MATCH('LFA Expenditure_7B'!B205,'LFA Expenditure_7B imp-exp'!N$127:N$132,0)),"")</f>
        <v>PNILT</v>
      </c>
      <c r="D205" s="1338" t="str">
        <f>IFERROR(INDEX('LFA Expenditure_7B imp-exp'!B$127:B$132,MATCH('LFA Expenditure_7B'!B205,'LFA Expenditure_7B imp-exp'!N$127:N$132,0)),"")</f>
        <v>-</v>
      </c>
      <c r="E205" s="1326">
        <f>IFERROR(INDEX('LFA Expenditure_7B imp-exp'!C$127:C$132,MATCH('LFA Expenditure_7B'!B205,'LFA Expenditure_7B imp-exp'!N$127:N$132,0)),"")</f>
        <v>523850.94752477901</v>
      </c>
      <c r="F205" s="1326">
        <f>'PR Expenditure_7A'!F206</f>
        <v>573270.56536585395</v>
      </c>
      <c r="G205" s="1339"/>
      <c r="H205" s="1326">
        <f t="shared" ref="H205:H245" si="35">IFERROR((E205)-(F205+G205),0)</f>
        <v>-49419.617841074942</v>
      </c>
      <c r="I205" s="1328">
        <f t="shared" ref="I205:I245" si="36">IF(AND((E205)=0,(F205+G205)=0),"N/A",IF(AND((E205)=0,(F205+G205)&lt;&gt;0),"Not Budgeted",(F205+G205)/(E205)))</f>
        <v>1.0943390826619386</v>
      </c>
      <c r="J205" s="1329"/>
      <c r="K205" s="1312"/>
      <c r="L205" s="1326">
        <f>IFERROR(INDEX('LFA Expenditure_7B imp-exp'!J$127:J$132,MATCH('LFA Expenditure_7B'!B205,'LFA Expenditure_7B imp-exp'!N$127:N$132,0)),"")</f>
        <v>1225260.09197323</v>
      </c>
      <c r="M205" s="1339"/>
      <c r="N205" s="1326">
        <f t="shared" ref="N205:N253" si="37">IFERROR(L205-M205,0)</f>
        <v>1225260.09197323</v>
      </c>
      <c r="O205" s="1330">
        <f t="shared" ref="O205:O253" si="38">IF(AND(L205=0,M205=0),"N/A",IF(AND(L205=0,M205&lt;&gt;0),"Not Budgeted",M205/L205))</f>
        <v>0</v>
      </c>
      <c r="Q205" s="280"/>
      <c r="R205" s="280"/>
      <c r="S205" s="280"/>
      <c r="T205" s="280"/>
      <c r="U205" s="280"/>
    </row>
    <row r="206" spans="1:22" ht="21.75" customHeight="1" x14ac:dyDescent="0.2">
      <c r="A206" s="644" t="str">
        <f t="shared" si="34"/>
        <v>Show</v>
      </c>
      <c r="B206" s="644" t="s">
        <v>2616</v>
      </c>
      <c r="C206" s="969" t="str">
        <f>IFERROR(INDEX('LFA Expenditure_7B imp-exp'!A$127:A$132,MATCH('LFA Expenditure_7B'!B206,'LFA Expenditure_7B imp-exp'!N$127:N$132,0)),"")</f>
        <v>United Nations Development Programme</v>
      </c>
      <c r="D206" s="1338" t="str">
        <f>IFERROR(INDEX('LFA Expenditure_7B imp-exp'!B$127:B$132,MATCH('LFA Expenditure_7B'!B206,'LFA Expenditure_7B imp-exp'!N$127:N$132,0)),"")</f>
        <v>-</v>
      </c>
      <c r="E206" s="1326">
        <f>IFERROR(INDEX('LFA Expenditure_7B imp-exp'!C$127:C$132,MATCH('LFA Expenditure_7B'!B206,'LFA Expenditure_7B imp-exp'!N$127:N$132,0)),"")</f>
        <v>7663870.2379326597</v>
      </c>
      <c r="F206" s="1326">
        <f>'PR Expenditure_7A'!F207</f>
        <v>7614979.5492160507</v>
      </c>
      <c r="G206" s="1339"/>
      <c r="H206" s="1326">
        <f t="shared" si="35"/>
        <v>48890.688716609031</v>
      </c>
      <c r="I206" s="1328">
        <f t="shared" si="36"/>
        <v>0.99362062675922902</v>
      </c>
      <c r="J206" s="1329"/>
      <c r="K206" s="1312"/>
      <c r="L206" s="1326">
        <f>IFERROR(INDEX('LFA Expenditure_7B imp-exp'!J$127:J$132,MATCH('LFA Expenditure_7B'!B206,'LFA Expenditure_7B imp-exp'!N$127:N$132,0)),"")</f>
        <v>11578068.930232599</v>
      </c>
      <c r="M206" s="1339"/>
      <c r="N206" s="1326">
        <f t="shared" si="37"/>
        <v>11578068.930232599</v>
      </c>
      <c r="O206" s="1330">
        <f t="shared" si="38"/>
        <v>0</v>
      </c>
      <c r="Q206" s="280"/>
      <c r="R206" s="280"/>
      <c r="S206" s="280"/>
      <c r="T206" s="280"/>
      <c r="U206" s="280"/>
    </row>
    <row r="207" spans="1:22" ht="21.75" customHeight="1" x14ac:dyDescent="0.2">
      <c r="A207" s="644" t="str">
        <f t="shared" si="34"/>
        <v>Show</v>
      </c>
      <c r="B207" s="644" t="s">
        <v>2618</v>
      </c>
      <c r="C207" s="969" t="str">
        <f>IFERROR(INDEX('LFA Expenditure_7B imp-exp'!A$127:A$132,MATCH('LFA Expenditure_7B'!B207,'LFA Expenditure_7B imp-exp'!N$127:N$132,0)),"")</f>
        <v>PNLS /IST</v>
      </c>
      <c r="D207" s="1338" t="str">
        <f>IFERROR(INDEX('LFA Expenditure_7B imp-exp'!B$127:B$132,MATCH('LFA Expenditure_7B'!B207,'LFA Expenditure_7B imp-exp'!N$127:N$132,0)),"")</f>
        <v>-</v>
      </c>
      <c r="E207" s="1326">
        <f>IFERROR(INDEX('LFA Expenditure_7B imp-exp'!C$127:C$132,MATCH('LFA Expenditure_7B'!B207,'LFA Expenditure_7B imp-exp'!N$127:N$132,0)),"")</f>
        <v>1489605.46196596</v>
      </c>
      <c r="F207" s="1326">
        <f>'PR Expenditure_7A'!F208</f>
        <v>1261705.0225085274</v>
      </c>
      <c r="G207" s="1339"/>
      <c r="H207" s="1326">
        <f t="shared" si="35"/>
        <v>227900.4394574326</v>
      </c>
      <c r="I207" s="1328">
        <f t="shared" si="36"/>
        <v>0.84700617359669661</v>
      </c>
      <c r="J207" s="1329"/>
      <c r="K207" s="1312"/>
      <c r="L207" s="1326">
        <f>IFERROR(INDEX('LFA Expenditure_7B imp-exp'!J$127:J$132,MATCH('LFA Expenditure_7B'!B207,'LFA Expenditure_7B imp-exp'!N$127:N$132,0)),"")</f>
        <v>3170747.7941492898</v>
      </c>
      <c r="M207" s="1339"/>
      <c r="N207" s="1326">
        <f t="shared" si="37"/>
        <v>3170747.7941492898</v>
      </c>
      <c r="O207" s="1330">
        <f t="shared" si="38"/>
        <v>0</v>
      </c>
      <c r="Q207" s="280"/>
      <c r="R207" s="280"/>
      <c r="S207" s="280"/>
      <c r="T207" s="280"/>
      <c r="U207" s="280"/>
    </row>
    <row r="208" spans="1:22" ht="21.75" hidden="1" customHeight="1" x14ac:dyDescent="0.2">
      <c r="A208" s="644" t="str">
        <f t="shared" si="34"/>
        <v>Don't Show</v>
      </c>
      <c r="B208" s="644" t="s">
        <v>2620</v>
      </c>
      <c r="C208" s="969" t="str">
        <f>IFERROR(INDEX('LFA Expenditure_7B imp-exp'!A$127:A$132,MATCH('LFA Expenditure_7B'!B208,'LFA Expenditure_7B imp-exp'!N$127:N$132,0)),"")</f>
        <v/>
      </c>
      <c r="D208" s="1338" t="str">
        <f>IFERROR(INDEX('LFA Expenditure_7B imp-exp'!B$127:B$132,MATCH('LFA Expenditure_7B'!B208,'LFA Expenditure_7B imp-exp'!N$127:N$132,0)),"")</f>
        <v/>
      </c>
      <c r="E208" s="1326" t="str">
        <f>IFERROR(INDEX('LFA Expenditure_7B imp-exp'!C$127:C$132,MATCH('LFA Expenditure_7B'!B208,'LFA Expenditure_7B imp-exp'!N$127:N$132,0)),"")</f>
        <v/>
      </c>
      <c r="F208" s="1326">
        <f>'PR Expenditure_7A'!F209</f>
        <v>0</v>
      </c>
      <c r="G208" s="1339"/>
      <c r="H208" s="1326">
        <f t="shared" si="35"/>
        <v>0</v>
      </c>
      <c r="I208" s="1328" t="e">
        <f t="shared" si="36"/>
        <v>#VALUE!</v>
      </c>
      <c r="J208" s="1329"/>
      <c r="K208" s="1312"/>
      <c r="L208" s="1326" t="str">
        <f>IFERROR(INDEX('LFA Expenditure_7B imp-exp'!J$127:J$132,MATCH('LFA Expenditure_7B'!B208,'LFA Expenditure_7B imp-exp'!N$127:N$132,0)),"")</f>
        <v/>
      </c>
      <c r="M208" s="1339"/>
      <c r="N208" s="1326">
        <f t="shared" si="37"/>
        <v>0</v>
      </c>
      <c r="O208" s="1330" t="e">
        <f t="shared" si="38"/>
        <v>#VALUE!</v>
      </c>
      <c r="Q208" s="280"/>
      <c r="R208" s="280"/>
      <c r="S208" s="280"/>
      <c r="T208" s="280"/>
      <c r="U208" s="280"/>
    </row>
    <row r="209" spans="1:21" ht="21.75" hidden="1" customHeight="1" x14ac:dyDescent="0.2">
      <c r="A209" s="644" t="str">
        <f t="shared" si="34"/>
        <v>Don't Show</v>
      </c>
      <c r="B209" s="644" t="s">
        <v>2621</v>
      </c>
      <c r="C209" s="969" t="str">
        <f>IFERROR(INDEX('LFA Expenditure_7B imp-exp'!A$127:A$132,MATCH('LFA Expenditure_7B'!B209,'LFA Expenditure_7B imp-exp'!N$127:N$132,0)),"")</f>
        <v/>
      </c>
      <c r="D209" s="1338" t="str">
        <f>IFERROR(INDEX('LFA Expenditure_7B imp-exp'!B$127:B$132,MATCH('LFA Expenditure_7B'!B209,'LFA Expenditure_7B imp-exp'!N$127:N$132,0)),"")</f>
        <v/>
      </c>
      <c r="E209" s="1326" t="str">
        <f>IFERROR(INDEX('LFA Expenditure_7B imp-exp'!C$127:C$132,MATCH('LFA Expenditure_7B'!B209,'LFA Expenditure_7B imp-exp'!N$127:N$132,0)),"")</f>
        <v/>
      </c>
      <c r="F209" s="1326">
        <f>'PR Expenditure_7A'!F210</f>
        <v>0</v>
      </c>
      <c r="G209" s="1339"/>
      <c r="H209" s="1326">
        <f t="shared" si="35"/>
        <v>0</v>
      </c>
      <c r="I209" s="1328" t="e">
        <f t="shared" si="36"/>
        <v>#VALUE!</v>
      </c>
      <c r="J209" s="1329"/>
      <c r="K209" s="1312"/>
      <c r="L209" s="1326" t="str">
        <f>IFERROR(INDEX('LFA Expenditure_7B imp-exp'!J$127:J$132,MATCH('LFA Expenditure_7B'!B209,'LFA Expenditure_7B imp-exp'!N$127:N$132,0)),"")</f>
        <v/>
      </c>
      <c r="M209" s="1339"/>
      <c r="N209" s="1326">
        <f t="shared" si="37"/>
        <v>0</v>
      </c>
      <c r="O209" s="1330" t="e">
        <f t="shared" si="38"/>
        <v>#VALUE!</v>
      </c>
      <c r="Q209" s="280"/>
      <c r="R209" s="280"/>
      <c r="S209" s="280"/>
      <c r="T209" s="280"/>
      <c r="U209" s="280"/>
    </row>
    <row r="210" spans="1:21" ht="21.75" hidden="1" customHeight="1" x14ac:dyDescent="0.2">
      <c r="A210" s="644" t="str">
        <f t="shared" si="34"/>
        <v>Don't Show</v>
      </c>
      <c r="B210" s="644" t="s">
        <v>2622</v>
      </c>
      <c r="C210" s="969" t="str">
        <f>IFERROR(INDEX('LFA Expenditure_7B imp-exp'!A$127:A$132,MATCH('LFA Expenditure_7B'!B210,'LFA Expenditure_7B imp-exp'!N$127:N$132,0)),"")</f>
        <v/>
      </c>
      <c r="D210" s="1338" t="str">
        <f>IFERROR(INDEX('LFA Expenditure_7B imp-exp'!B$127:B$132,MATCH('LFA Expenditure_7B'!B210,'LFA Expenditure_7B imp-exp'!N$127:N$132,0)),"")</f>
        <v/>
      </c>
      <c r="E210" s="1326" t="str">
        <f>IFERROR(INDEX('LFA Expenditure_7B imp-exp'!C$127:C$132,MATCH('LFA Expenditure_7B'!B210,'LFA Expenditure_7B imp-exp'!N$127:N$132,0)),"")</f>
        <v/>
      </c>
      <c r="F210" s="1326">
        <f>'PR Expenditure_7A'!F211</f>
        <v>0</v>
      </c>
      <c r="G210" s="1339"/>
      <c r="H210" s="1326">
        <f t="shared" si="35"/>
        <v>0</v>
      </c>
      <c r="I210" s="1328" t="e">
        <f t="shared" si="36"/>
        <v>#VALUE!</v>
      </c>
      <c r="J210" s="1329"/>
      <c r="K210" s="1312"/>
      <c r="L210" s="1326" t="str">
        <f>IFERROR(INDEX('LFA Expenditure_7B imp-exp'!J$127:J$132,MATCH('LFA Expenditure_7B'!B210,'LFA Expenditure_7B imp-exp'!N$127:N$132,0)),"")</f>
        <v/>
      </c>
      <c r="M210" s="1339"/>
      <c r="N210" s="1326">
        <f t="shared" si="37"/>
        <v>0</v>
      </c>
      <c r="O210" s="1330" t="e">
        <f t="shared" si="38"/>
        <v>#VALUE!</v>
      </c>
      <c r="Q210" s="280"/>
      <c r="R210" s="280"/>
      <c r="S210" s="280"/>
      <c r="T210" s="280"/>
      <c r="U210" s="280"/>
    </row>
    <row r="211" spans="1:21" ht="21.75" hidden="1" customHeight="1" x14ac:dyDescent="0.2">
      <c r="A211" s="644" t="str">
        <f t="shared" si="34"/>
        <v>Don't Show</v>
      </c>
      <c r="B211" s="644" t="s">
        <v>2623</v>
      </c>
      <c r="C211" s="969" t="str">
        <f>IFERROR(INDEX('LFA Expenditure_7B imp-exp'!A$127:A$132,MATCH('LFA Expenditure_7B'!B211,'LFA Expenditure_7B imp-exp'!N$127:N$132,0)),"")</f>
        <v/>
      </c>
      <c r="D211" s="1338" t="str">
        <f>IFERROR(INDEX('LFA Expenditure_7B imp-exp'!B$127:B$132,MATCH('LFA Expenditure_7B'!B211,'LFA Expenditure_7B imp-exp'!N$127:N$132,0)),"")</f>
        <v/>
      </c>
      <c r="E211" s="1326" t="str">
        <f>IFERROR(INDEX('LFA Expenditure_7B imp-exp'!C$127:C$132,MATCH('LFA Expenditure_7B'!B211,'LFA Expenditure_7B imp-exp'!N$127:N$132,0)),"")</f>
        <v/>
      </c>
      <c r="F211" s="1326">
        <f>'PR Expenditure_7A'!F212</f>
        <v>0</v>
      </c>
      <c r="G211" s="1339"/>
      <c r="H211" s="1326">
        <f t="shared" si="35"/>
        <v>0</v>
      </c>
      <c r="I211" s="1328" t="e">
        <f t="shared" si="36"/>
        <v>#VALUE!</v>
      </c>
      <c r="J211" s="1329"/>
      <c r="K211" s="1312"/>
      <c r="L211" s="1326" t="str">
        <f>IFERROR(INDEX('LFA Expenditure_7B imp-exp'!J$127:J$132,MATCH('LFA Expenditure_7B'!B211,'LFA Expenditure_7B imp-exp'!N$127:N$132,0)),"")</f>
        <v/>
      </c>
      <c r="M211" s="1339"/>
      <c r="N211" s="1326">
        <f t="shared" si="37"/>
        <v>0</v>
      </c>
      <c r="O211" s="1330" t="e">
        <f t="shared" si="38"/>
        <v>#VALUE!</v>
      </c>
      <c r="Q211" s="280"/>
      <c r="R211" s="280"/>
      <c r="S211" s="280"/>
      <c r="T211" s="280"/>
      <c r="U211" s="280"/>
    </row>
    <row r="212" spans="1:21" ht="21.75" hidden="1" customHeight="1" x14ac:dyDescent="0.2">
      <c r="A212" s="644" t="str">
        <f t="shared" si="34"/>
        <v>Don't Show</v>
      </c>
      <c r="B212" s="644" t="s">
        <v>2624</v>
      </c>
      <c r="C212" s="969" t="str">
        <f>IFERROR(INDEX('LFA Expenditure_7B imp-exp'!A$127:A$132,MATCH('LFA Expenditure_7B'!B212,'LFA Expenditure_7B imp-exp'!N$127:N$132,0)),"")</f>
        <v/>
      </c>
      <c r="D212" s="1338" t="str">
        <f>IFERROR(INDEX('LFA Expenditure_7B imp-exp'!B$127:B$132,MATCH('LFA Expenditure_7B'!B212,'LFA Expenditure_7B imp-exp'!N$127:N$132,0)),"")</f>
        <v/>
      </c>
      <c r="E212" s="1326" t="str">
        <f>IFERROR(INDEX('LFA Expenditure_7B imp-exp'!C$127:C$132,MATCH('LFA Expenditure_7B'!B212,'LFA Expenditure_7B imp-exp'!N$127:N$132,0)),"")</f>
        <v/>
      </c>
      <c r="F212" s="1326">
        <f>'PR Expenditure_7A'!F213</f>
        <v>0</v>
      </c>
      <c r="G212" s="1339"/>
      <c r="H212" s="1326">
        <f t="shared" si="35"/>
        <v>0</v>
      </c>
      <c r="I212" s="1328" t="e">
        <f t="shared" si="36"/>
        <v>#VALUE!</v>
      </c>
      <c r="J212" s="1329"/>
      <c r="K212" s="1312"/>
      <c r="L212" s="1326" t="str">
        <f>IFERROR(INDEX('LFA Expenditure_7B imp-exp'!J$127:J$132,MATCH('LFA Expenditure_7B'!B212,'LFA Expenditure_7B imp-exp'!N$127:N$132,0)),"")</f>
        <v/>
      </c>
      <c r="M212" s="1339"/>
      <c r="N212" s="1326">
        <f t="shared" si="37"/>
        <v>0</v>
      </c>
      <c r="O212" s="1330" t="e">
        <f t="shared" si="38"/>
        <v>#VALUE!</v>
      </c>
      <c r="Q212" s="280"/>
      <c r="R212" s="280"/>
      <c r="S212" s="280"/>
      <c r="T212" s="280"/>
      <c r="U212" s="280"/>
    </row>
    <row r="213" spans="1:21" ht="21.75" hidden="1" customHeight="1" x14ac:dyDescent="0.2">
      <c r="A213" s="644" t="str">
        <f t="shared" si="34"/>
        <v>Don't Show</v>
      </c>
      <c r="B213" s="644" t="s">
        <v>2625</v>
      </c>
      <c r="C213" s="969" t="str">
        <f>IFERROR(INDEX('LFA Expenditure_7B imp-exp'!A$127:A$132,MATCH('LFA Expenditure_7B'!B213,'LFA Expenditure_7B imp-exp'!N$127:N$132,0)),"")</f>
        <v/>
      </c>
      <c r="D213" s="1338" t="str">
        <f>IFERROR(INDEX('LFA Expenditure_7B imp-exp'!B$127:B$132,MATCH('LFA Expenditure_7B'!B213,'LFA Expenditure_7B imp-exp'!N$127:N$132,0)),"")</f>
        <v/>
      </c>
      <c r="E213" s="1326" t="str">
        <f>IFERROR(INDEX('LFA Expenditure_7B imp-exp'!C$127:C$132,MATCH('LFA Expenditure_7B'!B213,'LFA Expenditure_7B imp-exp'!N$127:N$132,0)),"")</f>
        <v/>
      </c>
      <c r="F213" s="1326">
        <f>'PR Expenditure_7A'!F214</f>
        <v>0</v>
      </c>
      <c r="G213" s="1339"/>
      <c r="H213" s="1326">
        <f t="shared" si="35"/>
        <v>0</v>
      </c>
      <c r="I213" s="1328" t="e">
        <f t="shared" si="36"/>
        <v>#VALUE!</v>
      </c>
      <c r="J213" s="1329"/>
      <c r="K213" s="1312"/>
      <c r="L213" s="1326" t="str">
        <f>IFERROR(INDEX('LFA Expenditure_7B imp-exp'!J$127:J$132,MATCH('LFA Expenditure_7B'!B213,'LFA Expenditure_7B imp-exp'!N$127:N$132,0)),"")</f>
        <v/>
      </c>
      <c r="M213" s="1339"/>
      <c r="N213" s="1326">
        <f t="shared" si="37"/>
        <v>0</v>
      </c>
      <c r="O213" s="1330" t="e">
        <f t="shared" si="38"/>
        <v>#VALUE!</v>
      </c>
      <c r="Q213" s="280"/>
      <c r="R213" s="280"/>
      <c r="S213" s="280"/>
      <c r="T213" s="280"/>
      <c r="U213" s="280"/>
    </row>
    <row r="214" spans="1:21" ht="21.75" hidden="1" customHeight="1" x14ac:dyDescent="0.2">
      <c r="A214" s="644" t="str">
        <f t="shared" si="34"/>
        <v>Don't Show</v>
      </c>
      <c r="B214" s="644" t="s">
        <v>2626</v>
      </c>
      <c r="C214" s="969" t="str">
        <f>IFERROR(INDEX('LFA Expenditure_7B imp-exp'!A$127:A$132,MATCH('LFA Expenditure_7B'!B214,'LFA Expenditure_7B imp-exp'!N$127:N$132,0)),"")</f>
        <v/>
      </c>
      <c r="D214" s="1338" t="str">
        <f>IFERROR(INDEX('LFA Expenditure_7B imp-exp'!B$127:B$132,MATCH('LFA Expenditure_7B'!B214,'LFA Expenditure_7B imp-exp'!N$127:N$132,0)),"")</f>
        <v/>
      </c>
      <c r="E214" s="1326" t="str">
        <f>IFERROR(INDEX('LFA Expenditure_7B imp-exp'!C$127:C$132,MATCH('LFA Expenditure_7B'!B214,'LFA Expenditure_7B imp-exp'!N$127:N$132,0)),"")</f>
        <v/>
      </c>
      <c r="F214" s="1326">
        <f>'PR Expenditure_7A'!F215</f>
        <v>0</v>
      </c>
      <c r="G214" s="1339"/>
      <c r="H214" s="1326">
        <f t="shared" si="35"/>
        <v>0</v>
      </c>
      <c r="I214" s="1328" t="e">
        <f t="shared" si="36"/>
        <v>#VALUE!</v>
      </c>
      <c r="J214" s="1329"/>
      <c r="K214" s="1312"/>
      <c r="L214" s="1326" t="str">
        <f>IFERROR(INDEX('LFA Expenditure_7B imp-exp'!J$127:J$132,MATCH('LFA Expenditure_7B'!B214,'LFA Expenditure_7B imp-exp'!N$127:N$132,0)),"")</f>
        <v/>
      </c>
      <c r="M214" s="1339"/>
      <c r="N214" s="1326">
        <f t="shared" si="37"/>
        <v>0</v>
      </c>
      <c r="O214" s="1330" t="e">
        <f t="shared" si="38"/>
        <v>#VALUE!</v>
      </c>
      <c r="Q214" s="280"/>
      <c r="R214" s="280"/>
      <c r="S214" s="280"/>
      <c r="T214" s="280"/>
      <c r="U214" s="280"/>
    </row>
    <row r="215" spans="1:21" ht="21.75" hidden="1" customHeight="1" x14ac:dyDescent="0.2">
      <c r="A215" s="644" t="str">
        <f t="shared" si="34"/>
        <v>Don't Show</v>
      </c>
      <c r="B215" s="644" t="s">
        <v>2627</v>
      </c>
      <c r="C215" s="969" t="str">
        <f>IFERROR(INDEX('LFA Expenditure_7B imp-exp'!A$127:A$132,MATCH('LFA Expenditure_7B'!B215,'LFA Expenditure_7B imp-exp'!N$127:N$132,0)),"")</f>
        <v/>
      </c>
      <c r="D215" s="1338" t="str">
        <f>IFERROR(INDEX('LFA Expenditure_7B imp-exp'!B$127:B$132,MATCH('LFA Expenditure_7B'!B215,'LFA Expenditure_7B imp-exp'!N$127:N$132,0)),"")</f>
        <v/>
      </c>
      <c r="E215" s="1326" t="str">
        <f>IFERROR(INDEX('LFA Expenditure_7B imp-exp'!C$127:C$132,MATCH('LFA Expenditure_7B'!B215,'LFA Expenditure_7B imp-exp'!N$127:N$132,0)),"")</f>
        <v/>
      </c>
      <c r="F215" s="1326">
        <f>'PR Expenditure_7A'!F216</f>
        <v>0</v>
      </c>
      <c r="G215" s="1339"/>
      <c r="H215" s="1326">
        <f t="shared" si="35"/>
        <v>0</v>
      </c>
      <c r="I215" s="1328" t="e">
        <f t="shared" si="36"/>
        <v>#VALUE!</v>
      </c>
      <c r="J215" s="1329"/>
      <c r="K215" s="1312"/>
      <c r="L215" s="1326" t="str">
        <f>IFERROR(INDEX('LFA Expenditure_7B imp-exp'!J$127:J$132,MATCH('LFA Expenditure_7B'!B215,'LFA Expenditure_7B imp-exp'!N$127:N$132,0)),"")</f>
        <v/>
      </c>
      <c r="M215" s="1339"/>
      <c r="N215" s="1326">
        <f t="shared" si="37"/>
        <v>0</v>
      </c>
      <c r="O215" s="1330" t="e">
        <f t="shared" si="38"/>
        <v>#VALUE!</v>
      </c>
      <c r="Q215" s="280"/>
      <c r="R215" s="280"/>
      <c r="S215" s="280"/>
      <c r="T215" s="280"/>
      <c r="U215" s="280"/>
    </row>
    <row r="216" spans="1:21" ht="21.75" hidden="1" customHeight="1" x14ac:dyDescent="0.2">
      <c r="A216" s="644" t="str">
        <f t="shared" si="34"/>
        <v>Don't Show</v>
      </c>
      <c r="B216" s="644" t="s">
        <v>2628</v>
      </c>
      <c r="C216" s="969" t="str">
        <f>IFERROR(INDEX('LFA Expenditure_7B imp-exp'!A$127:A$132,MATCH('LFA Expenditure_7B'!B216,'LFA Expenditure_7B imp-exp'!N$127:N$132,0)),"")</f>
        <v/>
      </c>
      <c r="D216" s="1338" t="str">
        <f>IFERROR(INDEX('LFA Expenditure_7B imp-exp'!B$127:B$132,MATCH('LFA Expenditure_7B'!B216,'LFA Expenditure_7B imp-exp'!N$127:N$132,0)),"")</f>
        <v/>
      </c>
      <c r="E216" s="1326" t="str">
        <f>IFERROR(INDEX('LFA Expenditure_7B imp-exp'!C$127:C$132,MATCH('LFA Expenditure_7B'!B216,'LFA Expenditure_7B imp-exp'!N$127:N$132,0)),"")</f>
        <v/>
      </c>
      <c r="F216" s="1326">
        <f>'PR Expenditure_7A'!F217</f>
        <v>0</v>
      </c>
      <c r="G216" s="1339"/>
      <c r="H216" s="1326">
        <f t="shared" si="35"/>
        <v>0</v>
      </c>
      <c r="I216" s="1328" t="e">
        <f t="shared" si="36"/>
        <v>#VALUE!</v>
      </c>
      <c r="J216" s="1329"/>
      <c r="K216" s="1312"/>
      <c r="L216" s="1326" t="str">
        <f>IFERROR(INDEX('LFA Expenditure_7B imp-exp'!J$127:J$132,MATCH('LFA Expenditure_7B'!B216,'LFA Expenditure_7B imp-exp'!N$127:N$132,0)),"")</f>
        <v/>
      </c>
      <c r="M216" s="1339"/>
      <c r="N216" s="1326">
        <f t="shared" si="37"/>
        <v>0</v>
      </c>
      <c r="O216" s="1330" t="e">
        <f t="shared" si="38"/>
        <v>#VALUE!</v>
      </c>
      <c r="Q216" s="280"/>
      <c r="R216" s="280"/>
      <c r="S216" s="280"/>
      <c r="T216" s="280"/>
      <c r="U216" s="280"/>
    </row>
    <row r="217" spans="1:21" ht="21.75" hidden="1" customHeight="1" x14ac:dyDescent="0.2">
      <c r="A217" s="644" t="str">
        <f t="shared" si="34"/>
        <v>Don't Show</v>
      </c>
      <c r="B217" s="644" t="s">
        <v>2629</v>
      </c>
      <c r="C217" s="969" t="str">
        <f>IFERROR(INDEX('LFA Expenditure_7B imp-exp'!A$127:A$132,MATCH('LFA Expenditure_7B'!B217,'LFA Expenditure_7B imp-exp'!N$127:N$132,0)),"")</f>
        <v/>
      </c>
      <c r="D217" s="1338" t="str">
        <f>IFERROR(INDEX('LFA Expenditure_7B imp-exp'!B$127:B$132,MATCH('LFA Expenditure_7B'!B217,'LFA Expenditure_7B imp-exp'!N$127:N$132,0)),"")</f>
        <v/>
      </c>
      <c r="E217" s="1326" t="str">
        <f>IFERROR(INDEX('LFA Expenditure_7B imp-exp'!C$127:C$132,MATCH('LFA Expenditure_7B'!B217,'LFA Expenditure_7B imp-exp'!N$127:N$132,0)),"")</f>
        <v/>
      </c>
      <c r="F217" s="1326">
        <f>'PR Expenditure_7A'!F218</f>
        <v>0</v>
      </c>
      <c r="G217" s="1339"/>
      <c r="H217" s="1326">
        <f t="shared" si="35"/>
        <v>0</v>
      </c>
      <c r="I217" s="1328" t="e">
        <f t="shared" si="36"/>
        <v>#VALUE!</v>
      </c>
      <c r="J217" s="1329"/>
      <c r="K217" s="1312"/>
      <c r="L217" s="1326" t="str">
        <f>IFERROR(INDEX('LFA Expenditure_7B imp-exp'!J$127:J$132,MATCH('LFA Expenditure_7B'!B217,'LFA Expenditure_7B imp-exp'!N$127:N$132,0)),"")</f>
        <v/>
      </c>
      <c r="M217" s="1339"/>
      <c r="N217" s="1326">
        <f t="shared" si="37"/>
        <v>0</v>
      </c>
      <c r="O217" s="1330" t="e">
        <f t="shared" si="38"/>
        <v>#VALUE!</v>
      </c>
      <c r="Q217" s="280"/>
      <c r="R217" s="280"/>
      <c r="S217" s="280"/>
      <c r="T217" s="280"/>
      <c r="U217" s="280"/>
    </row>
    <row r="218" spans="1:21" ht="21.75" hidden="1" customHeight="1" x14ac:dyDescent="0.2">
      <c r="A218" s="644" t="str">
        <f t="shared" si="34"/>
        <v>Don't Show</v>
      </c>
      <c r="B218" s="644" t="s">
        <v>2630</v>
      </c>
      <c r="C218" s="969" t="str">
        <f>IFERROR(INDEX('LFA Expenditure_7B imp-exp'!A$127:A$132,MATCH('LFA Expenditure_7B'!B218,'LFA Expenditure_7B imp-exp'!N$127:N$132,0)),"")</f>
        <v/>
      </c>
      <c r="D218" s="1338" t="str">
        <f>IFERROR(INDEX('LFA Expenditure_7B imp-exp'!B$127:B$132,MATCH('LFA Expenditure_7B'!B218,'LFA Expenditure_7B imp-exp'!N$127:N$132,0)),"")</f>
        <v/>
      </c>
      <c r="E218" s="1326" t="str">
        <f>IFERROR(INDEX('LFA Expenditure_7B imp-exp'!C$127:C$132,MATCH('LFA Expenditure_7B'!B218,'LFA Expenditure_7B imp-exp'!N$127:N$132,0)),"")</f>
        <v/>
      </c>
      <c r="F218" s="1326">
        <f>'PR Expenditure_7A'!F219</f>
        <v>0</v>
      </c>
      <c r="G218" s="1339"/>
      <c r="H218" s="1326">
        <f t="shared" si="35"/>
        <v>0</v>
      </c>
      <c r="I218" s="1328" t="e">
        <f t="shared" si="36"/>
        <v>#VALUE!</v>
      </c>
      <c r="J218" s="1329"/>
      <c r="K218" s="1312"/>
      <c r="L218" s="1326" t="str">
        <f>IFERROR(INDEX('LFA Expenditure_7B imp-exp'!J$127:J$132,MATCH('LFA Expenditure_7B'!B218,'LFA Expenditure_7B imp-exp'!N$127:N$132,0)),"")</f>
        <v/>
      </c>
      <c r="M218" s="1339"/>
      <c r="N218" s="1326">
        <f t="shared" si="37"/>
        <v>0</v>
      </c>
      <c r="O218" s="1330" t="e">
        <f t="shared" si="38"/>
        <v>#VALUE!</v>
      </c>
      <c r="Q218" s="280"/>
      <c r="R218" s="280"/>
      <c r="S218" s="280"/>
      <c r="T218" s="280"/>
      <c r="U218" s="280"/>
    </row>
    <row r="219" spans="1:21" ht="21.75" hidden="1" customHeight="1" x14ac:dyDescent="0.2">
      <c r="A219" s="644" t="str">
        <f t="shared" si="34"/>
        <v>Don't Show</v>
      </c>
      <c r="B219" s="644" t="s">
        <v>2631</v>
      </c>
      <c r="C219" s="969" t="str">
        <f>IFERROR(INDEX('LFA Expenditure_7B imp-exp'!A$127:A$132,MATCH('LFA Expenditure_7B'!B219,'LFA Expenditure_7B imp-exp'!N$127:N$132,0)),"")</f>
        <v/>
      </c>
      <c r="D219" s="1338" t="str">
        <f>IFERROR(INDEX('LFA Expenditure_7B imp-exp'!B$127:B$132,MATCH('LFA Expenditure_7B'!B219,'LFA Expenditure_7B imp-exp'!N$127:N$132,0)),"")</f>
        <v/>
      </c>
      <c r="E219" s="1326" t="str">
        <f>IFERROR(INDEX('LFA Expenditure_7B imp-exp'!C$127:C$132,MATCH('LFA Expenditure_7B'!B219,'LFA Expenditure_7B imp-exp'!N$127:N$132,0)),"")</f>
        <v/>
      </c>
      <c r="F219" s="1326">
        <f>'PR Expenditure_7A'!F220</f>
        <v>0</v>
      </c>
      <c r="G219" s="1339"/>
      <c r="H219" s="1326">
        <f t="shared" si="35"/>
        <v>0</v>
      </c>
      <c r="I219" s="1328" t="e">
        <f t="shared" si="36"/>
        <v>#VALUE!</v>
      </c>
      <c r="J219" s="1329"/>
      <c r="K219" s="1312"/>
      <c r="L219" s="1326" t="str">
        <f>IFERROR(INDEX('LFA Expenditure_7B imp-exp'!J$127:J$132,MATCH('LFA Expenditure_7B'!B219,'LFA Expenditure_7B imp-exp'!N$127:N$132,0)),"")</f>
        <v/>
      </c>
      <c r="M219" s="1339"/>
      <c r="N219" s="1326">
        <f t="shared" si="37"/>
        <v>0</v>
      </c>
      <c r="O219" s="1330" t="e">
        <f t="shared" si="38"/>
        <v>#VALUE!</v>
      </c>
      <c r="Q219" s="280"/>
      <c r="R219" s="280"/>
      <c r="S219" s="280"/>
      <c r="T219" s="280"/>
      <c r="U219" s="280"/>
    </row>
    <row r="220" spans="1:21" ht="21.75" hidden="1" customHeight="1" x14ac:dyDescent="0.2">
      <c r="A220" s="644" t="str">
        <f t="shared" si="34"/>
        <v>Don't Show</v>
      </c>
      <c r="B220" s="644" t="s">
        <v>2632</v>
      </c>
      <c r="C220" s="969" t="str">
        <f>IFERROR(INDEX('LFA Expenditure_7B imp-exp'!A$127:A$132,MATCH('LFA Expenditure_7B'!B220,'LFA Expenditure_7B imp-exp'!N$127:N$132,0)),"")</f>
        <v/>
      </c>
      <c r="D220" s="1338" t="str">
        <f>IFERROR(INDEX('LFA Expenditure_7B imp-exp'!B$127:B$132,MATCH('LFA Expenditure_7B'!B220,'LFA Expenditure_7B imp-exp'!N$127:N$132,0)),"")</f>
        <v/>
      </c>
      <c r="E220" s="1326" t="str">
        <f>IFERROR(INDEX('LFA Expenditure_7B imp-exp'!C$127:C$132,MATCH('LFA Expenditure_7B'!B220,'LFA Expenditure_7B imp-exp'!N$127:N$132,0)),"")</f>
        <v/>
      </c>
      <c r="F220" s="1326">
        <f>'PR Expenditure_7A'!F221</f>
        <v>0</v>
      </c>
      <c r="G220" s="1339"/>
      <c r="H220" s="1326">
        <f t="shared" si="35"/>
        <v>0</v>
      </c>
      <c r="I220" s="1328" t="e">
        <f t="shared" si="36"/>
        <v>#VALUE!</v>
      </c>
      <c r="J220" s="1329"/>
      <c r="K220" s="1312"/>
      <c r="L220" s="1326" t="str">
        <f>IFERROR(INDEX('LFA Expenditure_7B imp-exp'!J$127:J$132,MATCH('LFA Expenditure_7B'!B220,'LFA Expenditure_7B imp-exp'!N$127:N$132,0)),"")</f>
        <v/>
      </c>
      <c r="M220" s="1339"/>
      <c r="N220" s="1326">
        <f t="shared" si="37"/>
        <v>0</v>
      </c>
      <c r="O220" s="1330" t="e">
        <f t="shared" si="38"/>
        <v>#VALUE!</v>
      </c>
      <c r="Q220" s="280"/>
      <c r="R220" s="280"/>
      <c r="S220" s="280"/>
      <c r="T220" s="280"/>
      <c r="U220" s="280"/>
    </row>
    <row r="221" spans="1:21" ht="21.75" hidden="1" customHeight="1" x14ac:dyDescent="0.2">
      <c r="A221" s="644" t="str">
        <f t="shared" si="34"/>
        <v>Don't Show</v>
      </c>
      <c r="B221" s="644" t="s">
        <v>2633</v>
      </c>
      <c r="C221" s="969" t="str">
        <f>IFERROR(INDEX('LFA Expenditure_7B imp-exp'!A$127:A$132,MATCH('LFA Expenditure_7B'!B221,'LFA Expenditure_7B imp-exp'!N$127:N$132,0)),"")</f>
        <v/>
      </c>
      <c r="D221" s="1338" t="str">
        <f>IFERROR(INDEX('LFA Expenditure_7B imp-exp'!B$127:B$132,MATCH('LFA Expenditure_7B'!B221,'LFA Expenditure_7B imp-exp'!N$127:N$132,0)),"")</f>
        <v/>
      </c>
      <c r="E221" s="1326" t="str">
        <f>IFERROR(INDEX('LFA Expenditure_7B imp-exp'!C$127:C$132,MATCH('LFA Expenditure_7B'!B221,'LFA Expenditure_7B imp-exp'!N$127:N$132,0)),"")</f>
        <v/>
      </c>
      <c r="F221" s="1326">
        <f>'PR Expenditure_7A'!F222</f>
        <v>0</v>
      </c>
      <c r="G221" s="1339"/>
      <c r="H221" s="1326">
        <f t="shared" si="35"/>
        <v>0</v>
      </c>
      <c r="I221" s="1328" t="e">
        <f t="shared" si="36"/>
        <v>#VALUE!</v>
      </c>
      <c r="J221" s="1329"/>
      <c r="K221" s="1312"/>
      <c r="L221" s="1326" t="str">
        <f>IFERROR(INDEX('LFA Expenditure_7B imp-exp'!J$127:J$132,MATCH('LFA Expenditure_7B'!B221,'LFA Expenditure_7B imp-exp'!N$127:N$132,0)),"")</f>
        <v/>
      </c>
      <c r="M221" s="1339"/>
      <c r="N221" s="1326">
        <f t="shared" si="37"/>
        <v>0</v>
      </c>
      <c r="O221" s="1330" t="e">
        <f t="shared" si="38"/>
        <v>#VALUE!</v>
      </c>
      <c r="Q221" s="280"/>
      <c r="R221" s="280"/>
      <c r="S221" s="280"/>
      <c r="T221" s="280"/>
      <c r="U221" s="280"/>
    </row>
    <row r="222" spans="1:21" ht="21.75" hidden="1" customHeight="1" x14ac:dyDescent="0.2">
      <c r="A222" s="644" t="str">
        <f t="shared" si="34"/>
        <v>Don't Show</v>
      </c>
      <c r="B222" s="644" t="s">
        <v>2634</v>
      </c>
      <c r="C222" s="969" t="str">
        <f>IFERROR(INDEX('LFA Expenditure_7B imp-exp'!A$127:A$132,MATCH('LFA Expenditure_7B'!B222,'LFA Expenditure_7B imp-exp'!N$127:N$132,0)),"")</f>
        <v/>
      </c>
      <c r="D222" s="1338" t="str">
        <f>IFERROR(INDEX('LFA Expenditure_7B imp-exp'!B$127:B$132,MATCH('LFA Expenditure_7B'!B222,'LFA Expenditure_7B imp-exp'!N$127:N$132,0)),"")</f>
        <v/>
      </c>
      <c r="E222" s="1326" t="str">
        <f>IFERROR(INDEX('LFA Expenditure_7B imp-exp'!C$127:C$132,MATCH('LFA Expenditure_7B'!B222,'LFA Expenditure_7B imp-exp'!N$127:N$132,0)),"")</f>
        <v/>
      </c>
      <c r="F222" s="1326">
        <f>'PR Expenditure_7A'!F223</f>
        <v>0</v>
      </c>
      <c r="G222" s="1339"/>
      <c r="H222" s="1326">
        <f t="shared" si="35"/>
        <v>0</v>
      </c>
      <c r="I222" s="1328" t="e">
        <f t="shared" si="36"/>
        <v>#VALUE!</v>
      </c>
      <c r="J222" s="1329"/>
      <c r="K222" s="1312"/>
      <c r="L222" s="1326" t="str">
        <f>IFERROR(INDEX('LFA Expenditure_7B imp-exp'!J$127:J$132,MATCH('LFA Expenditure_7B'!B222,'LFA Expenditure_7B imp-exp'!N$127:N$132,0)),"")</f>
        <v/>
      </c>
      <c r="M222" s="1339"/>
      <c r="N222" s="1326">
        <f t="shared" si="37"/>
        <v>0</v>
      </c>
      <c r="O222" s="1330" t="e">
        <f t="shared" si="38"/>
        <v>#VALUE!</v>
      </c>
      <c r="Q222" s="280"/>
      <c r="R222" s="280"/>
      <c r="S222" s="280"/>
      <c r="T222" s="280"/>
      <c r="U222" s="280"/>
    </row>
    <row r="223" spans="1:21" ht="21.75" hidden="1" customHeight="1" x14ac:dyDescent="0.2">
      <c r="A223" s="644" t="str">
        <f t="shared" si="34"/>
        <v>Don't Show</v>
      </c>
      <c r="B223" s="644" t="s">
        <v>2635</v>
      </c>
      <c r="C223" s="969" t="str">
        <f>IFERROR(INDEX('LFA Expenditure_7B imp-exp'!A$127:A$132,MATCH('LFA Expenditure_7B'!B223,'LFA Expenditure_7B imp-exp'!N$127:N$132,0)),"")</f>
        <v/>
      </c>
      <c r="D223" s="1338" t="str">
        <f>IFERROR(INDEX('LFA Expenditure_7B imp-exp'!B$127:B$132,MATCH('LFA Expenditure_7B'!B223,'LFA Expenditure_7B imp-exp'!N$127:N$132,0)),"")</f>
        <v/>
      </c>
      <c r="E223" s="1326" t="str">
        <f>IFERROR(INDEX('LFA Expenditure_7B imp-exp'!C$127:C$132,MATCH('LFA Expenditure_7B'!B223,'LFA Expenditure_7B imp-exp'!N$127:N$132,0)),"")</f>
        <v/>
      </c>
      <c r="F223" s="1326">
        <f>'PR Expenditure_7A'!F224</f>
        <v>0</v>
      </c>
      <c r="G223" s="1339"/>
      <c r="H223" s="1326">
        <f t="shared" si="35"/>
        <v>0</v>
      </c>
      <c r="I223" s="1328" t="e">
        <f t="shared" si="36"/>
        <v>#VALUE!</v>
      </c>
      <c r="J223" s="1329"/>
      <c r="K223" s="1312"/>
      <c r="L223" s="1326" t="str">
        <f>IFERROR(INDEX('LFA Expenditure_7B imp-exp'!J$127:J$132,MATCH('LFA Expenditure_7B'!B223,'LFA Expenditure_7B imp-exp'!N$127:N$132,0)),"")</f>
        <v/>
      </c>
      <c r="M223" s="1339"/>
      <c r="N223" s="1326">
        <f t="shared" si="37"/>
        <v>0</v>
      </c>
      <c r="O223" s="1330" t="e">
        <f t="shared" si="38"/>
        <v>#VALUE!</v>
      </c>
      <c r="Q223" s="280"/>
      <c r="R223" s="280"/>
      <c r="S223" s="280"/>
      <c r="T223" s="280"/>
      <c r="U223" s="280"/>
    </row>
    <row r="224" spans="1:21" ht="21.75" hidden="1" customHeight="1" x14ac:dyDescent="0.2">
      <c r="A224" s="644" t="str">
        <f t="shared" si="34"/>
        <v>Don't Show</v>
      </c>
      <c r="B224" s="644" t="s">
        <v>2636</v>
      </c>
      <c r="C224" s="969" t="str">
        <f>IFERROR(INDEX('LFA Expenditure_7B imp-exp'!A$127:A$132,MATCH('LFA Expenditure_7B'!B224,'LFA Expenditure_7B imp-exp'!N$127:N$132,0)),"")</f>
        <v/>
      </c>
      <c r="D224" s="1338" t="str">
        <f>IFERROR(INDEX('LFA Expenditure_7B imp-exp'!B$127:B$132,MATCH('LFA Expenditure_7B'!B224,'LFA Expenditure_7B imp-exp'!N$127:N$132,0)),"")</f>
        <v/>
      </c>
      <c r="E224" s="1326" t="str">
        <f>IFERROR(INDEX('LFA Expenditure_7B imp-exp'!C$127:C$132,MATCH('LFA Expenditure_7B'!B224,'LFA Expenditure_7B imp-exp'!N$127:N$132,0)),"")</f>
        <v/>
      </c>
      <c r="F224" s="1326">
        <f>'PR Expenditure_7A'!F225</f>
        <v>0</v>
      </c>
      <c r="G224" s="1339"/>
      <c r="H224" s="1326">
        <f t="shared" si="35"/>
        <v>0</v>
      </c>
      <c r="I224" s="1328" t="e">
        <f t="shared" si="36"/>
        <v>#VALUE!</v>
      </c>
      <c r="J224" s="1329"/>
      <c r="K224" s="1312"/>
      <c r="L224" s="1326" t="str">
        <f>IFERROR(INDEX('LFA Expenditure_7B imp-exp'!J$127:J$132,MATCH('LFA Expenditure_7B'!B224,'LFA Expenditure_7B imp-exp'!N$127:N$132,0)),"")</f>
        <v/>
      </c>
      <c r="M224" s="1339"/>
      <c r="N224" s="1326">
        <f t="shared" si="37"/>
        <v>0</v>
      </c>
      <c r="O224" s="1330" t="e">
        <f t="shared" si="38"/>
        <v>#VALUE!</v>
      </c>
      <c r="Q224" s="280"/>
      <c r="R224" s="280"/>
      <c r="S224" s="280"/>
      <c r="T224" s="280"/>
      <c r="U224" s="280"/>
    </row>
    <row r="225" spans="1:21" ht="21.75" hidden="1" customHeight="1" x14ac:dyDescent="0.2">
      <c r="A225" s="644" t="str">
        <f t="shared" si="34"/>
        <v>Don't Show</v>
      </c>
      <c r="B225" s="644" t="s">
        <v>2637</v>
      </c>
      <c r="C225" s="969" t="str">
        <f>IFERROR(INDEX('LFA Expenditure_7B imp-exp'!A$127:A$132,MATCH('LFA Expenditure_7B'!B225,'LFA Expenditure_7B imp-exp'!N$127:N$132,0)),"")</f>
        <v/>
      </c>
      <c r="D225" s="1338" t="str">
        <f>IFERROR(INDEX('LFA Expenditure_7B imp-exp'!B$127:B$132,MATCH('LFA Expenditure_7B'!B225,'LFA Expenditure_7B imp-exp'!N$127:N$132,0)),"")</f>
        <v/>
      </c>
      <c r="E225" s="1326" t="str">
        <f>IFERROR(INDEX('LFA Expenditure_7B imp-exp'!C$127:C$132,MATCH('LFA Expenditure_7B'!B225,'LFA Expenditure_7B imp-exp'!N$127:N$132,0)),"")</f>
        <v/>
      </c>
      <c r="F225" s="1326">
        <f>'PR Expenditure_7A'!F226</f>
        <v>0</v>
      </c>
      <c r="G225" s="1339"/>
      <c r="H225" s="1326">
        <f t="shared" si="35"/>
        <v>0</v>
      </c>
      <c r="I225" s="1328" t="e">
        <f t="shared" si="36"/>
        <v>#VALUE!</v>
      </c>
      <c r="J225" s="1329"/>
      <c r="K225" s="1312"/>
      <c r="L225" s="1326" t="str">
        <f>IFERROR(INDEX('LFA Expenditure_7B imp-exp'!J$127:J$132,MATCH('LFA Expenditure_7B'!B225,'LFA Expenditure_7B imp-exp'!N$127:N$132,0)),"")</f>
        <v/>
      </c>
      <c r="M225" s="1339"/>
      <c r="N225" s="1326">
        <f t="shared" si="37"/>
        <v>0</v>
      </c>
      <c r="O225" s="1330" t="e">
        <f t="shared" si="38"/>
        <v>#VALUE!</v>
      </c>
      <c r="Q225" s="280"/>
      <c r="R225" s="280"/>
      <c r="S225" s="280"/>
      <c r="T225" s="280"/>
      <c r="U225" s="280"/>
    </row>
    <row r="226" spans="1:21" ht="21.75" hidden="1" customHeight="1" x14ac:dyDescent="0.2">
      <c r="A226" s="644" t="str">
        <f t="shared" si="34"/>
        <v>Don't Show</v>
      </c>
      <c r="B226" s="644" t="s">
        <v>2638</v>
      </c>
      <c r="C226" s="969" t="str">
        <f>IFERROR(INDEX('LFA Expenditure_7B imp-exp'!A$127:A$132,MATCH('LFA Expenditure_7B'!B226,'LFA Expenditure_7B imp-exp'!N$127:N$132,0)),"")</f>
        <v/>
      </c>
      <c r="D226" s="1338" t="str">
        <f>IFERROR(INDEX('LFA Expenditure_7B imp-exp'!B$127:B$132,MATCH('LFA Expenditure_7B'!B226,'LFA Expenditure_7B imp-exp'!N$127:N$132,0)),"")</f>
        <v/>
      </c>
      <c r="E226" s="1326" t="str">
        <f>IFERROR(INDEX('LFA Expenditure_7B imp-exp'!C$127:C$132,MATCH('LFA Expenditure_7B'!B226,'LFA Expenditure_7B imp-exp'!N$127:N$132,0)),"")</f>
        <v/>
      </c>
      <c r="F226" s="1326">
        <f>'PR Expenditure_7A'!F227</f>
        <v>0</v>
      </c>
      <c r="G226" s="1339"/>
      <c r="H226" s="1326">
        <f t="shared" si="35"/>
        <v>0</v>
      </c>
      <c r="I226" s="1328" t="e">
        <f t="shared" si="36"/>
        <v>#VALUE!</v>
      </c>
      <c r="J226" s="1329"/>
      <c r="K226" s="1312"/>
      <c r="L226" s="1326" t="str">
        <f>IFERROR(INDEX('LFA Expenditure_7B imp-exp'!J$127:J$132,MATCH('LFA Expenditure_7B'!B226,'LFA Expenditure_7B imp-exp'!N$127:N$132,0)),"")</f>
        <v/>
      </c>
      <c r="M226" s="1339"/>
      <c r="N226" s="1326">
        <f t="shared" si="37"/>
        <v>0</v>
      </c>
      <c r="O226" s="1330" t="e">
        <f t="shared" si="38"/>
        <v>#VALUE!</v>
      </c>
      <c r="Q226" s="280"/>
      <c r="R226" s="280"/>
      <c r="S226" s="280"/>
      <c r="T226" s="280"/>
      <c r="U226" s="280"/>
    </row>
    <row r="227" spans="1:21" ht="21.75" hidden="1" customHeight="1" x14ac:dyDescent="0.2">
      <c r="A227" s="644" t="str">
        <f t="shared" si="34"/>
        <v>Don't Show</v>
      </c>
      <c r="B227" s="644" t="s">
        <v>2639</v>
      </c>
      <c r="C227" s="969" t="str">
        <f>IFERROR(INDEX('LFA Expenditure_7B imp-exp'!A$127:A$132,MATCH('LFA Expenditure_7B'!B227,'LFA Expenditure_7B imp-exp'!N$127:N$132,0)),"")</f>
        <v/>
      </c>
      <c r="D227" s="1338" t="str">
        <f>IFERROR(INDEX('LFA Expenditure_7B imp-exp'!B$127:B$132,MATCH('LFA Expenditure_7B'!B227,'LFA Expenditure_7B imp-exp'!N$127:N$132,0)),"")</f>
        <v/>
      </c>
      <c r="E227" s="1326" t="str">
        <f>IFERROR(INDEX('LFA Expenditure_7B imp-exp'!C$127:C$132,MATCH('LFA Expenditure_7B'!B227,'LFA Expenditure_7B imp-exp'!N$127:N$132,0)),"")</f>
        <v/>
      </c>
      <c r="F227" s="1326">
        <f>'PR Expenditure_7A'!F228</f>
        <v>0</v>
      </c>
      <c r="G227" s="1339"/>
      <c r="H227" s="1326">
        <f t="shared" si="35"/>
        <v>0</v>
      </c>
      <c r="I227" s="1328" t="e">
        <f t="shared" si="36"/>
        <v>#VALUE!</v>
      </c>
      <c r="J227" s="1329"/>
      <c r="K227" s="1312"/>
      <c r="L227" s="1326" t="str">
        <f>IFERROR(INDEX('LFA Expenditure_7B imp-exp'!J$127:J$132,MATCH('LFA Expenditure_7B'!B227,'LFA Expenditure_7B imp-exp'!N$127:N$132,0)),"")</f>
        <v/>
      </c>
      <c r="M227" s="1339"/>
      <c r="N227" s="1326">
        <f t="shared" si="37"/>
        <v>0</v>
      </c>
      <c r="O227" s="1330" t="e">
        <f t="shared" si="38"/>
        <v>#VALUE!</v>
      </c>
      <c r="Q227" s="280"/>
      <c r="R227" s="280"/>
      <c r="S227" s="280"/>
      <c r="T227" s="280"/>
      <c r="U227" s="280"/>
    </row>
    <row r="228" spans="1:21" ht="21.75" hidden="1" customHeight="1" x14ac:dyDescent="0.2">
      <c r="A228" s="644" t="str">
        <f t="shared" si="34"/>
        <v>Don't Show</v>
      </c>
      <c r="B228" s="644" t="s">
        <v>2640</v>
      </c>
      <c r="C228" s="969" t="str">
        <f>IFERROR(INDEX('LFA Expenditure_7B imp-exp'!A$127:A$132,MATCH('LFA Expenditure_7B'!B228,'LFA Expenditure_7B imp-exp'!N$127:N$132,0)),"")</f>
        <v/>
      </c>
      <c r="D228" s="1338" t="str">
        <f>IFERROR(INDEX('LFA Expenditure_7B imp-exp'!B$127:B$132,MATCH('LFA Expenditure_7B'!B228,'LFA Expenditure_7B imp-exp'!N$127:N$132,0)),"")</f>
        <v/>
      </c>
      <c r="E228" s="1326" t="str">
        <f>IFERROR(INDEX('LFA Expenditure_7B imp-exp'!C$127:C$132,MATCH('LFA Expenditure_7B'!B228,'LFA Expenditure_7B imp-exp'!N$127:N$132,0)),"")</f>
        <v/>
      </c>
      <c r="F228" s="1326">
        <f>'PR Expenditure_7A'!F229</f>
        <v>0</v>
      </c>
      <c r="G228" s="1339"/>
      <c r="H228" s="1326">
        <f t="shared" si="35"/>
        <v>0</v>
      </c>
      <c r="I228" s="1328" t="e">
        <f t="shared" si="36"/>
        <v>#VALUE!</v>
      </c>
      <c r="J228" s="1329"/>
      <c r="K228" s="1312"/>
      <c r="L228" s="1326" t="str">
        <f>IFERROR(INDEX('LFA Expenditure_7B imp-exp'!J$127:J$132,MATCH('LFA Expenditure_7B'!B228,'LFA Expenditure_7B imp-exp'!N$127:N$132,0)),"")</f>
        <v/>
      </c>
      <c r="M228" s="1339"/>
      <c r="N228" s="1326">
        <f t="shared" si="37"/>
        <v>0</v>
      </c>
      <c r="O228" s="1330" t="e">
        <f t="shared" si="38"/>
        <v>#VALUE!</v>
      </c>
      <c r="Q228" s="280"/>
      <c r="R228" s="280"/>
      <c r="S228" s="280"/>
      <c r="T228" s="280"/>
      <c r="U228" s="280"/>
    </row>
    <row r="229" spans="1:21" ht="21.75" hidden="1" customHeight="1" x14ac:dyDescent="0.2">
      <c r="A229" s="644" t="str">
        <f t="shared" si="34"/>
        <v>Don't Show</v>
      </c>
      <c r="B229" s="644" t="s">
        <v>2641</v>
      </c>
      <c r="C229" s="969" t="str">
        <f>IFERROR(INDEX('LFA Expenditure_7B imp-exp'!A$127:A$132,MATCH('LFA Expenditure_7B'!B229,'LFA Expenditure_7B imp-exp'!N$127:N$132,0)),"")</f>
        <v/>
      </c>
      <c r="D229" s="1338" t="str">
        <f>IFERROR(INDEX('LFA Expenditure_7B imp-exp'!B$127:B$132,MATCH('LFA Expenditure_7B'!B229,'LFA Expenditure_7B imp-exp'!N$127:N$132,0)),"")</f>
        <v/>
      </c>
      <c r="E229" s="1326" t="str">
        <f>IFERROR(INDEX('LFA Expenditure_7B imp-exp'!C$127:C$132,MATCH('LFA Expenditure_7B'!B229,'LFA Expenditure_7B imp-exp'!N$127:N$132,0)),"")</f>
        <v/>
      </c>
      <c r="F229" s="1326">
        <f>'PR Expenditure_7A'!F230</f>
        <v>0</v>
      </c>
      <c r="G229" s="1339"/>
      <c r="H229" s="1326">
        <f t="shared" si="35"/>
        <v>0</v>
      </c>
      <c r="I229" s="1328" t="e">
        <f t="shared" si="36"/>
        <v>#VALUE!</v>
      </c>
      <c r="J229" s="1329"/>
      <c r="K229" s="1312"/>
      <c r="L229" s="1326" t="str">
        <f>IFERROR(INDEX('LFA Expenditure_7B imp-exp'!J$127:J$132,MATCH('LFA Expenditure_7B'!B229,'LFA Expenditure_7B imp-exp'!N$127:N$132,0)),"")</f>
        <v/>
      </c>
      <c r="M229" s="1339"/>
      <c r="N229" s="1326">
        <f t="shared" si="37"/>
        <v>0</v>
      </c>
      <c r="O229" s="1330" t="e">
        <f t="shared" si="38"/>
        <v>#VALUE!</v>
      </c>
      <c r="Q229" s="280"/>
      <c r="R229" s="280"/>
      <c r="S229" s="280"/>
      <c r="T229" s="280"/>
      <c r="U229" s="280"/>
    </row>
    <row r="230" spans="1:21" ht="21.75" hidden="1" customHeight="1" x14ac:dyDescent="0.2">
      <c r="A230" s="644" t="str">
        <f t="shared" si="34"/>
        <v>Don't Show</v>
      </c>
      <c r="B230" s="644" t="s">
        <v>2642</v>
      </c>
      <c r="C230" s="969" t="str">
        <f>IFERROR(INDEX('LFA Expenditure_7B imp-exp'!A$127:A$132,MATCH('LFA Expenditure_7B'!B230,'LFA Expenditure_7B imp-exp'!N$127:N$132,0)),"")</f>
        <v/>
      </c>
      <c r="D230" s="1338" t="str">
        <f>IFERROR(INDEX('LFA Expenditure_7B imp-exp'!B$127:B$132,MATCH('LFA Expenditure_7B'!B230,'LFA Expenditure_7B imp-exp'!N$127:N$132,0)),"")</f>
        <v/>
      </c>
      <c r="E230" s="1326" t="str">
        <f>IFERROR(INDEX('LFA Expenditure_7B imp-exp'!C$127:C$132,MATCH('LFA Expenditure_7B'!B230,'LFA Expenditure_7B imp-exp'!N$127:N$132,0)),"")</f>
        <v/>
      </c>
      <c r="F230" s="1326">
        <f>'PR Expenditure_7A'!F231</f>
        <v>0</v>
      </c>
      <c r="G230" s="1339"/>
      <c r="H230" s="1326">
        <f t="shared" si="35"/>
        <v>0</v>
      </c>
      <c r="I230" s="1328" t="e">
        <f t="shared" si="36"/>
        <v>#VALUE!</v>
      </c>
      <c r="J230" s="1329"/>
      <c r="K230" s="1312"/>
      <c r="L230" s="1326" t="str">
        <f>IFERROR(INDEX('LFA Expenditure_7B imp-exp'!J$127:J$132,MATCH('LFA Expenditure_7B'!B230,'LFA Expenditure_7B imp-exp'!N$127:N$132,0)),"")</f>
        <v/>
      </c>
      <c r="M230" s="1339"/>
      <c r="N230" s="1326">
        <f t="shared" si="37"/>
        <v>0</v>
      </c>
      <c r="O230" s="1330" t="e">
        <f t="shared" si="38"/>
        <v>#VALUE!</v>
      </c>
      <c r="Q230" s="280"/>
      <c r="R230" s="280"/>
      <c r="S230" s="280"/>
      <c r="T230" s="280"/>
      <c r="U230" s="280"/>
    </row>
    <row r="231" spans="1:21" ht="21.75" hidden="1" customHeight="1" x14ac:dyDescent="0.2">
      <c r="A231" s="644" t="str">
        <f t="shared" si="34"/>
        <v>Don't Show</v>
      </c>
      <c r="B231" s="644" t="s">
        <v>2643</v>
      </c>
      <c r="C231" s="969" t="str">
        <f>IFERROR(INDEX('LFA Expenditure_7B imp-exp'!A$127:A$132,MATCH('LFA Expenditure_7B'!B231,'LFA Expenditure_7B imp-exp'!N$127:N$132,0)),"")</f>
        <v/>
      </c>
      <c r="D231" s="1338" t="str">
        <f>IFERROR(INDEX('LFA Expenditure_7B imp-exp'!B$127:B$132,MATCH('LFA Expenditure_7B'!B231,'LFA Expenditure_7B imp-exp'!N$127:N$132,0)),"")</f>
        <v/>
      </c>
      <c r="E231" s="1326" t="str">
        <f>IFERROR(INDEX('LFA Expenditure_7B imp-exp'!C$127:C$132,MATCH('LFA Expenditure_7B'!B231,'LFA Expenditure_7B imp-exp'!N$127:N$132,0)),"")</f>
        <v/>
      </c>
      <c r="F231" s="1326">
        <f>'PR Expenditure_7A'!F232</f>
        <v>0</v>
      </c>
      <c r="G231" s="1339"/>
      <c r="H231" s="1326">
        <f t="shared" si="35"/>
        <v>0</v>
      </c>
      <c r="I231" s="1328" t="e">
        <f t="shared" si="36"/>
        <v>#VALUE!</v>
      </c>
      <c r="J231" s="1329"/>
      <c r="K231" s="1312"/>
      <c r="L231" s="1326" t="str">
        <f>IFERROR(INDEX('LFA Expenditure_7B imp-exp'!J$127:J$132,MATCH('LFA Expenditure_7B'!B231,'LFA Expenditure_7B imp-exp'!N$127:N$132,0)),"")</f>
        <v/>
      </c>
      <c r="M231" s="1339"/>
      <c r="N231" s="1326">
        <f t="shared" si="37"/>
        <v>0</v>
      </c>
      <c r="O231" s="1330" t="e">
        <f t="shared" si="38"/>
        <v>#VALUE!</v>
      </c>
      <c r="Q231" s="280"/>
      <c r="R231" s="280"/>
      <c r="S231" s="280"/>
      <c r="T231" s="280"/>
      <c r="U231" s="280"/>
    </row>
    <row r="232" spans="1:21" ht="21.75" hidden="1" customHeight="1" x14ac:dyDescent="0.2">
      <c r="A232" s="644" t="str">
        <f t="shared" si="34"/>
        <v>Don't Show</v>
      </c>
      <c r="B232" s="644" t="s">
        <v>2644</v>
      </c>
      <c r="C232" s="969" t="str">
        <f>IFERROR(INDEX('LFA Expenditure_7B imp-exp'!A$127:A$132,MATCH('LFA Expenditure_7B'!B232,'LFA Expenditure_7B imp-exp'!N$127:N$132,0)),"")</f>
        <v/>
      </c>
      <c r="D232" s="1338" t="str">
        <f>IFERROR(INDEX('LFA Expenditure_7B imp-exp'!B$127:B$132,MATCH('LFA Expenditure_7B'!B232,'LFA Expenditure_7B imp-exp'!N$127:N$132,0)),"")</f>
        <v/>
      </c>
      <c r="E232" s="1326" t="str">
        <f>IFERROR(INDEX('LFA Expenditure_7B imp-exp'!C$127:C$132,MATCH('LFA Expenditure_7B'!B232,'LFA Expenditure_7B imp-exp'!N$127:N$132,0)),"")</f>
        <v/>
      </c>
      <c r="F232" s="1326">
        <f>'PR Expenditure_7A'!F233</f>
        <v>0</v>
      </c>
      <c r="G232" s="1339"/>
      <c r="H232" s="1326">
        <f t="shared" si="35"/>
        <v>0</v>
      </c>
      <c r="I232" s="1328" t="e">
        <f t="shared" si="36"/>
        <v>#VALUE!</v>
      </c>
      <c r="J232" s="1329"/>
      <c r="K232" s="1312"/>
      <c r="L232" s="1326" t="str">
        <f>IFERROR(INDEX('LFA Expenditure_7B imp-exp'!J$127:J$132,MATCH('LFA Expenditure_7B'!B232,'LFA Expenditure_7B imp-exp'!N$127:N$132,0)),"")</f>
        <v/>
      </c>
      <c r="M232" s="1339"/>
      <c r="N232" s="1326">
        <f t="shared" si="37"/>
        <v>0</v>
      </c>
      <c r="O232" s="1330" t="e">
        <f t="shared" si="38"/>
        <v>#VALUE!</v>
      </c>
      <c r="Q232" s="280"/>
      <c r="R232" s="280"/>
      <c r="S232" s="280"/>
      <c r="T232" s="280"/>
      <c r="U232" s="280"/>
    </row>
    <row r="233" spans="1:21" ht="21.75" hidden="1" customHeight="1" x14ac:dyDescent="0.2">
      <c r="A233" s="644" t="str">
        <f t="shared" si="34"/>
        <v>Don't Show</v>
      </c>
      <c r="B233" s="644" t="s">
        <v>2645</v>
      </c>
      <c r="C233" s="969" t="str">
        <f>IFERROR(INDEX('LFA Expenditure_7B imp-exp'!A$127:A$132,MATCH('LFA Expenditure_7B'!B233,'LFA Expenditure_7B imp-exp'!N$127:N$132,0)),"")</f>
        <v/>
      </c>
      <c r="D233" s="1338" t="str">
        <f>IFERROR(INDEX('LFA Expenditure_7B imp-exp'!B$127:B$132,MATCH('LFA Expenditure_7B'!B233,'LFA Expenditure_7B imp-exp'!N$127:N$132,0)),"")</f>
        <v/>
      </c>
      <c r="E233" s="1326" t="str">
        <f>IFERROR(INDEX('LFA Expenditure_7B imp-exp'!C$127:C$132,MATCH('LFA Expenditure_7B'!B233,'LFA Expenditure_7B imp-exp'!N$127:N$132,0)),"")</f>
        <v/>
      </c>
      <c r="F233" s="1326">
        <f>'PR Expenditure_7A'!F234</f>
        <v>0</v>
      </c>
      <c r="G233" s="1339"/>
      <c r="H233" s="1326">
        <f t="shared" si="35"/>
        <v>0</v>
      </c>
      <c r="I233" s="1328" t="e">
        <f t="shared" si="36"/>
        <v>#VALUE!</v>
      </c>
      <c r="J233" s="1329"/>
      <c r="K233" s="1312"/>
      <c r="L233" s="1326" t="str">
        <f>IFERROR(INDEX('LFA Expenditure_7B imp-exp'!J$127:J$132,MATCH('LFA Expenditure_7B'!B233,'LFA Expenditure_7B imp-exp'!N$127:N$132,0)),"")</f>
        <v/>
      </c>
      <c r="M233" s="1339"/>
      <c r="N233" s="1326">
        <f t="shared" si="37"/>
        <v>0</v>
      </c>
      <c r="O233" s="1330" t="e">
        <f t="shared" si="38"/>
        <v>#VALUE!</v>
      </c>
      <c r="Q233" s="280"/>
      <c r="R233" s="280"/>
      <c r="S233" s="280"/>
      <c r="T233" s="280"/>
      <c r="U233" s="280"/>
    </row>
    <row r="234" spans="1:21" ht="21.75" hidden="1" customHeight="1" x14ac:dyDescent="0.2">
      <c r="A234" s="644" t="str">
        <f t="shared" si="34"/>
        <v>Don't Show</v>
      </c>
      <c r="B234" s="644" t="s">
        <v>2646</v>
      </c>
      <c r="C234" s="969" t="str">
        <f>IFERROR(INDEX('LFA Expenditure_7B imp-exp'!A$127:A$132,MATCH('LFA Expenditure_7B'!B234,'LFA Expenditure_7B imp-exp'!N$127:N$132,0)),"")</f>
        <v/>
      </c>
      <c r="D234" s="1338" t="str">
        <f>IFERROR(INDEX('LFA Expenditure_7B imp-exp'!B$127:B$132,MATCH('LFA Expenditure_7B'!B234,'LFA Expenditure_7B imp-exp'!N$127:N$132,0)),"")</f>
        <v/>
      </c>
      <c r="E234" s="1326" t="str">
        <f>IFERROR(INDEX('LFA Expenditure_7B imp-exp'!C$127:C$132,MATCH('LFA Expenditure_7B'!B234,'LFA Expenditure_7B imp-exp'!N$127:N$132,0)),"")</f>
        <v/>
      </c>
      <c r="F234" s="1326">
        <f>'PR Expenditure_7A'!F235</f>
        <v>0</v>
      </c>
      <c r="G234" s="1339"/>
      <c r="H234" s="1326">
        <f t="shared" si="35"/>
        <v>0</v>
      </c>
      <c r="I234" s="1328" t="e">
        <f t="shared" si="36"/>
        <v>#VALUE!</v>
      </c>
      <c r="J234" s="1329"/>
      <c r="K234" s="1312"/>
      <c r="L234" s="1326" t="str">
        <f>IFERROR(INDEX('LFA Expenditure_7B imp-exp'!J$127:J$132,MATCH('LFA Expenditure_7B'!B234,'LFA Expenditure_7B imp-exp'!N$127:N$132,0)),"")</f>
        <v/>
      </c>
      <c r="M234" s="1339"/>
      <c r="N234" s="1326">
        <f t="shared" si="37"/>
        <v>0</v>
      </c>
      <c r="O234" s="1330" t="e">
        <f t="shared" si="38"/>
        <v>#VALUE!</v>
      </c>
      <c r="Q234" s="280"/>
      <c r="R234" s="280"/>
      <c r="S234" s="280"/>
      <c r="T234" s="280"/>
      <c r="U234" s="280"/>
    </row>
    <row r="235" spans="1:21" ht="21.75" hidden="1" customHeight="1" x14ac:dyDescent="0.2">
      <c r="A235" s="644" t="str">
        <f t="shared" si="34"/>
        <v>Don't Show</v>
      </c>
      <c r="B235" s="644" t="s">
        <v>2647</v>
      </c>
      <c r="C235" s="969" t="str">
        <f>IFERROR(INDEX('LFA Expenditure_7B imp-exp'!A$127:A$132,MATCH('LFA Expenditure_7B'!B235,'LFA Expenditure_7B imp-exp'!N$127:N$132,0)),"")</f>
        <v/>
      </c>
      <c r="D235" s="1338" t="str">
        <f>IFERROR(INDEX('LFA Expenditure_7B imp-exp'!B$127:B$132,MATCH('LFA Expenditure_7B'!B235,'LFA Expenditure_7B imp-exp'!N$127:N$132,0)),"")</f>
        <v/>
      </c>
      <c r="E235" s="1326" t="str">
        <f>IFERROR(INDEX('LFA Expenditure_7B imp-exp'!C$127:C$132,MATCH('LFA Expenditure_7B'!B235,'LFA Expenditure_7B imp-exp'!N$127:N$132,0)),"")</f>
        <v/>
      </c>
      <c r="F235" s="1326">
        <f>'PR Expenditure_7A'!F236</f>
        <v>0</v>
      </c>
      <c r="G235" s="1339"/>
      <c r="H235" s="1326">
        <f t="shared" si="35"/>
        <v>0</v>
      </c>
      <c r="I235" s="1328" t="e">
        <f t="shared" si="36"/>
        <v>#VALUE!</v>
      </c>
      <c r="J235" s="1329"/>
      <c r="K235" s="1312"/>
      <c r="L235" s="1326" t="str">
        <f>IFERROR(INDEX('LFA Expenditure_7B imp-exp'!J$127:J$132,MATCH('LFA Expenditure_7B'!B235,'LFA Expenditure_7B imp-exp'!N$127:N$132,0)),"")</f>
        <v/>
      </c>
      <c r="M235" s="1339"/>
      <c r="N235" s="1326">
        <f t="shared" si="37"/>
        <v>0</v>
      </c>
      <c r="O235" s="1330" t="e">
        <f t="shared" si="38"/>
        <v>#VALUE!</v>
      </c>
      <c r="Q235" s="280"/>
      <c r="R235" s="280"/>
      <c r="S235" s="280"/>
      <c r="T235" s="280"/>
      <c r="U235" s="280"/>
    </row>
    <row r="236" spans="1:21" ht="21.75" hidden="1" customHeight="1" x14ac:dyDescent="0.2">
      <c r="A236" s="644" t="str">
        <f t="shared" si="34"/>
        <v>Don't Show</v>
      </c>
      <c r="B236" s="644" t="s">
        <v>2648</v>
      </c>
      <c r="C236" s="969" t="str">
        <f>IFERROR(INDEX('LFA Expenditure_7B imp-exp'!A$127:A$132,MATCH('LFA Expenditure_7B'!B236,'LFA Expenditure_7B imp-exp'!N$127:N$132,0)),"")</f>
        <v/>
      </c>
      <c r="D236" s="1338" t="str">
        <f>IFERROR(INDEX('LFA Expenditure_7B imp-exp'!B$127:B$132,MATCH('LFA Expenditure_7B'!B236,'LFA Expenditure_7B imp-exp'!N$127:N$132,0)),"")</f>
        <v/>
      </c>
      <c r="E236" s="1326" t="str">
        <f>IFERROR(INDEX('LFA Expenditure_7B imp-exp'!C$127:C$132,MATCH('LFA Expenditure_7B'!B236,'LFA Expenditure_7B imp-exp'!N$127:N$132,0)),"")</f>
        <v/>
      </c>
      <c r="F236" s="1326">
        <f>'PR Expenditure_7A'!F237</f>
        <v>0</v>
      </c>
      <c r="G236" s="1339"/>
      <c r="H236" s="1326">
        <f t="shared" si="35"/>
        <v>0</v>
      </c>
      <c r="I236" s="1328" t="e">
        <f t="shared" si="36"/>
        <v>#VALUE!</v>
      </c>
      <c r="J236" s="1329"/>
      <c r="K236" s="1312"/>
      <c r="L236" s="1326" t="str">
        <f>IFERROR(INDEX('LFA Expenditure_7B imp-exp'!J$127:J$132,MATCH('LFA Expenditure_7B'!B236,'LFA Expenditure_7B imp-exp'!N$127:N$132,0)),"")</f>
        <v/>
      </c>
      <c r="M236" s="1339"/>
      <c r="N236" s="1326">
        <f t="shared" si="37"/>
        <v>0</v>
      </c>
      <c r="O236" s="1330" t="e">
        <f t="shared" si="38"/>
        <v>#VALUE!</v>
      </c>
      <c r="Q236" s="280"/>
      <c r="R236" s="280"/>
      <c r="S236" s="280"/>
      <c r="T236" s="280"/>
      <c r="U236" s="280"/>
    </row>
    <row r="237" spans="1:21" ht="21.75" hidden="1" customHeight="1" x14ac:dyDescent="0.2">
      <c r="A237" s="644" t="str">
        <f t="shared" si="34"/>
        <v>Don't Show</v>
      </c>
      <c r="B237" s="644" t="s">
        <v>2649</v>
      </c>
      <c r="C237" s="969" t="str">
        <f>IFERROR(INDEX('LFA Expenditure_7B imp-exp'!A$127:A$132,MATCH('LFA Expenditure_7B'!B237,'LFA Expenditure_7B imp-exp'!N$127:N$132,0)),"")</f>
        <v/>
      </c>
      <c r="D237" s="1338" t="str">
        <f>IFERROR(INDEX('LFA Expenditure_7B imp-exp'!B$127:B$132,MATCH('LFA Expenditure_7B'!B237,'LFA Expenditure_7B imp-exp'!N$127:N$132,0)),"")</f>
        <v/>
      </c>
      <c r="E237" s="1326" t="str">
        <f>IFERROR(INDEX('LFA Expenditure_7B imp-exp'!C$127:C$132,MATCH('LFA Expenditure_7B'!B237,'LFA Expenditure_7B imp-exp'!N$127:N$132,0)),"")</f>
        <v/>
      </c>
      <c r="F237" s="1326">
        <f>'PR Expenditure_7A'!F238</f>
        <v>0</v>
      </c>
      <c r="G237" s="1339"/>
      <c r="H237" s="1326">
        <f t="shared" si="35"/>
        <v>0</v>
      </c>
      <c r="I237" s="1328" t="e">
        <f t="shared" si="36"/>
        <v>#VALUE!</v>
      </c>
      <c r="J237" s="1329"/>
      <c r="K237" s="1312"/>
      <c r="L237" s="1326" t="str">
        <f>IFERROR(INDEX('LFA Expenditure_7B imp-exp'!J$127:J$132,MATCH('LFA Expenditure_7B'!B237,'LFA Expenditure_7B imp-exp'!N$127:N$132,0)),"")</f>
        <v/>
      </c>
      <c r="M237" s="1339"/>
      <c r="N237" s="1326">
        <f t="shared" si="37"/>
        <v>0</v>
      </c>
      <c r="O237" s="1330" t="e">
        <f t="shared" si="38"/>
        <v>#VALUE!</v>
      </c>
      <c r="Q237" s="280"/>
      <c r="R237" s="280"/>
      <c r="S237" s="280"/>
      <c r="T237" s="280"/>
      <c r="U237" s="280"/>
    </row>
    <row r="238" spans="1:21" ht="21.75" hidden="1" customHeight="1" x14ac:dyDescent="0.2">
      <c r="A238" s="644" t="str">
        <f t="shared" si="34"/>
        <v>Don't Show</v>
      </c>
      <c r="B238" s="644" t="s">
        <v>2650</v>
      </c>
      <c r="C238" s="969" t="str">
        <f>IFERROR(INDEX('LFA Expenditure_7B imp-exp'!A$127:A$132,MATCH('LFA Expenditure_7B'!B238,'LFA Expenditure_7B imp-exp'!N$127:N$132,0)),"")</f>
        <v/>
      </c>
      <c r="D238" s="1338" t="str">
        <f>IFERROR(INDEX('LFA Expenditure_7B imp-exp'!B$127:B$132,MATCH('LFA Expenditure_7B'!B238,'LFA Expenditure_7B imp-exp'!N$127:N$132,0)),"")</f>
        <v/>
      </c>
      <c r="E238" s="1326" t="str">
        <f>IFERROR(INDEX('LFA Expenditure_7B imp-exp'!C$127:C$132,MATCH('LFA Expenditure_7B'!B238,'LFA Expenditure_7B imp-exp'!N$127:N$132,0)),"")</f>
        <v/>
      </c>
      <c r="F238" s="1326">
        <f>'PR Expenditure_7A'!F239</f>
        <v>0</v>
      </c>
      <c r="G238" s="1339"/>
      <c r="H238" s="1326">
        <f t="shared" si="35"/>
        <v>0</v>
      </c>
      <c r="I238" s="1328" t="e">
        <f t="shared" si="36"/>
        <v>#VALUE!</v>
      </c>
      <c r="J238" s="1329"/>
      <c r="K238" s="1312"/>
      <c r="L238" s="1326" t="str">
        <f>IFERROR(INDEX('LFA Expenditure_7B imp-exp'!J$127:J$132,MATCH('LFA Expenditure_7B'!B238,'LFA Expenditure_7B imp-exp'!N$127:N$132,0)),"")</f>
        <v/>
      </c>
      <c r="M238" s="1339"/>
      <c r="N238" s="1326">
        <f t="shared" si="37"/>
        <v>0</v>
      </c>
      <c r="O238" s="1330" t="e">
        <f t="shared" si="38"/>
        <v>#VALUE!</v>
      </c>
      <c r="Q238" s="280"/>
      <c r="R238" s="280"/>
      <c r="S238" s="280"/>
      <c r="T238" s="280"/>
      <c r="U238" s="280"/>
    </row>
    <row r="239" spans="1:21" ht="21.75" hidden="1" customHeight="1" x14ac:dyDescent="0.2">
      <c r="A239" s="644" t="str">
        <f t="shared" si="34"/>
        <v>Don't Show</v>
      </c>
      <c r="B239" s="644" t="s">
        <v>2651</v>
      </c>
      <c r="C239" s="969" t="str">
        <f>IFERROR(INDEX('LFA Expenditure_7B imp-exp'!A$127:A$132,MATCH('LFA Expenditure_7B'!B239,'LFA Expenditure_7B imp-exp'!N$127:N$132,0)),"")</f>
        <v/>
      </c>
      <c r="D239" s="1338" t="str">
        <f>IFERROR(INDEX('LFA Expenditure_7B imp-exp'!B$127:B$132,MATCH('LFA Expenditure_7B'!B239,'LFA Expenditure_7B imp-exp'!N$127:N$132,0)),"")</f>
        <v/>
      </c>
      <c r="E239" s="1326" t="str">
        <f>IFERROR(INDEX('LFA Expenditure_7B imp-exp'!C$127:C$132,MATCH('LFA Expenditure_7B'!B239,'LFA Expenditure_7B imp-exp'!N$127:N$132,0)),"")</f>
        <v/>
      </c>
      <c r="F239" s="1326">
        <f>'PR Expenditure_7A'!F240</f>
        <v>0</v>
      </c>
      <c r="G239" s="1339"/>
      <c r="H239" s="1326">
        <f t="shared" si="35"/>
        <v>0</v>
      </c>
      <c r="I239" s="1328" t="e">
        <f t="shared" si="36"/>
        <v>#VALUE!</v>
      </c>
      <c r="J239" s="1329"/>
      <c r="K239" s="1312"/>
      <c r="L239" s="1326" t="str">
        <f>IFERROR(INDEX('LFA Expenditure_7B imp-exp'!J$127:J$132,MATCH('LFA Expenditure_7B'!B239,'LFA Expenditure_7B imp-exp'!N$127:N$132,0)),"")</f>
        <v/>
      </c>
      <c r="M239" s="1339"/>
      <c r="N239" s="1326">
        <f t="shared" si="37"/>
        <v>0</v>
      </c>
      <c r="O239" s="1330" t="e">
        <f t="shared" si="38"/>
        <v>#VALUE!</v>
      </c>
      <c r="Q239" s="280"/>
      <c r="R239" s="280"/>
      <c r="S239" s="280"/>
      <c r="T239" s="280"/>
      <c r="U239" s="280"/>
    </row>
    <row r="240" spans="1:21" ht="21.75" hidden="1" customHeight="1" x14ac:dyDescent="0.2">
      <c r="A240" s="644" t="str">
        <f t="shared" si="34"/>
        <v>Don't Show</v>
      </c>
      <c r="B240" s="644" t="s">
        <v>2652</v>
      </c>
      <c r="C240" s="969" t="str">
        <f>IFERROR(INDEX('LFA Expenditure_7B imp-exp'!A$127:A$132,MATCH('LFA Expenditure_7B'!B240,'LFA Expenditure_7B imp-exp'!N$127:N$132,0)),"")</f>
        <v/>
      </c>
      <c r="D240" s="1338" t="str">
        <f>IFERROR(INDEX('LFA Expenditure_7B imp-exp'!B$127:B$132,MATCH('LFA Expenditure_7B'!B240,'LFA Expenditure_7B imp-exp'!N$127:N$132,0)),"")</f>
        <v/>
      </c>
      <c r="E240" s="1326" t="str">
        <f>IFERROR(INDEX('LFA Expenditure_7B imp-exp'!C$127:C$132,MATCH('LFA Expenditure_7B'!B240,'LFA Expenditure_7B imp-exp'!N$127:N$132,0)),"")</f>
        <v/>
      </c>
      <c r="F240" s="1326">
        <f>'PR Expenditure_7A'!F241</f>
        <v>0</v>
      </c>
      <c r="G240" s="1339"/>
      <c r="H240" s="1326">
        <f t="shared" si="35"/>
        <v>0</v>
      </c>
      <c r="I240" s="1328" t="e">
        <f t="shared" si="36"/>
        <v>#VALUE!</v>
      </c>
      <c r="J240" s="1329"/>
      <c r="K240" s="1312"/>
      <c r="L240" s="1326" t="str">
        <f>IFERROR(INDEX('LFA Expenditure_7B imp-exp'!J$127:J$132,MATCH('LFA Expenditure_7B'!B240,'LFA Expenditure_7B imp-exp'!N$127:N$132,0)),"")</f>
        <v/>
      </c>
      <c r="M240" s="1339"/>
      <c r="N240" s="1326">
        <f t="shared" si="37"/>
        <v>0</v>
      </c>
      <c r="O240" s="1330" t="e">
        <f t="shared" si="38"/>
        <v>#VALUE!</v>
      </c>
      <c r="Q240" s="280"/>
      <c r="R240" s="280"/>
      <c r="S240" s="280"/>
      <c r="T240" s="280"/>
      <c r="U240" s="280"/>
    </row>
    <row r="241" spans="1:21" ht="21.75" hidden="1" customHeight="1" x14ac:dyDescent="0.2">
      <c r="A241" s="644" t="str">
        <f t="shared" si="34"/>
        <v>Don't Show</v>
      </c>
      <c r="B241" s="644" t="s">
        <v>2653</v>
      </c>
      <c r="C241" s="969" t="str">
        <f>IFERROR(INDEX('LFA Expenditure_7B imp-exp'!A$127:A$132,MATCH('LFA Expenditure_7B'!B241,'LFA Expenditure_7B imp-exp'!N$127:N$132,0)),"")</f>
        <v/>
      </c>
      <c r="D241" s="1338" t="str">
        <f>IFERROR(INDEX('LFA Expenditure_7B imp-exp'!B$127:B$132,MATCH('LFA Expenditure_7B'!B241,'LFA Expenditure_7B imp-exp'!N$127:N$132,0)),"")</f>
        <v/>
      </c>
      <c r="E241" s="1326" t="str">
        <f>IFERROR(INDEX('LFA Expenditure_7B imp-exp'!C$127:C$132,MATCH('LFA Expenditure_7B'!B241,'LFA Expenditure_7B imp-exp'!N$127:N$132,0)),"")</f>
        <v/>
      </c>
      <c r="F241" s="1326">
        <f>'PR Expenditure_7A'!F242</f>
        <v>0</v>
      </c>
      <c r="G241" s="1339"/>
      <c r="H241" s="1326">
        <f t="shared" si="35"/>
        <v>0</v>
      </c>
      <c r="I241" s="1328" t="e">
        <f t="shared" si="36"/>
        <v>#VALUE!</v>
      </c>
      <c r="J241" s="1329"/>
      <c r="K241" s="1312"/>
      <c r="L241" s="1326" t="str">
        <f>IFERROR(INDEX('LFA Expenditure_7B imp-exp'!J$127:J$132,MATCH('LFA Expenditure_7B'!B241,'LFA Expenditure_7B imp-exp'!N$127:N$132,0)),"")</f>
        <v/>
      </c>
      <c r="M241" s="1339"/>
      <c r="N241" s="1326">
        <f t="shared" si="37"/>
        <v>0</v>
      </c>
      <c r="O241" s="1330" t="e">
        <f t="shared" si="38"/>
        <v>#VALUE!</v>
      </c>
      <c r="Q241" s="280"/>
      <c r="R241" s="280"/>
      <c r="S241" s="280"/>
      <c r="T241" s="280"/>
      <c r="U241" s="280"/>
    </row>
    <row r="242" spans="1:21" ht="21.75" hidden="1" customHeight="1" x14ac:dyDescent="0.2">
      <c r="A242" s="644" t="str">
        <f t="shared" si="34"/>
        <v>Don't Show</v>
      </c>
      <c r="B242" s="644" t="s">
        <v>2654</v>
      </c>
      <c r="C242" s="969" t="str">
        <f>IFERROR(INDEX('LFA Expenditure_7B imp-exp'!A$127:A$132,MATCH('LFA Expenditure_7B'!B242,'LFA Expenditure_7B imp-exp'!N$127:N$132,0)),"")</f>
        <v/>
      </c>
      <c r="D242" s="1338" t="str">
        <f>IFERROR(INDEX('LFA Expenditure_7B imp-exp'!B$127:B$132,MATCH('LFA Expenditure_7B'!B242,'LFA Expenditure_7B imp-exp'!N$127:N$132,0)),"")</f>
        <v/>
      </c>
      <c r="E242" s="1326" t="str">
        <f>IFERROR(INDEX('LFA Expenditure_7B imp-exp'!C$127:C$132,MATCH('LFA Expenditure_7B'!B242,'LFA Expenditure_7B imp-exp'!N$127:N$132,0)),"")</f>
        <v/>
      </c>
      <c r="F242" s="1326">
        <f>'PR Expenditure_7A'!F243</f>
        <v>0</v>
      </c>
      <c r="G242" s="1339"/>
      <c r="H242" s="1326">
        <f t="shared" si="35"/>
        <v>0</v>
      </c>
      <c r="I242" s="1328" t="e">
        <f t="shared" si="36"/>
        <v>#VALUE!</v>
      </c>
      <c r="J242" s="1329"/>
      <c r="K242" s="1312"/>
      <c r="L242" s="1326" t="str">
        <f>IFERROR(INDEX('LFA Expenditure_7B imp-exp'!J$127:J$132,MATCH('LFA Expenditure_7B'!B242,'LFA Expenditure_7B imp-exp'!N$127:N$132,0)),"")</f>
        <v/>
      </c>
      <c r="M242" s="1339"/>
      <c r="N242" s="1326">
        <f t="shared" si="37"/>
        <v>0</v>
      </c>
      <c r="O242" s="1330" t="e">
        <f t="shared" si="38"/>
        <v>#VALUE!</v>
      </c>
      <c r="Q242" s="280"/>
      <c r="R242" s="280"/>
      <c r="S242" s="280"/>
      <c r="T242" s="280"/>
      <c r="U242" s="280"/>
    </row>
    <row r="243" spans="1:21" ht="21.75" hidden="1" customHeight="1" x14ac:dyDescent="0.2">
      <c r="A243" s="644" t="str">
        <f t="shared" si="34"/>
        <v>Don't Show</v>
      </c>
      <c r="B243" s="644" t="s">
        <v>2655</v>
      </c>
      <c r="C243" s="969" t="str">
        <f>IFERROR(INDEX('LFA Expenditure_7B imp-exp'!A$127:A$132,MATCH('LFA Expenditure_7B'!B243,'LFA Expenditure_7B imp-exp'!N$127:N$132,0)),"")</f>
        <v/>
      </c>
      <c r="D243" s="1338" t="str">
        <f>IFERROR(INDEX('LFA Expenditure_7B imp-exp'!B$127:B$132,MATCH('LFA Expenditure_7B'!B243,'LFA Expenditure_7B imp-exp'!N$127:N$132,0)),"")</f>
        <v/>
      </c>
      <c r="E243" s="1326" t="str">
        <f>IFERROR(INDEX('LFA Expenditure_7B imp-exp'!C$127:C$132,MATCH('LFA Expenditure_7B'!B243,'LFA Expenditure_7B imp-exp'!N$127:N$132,0)),"")</f>
        <v/>
      </c>
      <c r="F243" s="1326">
        <f>'PR Expenditure_7A'!F244</f>
        <v>0</v>
      </c>
      <c r="G243" s="1339"/>
      <c r="H243" s="1326">
        <f t="shared" si="35"/>
        <v>0</v>
      </c>
      <c r="I243" s="1328" t="e">
        <f t="shared" si="36"/>
        <v>#VALUE!</v>
      </c>
      <c r="J243" s="1329"/>
      <c r="K243" s="1312"/>
      <c r="L243" s="1326" t="str">
        <f>IFERROR(INDEX('LFA Expenditure_7B imp-exp'!J$127:J$132,MATCH('LFA Expenditure_7B'!B243,'LFA Expenditure_7B imp-exp'!N$127:N$132,0)),"")</f>
        <v/>
      </c>
      <c r="M243" s="1339"/>
      <c r="N243" s="1326">
        <f t="shared" si="37"/>
        <v>0</v>
      </c>
      <c r="O243" s="1330" t="e">
        <f t="shared" si="38"/>
        <v>#VALUE!</v>
      </c>
      <c r="Q243" s="280"/>
      <c r="R243" s="280"/>
      <c r="S243" s="280"/>
      <c r="T243" s="280"/>
      <c r="U243" s="280"/>
    </row>
    <row r="244" spans="1:21" ht="21.75" hidden="1" customHeight="1" x14ac:dyDescent="0.2">
      <c r="A244" s="644" t="str">
        <f t="shared" si="34"/>
        <v>Don't Show</v>
      </c>
      <c r="B244" s="644" t="s">
        <v>2656</v>
      </c>
      <c r="C244" s="969" t="str">
        <f>IFERROR(INDEX('LFA Expenditure_7B imp-exp'!A$127:A$132,MATCH('LFA Expenditure_7B'!B244,'LFA Expenditure_7B imp-exp'!N$127:N$132,0)),"")</f>
        <v/>
      </c>
      <c r="D244" s="1338" t="str">
        <f>IFERROR(INDEX('LFA Expenditure_7B imp-exp'!B$127:B$132,MATCH('LFA Expenditure_7B'!B244,'LFA Expenditure_7B imp-exp'!N$127:N$132,0)),"")</f>
        <v/>
      </c>
      <c r="E244" s="1326" t="str">
        <f>IFERROR(INDEX('LFA Expenditure_7B imp-exp'!C$127:C$132,MATCH('LFA Expenditure_7B'!B244,'LFA Expenditure_7B imp-exp'!N$127:N$132,0)),"")</f>
        <v/>
      </c>
      <c r="F244" s="1326">
        <f>'PR Expenditure_7A'!F245</f>
        <v>0</v>
      </c>
      <c r="G244" s="1339"/>
      <c r="H244" s="1326">
        <f t="shared" si="35"/>
        <v>0</v>
      </c>
      <c r="I244" s="1328" t="e">
        <f t="shared" si="36"/>
        <v>#VALUE!</v>
      </c>
      <c r="J244" s="1329"/>
      <c r="K244" s="1312"/>
      <c r="L244" s="1326" t="str">
        <f>IFERROR(INDEX('LFA Expenditure_7B imp-exp'!J$127:J$132,MATCH('LFA Expenditure_7B'!B244,'LFA Expenditure_7B imp-exp'!N$127:N$132,0)),"")</f>
        <v/>
      </c>
      <c r="M244" s="1339"/>
      <c r="N244" s="1326">
        <f t="shared" si="37"/>
        <v>0</v>
      </c>
      <c r="O244" s="1330" t="e">
        <f t="shared" si="38"/>
        <v>#VALUE!</v>
      </c>
      <c r="Q244" s="280"/>
      <c r="R244" s="280"/>
      <c r="S244" s="280"/>
      <c r="T244" s="280"/>
      <c r="U244" s="280"/>
    </row>
    <row r="245" spans="1:21" ht="21.75" hidden="1" customHeight="1" x14ac:dyDescent="0.2">
      <c r="A245" s="644" t="str">
        <f t="shared" si="34"/>
        <v>Don't Show</v>
      </c>
      <c r="B245" s="644" t="s">
        <v>2657</v>
      </c>
      <c r="C245" s="969" t="str">
        <f>IFERROR(INDEX('LFA Expenditure_7B imp-exp'!A$127:A$132,MATCH('LFA Expenditure_7B'!B245,'LFA Expenditure_7B imp-exp'!N$127:N$132,0)),"")</f>
        <v/>
      </c>
      <c r="D245" s="1338" t="str">
        <f>IFERROR(INDEX('LFA Expenditure_7B imp-exp'!B$127:B$132,MATCH('LFA Expenditure_7B'!B245,'LFA Expenditure_7B imp-exp'!N$127:N$132,0)),"")</f>
        <v/>
      </c>
      <c r="E245" s="1326" t="str">
        <f>IFERROR(INDEX('LFA Expenditure_7B imp-exp'!C$127:C$132,MATCH('LFA Expenditure_7B'!B245,'LFA Expenditure_7B imp-exp'!N$127:N$132,0)),"")</f>
        <v/>
      </c>
      <c r="F245" s="1326">
        <f>'PR Expenditure_7A'!F246</f>
        <v>0</v>
      </c>
      <c r="G245" s="1339"/>
      <c r="H245" s="1326">
        <f t="shared" si="35"/>
        <v>0</v>
      </c>
      <c r="I245" s="1328" t="e">
        <f t="shared" si="36"/>
        <v>#VALUE!</v>
      </c>
      <c r="J245" s="1329"/>
      <c r="K245" s="1312"/>
      <c r="L245" s="1326" t="str">
        <f>IFERROR(INDEX('LFA Expenditure_7B imp-exp'!J$127:J$132,MATCH('LFA Expenditure_7B'!B245,'LFA Expenditure_7B imp-exp'!N$127:N$132,0)),"")</f>
        <v/>
      </c>
      <c r="M245" s="1339"/>
      <c r="N245" s="1326">
        <f t="shared" si="37"/>
        <v>0</v>
      </c>
      <c r="O245" s="1330" t="e">
        <f t="shared" si="38"/>
        <v>#VALUE!</v>
      </c>
      <c r="Q245" s="280"/>
      <c r="R245" s="280"/>
      <c r="S245" s="280"/>
      <c r="T245" s="280"/>
      <c r="U245" s="280"/>
    </row>
    <row r="246" spans="1:21" ht="21.75" hidden="1" customHeight="1" x14ac:dyDescent="0.2">
      <c r="A246" s="644" t="str">
        <f t="shared" si="34"/>
        <v>Don't Show</v>
      </c>
      <c r="B246" s="644" t="s">
        <v>2658</v>
      </c>
      <c r="C246" s="969" t="str">
        <f>IFERROR(INDEX('LFA Expenditure_7B imp-exp'!A$127:A$132,MATCH('LFA Expenditure_7B'!B246,'LFA Expenditure_7B imp-exp'!N$127:N$132,0)),"")</f>
        <v/>
      </c>
      <c r="D246" s="1338" t="str">
        <f>IFERROR(INDEX('LFA Expenditure_7B imp-exp'!B$127:B$132,MATCH('LFA Expenditure_7B'!B246,'LFA Expenditure_7B imp-exp'!N$127:N$132,0)),"")</f>
        <v/>
      </c>
      <c r="E246" s="1326" t="str">
        <f>IFERROR(INDEX('LFA Expenditure_7B imp-exp'!C$127:C$132,MATCH('LFA Expenditure_7B'!B246,'LFA Expenditure_7B imp-exp'!N$127:N$132,0)),"")</f>
        <v/>
      </c>
      <c r="F246" s="1326">
        <f>'PR Expenditure_7A'!F247</f>
        <v>0</v>
      </c>
      <c r="G246" s="1339"/>
      <c r="H246" s="1326">
        <f t="shared" ref="H246:H248" si="39">IFERROR((E246)-(F246+G246),0)</f>
        <v>0</v>
      </c>
      <c r="I246" s="1328" t="e">
        <f t="shared" ref="I246:I248" si="40">IF(AND((E246)=0,(F246+G246)=0),"N/A",IF(AND((E246)=0,(F246+G246)&lt;&gt;0),"Not Budgeted",(F246+G246)/(E246)))</f>
        <v>#VALUE!</v>
      </c>
      <c r="J246" s="1329"/>
      <c r="K246" s="1312"/>
      <c r="L246" s="1326" t="str">
        <f>IFERROR(INDEX('LFA Expenditure_7B imp-exp'!J$127:J$132,MATCH('LFA Expenditure_7B'!B246,'LFA Expenditure_7B imp-exp'!N$127:N$132,0)),"")</f>
        <v/>
      </c>
      <c r="M246" s="1339"/>
      <c r="N246" s="1326">
        <f t="shared" si="37"/>
        <v>0</v>
      </c>
      <c r="O246" s="1330" t="e">
        <f t="shared" si="38"/>
        <v>#VALUE!</v>
      </c>
      <c r="Q246" s="280"/>
      <c r="R246" s="280"/>
      <c r="S246" s="280"/>
      <c r="T246" s="280"/>
      <c r="U246" s="280"/>
    </row>
    <row r="247" spans="1:21" ht="21.75" hidden="1" customHeight="1" x14ac:dyDescent="0.2">
      <c r="A247" s="644" t="str">
        <f t="shared" si="34"/>
        <v>Don't Show</v>
      </c>
      <c r="B247" s="644" t="s">
        <v>2659</v>
      </c>
      <c r="C247" s="969" t="str">
        <f>IFERROR(INDEX('LFA Expenditure_7B imp-exp'!A$127:A$132,MATCH('LFA Expenditure_7B'!B247,'LFA Expenditure_7B imp-exp'!N$127:N$132,0)),"")</f>
        <v/>
      </c>
      <c r="D247" s="1338" t="str">
        <f>IFERROR(INDEX('LFA Expenditure_7B imp-exp'!B$127:B$132,MATCH('LFA Expenditure_7B'!B247,'LFA Expenditure_7B imp-exp'!N$127:N$132,0)),"")</f>
        <v/>
      </c>
      <c r="E247" s="1326" t="str">
        <f>IFERROR(INDEX('LFA Expenditure_7B imp-exp'!C$127:C$132,MATCH('LFA Expenditure_7B'!B247,'LFA Expenditure_7B imp-exp'!N$127:N$132,0)),"")</f>
        <v/>
      </c>
      <c r="F247" s="1326">
        <f>'PR Expenditure_7A'!F248</f>
        <v>0</v>
      </c>
      <c r="G247" s="1339"/>
      <c r="H247" s="1326">
        <f t="shared" si="39"/>
        <v>0</v>
      </c>
      <c r="I247" s="1328" t="e">
        <f t="shared" si="40"/>
        <v>#VALUE!</v>
      </c>
      <c r="J247" s="1329"/>
      <c r="K247" s="1312"/>
      <c r="L247" s="1326" t="str">
        <f>IFERROR(INDEX('LFA Expenditure_7B imp-exp'!J$127:J$132,MATCH('LFA Expenditure_7B'!B247,'LFA Expenditure_7B imp-exp'!N$127:N$132,0)),"")</f>
        <v/>
      </c>
      <c r="M247" s="1339"/>
      <c r="N247" s="1326">
        <f t="shared" si="37"/>
        <v>0</v>
      </c>
      <c r="O247" s="1330" t="e">
        <f t="shared" si="38"/>
        <v>#VALUE!</v>
      </c>
      <c r="Q247" s="280"/>
      <c r="R247" s="280"/>
      <c r="S247" s="280"/>
      <c r="T247" s="280"/>
      <c r="U247" s="280"/>
    </row>
    <row r="248" spans="1:21" ht="21.75" hidden="1" customHeight="1" x14ac:dyDescent="0.2">
      <c r="A248" s="644" t="str">
        <f t="shared" si="34"/>
        <v>Don't Show</v>
      </c>
      <c r="B248" s="644" t="s">
        <v>2660</v>
      </c>
      <c r="C248" s="969" t="str">
        <f>IFERROR(INDEX('LFA Expenditure_7B imp-exp'!A$127:A$132,MATCH('LFA Expenditure_7B'!B248,'LFA Expenditure_7B imp-exp'!N$127:N$132,0)),"")</f>
        <v/>
      </c>
      <c r="D248" s="1338" t="str">
        <f>IFERROR(INDEX('LFA Expenditure_7B imp-exp'!B$127:B$132,MATCH('LFA Expenditure_7B'!B248,'LFA Expenditure_7B imp-exp'!N$127:N$132,0)),"")</f>
        <v/>
      </c>
      <c r="E248" s="1326" t="str">
        <f>IFERROR(INDEX('LFA Expenditure_7B imp-exp'!C$127:C$132,MATCH('LFA Expenditure_7B'!B248,'LFA Expenditure_7B imp-exp'!N$127:N$132,0)),"")</f>
        <v/>
      </c>
      <c r="F248" s="1326">
        <f>'PR Expenditure_7A'!F249</f>
        <v>0</v>
      </c>
      <c r="G248" s="1339"/>
      <c r="H248" s="1326">
        <f t="shared" si="39"/>
        <v>0</v>
      </c>
      <c r="I248" s="1328" t="e">
        <f t="shared" si="40"/>
        <v>#VALUE!</v>
      </c>
      <c r="J248" s="1329"/>
      <c r="K248" s="1312"/>
      <c r="L248" s="1326" t="str">
        <f>IFERROR(INDEX('LFA Expenditure_7B imp-exp'!J$127:J$132,MATCH('LFA Expenditure_7B'!B248,'LFA Expenditure_7B imp-exp'!N$127:N$132,0)),"")</f>
        <v/>
      </c>
      <c r="M248" s="1339"/>
      <c r="N248" s="1326">
        <f t="shared" si="37"/>
        <v>0</v>
      </c>
      <c r="O248" s="1330" t="e">
        <f t="shared" si="38"/>
        <v>#VALUE!</v>
      </c>
      <c r="Q248" s="280"/>
      <c r="R248" s="280"/>
      <c r="S248" s="280"/>
      <c r="T248" s="280"/>
      <c r="U248" s="280"/>
    </row>
    <row r="249" spans="1:21" ht="21.75" hidden="1" customHeight="1" x14ac:dyDescent="0.2">
      <c r="A249" s="644" t="str">
        <f t="shared" si="34"/>
        <v>Don't Show</v>
      </c>
      <c r="B249" s="644" t="s">
        <v>2661</v>
      </c>
      <c r="C249" s="969" t="str">
        <f>IFERROR(INDEX('LFA Expenditure_7B imp-exp'!A$127:A$132,MATCH('LFA Expenditure_7B'!B249,'LFA Expenditure_7B imp-exp'!N$127:N$132,0)),"")</f>
        <v/>
      </c>
      <c r="D249" s="1338" t="str">
        <f>IFERROR(INDEX('LFA Expenditure_7B imp-exp'!B$127:B$132,MATCH('LFA Expenditure_7B'!B249,'LFA Expenditure_7B imp-exp'!N$127:N$132,0)),"")</f>
        <v/>
      </c>
      <c r="E249" s="1326" t="str">
        <f>IFERROR(INDEX('LFA Expenditure_7B imp-exp'!C$127:C$132,MATCH('LFA Expenditure_7B'!B249,'LFA Expenditure_7B imp-exp'!N$127:N$132,0)),"")</f>
        <v/>
      </c>
      <c r="F249" s="1326">
        <f>'PR Expenditure_7A'!F250</f>
        <v>0</v>
      </c>
      <c r="G249" s="1339"/>
      <c r="H249" s="1326">
        <f t="shared" ref="H249:H253" si="41">IFERROR((E249)-(F249+G249),0)</f>
        <v>0</v>
      </c>
      <c r="I249" s="1328" t="e">
        <f t="shared" ref="I249:I253" si="42">IF(AND((E249)=0,(F249+G249)=0),"N/A",IF(AND((E249)=0,(F249+G249)&lt;&gt;0),"Not Budgeted",(F249+G249)/(E249)))</f>
        <v>#VALUE!</v>
      </c>
      <c r="J249" s="1329"/>
      <c r="K249" s="1312"/>
      <c r="L249" s="1326" t="str">
        <f>IFERROR(INDEX('LFA Expenditure_7B imp-exp'!J$127:J$132,MATCH('LFA Expenditure_7B'!B249,'LFA Expenditure_7B imp-exp'!N$127:N$132,0)),"")</f>
        <v/>
      </c>
      <c r="M249" s="1339"/>
      <c r="N249" s="1326">
        <f t="shared" si="37"/>
        <v>0</v>
      </c>
      <c r="O249" s="1330" t="e">
        <f t="shared" si="38"/>
        <v>#VALUE!</v>
      </c>
      <c r="Q249" s="280"/>
      <c r="R249" s="280"/>
      <c r="S249" s="280"/>
      <c r="T249" s="280"/>
      <c r="U249" s="280"/>
    </row>
    <row r="250" spans="1:21" ht="21.75" hidden="1" customHeight="1" x14ac:dyDescent="0.2">
      <c r="A250" s="644" t="str">
        <f t="shared" si="34"/>
        <v>Don't Show</v>
      </c>
      <c r="B250" s="644" t="s">
        <v>2662</v>
      </c>
      <c r="C250" s="969" t="str">
        <f>IFERROR(INDEX('LFA Expenditure_7B imp-exp'!A$127:A$132,MATCH('LFA Expenditure_7B'!B250,'LFA Expenditure_7B imp-exp'!N$127:N$132,0)),"")</f>
        <v/>
      </c>
      <c r="D250" s="1338" t="str">
        <f>IFERROR(INDEX('LFA Expenditure_7B imp-exp'!B$127:B$132,MATCH('LFA Expenditure_7B'!B250,'LFA Expenditure_7B imp-exp'!N$127:N$132,0)),"")</f>
        <v/>
      </c>
      <c r="E250" s="1326" t="str">
        <f>IFERROR(INDEX('LFA Expenditure_7B imp-exp'!C$127:C$132,MATCH('LFA Expenditure_7B'!B250,'LFA Expenditure_7B imp-exp'!N$127:N$132,0)),"")</f>
        <v/>
      </c>
      <c r="F250" s="1326">
        <f>'PR Expenditure_7A'!F251</f>
        <v>0</v>
      </c>
      <c r="G250" s="1339"/>
      <c r="H250" s="1326">
        <f t="shared" si="41"/>
        <v>0</v>
      </c>
      <c r="I250" s="1328" t="e">
        <f t="shared" si="42"/>
        <v>#VALUE!</v>
      </c>
      <c r="J250" s="1329"/>
      <c r="K250" s="1312"/>
      <c r="L250" s="1326" t="str">
        <f>IFERROR(INDEX('LFA Expenditure_7B imp-exp'!J$127:J$132,MATCH('LFA Expenditure_7B'!B250,'LFA Expenditure_7B imp-exp'!N$127:N$132,0)),"")</f>
        <v/>
      </c>
      <c r="M250" s="1339"/>
      <c r="N250" s="1326">
        <f t="shared" si="37"/>
        <v>0</v>
      </c>
      <c r="O250" s="1330" t="e">
        <f t="shared" si="38"/>
        <v>#VALUE!</v>
      </c>
      <c r="Q250" s="280"/>
      <c r="R250" s="280"/>
      <c r="S250" s="280"/>
      <c r="T250" s="280"/>
      <c r="U250" s="280"/>
    </row>
    <row r="251" spans="1:21" ht="21.75" hidden="1" customHeight="1" x14ac:dyDescent="0.2">
      <c r="A251" s="644" t="str">
        <f t="shared" si="34"/>
        <v>Don't Show</v>
      </c>
      <c r="B251" s="644" t="s">
        <v>2663</v>
      </c>
      <c r="C251" s="969" t="str">
        <f>IFERROR(INDEX('LFA Expenditure_7B imp-exp'!A$127:A$132,MATCH('LFA Expenditure_7B'!B251,'LFA Expenditure_7B imp-exp'!N$127:N$132,0)),"")</f>
        <v/>
      </c>
      <c r="D251" s="1338" t="str">
        <f>IFERROR(INDEX('LFA Expenditure_7B imp-exp'!B$127:B$132,MATCH('LFA Expenditure_7B'!B251,'LFA Expenditure_7B imp-exp'!N$127:N$132,0)),"")</f>
        <v/>
      </c>
      <c r="E251" s="1326" t="str">
        <f>IFERROR(INDEX('LFA Expenditure_7B imp-exp'!C$127:C$132,MATCH('LFA Expenditure_7B'!B251,'LFA Expenditure_7B imp-exp'!N$127:N$132,0)),"")</f>
        <v/>
      </c>
      <c r="F251" s="1326">
        <f>'PR Expenditure_7A'!F252</f>
        <v>0</v>
      </c>
      <c r="G251" s="1339"/>
      <c r="H251" s="1326">
        <f t="shared" si="41"/>
        <v>0</v>
      </c>
      <c r="I251" s="1328" t="e">
        <f t="shared" si="42"/>
        <v>#VALUE!</v>
      </c>
      <c r="J251" s="1329"/>
      <c r="K251" s="1312"/>
      <c r="L251" s="1326" t="str">
        <f>IFERROR(INDEX('LFA Expenditure_7B imp-exp'!J$127:J$132,MATCH('LFA Expenditure_7B'!B251,'LFA Expenditure_7B imp-exp'!N$127:N$132,0)),"")</f>
        <v/>
      </c>
      <c r="M251" s="1339"/>
      <c r="N251" s="1326">
        <f t="shared" si="37"/>
        <v>0</v>
      </c>
      <c r="O251" s="1330" t="e">
        <f t="shared" si="38"/>
        <v>#VALUE!</v>
      </c>
      <c r="Q251" s="280"/>
      <c r="R251" s="280"/>
      <c r="S251" s="280"/>
      <c r="T251" s="280"/>
      <c r="U251" s="280"/>
    </row>
    <row r="252" spans="1:21" ht="21.75" hidden="1" customHeight="1" x14ac:dyDescent="0.2">
      <c r="A252" s="644" t="str">
        <f t="shared" si="34"/>
        <v>Don't Show</v>
      </c>
      <c r="B252" s="644" t="s">
        <v>2664</v>
      </c>
      <c r="C252" s="969" t="str">
        <f>IFERROR(INDEX('LFA Expenditure_7B imp-exp'!A$127:A$132,MATCH('LFA Expenditure_7B'!B252,'LFA Expenditure_7B imp-exp'!N$127:N$132,0)),"")</f>
        <v/>
      </c>
      <c r="D252" s="1338" t="str">
        <f>IFERROR(INDEX('LFA Expenditure_7B imp-exp'!B$127:B$132,MATCH('LFA Expenditure_7B'!B252,'LFA Expenditure_7B imp-exp'!N$127:N$132,0)),"")</f>
        <v/>
      </c>
      <c r="E252" s="1326" t="str">
        <f>IFERROR(INDEX('LFA Expenditure_7B imp-exp'!C$127:C$132,MATCH('LFA Expenditure_7B'!B252,'LFA Expenditure_7B imp-exp'!N$127:N$132,0)),"")</f>
        <v/>
      </c>
      <c r="F252" s="1326">
        <f>'PR Expenditure_7A'!F253</f>
        <v>0</v>
      </c>
      <c r="G252" s="1339"/>
      <c r="H252" s="1326">
        <f t="shared" si="41"/>
        <v>0</v>
      </c>
      <c r="I252" s="1328" t="e">
        <f t="shared" si="42"/>
        <v>#VALUE!</v>
      </c>
      <c r="J252" s="1329"/>
      <c r="K252" s="1312"/>
      <c r="L252" s="1326" t="str">
        <f>IFERROR(INDEX('LFA Expenditure_7B imp-exp'!J$127:J$132,MATCH('LFA Expenditure_7B'!B252,'LFA Expenditure_7B imp-exp'!N$127:N$132,0)),"")</f>
        <v/>
      </c>
      <c r="M252" s="1339"/>
      <c r="N252" s="1326">
        <f t="shared" si="37"/>
        <v>0</v>
      </c>
      <c r="O252" s="1330" t="e">
        <f t="shared" si="38"/>
        <v>#VALUE!</v>
      </c>
      <c r="Q252" s="280"/>
      <c r="R252" s="280"/>
      <c r="S252" s="280"/>
      <c r="T252" s="280"/>
      <c r="U252" s="280"/>
    </row>
    <row r="253" spans="1:21" ht="21.75" hidden="1" customHeight="1" x14ac:dyDescent="0.2">
      <c r="A253" s="644" t="str">
        <f t="shared" si="34"/>
        <v>Don't Show</v>
      </c>
      <c r="B253" s="644" t="s">
        <v>2665</v>
      </c>
      <c r="C253" s="969" t="str">
        <f>IFERROR(INDEX('LFA Expenditure_7B imp-exp'!A$127:A$132,MATCH('LFA Expenditure_7B'!B253,'LFA Expenditure_7B imp-exp'!N$127:N$132,0)),"")</f>
        <v/>
      </c>
      <c r="D253" s="1338" t="str">
        <f>IFERROR(INDEX('LFA Expenditure_7B imp-exp'!B$127:B$132,MATCH('LFA Expenditure_7B'!B253,'LFA Expenditure_7B imp-exp'!N$127:N$132,0)),"")</f>
        <v/>
      </c>
      <c r="E253" s="1326" t="str">
        <f>IFERROR(INDEX('LFA Expenditure_7B imp-exp'!C$127:C$132,MATCH('LFA Expenditure_7B'!B253,'LFA Expenditure_7B imp-exp'!N$127:N$132,0)),"")</f>
        <v/>
      </c>
      <c r="F253" s="1326">
        <f>'PR Expenditure_7A'!F254</f>
        <v>0</v>
      </c>
      <c r="G253" s="1339"/>
      <c r="H253" s="1326">
        <f t="shared" si="41"/>
        <v>0</v>
      </c>
      <c r="I253" s="1328" t="e">
        <f t="shared" si="42"/>
        <v>#VALUE!</v>
      </c>
      <c r="J253" s="1329"/>
      <c r="K253" s="1312"/>
      <c r="L253" s="1326" t="str">
        <f>IFERROR(INDEX('LFA Expenditure_7B imp-exp'!J$127:J$132,MATCH('LFA Expenditure_7B'!B253,'LFA Expenditure_7B imp-exp'!N$127:N$132,0)),"")</f>
        <v/>
      </c>
      <c r="M253" s="1339"/>
      <c r="N253" s="1326">
        <f t="shared" si="37"/>
        <v>0</v>
      </c>
      <c r="O253" s="1330" t="e">
        <f t="shared" si="38"/>
        <v>#VALUE!</v>
      </c>
      <c r="Q253" s="280"/>
      <c r="R253" s="280"/>
      <c r="S253" s="280"/>
      <c r="T253" s="280"/>
      <c r="U253" s="280"/>
    </row>
    <row r="254" spans="1:21" ht="21.75" customHeight="1" thickBot="1" x14ac:dyDescent="0.25">
      <c r="A254" s="644" t="s">
        <v>2337</v>
      </c>
      <c r="C254" s="1331" t="s">
        <v>2449</v>
      </c>
      <c r="D254" s="1337"/>
      <c r="E254" s="1332">
        <f>ROUND(SUM(E204:E253),2)</f>
        <v>11755487.67</v>
      </c>
      <c r="F254" s="1332">
        <f>ROUND(SUM(F204:F253),2)</f>
        <v>11276916.42</v>
      </c>
      <c r="G254" s="1332">
        <f>ROUND(SUM(G204:G253),2)</f>
        <v>0</v>
      </c>
      <c r="H254" s="1332">
        <f>ROUND(SUM(H204:H253),2)</f>
        <v>478571.25</v>
      </c>
      <c r="I254" s="1333">
        <f>(F254+G254)/E254</f>
        <v>0.95928954515248965</v>
      </c>
      <c r="J254" s="1333"/>
      <c r="K254" s="1325"/>
      <c r="L254" s="1332">
        <f>ROUND(SUM(L204:L253),2)</f>
        <v>20014677.120000001</v>
      </c>
      <c r="M254" s="1332">
        <f>ROUND(SUM(M204:M253),2)</f>
        <v>0</v>
      </c>
      <c r="N254" s="1332">
        <f>ROUND(SUM(N204:N253),2)</f>
        <v>20014677.120000001</v>
      </c>
      <c r="O254" s="1334">
        <f>M254/L254</f>
        <v>0</v>
      </c>
      <c r="Q254" s="280"/>
      <c r="R254" s="280"/>
      <c r="S254" s="280"/>
      <c r="T254" s="280"/>
      <c r="U254" s="280"/>
    </row>
    <row r="255" spans="1:21" ht="13.5" thickBot="1" x14ac:dyDescent="0.25">
      <c r="A255" s="644" t="s">
        <v>2337</v>
      </c>
      <c r="C255" s="101"/>
      <c r="D255" s="100"/>
      <c r="E255" s="100"/>
      <c r="F255" s="100"/>
      <c r="G255" s="100"/>
      <c r="H255" s="100"/>
      <c r="I255" s="100"/>
      <c r="J255" s="100"/>
      <c r="K255" s="711"/>
      <c r="L255" s="100"/>
      <c r="M255" s="100"/>
      <c r="N255" s="100"/>
      <c r="O255" s="100"/>
      <c r="R255" s="280"/>
      <c r="S255" s="280"/>
      <c r="T255" s="280"/>
      <c r="U255" s="280"/>
    </row>
    <row r="256" spans="1:21" x14ac:dyDescent="0.2">
      <c r="A256" s="644" t="s">
        <v>2337</v>
      </c>
      <c r="R256" s="280"/>
      <c r="S256" s="280"/>
      <c r="T256" s="280"/>
      <c r="U256" s="280"/>
    </row>
    <row r="257" spans="1:21" ht="66.599999999999994" customHeight="1" x14ac:dyDescent="0.2">
      <c r="A257" s="644" t="s">
        <v>2337</v>
      </c>
      <c r="C257" s="302" t="s">
        <v>2666</v>
      </c>
      <c r="D257" s="301"/>
      <c r="E257" s="260" t="str">
        <f>IF(AND(ROUND(E78,0)=ROUND(E199,0),ROUND(E254,0)=ROUND(E199,0)),"OK","WARNING - Sum of the three tables not matching")</f>
        <v>OK</v>
      </c>
      <c r="F257" s="260" t="str">
        <f>IF(AND(ROUND(F78,0)=ROUND(F199,0),ROUND(F254,0)=ROUND(F199,0)),"OK","WARNING - Sum of the three tables not matching")</f>
        <v>OK</v>
      </c>
      <c r="G257" s="260" t="str">
        <f>IF(AND(ROUND(G78,0)=ROUND(G199,0),ROUND(G254,0)=ROUND(G199,0)),"OK","WARNING - Sum of the three tables not matching")</f>
        <v>OK</v>
      </c>
      <c r="H257" s="62"/>
      <c r="I257" s="62"/>
      <c r="J257" s="62"/>
      <c r="K257" s="62"/>
      <c r="L257" s="260" t="str">
        <f>IF(AND(ROUND(L78,0)=ROUND(L199,0),ROUND(L199,0)=ROUND(L254,0)),"OK","WARNING - Sum of the three tables not matching")</f>
        <v>OK</v>
      </c>
      <c r="M257" s="260" t="str">
        <f>IF(AND(ROUND(M78,0)=ROUND(M199,0),ROUND(M199,0)=ROUND(M254,0)),"OK","WARNING - Sum of the three tables not matching")</f>
        <v>OK</v>
      </c>
      <c r="Q257" s="280"/>
      <c r="R257" s="280"/>
      <c r="S257" s="280"/>
      <c r="T257" s="280"/>
      <c r="U257" s="280"/>
    </row>
  </sheetData>
  <sheetProtection password="BF22" sheet="1" scenarios="1" formatColumns="0" formatRows="0" sort="0" autoFilter="0"/>
  <autoFilter ref="A5:O257" xr:uid="{00000000-0009-0000-0000-00001F000000}">
    <filterColumn colId="0">
      <filters>
        <filter val="Show"/>
      </filters>
    </filterColumn>
  </autoFilter>
  <mergeCells count="4">
    <mergeCell ref="G2:H2"/>
    <mergeCell ref="G3:H3"/>
    <mergeCell ref="C1:O1"/>
    <mergeCell ref="M2:O3"/>
  </mergeCells>
  <conditionalFormatting sqref="E257">
    <cfRule type="expression" dxfId="95" priority="3">
      <formula>E257="WARNING - Sum of the three tables not matching"</formula>
    </cfRule>
  </conditionalFormatting>
  <conditionalFormatting sqref="F257:G257">
    <cfRule type="expression" dxfId="94" priority="2">
      <formula>F257="WARNING - Sum of the three tables not matching"</formula>
    </cfRule>
  </conditionalFormatting>
  <conditionalFormatting sqref="L257:M257">
    <cfRule type="expression" dxfId="93" priority="1">
      <formula>L257="WARNING - Sum of the three tables not matching"</formula>
    </cfRule>
  </conditionalFormatting>
  <dataValidations count="5">
    <dataValidation type="list" allowBlank="1" showInputMessage="1" showErrorMessage="1" sqref="D204:D253" xr:uid="{00000000-0002-0000-1F00-000000000000}">
      <formula1>Type_of_Recipient</formula1>
    </dataValidation>
    <dataValidation type="list" allowBlank="1" showInputMessage="1" showErrorMessage="1" sqref="D3" xr:uid="{00000000-0002-0000-1F00-000001000000}">
      <formula1>"Select,Yes,No"</formula1>
    </dataValidation>
    <dataValidation type="list" allowBlank="1" showInputMessage="1" showErrorMessage="1" sqref="C183:C198" xr:uid="{00000000-0002-0000-1F00-000002000000}">
      <formula1>Module_List</formula1>
    </dataValidation>
    <dataValidation type="list" allowBlank="1" showInputMessage="1" showErrorMessage="1" sqref="C68:C77" xr:uid="{00000000-0002-0000-1F00-000003000000}">
      <formula1>Cost_Input</formula1>
    </dataValidation>
    <dataValidation type="list" allowBlank="1" showInputMessage="1" showErrorMessage="1" sqref="D183:D198" xr:uid="{00000000-0002-0000-1F00-000004000000}">
      <formula1>OFFSET(Modulestart,MATCH(P183,Modulecolumn,0)-1,3,COUNTIF(Modulecolumn,P183),1)</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AC676BCF-2CCF-4E73-B596-DAF88439B5D8}">
            <xm:f>CoverSheet!$D$14="EUR"</xm:f>
            <x14:dxf>
              <numFmt numFmtId="191" formatCode="_-[$EUR]\ * #,##0.00_-;\-[$EUR]\ * #,##0.00_-;_-[$EUR]\ * &quot;-&quot;??_-;_-@_-"/>
            </x14:dxf>
          </x14:cfRule>
          <xm:sqref>L8:N254 E8:H254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theme="0"/>
  </sheetPr>
  <dimension ref="A1:U141"/>
  <sheetViews>
    <sheetView showGridLines="0" zoomScale="60" zoomScaleNormal="60" zoomScaleSheetLayoutView="70" workbookViewId="0">
      <selection activeCell="A7" sqref="A7"/>
    </sheetView>
  </sheetViews>
  <sheetFormatPr baseColWidth="10" defaultColWidth="9.140625" defaultRowHeight="12.75" x14ac:dyDescent="0.2"/>
  <cols>
    <col min="1" max="1" width="60.85546875" style="61" customWidth="1"/>
    <col min="2" max="2" width="52.140625" style="61" customWidth="1"/>
    <col min="3" max="3" width="34.42578125" style="61" bestFit="1" customWidth="1"/>
    <col min="4" max="4" width="29" style="61" bestFit="1" customWidth="1"/>
    <col min="5" max="5" width="39.85546875" style="61" bestFit="1" customWidth="1"/>
    <col min="6" max="6" width="19.85546875" style="61" customWidth="1"/>
    <col min="7" max="7" width="16.85546875" style="61" customWidth="1"/>
    <col min="8" max="8" width="50" style="61" customWidth="1"/>
    <col min="9" max="9" width="10.85546875" style="61" customWidth="1"/>
    <col min="10" max="12" width="19.85546875" style="61" customWidth="1"/>
    <col min="13" max="13" width="17.140625" style="61" customWidth="1"/>
    <col min="14" max="14" width="13.42578125" style="61" customWidth="1"/>
    <col min="15" max="15" width="11.85546875" style="300" bestFit="1" customWidth="1"/>
    <col min="16" max="16" width="23.42578125" style="631" bestFit="1" customWidth="1"/>
    <col min="17" max="17" width="20" style="61" bestFit="1" customWidth="1"/>
    <col min="18" max="18" width="9.140625" style="61" customWidth="1"/>
    <col min="19" max="19" width="10.5703125" style="61" bestFit="1" customWidth="1"/>
    <col min="20" max="20" width="9.140625" style="61" customWidth="1"/>
    <col min="21" max="16384" width="9.140625" style="61"/>
  </cols>
  <sheetData>
    <row r="1" spans="1:21" ht="62.45" customHeight="1" x14ac:dyDescent="0.2">
      <c r="A1" s="304" t="s">
        <v>2908</v>
      </c>
      <c r="B1" s="303"/>
      <c r="C1" s="310" t="s">
        <v>1117</v>
      </c>
      <c r="D1" s="310" t="s">
        <v>2909</v>
      </c>
      <c r="E1" s="310" t="s">
        <v>2910</v>
      </c>
      <c r="F1" s="310" t="s">
        <v>1119</v>
      </c>
      <c r="G1" s="310" t="s">
        <v>2669</v>
      </c>
      <c r="H1" s="310" t="s">
        <v>2911</v>
      </c>
      <c r="I1" s="303">
        <v>-1</v>
      </c>
      <c r="J1" s="310" t="s">
        <v>2671</v>
      </c>
      <c r="K1" s="310" t="s">
        <v>2672</v>
      </c>
      <c r="L1" s="310" t="s">
        <v>1124</v>
      </c>
      <c r="M1" s="423" t="s">
        <v>2669</v>
      </c>
      <c r="N1" s="61">
        <v>-1</v>
      </c>
      <c r="O1" s="419" t="s">
        <v>122</v>
      </c>
      <c r="P1" s="419" t="s">
        <v>2673</v>
      </c>
      <c r="Q1" s="280" t="s">
        <v>2673</v>
      </c>
      <c r="R1" s="280"/>
      <c r="S1" s="280"/>
      <c r="T1" s="280"/>
    </row>
    <row r="2" spans="1:21" ht="17.45" hidden="1" customHeight="1" x14ac:dyDescent="0.2">
      <c r="A2" s="320" t="s">
        <v>2674</v>
      </c>
      <c r="B2" s="303"/>
      <c r="C2" s="306" t="s">
        <v>2675</v>
      </c>
      <c r="D2" s="306"/>
      <c r="E2" s="307" t="str">
        <f>IFERROR(INDEX('LFA Expenditure_7B'!G$8:G$77,MATCH('LFA Expenditure_7B imp-exp'!N2,'LFA Expenditure_7B'!B$8:B$77,0)),"")</f>
        <v/>
      </c>
      <c r="F2" s="306"/>
      <c r="G2" s="305"/>
      <c r="H2" s="308"/>
      <c r="I2" s="303">
        <f>I1+1</f>
        <v>0</v>
      </c>
      <c r="J2" s="309" t="s">
        <v>2676</v>
      </c>
      <c r="K2" s="307" t="str">
        <f>IFERROR(INDEX('LFA Expenditure_7B'!M$8:M$77,MATCH('LFA Expenditure_7B imp-exp'!N2,'LFA Expenditure_7B'!B$8:B$77,0)),"")</f>
        <v/>
      </c>
      <c r="L2" s="306"/>
      <c r="M2" s="424"/>
      <c r="N2" s="318" t="str">
        <f>"Costgrp"&amp;I2</f>
        <v>Costgrp0</v>
      </c>
      <c r="O2" s="280" t="s">
        <v>371</v>
      </c>
      <c r="P2" s="724" t="s">
        <v>2677</v>
      </c>
      <c r="Q2" s="280" t="s">
        <v>2677</v>
      </c>
      <c r="R2" s="280"/>
      <c r="S2" s="280"/>
      <c r="T2" s="280"/>
      <c r="U2" s="318"/>
    </row>
    <row r="3" spans="1:21" s="232" customFormat="1" x14ac:dyDescent="0.25">
      <c r="A3" s="832" t="s">
        <v>2940</v>
      </c>
      <c r="B3" s="832"/>
      <c r="C3" s="832" t="s">
        <v>1117</v>
      </c>
      <c r="D3" s="832"/>
      <c r="E3" s="832" t="s">
        <v>2941</v>
      </c>
      <c r="F3" s="832"/>
      <c r="G3" s="832"/>
      <c r="H3" s="832"/>
      <c r="I3" s="832">
        <v>-1</v>
      </c>
      <c r="J3" s="832" t="s">
        <v>2671</v>
      </c>
      <c r="K3" s="832" t="s">
        <v>2942</v>
      </c>
      <c r="L3" s="832"/>
      <c r="M3" s="832"/>
      <c r="N3" s="833"/>
      <c r="O3" s="834" t="s">
        <v>122</v>
      </c>
      <c r="P3" s="835" t="s">
        <v>2673</v>
      </c>
      <c r="Q3" s="834" t="s">
        <v>2678</v>
      </c>
      <c r="R3" s="418"/>
      <c r="S3" s="418"/>
      <c r="T3" s="418"/>
      <c r="U3" s="317"/>
    </row>
    <row r="4" spans="1:21" ht="15" hidden="1" x14ac:dyDescent="0.2">
      <c r="A4" s="836" t="s">
        <v>2679</v>
      </c>
      <c r="B4" s="303"/>
      <c r="C4" s="837" t="s">
        <v>2675</v>
      </c>
      <c r="D4" s="837" t="e">
        <f>'PR Expenditure_7A'!#REF!</f>
        <v>#REF!</v>
      </c>
      <c r="E4" s="838" t="str">
        <f>IFERROR(INDEX('LFA Expenditure_7B'!G$8:G$77,MATCH('LFA Expenditure_7B imp-exp'!N4,'LFA Expenditure_7B'!B$8:B$77,0)),"")</f>
        <v/>
      </c>
      <c r="F4" s="837"/>
      <c r="G4" s="839"/>
      <c r="H4" s="52"/>
      <c r="I4" s="303">
        <f>I3+1</f>
        <v>0</v>
      </c>
      <c r="J4" s="840" t="s">
        <v>2676</v>
      </c>
      <c r="K4" s="838" t="str">
        <f>IFERROR(INDEX('LFA Expenditure_7B'!M$8:M$77,MATCH('LFA Expenditure_7B imp-exp'!N4,'LFA Expenditure_7B'!B$8:B$77,0)),"")</f>
        <v/>
      </c>
      <c r="L4" s="837"/>
      <c r="M4" s="839"/>
      <c r="N4" s="841" t="str">
        <f>"Costgrp"&amp;I4</f>
        <v>Costgrp0</v>
      </c>
      <c r="O4" s="842" t="s">
        <v>371</v>
      </c>
      <c r="P4" s="843" t="s">
        <v>2677</v>
      </c>
      <c r="Q4" s="844" t="s">
        <v>2680</v>
      </c>
      <c r="R4" s="280"/>
      <c r="S4" s="280"/>
      <c r="T4" s="280"/>
      <c r="U4" s="318"/>
    </row>
    <row r="5" spans="1:21" ht="15" x14ac:dyDescent="0.2">
      <c r="A5" s="836" t="s">
        <v>2681</v>
      </c>
      <c r="B5" s="303"/>
      <c r="C5" s="837">
        <v>1126029.92172694</v>
      </c>
      <c r="D5" s="837" t="e">
        <f>'PR Expenditure_7A'!#REF!</f>
        <v>#REF!</v>
      </c>
      <c r="E5" s="838">
        <f>IFERROR(INDEX('LFA Expenditure_7B'!G$8:G$77,MATCH('LFA Expenditure_7B imp-exp'!N5,'LFA Expenditure_7B'!B$8:B$77,0)),"")</f>
        <v>0</v>
      </c>
      <c r="F5" s="837"/>
      <c r="G5" s="839"/>
      <c r="H5" s="52"/>
      <c r="I5" s="303">
        <f t="shared" ref="I5:I47" si="0">I4+1</f>
        <v>1</v>
      </c>
      <c r="J5" s="840">
        <v>2288502.1381875598</v>
      </c>
      <c r="K5" s="838">
        <f>IFERROR(INDEX('LFA Expenditure_7B'!M$8:M$77,MATCH('LFA Expenditure_7B imp-exp'!N5,'LFA Expenditure_7B'!B$8:B$77,0)),"")</f>
        <v>0</v>
      </c>
      <c r="L5" s="837"/>
      <c r="M5" s="839"/>
      <c r="N5" s="841" t="str">
        <f t="shared" ref="N5:N47" si="1">"Costgrp"&amp;I5</f>
        <v>Costgrp1</v>
      </c>
      <c r="O5" s="842" t="s">
        <v>2682</v>
      </c>
      <c r="P5" s="843">
        <v>1</v>
      </c>
      <c r="Q5" s="844">
        <v>1</v>
      </c>
      <c r="R5" s="280"/>
      <c r="S5" s="280"/>
      <c r="T5" s="280"/>
      <c r="U5" s="318"/>
    </row>
    <row r="6" spans="1:21" ht="25.5" x14ac:dyDescent="0.2">
      <c r="A6" s="836" t="s">
        <v>2683</v>
      </c>
      <c r="B6" s="303"/>
      <c r="C6" s="837">
        <v>1498591.1939461201</v>
      </c>
      <c r="D6" s="837" t="e">
        <f>'PR Expenditure_7A'!#REF!</f>
        <v>#REF!</v>
      </c>
      <c r="E6" s="838">
        <f>IFERROR(INDEX('LFA Expenditure_7B'!G$8:G$77,MATCH('LFA Expenditure_7B imp-exp'!N6,'LFA Expenditure_7B'!B$8:B$77,0)),"")</f>
        <v>0</v>
      </c>
      <c r="F6" s="837"/>
      <c r="G6" s="839"/>
      <c r="H6" s="52"/>
      <c r="I6" s="303">
        <f t="shared" si="0"/>
        <v>2</v>
      </c>
      <c r="J6" s="840">
        <v>2934913.5273815901</v>
      </c>
      <c r="K6" s="838">
        <f>IFERROR(INDEX('LFA Expenditure_7B'!M$8:M$77,MATCH('LFA Expenditure_7B imp-exp'!N6,'LFA Expenditure_7B'!B$8:B$77,0)),"")</f>
        <v>0</v>
      </c>
      <c r="L6" s="837"/>
      <c r="M6" s="839"/>
      <c r="N6" s="841" t="str">
        <f t="shared" si="1"/>
        <v>Costgrp2</v>
      </c>
      <c r="O6" s="842" t="s">
        <v>2684</v>
      </c>
      <c r="P6" s="843">
        <v>1</v>
      </c>
      <c r="Q6" s="844">
        <v>2</v>
      </c>
      <c r="R6" s="280"/>
      <c r="S6" s="280"/>
      <c r="T6" s="280"/>
      <c r="U6" s="318"/>
    </row>
    <row r="7" spans="1:21" ht="15" x14ac:dyDescent="0.2">
      <c r="A7" s="836" t="s">
        <v>2685</v>
      </c>
      <c r="B7" s="303"/>
      <c r="C7" s="837">
        <v>39207.235164225698</v>
      </c>
      <c r="D7" s="837" t="e">
        <f>'PR Expenditure_7A'!#REF!</f>
        <v>#REF!</v>
      </c>
      <c r="E7" s="838">
        <f>IFERROR(INDEX('LFA Expenditure_7B'!G$8:G$77,MATCH('LFA Expenditure_7B imp-exp'!N7,'LFA Expenditure_7B'!B$8:B$77,0)),"")</f>
        <v>0</v>
      </c>
      <c r="F7" s="837"/>
      <c r="G7" s="839"/>
      <c r="H7" s="52"/>
      <c r="I7" s="303">
        <f t="shared" si="0"/>
        <v>3</v>
      </c>
      <c r="J7" s="840">
        <v>78414.470328451396</v>
      </c>
      <c r="K7" s="838">
        <f>IFERROR(INDEX('LFA Expenditure_7B'!M$8:M$77,MATCH('LFA Expenditure_7B imp-exp'!N7,'LFA Expenditure_7B'!B$8:B$77,0)),"")</f>
        <v>0</v>
      </c>
      <c r="L7" s="837"/>
      <c r="M7" s="839"/>
      <c r="N7" s="841" t="str">
        <f t="shared" si="1"/>
        <v>Costgrp3</v>
      </c>
      <c r="O7" s="842" t="s">
        <v>2686</v>
      </c>
      <c r="P7" s="843">
        <v>1</v>
      </c>
      <c r="Q7" s="844">
        <v>3</v>
      </c>
      <c r="R7" s="280"/>
      <c r="S7" s="280"/>
      <c r="T7" s="280"/>
      <c r="U7" s="318"/>
    </row>
    <row r="8" spans="1:21" ht="15" x14ac:dyDescent="0.2">
      <c r="A8" s="836" t="s">
        <v>2687</v>
      </c>
      <c r="B8" s="303"/>
      <c r="C8" s="837">
        <v>149003.232147223</v>
      </c>
      <c r="D8" s="837" t="e">
        <f>'PR Expenditure_7A'!#REF!</f>
        <v>#REF!</v>
      </c>
      <c r="E8" s="838">
        <f>IFERROR(INDEX('LFA Expenditure_7B'!G$8:G$77,MATCH('LFA Expenditure_7B imp-exp'!N8,'LFA Expenditure_7B'!B$8:B$77,0)),"")</f>
        <v>0</v>
      </c>
      <c r="F8" s="837"/>
      <c r="G8" s="839"/>
      <c r="H8" s="52"/>
      <c r="I8" s="303">
        <f t="shared" si="0"/>
        <v>4</v>
      </c>
      <c r="J8" s="840">
        <v>500133.78904478799</v>
      </c>
      <c r="K8" s="838">
        <f>IFERROR(INDEX('LFA Expenditure_7B'!M$8:M$77,MATCH('LFA Expenditure_7B imp-exp'!N8,'LFA Expenditure_7B'!B$8:B$77,0)),"")</f>
        <v>0</v>
      </c>
      <c r="L8" s="837"/>
      <c r="M8" s="839"/>
      <c r="N8" s="841" t="str">
        <f t="shared" si="1"/>
        <v>Costgrp4</v>
      </c>
      <c r="O8" s="842" t="s">
        <v>2688</v>
      </c>
      <c r="P8" s="843">
        <v>2</v>
      </c>
      <c r="Q8" s="844">
        <v>1</v>
      </c>
      <c r="R8" s="280"/>
      <c r="S8" s="280"/>
      <c r="T8" s="280"/>
      <c r="U8" s="318"/>
    </row>
    <row r="9" spans="1:21" ht="15" x14ac:dyDescent="0.2">
      <c r="A9" s="836" t="s">
        <v>2689</v>
      </c>
      <c r="B9" s="303"/>
      <c r="C9" s="837">
        <v>0</v>
      </c>
      <c r="D9" s="837" t="e">
        <f>'PR Expenditure_7A'!#REF!</f>
        <v>#REF!</v>
      </c>
      <c r="E9" s="838">
        <f>IFERROR(INDEX('LFA Expenditure_7B'!G$8:G$77,MATCH('LFA Expenditure_7B imp-exp'!N9,'LFA Expenditure_7B'!B$8:B$77,0)),"")</f>
        <v>0</v>
      </c>
      <c r="F9" s="837"/>
      <c r="G9" s="839"/>
      <c r="H9" s="52"/>
      <c r="I9" s="303">
        <f t="shared" si="0"/>
        <v>5</v>
      </c>
      <c r="J9" s="840">
        <v>3090.6982389280201</v>
      </c>
      <c r="K9" s="838">
        <f>IFERROR(INDEX('LFA Expenditure_7B'!M$8:M$77,MATCH('LFA Expenditure_7B imp-exp'!N9,'LFA Expenditure_7B'!B$8:B$77,0)),"")</f>
        <v>0</v>
      </c>
      <c r="L9" s="837"/>
      <c r="M9" s="839"/>
      <c r="N9" s="841" t="str">
        <f t="shared" si="1"/>
        <v>Costgrp5</v>
      </c>
      <c r="O9" s="842" t="s">
        <v>2690</v>
      </c>
      <c r="P9" s="843">
        <v>2</v>
      </c>
      <c r="Q9" s="844">
        <v>2</v>
      </c>
      <c r="R9" s="280"/>
      <c r="S9" s="280"/>
      <c r="T9" s="280"/>
      <c r="U9" s="318"/>
    </row>
    <row r="10" spans="1:21" ht="25.5" x14ac:dyDescent="0.2">
      <c r="A10" s="836" t="s">
        <v>2691</v>
      </c>
      <c r="B10" s="303"/>
      <c r="C10" s="837">
        <v>371613.36412214203</v>
      </c>
      <c r="D10" s="837" t="e">
        <f>'PR Expenditure_7A'!#REF!</f>
        <v>#REF!</v>
      </c>
      <c r="E10" s="838">
        <f>IFERROR(INDEX('LFA Expenditure_7B'!G$8:G$77,MATCH('LFA Expenditure_7B imp-exp'!N10,'LFA Expenditure_7B'!B$8:B$77,0)),"")</f>
        <v>0</v>
      </c>
      <c r="F10" s="837"/>
      <c r="G10" s="839"/>
      <c r="H10" s="52"/>
      <c r="I10" s="303">
        <f t="shared" si="0"/>
        <v>6</v>
      </c>
      <c r="J10" s="840">
        <v>891577.55226037803</v>
      </c>
      <c r="K10" s="838">
        <f>IFERROR(INDEX('LFA Expenditure_7B'!M$8:M$77,MATCH('LFA Expenditure_7B imp-exp'!N10,'LFA Expenditure_7B'!B$8:B$77,0)),"")</f>
        <v>0</v>
      </c>
      <c r="L10" s="837"/>
      <c r="M10" s="839"/>
      <c r="N10" s="841" t="str">
        <f t="shared" si="1"/>
        <v>Costgrp6</v>
      </c>
      <c r="O10" s="842" t="s">
        <v>2692</v>
      </c>
      <c r="P10" s="843">
        <v>2</v>
      </c>
      <c r="Q10" s="844">
        <v>3</v>
      </c>
      <c r="R10" s="280"/>
      <c r="S10" s="280"/>
      <c r="T10" s="280"/>
      <c r="U10" s="318"/>
    </row>
    <row r="11" spans="1:21" ht="15" x14ac:dyDescent="0.2">
      <c r="A11" s="836" t="s">
        <v>2693</v>
      </c>
      <c r="B11" s="303"/>
      <c r="C11" s="837">
        <v>152662.31586325</v>
      </c>
      <c r="D11" s="837" t="e">
        <f>'PR Expenditure_7A'!#REF!</f>
        <v>#REF!</v>
      </c>
      <c r="E11" s="838">
        <f>IFERROR(INDEX('LFA Expenditure_7B'!G$8:G$77,MATCH('LFA Expenditure_7B imp-exp'!N11,'LFA Expenditure_7B'!B$8:B$77,0)),"")</f>
        <v>0</v>
      </c>
      <c r="F11" s="837"/>
      <c r="G11" s="839"/>
      <c r="H11" s="52"/>
      <c r="I11" s="303">
        <f t="shared" si="0"/>
        <v>7</v>
      </c>
      <c r="J11" s="840">
        <v>384237.60942539701</v>
      </c>
      <c r="K11" s="838">
        <f>IFERROR(INDEX('LFA Expenditure_7B'!M$8:M$77,MATCH('LFA Expenditure_7B imp-exp'!N11,'LFA Expenditure_7B'!B$8:B$77,0)),"")</f>
        <v>0</v>
      </c>
      <c r="L11" s="837"/>
      <c r="M11" s="839"/>
      <c r="N11" s="841" t="str">
        <f t="shared" si="1"/>
        <v>Costgrp7</v>
      </c>
      <c r="O11" s="842" t="s">
        <v>2694</v>
      </c>
      <c r="P11" s="843">
        <v>2</v>
      </c>
      <c r="Q11" s="844">
        <v>4</v>
      </c>
      <c r="R11" s="280"/>
      <c r="S11" s="280"/>
      <c r="T11" s="280"/>
      <c r="U11" s="318"/>
    </row>
    <row r="12" spans="1:21" ht="15" x14ac:dyDescent="0.2">
      <c r="A12" s="836" t="s">
        <v>2695</v>
      </c>
      <c r="B12" s="303"/>
      <c r="C12" s="837">
        <v>86619.915857884102</v>
      </c>
      <c r="D12" s="837" t="e">
        <f>'PR Expenditure_7A'!#REF!</f>
        <v>#REF!</v>
      </c>
      <c r="E12" s="838">
        <f>IFERROR(INDEX('LFA Expenditure_7B'!G$8:G$77,MATCH('LFA Expenditure_7B imp-exp'!N12,'LFA Expenditure_7B'!B$8:B$77,0)),"")</f>
        <v>0</v>
      </c>
      <c r="F12" s="837"/>
      <c r="G12" s="839"/>
      <c r="H12" s="52"/>
      <c r="I12" s="303">
        <f t="shared" si="0"/>
        <v>8</v>
      </c>
      <c r="J12" s="840">
        <v>171679.87074759501</v>
      </c>
      <c r="K12" s="838">
        <f>IFERROR(INDEX('LFA Expenditure_7B'!M$8:M$77,MATCH('LFA Expenditure_7B imp-exp'!N12,'LFA Expenditure_7B'!B$8:B$77,0)),"")</f>
        <v>0</v>
      </c>
      <c r="L12" s="837"/>
      <c r="M12" s="839"/>
      <c r="N12" s="841" t="str">
        <f t="shared" si="1"/>
        <v>Costgrp8</v>
      </c>
      <c r="O12" s="842" t="s">
        <v>2696</v>
      </c>
      <c r="P12" s="843">
        <v>2</v>
      </c>
      <c r="Q12" s="844">
        <v>5</v>
      </c>
      <c r="R12" s="280"/>
      <c r="S12" s="280"/>
      <c r="T12" s="280"/>
      <c r="U12" s="318"/>
    </row>
    <row r="13" spans="1:21" ht="15" x14ac:dyDescent="0.2">
      <c r="A13" s="836" t="s">
        <v>2697</v>
      </c>
      <c r="B13" s="303"/>
      <c r="C13" s="837">
        <v>25810</v>
      </c>
      <c r="D13" s="837" t="e">
        <f>'PR Expenditure_7A'!#REF!</f>
        <v>#REF!</v>
      </c>
      <c r="E13" s="838">
        <f>IFERROR(INDEX('LFA Expenditure_7B'!G$8:G$77,MATCH('LFA Expenditure_7B imp-exp'!N13,'LFA Expenditure_7B'!B$8:B$77,0)),"")</f>
        <v>0</v>
      </c>
      <c r="F13" s="837"/>
      <c r="G13" s="839"/>
      <c r="H13" s="52"/>
      <c r="I13" s="303">
        <f t="shared" si="0"/>
        <v>9</v>
      </c>
      <c r="J13" s="840">
        <v>67420.303030302995</v>
      </c>
      <c r="K13" s="838">
        <f>IFERROR(INDEX('LFA Expenditure_7B'!M$8:M$77,MATCH('LFA Expenditure_7B imp-exp'!N13,'LFA Expenditure_7B'!B$8:B$77,0)),"")</f>
        <v>0</v>
      </c>
      <c r="L13" s="837"/>
      <c r="M13" s="839"/>
      <c r="N13" s="841" t="str">
        <f t="shared" si="1"/>
        <v>Costgrp9</v>
      </c>
      <c r="O13" s="842" t="s">
        <v>2698</v>
      </c>
      <c r="P13" s="843">
        <v>3</v>
      </c>
      <c r="Q13" s="844">
        <v>1</v>
      </c>
      <c r="R13" s="280"/>
      <c r="S13" s="280"/>
      <c r="T13" s="280"/>
      <c r="U13" s="318"/>
    </row>
    <row r="14" spans="1:21" ht="15" x14ac:dyDescent="0.2">
      <c r="A14" s="836" t="s">
        <v>2699</v>
      </c>
      <c r="B14" s="303"/>
      <c r="C14" s="837">
        <v>43900</v>
      </c>
      <c r="D14" s="837" t="e">
        <f>'PR Expenditure_7A'!#REF!</f>
        <v>#REF!</v>
      </c>
      <c r="E14" s="838">
        <f>IFERROR(INDEX('LFA Expenditure_7B'!G$8:G$77,MATCH('LFA Expenditure_7B imp-exp'!N14,'LFA Expenditure_7B'!B$8:B$77,0)),"")</f>
        <v>0</v>
      </c>
      <c r="F14" s="837"/>
      <c r="G14" s="839"/>
      <c r="H14" s="52"/>
      <c r="I14" s="303">
        <f t="shared" si="0"/>
        <v>10</v>
      </c>
      <c r="J14" s="840">
        <v>58900</v>
      </c>
      <c r="K14" s="838">
        <f>IFERROR(INDEX('LFA Expenditure_7B'!M$8:M$77,MATCH('LFA Expenditure_7B imp-exp'!N14,'LFA Expenditure_7B'!B$8:B$77,0)),"")</f>
        <v>0</v>
      </c>
      <c r="L14" s="837"/>
      <c r="M14" s="839"/>
      <c r="N14" s="841" t="str">
        <f t="shared" si="1"/>
        <v>Costgrp10</v>
      </c>
      <c r="O14" s="842" t="s">
        <v>2700</v>
      </c>
      <c r="P14" s="843">
        <v>3</v>
      </c>
      <c r="Q14" s="844">
        <v>3</v>
      </c>
      <c r="R14" s="280"/>
      <c r="S14" s="280"/>
      <c r="T14" s="280"/>
      <c r="U14" s="318"/>
    </row>
    <row r="15" spans="1:21" ht="15" x14ac:dyDescent="0.2">
      <c r="A15" s="836" t="s">
        <v>2701</v>
      </c>
      <c r="B15" s="303"/>
      <c r="C15" s="837">
        <v>37872.672927453699</v>
      </c>
      <c r="D15" s="837" t="e">
        <f>'PR Expenditure_7A'!#REF!</f>
        <v>#REF!</v>
      </c>
      <c r="E15" s="838">
        <f>IFERROR(INDEX('LFA Expenditure_7B'!G$8:G$77,MATCH('LFA Expenditure_7B imp-exp'!N15,'LFA Expenditure_7B'!B$8:B$77,0)),"")</f>
        <v>0</v>
      </c>
      <c r="F15" s="837"/>
      <c r="G15" s="839"/>
      <c r="H15" s="52"/>
      <c r="I15" s="303">
        <f t="shared" si="0"/>
        <v>11</v>
      </c>
      <c r="J15" s="840">
        <v>108936.69419773101</v>
      </c>
      <c r="K15" s="838">
        <f>IFERROR(INDEX('LFA Expenditure_7B'!M$8:M$77,MATCH('LFA Expenditure_7B imp-exp'!N15,'LFA Expenditure_7B'!B$8:B$77,0)),"")</f>
        <v>0</v>
      </c>
      <c r="L15" s="837"/>
      <c r="M15" s="839"/>
      <c r="N15" s="841" t="str">
        <f t="shared" si="1"/>
        <v>Costgrp11</v>
      </c>
      <c r="O15" s="842" t="s">
        <v>2702</v>
      </c>
      <c r="P15" s="843">
        <v>3</v>
      </c>
      <c r="Q15" s="844">
        <v>4</v>
      </c>
      <c r="R15" s="280"/>
      <c r="S15" s="280"/>
      <c r="T15" s="280"/>
      <c r="U15" s="318"/>
    </row>
    <row r="16" spans="1:21" ht="15" x14ac:dyDescent="0.2">
      <c r="A16" s="836" t="s">
        <v>2703</v>
      </c>
      <c r="B16" s="303"/>
      <c r="C16" s="837">
        <v>2374573.84</v>
      </c>
      <c r="D16" s="837" t="e">
        <f>'PR Expenditure_7A'!#REF!</f>
        <v>#REF!</v>
      </c>
      <c r="E16" s="838">
        <f>IFERROR(INDEX('LFA Expenditure_7B'!G$8:G$77,MATCH('LFA Expenditure_7B imp-exp'!N16,'LFA Expenditure_7B'!B$8:B$77,0)),"")</f>
        <v>0</v>
      </c>
      <c r="F16" s="837"/>
      <c r="G16" s="839"/>
      <c r="H16" s="52"/>
      <c r="I16" s="303">
        <f t="shared" si="0"/>
        <v>12</v>
      </c>
      <c r="J16" s="840">
        <v>2797400.6</v>
      </c>
      <c r="K16" s="838">
        <f>IFERROR(INDEX('LFA Expenditure_7B'!M$8:M$77,MATCH('LFA Expenditure_7B imp-exp'!N16,'LFA Expenditure_7B'!B$8:B$77,0)),"")</f>
        <v>0</v>
      </c>
      <c r="L16" s="837"/>
      <c r="M16" s="839"/>
      <c r="N16" s="841" t="str">
        <f t="shared" si="1"/>
        <v>Costgrp12</v>
      </c>
      <c r="O16" s="842" t="s">
        <v>2704</v>
      </c>
      <c r="P16" s="843">
        <v>4</v>
      </c>
      <c r="Q16" s="844">
        <v>1</v>
      </c>
      <c r="R16" s="280"/>
      <c r="S16" s="280"/>
      <c r="T16" s="280"/>
      <c r="U16" s="318"/>
    </row>
    <row r="17" spans="1:21" ht="15" x14ac:dyDescent="0.2">
      <c r="A17" s="836" t="s">
        <v>2705</v>
      </c>
      <c r="B17" s="303"/>
      <c r="C17" s="837">
        <v>523533.37</v>
      </c>
      <c r="D17" s="837" t="e">
        <f>'PR Expenditure_7A'!#REF!</f>
        <v>#REF!</v>
      </c>
      <c r="E17" s="838">
        <f>IFERROR(INDEX('LFA Expenditure_7B'!G$8:G$77,MATCH('LFA Expenditure_7B imp-exp'!N17,'LFA Expenditure_7B'!B$8:B$77,0)),"")</f>
        <v>0</v>
      </c>
      <c r="F17" s="837"/>
      <c r="G17" s="839"/>
      <c r="H17" s="52"/>
      <c r="I17" s="303">
        <f t="shared" si="0"/>
        <v>13</v>
      </c>
      <c r="J17" s="840">
        <v>1034709.24</v>
      </c>
      <c r="K17" s="838">
        <f>IFERROR(INDEX('LFA Expenditure_7B'!M$8:M$77,MATCH('LFA Expenditure_7B imp-exp'!N17,'LFA Expenditure_7B'!B$8:B$77,0)),"")</f>
        <v>0</v>
      </c>
      <c r="L17" s="837"/>
      <c r="M17" s="839"/>
      <c r="N17" s="841" t="str">
        <f t="shared" si="1"/>
        <v>Costgrp13</v>
      </c>
      <c r="O17" s="842" t="s">
        <v>2706</v>
      </c>
      <c r="P17" s="843">
        <v>4</v>
      </c>
      <c r="Q17" s="844">
        <v>2</v>
      </c>
      <c r="R17" s="280"/>
      <c r="S17" s="280"/>
      <c r="T17" s="280"/>
      <c r="U17" s="318"/>
    </row>
    <row r="18" spans="1:21" ht="15" x14ac:dyDescent="0.2">
      <c r="A18" s="836" t="s">
        <v>2707</v>
      </c>
      <c r="B18" s="303"/>
      <c r="C18" s="837">
        <v>76235.13</v>
      </c>
      <c r="D18" s="837" t="e">
        <f>'PR Expenditure_7A'!#REF!</f>
        <v>#REF!</v>
      </c>
      <c r="E18" s="838">
        <f>IFERROR(INDEX('LFA Expenditure_7B'!G$8:G$77,MATCH('LFA Expenditure_7B imp-exp'!N18,'LFA Expenditure_7B'!B$8:B$77,0)),"")</f>
        <v>0</v>
      </c>
      <c r="F18" s="837"/>
      <c r="G18" s="839"/>
      <c r="H18" s="52"/>
      <c r="I18" s="303">
        <f t="shared" si="0"/>
        <v>14</v>
      </c>
      <c r="J18" s="840">
        <v>134732.69</v>
      </c>
      <c r="K18" s="838">
        <f>IFERROR(INDEX('LFA Expenditure_7B'!M$8:M$77,MATCH('LFA Expenditure_7B imp-exp'!N18,'LFA Expenditure_7B'!B$8:B$77,0)),"")</f>
        <v>0</v>
      </c>
      <c r="L18" s="837"/>
      <c r="M18" s="839"/>
      <c r="N18" s="841" t="str">
        <f t="shared" si="1"/>
        <v>Costgrp14</v>
      </c>
      <c r="O18" s="842" t="s">
        <v>2708</v>
      </c>
      <c r="P18" s="843">
        <v>4</v>
      </c>
      <c r="Q18" s="844">
        <v>5</v>
      </c>
      <c r="R18" s="280"/>
      <c r="S18" s="280"/>
      <c r="T18" s="280"/>
      <c r="U18" s="318"/>
    </row>
    <row r="19" spans="1:21" ht="15" x14ac:dyDescent="0.2">
      <c r="A19" s="836" t="s">
        <v>2709</v>
      </c>
      <c r="B19" s="303"/>
      <c r="C19" s="837">
        <v>0</v>
      </c>
      <c r="D19" s="837" t="e">
        <f>'PR Expenditure_7A'!#REF!</f>
        <v>#REF!</v>
      </c>
      <c r="E19" s="838">
        <f>IFERROR(INDEX('LFA Expenditure_7B'!G$8:G$77,MATCH('LFA Expenditure_7B imp-exp'!N19,'LFA Expenditure_7B'!B$8:B$77,0)),"")</f>
        <v>0</v>
      </c>
      <c r="F19" s="837"/>
      <c r="G19" s="839"/>
      <c r="H19" s="52"/>
      <c r="I19" s="303">
        <f t="shared" si="0"/>
        <v>15</v>
      </c>
      <c r="J19" s="840">
        <v>9000</v>
      </c>
      <c r="K19" s="838">
        <f>IFERROR(INDEX('LFA Expenditure_7B'!M$8:M$77,MATCH('LFA Expenditure_7B imp-exp'!N19,'LFA Expenditure_7B'!B$8:B$77,0)),"")</f>
        <v>0</v>
      </c>
      <c r="L19" s="837"/>
      <c r="M19" s="839"/>
      <c r="N19" s="841" t="str">
        <f t="shared" si="1"/>
        <v>Costgrp15</v>
      </c>
      <c r="O19" s="842" t="s">
        <v>2710</v>
      </c>
      <c r="P19" s="843">
        <v>4</v>
      </c>
      <c r="Q19" s="844">
        <v>7</v>
      </c>
      <c r="R19" s="280"/>
      <c r="S19" s="280"/>
      <c r="T19" s="280"/>
      <c r="U19" s="318"/>
    </row>
    <row r="20" spans="1:21" ht="15" x14ac:dyDescent="0.2">
      <c r="A20" s="836" t="s">
        <v>2711</v>
      </c>
      <c r="B20" s="303"/>
      <c r="C20" s="837">
        <v>234419.53388854</v>
      </c>
      <c r="D20" s="837" t="e">
        <f>'PR Expenditure_7A'!#REF!</f>
        <v>#REF!</v>
      </c>
      <c r="E20" s="838">
        <f>IFERROR(INDEX('LFA Expenditure_7B'!G$8:G$77,MATCH('LFA Expenditure_7B imp-exp'!N20,'LFA Expenditure_7B'!B$8:B$77,0)),"")</f>
        <v>0</v>
      </c>
      <c r="F20" s="837"/>
      <c r="G20" s="839"/>
      <c r="H20" s="52"/>
      <c r="I20" s="303">
        <f t="shared" si="0"/>
        <v>16</v>
      </c>
      <c r="J20" s="840">
        <v>234419.53388854</v>
      </c>
      <c r="K20" s="838">
        <f>IFERROR(INDEX('LFA Expenditure_7B'!M$8:M$77,MATCH('LFA Expenditure_7B imp-exp'!N20,'LFA Expenditure_7B'!B$8:B$77,0)),"")</f>
        <v>0</v>
      </c>
      <c r="L20" s="837"/>
      <c r="M20" s="839"/>
      <c r="N20" s="841" t="str">
        <f t="shared" si="1"/>
        <v>Costgrp16</v>
      </c>
      <c r="O20" s="842" t="s">
        <v>2712</v>
      </c>
      <c r="P20" s="843">
        <v>5</v>
      </c>
      <c r="Q20" s="844">
        <v>2</v>
      </c>
      <c r="R20" s="280"/>
      <c r="S20" s="280"/>
      <c r="T20" s="280"/>
      <c r="U20" s="318"/>
    </row>
    <row r="21" spans="1:21" ht="15" x14ac:dyDescent="0.2">
      <c r="A21" s="836" t="s">
        <v>2713</v>
      </c>
      <c r="B21" s="303"/>
      <c r="C21" s="837">
        <v>142498.65</v>
      </c>
      <c r="D21" s="837" t="e">
        <f>'PR Expenditure_7A'!#REF!</f>
        <v>#REF!</v>
      </c>
      <c r="E21" s="838">
        <f>IFERROR(INDEX('LFA Expenditure_7B'!G$8:G$77,MATCH('LFA Expenditure_7B imp-exp'!N21,'LFA Expenditure_7B'!B$8:B$77,0)),"")</f>
        <v>0</v>
      </c>
      <c r="F21" s="837"/>
      <c r="G21" s="839"/>
      <c r="H21" s="52"/>
      <c r="I21" s="303">
        <f t="shared" si="0"/>
        <v>17</v>
      </c>
      <c r="J21" s="840">
        <v>155484.35</v>
      </c>
      <c r="K21" s="838">
        <f>IFERROR(INDEX('LFA Expenditure_7B'!M$8:M$77,MATCH('LFA Expenditure_7B imp-exp'!N21,'LFA Expenditure_7B'!B$8:B$77,0)),"")</f>
        <v>0</v>
      </c>
      <c r="L21" s="837"/>
      <c r="M21" s="839"/>
      <c r="N21" s="841" t="str">
        <f t="shared" si="1"/>
        <v>Costgrp17</v>
      </c>
      <c r="O21" s="842" t="s">
        <v>2714</v>
      </c>
      <c r="P21" s="843">
        <v>5</v>
      </c>
      <c r="Q21" s="844">
        <v>3</v>
      </c>
      <c r="R21" s="280"/>
      <c r="S21" s="280"/>
      <c r="T21" s="280"/>
      <c r="U21" s="318"/>
    </row>
    <row r="22" spans="1:21" ht="15" x14ac:dyDescent="0.2">
      <c r="A22" s="836" t="s">
        <v>2715</v>
      </c>
      <c r="B22" s="303"/>
      <c r="C22" s="837">
        <v>404384.02</v>
      </c>
      <c r="D22" s="837" t="e">
        <f>'PR Expenditure_7A'!#REF!</f>
        <v>#REF!</v>
      </c>
      <c r="E22" s="838">
        <f>IFERROR(INDEX('LFA Expenditure_7B'!G$8:G$77,MATCH('LFA Expenditure_7B imp-exp'!N22,'LFA Expenditure_7B'!B$8:B$77,0)),"")</f>
        <v>0</v>
      </c>
      <c r="F22" s="837"/>
      <c r="G22" s="839"/>
      <c r="H22" s="52"/>
      <c r="I22" s="303">
        <f t="shared" si="0"/>
        <v>18</v>
      </c>
      <c r="J22" s="840">
        <v>524325.35</v>
      </c>
      <c r="K22" s="838">
        <f>IFERROR(INDEX('LFA Expenditure_7B'!M$8:M$77,MATCH('LFA Expenditure_7B imp-exp'!N22,'LFA Expenditure_7B'!B$8:B$77,0)),"")</f>
        <v>0</v>
      </c>
      <c r="L22" s="837"/>
      <c r="M22" s="839"/>
      <c r="N22" s="841" t="str">
        <f t="shared" si="1"/>
        <v>Costgrp18</v>
      </c>
      <c r="O22" s="842" t="s">
        <v>2716</v>
      </c>
      <c r="P22" s="843">
        <v>5</v>
      </c>
      <c r="Q22" s="844">
        <v>4</v>
      </c>
      <c r="R22" s="280"/>
      <c r="S22" s="280"/>
      <c r="T22" s="280"/>
      <c r="U22" s="318"/>
    </row>
    <row r="23" spans="1:21" ht="15" x14ac:dyDescent="0.2">
      <c r="A23" s="836" t="s">
        <v>2717</v>
      </c>
      <c r="B23" s="303"/>
      <c r="C23" s="837">
        <v>353331.25</v>
      </c>
      <c r="D23" s="837" t="e">
        <f>'PR Expenditure_7A'!#REF!</f>
        <v>#REF!</v>
      </c>
      <c r="E23" s="838">
        <f>IFERROR(INDEX('LFA Expenditure_7B'!G$8:G$77,MATCH('LFA Expenditure_7B imp-exp'!N23,'LFA Expenditure_7B'!B$8:B$77,0)),"")</f>
        <v>0</v>
      </c>
      <c r="F23" s="837"/>
      <c r="G23" s="839"/>
      <c r="H23" s="52"/>
      <c r="I23" s="303">
        <f t="shared" si="0"/>
        <v>19</v>
      </c>
      <c r="J23" s="840">
        <v>657294.41</v>
      </c>
      <c r="K23" s="838">
        <f>IFERROR(INDEX('LFA Expenditure_7B'!M$8:M$77,MATCH('LFA Expenditure_7B imp-exp'!N23,'LFA Expenditure_7B'!B$8:B$77,0)),"")</f>
        <v>0</v>
      </c>
      <c r="L23" s="837"/>
      <c r="M23" s="839"/>
      <c r="N23" s="841" t="str">
        <f t="shared" si="1"/>
        <v>Costgrp19</v>
      </c>
      <c r="O23" s="842" t="s">
        <v>2718</v>
      </c>
      <c r="P23" s="843">
        <v>5</v>
      </c>
      <c r="Q23" s="844">
        <v>6</v>
      </c>
      <c r="R23" s="280"/>
      <c r="S23" s="280"/>
      <c r="T23" s="280"/>
      <c r="U23" s="318"/>
    </row>
    <row r="24" spans="1:21" ht="15" x14ac:dyDescent="0.2">
      <c r="A24" s="836" t="s">
        <v>2719</v>
      </c>
      <c r="B24" s="303"/>
      <c r="C24" s="837">
        <v>1148</v>
      </c>
      <c r="D24" s="837" t="e">
        <f>'PR Expenditure_7A'!#REF!</f>
        <v>#REF!</v>
      </c>
      <c r="E24" s="838">
        <f>IFERROR(INDEX('LFA Expenditure_7B'!G$8:G$77,MATCH('LFA Expenditure_7B imp-exp'!N24,'LFA Expenditure_7B'!B$8:B$77,0)),"")</f>
        <v>0</v>
      </c>
      <c r="F24" s="837"/>
      <c r="G24" s="839"/>
      <c r="H24" s="52"/>
      <c r="I24" s="303">
        <f t="shared" si="0"/>
        <v>20</v>
      </c>
      <c r="J24" s="840">
        <v>2296</v>
      </c>
      <c r="K24" s="838">
        <f>IFERROR(INDEX('LFA Expenditure_7B'!M$8:M$77,MATCH('LFA Expenditure_7B imp-exp'!N24,'LFA Expenditure_7B'!B$8:B$77,0)),"")</f>
        <v>0</v>
      </c>
      <c r="L24" s="837"/>
      <c r="M24" s="839"/>
      <c r="N24" s="841" t="str">
        <f t="shared" si="1"/>
        <v>Costgrp20</v>
      </c>
      <c r="O24" s="842" t="s">
        <v>2720</v>
      </c>
      <c r="P24" s="843">
        <v>5</v>
      </c>
      <c r="Q24" s="844">
        <v>7</v>
      </c>
      <c r="R24" s="280"/>
      <c r="S24" s="280"/>
      <c r="T24" s="280"/>
      <c r="U24" s="318"/>
    </row>
    <row r="25" spans="1:21" ht="15" x14ac:dyDescent="0.2">
      <c r="A25" s="836" t="s">
        <v>2721</v>
      </c>
      <c r="B25" s="303"/>
      <c r="C25" s="837">
        <v>640261.87</v>
      </c>
      <c r="D25" s="837" t="e">
        <f>'PR Expenditure_7A'!#REF!</f>
        <v>#REF!</v>
      </c>
      <c r="E25" s="838">
        <f>IFERROR(INDEX('LFA Expenditure_7B'!G$8:G$77,MATCH('LFA Expenditure_7B imp-exp'!N25,'LFA Expenditure_7B'!B$8:B$77,0)),"")</f>
        <v>0</v>
      </c>
      <c r="F25" s="837"/>
      <c r="G25" s="839"/>
      <c r="H25" s="52"/>
      <c r="I25" s="303">
        <f t="shared" si="0"/>
        <v>21</v>
      </c>
      <c r="J25" s="840">
        <v>968984.7</v>
      </c>
      <c r="K25" s="838">
        <f>IFERROR(INDEX('LFA Expenditure_7B'!M$8:M$77,MATCH('LFA Expenditure_7B imp-exp'!N25,'LFA Expenditure_7B'!B$8:B$77,0)),"")</f>
        <v>0</v>
      </c>
      <c r="L25" s="837"/>
      <c r="M25" s="839"/>
      <c r="N25" s="841" t="str">
        <f t="shared" si="1"/>
        <v>Costgrp21</v>
      </c>
      <c r="O25" s="842" t="s">
        <v>2722</v>
      </c>
      <c r="P25" s="843">
        <v>5</v>
      </c>
      <c r="Q25" s="844">
        <v>8</v>
      </c>
      <c r="R25" s="280"/>
      <c r="S25" s="280"/>
      <c r="T25" s="280"/>
      <c r="U25" s="318"/>
    </row>
    <row r="26" spans="1:21" ht="15" x14ac:dyDescent="0.2">
      <c r="A26" s="836" t="s">
        <v>2723</v>
      </c>
      <c r="B26" s="303"/>
      <c r="C26" s="837">
        <v>165668</v>
      </c>
      <c r="D26" s="837" t="e">
        <f>'PR Expenditure_7A'!#REF!</f>
        <v>#REF!</v>
      </c>
      <c r="E26" s="838">
        <f>IFERROR(INDEX('LFA Expenditure_7B'!G$8:G$77,MATCH('LFA Expenditure_7B imp-exp'!N26,'LFA Expenditure_7B'!B$8:B$77,0)),"")</f>
        <v>0</v>
      </c>
      <c r="F26" s="837"/>
      <c r="G26" s="839"/>
      <c r="H26" s="52"/>
      <c r="I26" s="303">
        <f t="shared" si="0"/>
        <v>22</v>
      </c>
      <c r="J26" s="840">
        <v>426828.97</v>
      </c>
      <c r="K26" s="838">
        <f>IFERROR(INDEX('LFA Expenditure_7B'!M$8:M$77,MATCH('LFA Expenditure_7B imp-exp'!N26,'LFA Expenditure_7B'!B$8:B$77,0)),"")</f>
        <v>0</v>
      </c>
      <c r="L26" s="837"/>
      <c r="M26" s="839"/>
      <c r="N26" s="841" t="str">
        <f t="shared" si="1"/>
        <v>Costgrp22</v>
      </c>
      <c r="O26" s="842" t="s">
        <v>2724</v>
      </c>
      <c r="P26" s="843">
        <v>6</v>
      </c>
      <c r="Q26" s="844">
        <v>4</v>
      </c>
      <c r="R26" s="280"/>
      <c r="S26" s="280"/>
      <c r="T26" s="280"/>
      <c r="U26" s="318"/>
    </row>
    <row r="27" spans="1:21" ht="15" x14ac:dyDescent="0.2">
      <c r="A27" s="836" t="s">
        <v>2725</v>
      </c>
      <c r="B27" s="303"/>
      <c r="C27" s="837">
        <v>42021.19</v>
      </c>
      <c r="D27" s="837" t="e">
        <f>'PR Expenditure_7A'!#REF!</f>
        <v>#REF!</v>
      </c>
      <c r="E27" s="838">
        <f>IFERROR(INDEX('LFA Expenditure_7B'!G$8:G$77,MATCH('LFA Expenditure_7B imp-exp'!N27,'LFA Expenditure_7B'!B$8:B$77,0)),"")</f>
        <v>0</v>
      </c>
      <c r="F27" s="837"/>
      <c r="G27" s="839"/>
      <c r="H27" s="52"/>
      <c r="I27" s="303">
        <f t="shared" si="0"/>
        <v>23</v>
      </c>
      <c r="J27" s="840">
        <v>71909.87</v>
      </c>
      <c r="K27" s="838">
        <f>IFERROR(INDEX('LFA Expenditure_7B'!M$8:M$77,MATCH('LFA Expenditure_7B imp-exp'!N27,'LFA Expenditure_7B'!B$8:B$77,0)),"")</f>
        <v>0</v>
      </c>
      <c r="L27" s="837"/>
      <c r="M27" s="839"/>
      <c r="N27" s="841" t="str">
        <f t="shared" si="1"/>
        <v>Costgrp23</v>
      </c>
      <c r="O27" s="842" t="s">
        <v>2726</v>
      </c>
      <c r="P27" s="843">
        <v>6</v>
      </c>
      <c r="Q27" s="844">
        <v>5</v>
      </c>
      <c r="R27" s="280"/>
      <c r="S27" s="280"/>
      <c r="T27" s="280"/>
      <c r="U27" s="318"/>
    </row>
    <row r="28" spans="1:21" ht="15" x14ac:dyDescent="0.2">
      <c r="A28" s="836" t="s">
        <v>2727</v>
      </c>
      <c r="B28" s="303"/>
      <c r="C28" s="837">
        <v>8210.17</v>
      </c>
      <c r="D28" s="837" t="e">
        <f>'PR Expenditure_7A'!#REF!</f>
        <v>#REF!</v>
      </c>
      <c r="E28" s="838">
        <f>IFERROR(INDEX('LFA Expenditure_7B'!G$8:G$77,MATCH('LFA Expenditure_7B imp-exp'!N28,'LFA Expenditure_7B'!B$8:B$77,0)),"")</f>
        <v>0</v>
      </c>
      <c r="F28" s="837"/>
      <c r="G28" s="839"/>
      <c r="H28" s="52"/>
      <c r="I28" s="303">
        <f t="shared" si="0"/>
        <v>24</v>
      </c>
      <c r="J28" s="840">
        <v>16420.34</v>
      </c>
      <c r="K28" s="838">
        <f>IFERROR(INDEX('LFA Expenditure_7B'!M$8:M$77,MATCH('LFA Expenditure_7B imp-exp'!N28,'LFA Expenditure_7B'!B$8:B$77,0)),"")</f>
        <v>0</v>
      </c>
      <c r="L28" s="837"/>
      <c r="M28" s="839"/>
      <c r="N28" s="841" t="str">
        <f t="shared" si="1"/>
        <v>Costgrp24</v>
      </c>
      <c r="O28" s="842" t="s">
        <v>2728</v>
      </c>
      <c r="P28" s="843">
        <v>6</v>
      </c>
      <c r="Q28" s="844">
        <v>6</v>
      </c>
      <c r="R28" s="280"/>
      <c r="S28" s="280"/>
      <c r="T28" s="280"/>
      <c r="U28" s="318"/>
    </row>
    <row r="29" spans="1:21" ht="15" x14ac:dyDescent="0.2">
      <c r="A29" s="836" t="s">
        <v>2729</v>
      </c>
      <c r="B29" s="303"/>
      <c r="C29" s="837">
        <v>203060.32895</v>
      </c>
      <c r="D29" s="837" t="e">
        <f>'PR Expenditure_7A'!#REF!</f>
        <v>#REF!</v>
      </c>
      <c r="E29" s="838">
        <f>IFERROR(INDEX('LFA Expenditure_7B'!G$8:G$77,MATCH('LFA Expenditure_7B imp-exp'!N29,'LFA Expenditure_7B'!B$8:B$77,0)),"")</f>
        <v>0</v>
      </c>
      <c r="F29" s="837"/>
      <c r="G29" s="839"/>
      <c r="H29" s="52"/>
      <c r="I29" s="303">
        <f t="shared" si="0"/>
        <v>25</v>
      </c>
      <c r="J29" s="840">
        <v>280136.41814999998</v>
      </c>
      <c r="K29" s="838">
        <f>IFERROR(INDEX('LFA Expenditure_7B'!M$8:M$77,MATCH('LFA Expenditure_7B imp-exp'!N29,'LFA Expenditure_7B'!B$8:B$77,0)),"")</f>
        <v>0</v>
      </c>
      <c r="L29" s="837"/>
      <c r="M29" s="839"/>
      <c r="N29" s="841" t="str">
        <f t="shared" si="1"/>
        <v>Costgrp25</v>
      </c>
      <c r="O29" s="842" t="s">
        <v>2730</v>
      </c>
      <c r="P29" s="843">
        <v>7</v>
      </c>
      <c r="Q29" s="844">
        <v>1</v>
      </c>
      <c r="R29" s="280"/>
      <c r="S29" s="280"/>
      <c r="T29" s="280"/>
      <c r="U29" s="318"/>
    </row>
    <row r="30" spans="1:21" ht="15" x14ac:dyDescent="0.2">
      <c r="A30" s="836" t="s">
        <v>2731</v>
      </c>
      <c r="B30" s="303"/>
      <c r="C30" s="837">
        <v>756924.26063599996</v>
      </c>
      <c r="D30" s="837" t="e">
        <f>'PR Expenditure_7A'!#REF!</f>
        <v>#REF!</v>
      </c>
      <c r="E30" s="838">
        <f>IFERROR(INDEX('LFA Expenditure_7B'!G$8:G$77,MATCH('LFA Expenditure_7B imp-exp'!N30,'LFA Expenditure_7B'!B$8:B$77,0)),"")</f>
        <v>0</v>
      </c>
      <c r="F30" s="837"/>
      <c r="G30" s="839"/>
      <c r="H30" s="52"/>
      <c r="I30" s="303">
        <f t="shared" si="0"/>
        <v>26</v>
      </c>
      <c r="J30" s="840">
        <v>1049192.3641959999</v>
      </c>
      <c r="K30" s="838">
        <f>IFERROR(INDEX('LFA Expenditure_7B'!M$8:M$77,MATCH('LFA Expenditure_7B imp-exp'!N30,'LFA Expenditure_7B'!B$8:B$77,0)),"")</f>
        <v>0</v>
      </c>
      <c r="L30" s="837"/>
      <c r="M30" s="839"/>
      <c r="N30" s="841" t="str">
        <f t="shared" si="1"/>
        <v>Costgrp26</v>
      </c>
      <c r="O30" s="842" t="s">
        <v>2732</v>
      </c>
      <c r="P30" s="843">
        <v>7</v>
      </c>
      <c r="Q30" s="844">
        <v>2</v>
      </c>
      <c r="R30" s="280"/>
      <c r="S30" s="280"/>
      <c r="T30" s="280"/>
      <c r="U30" s="318"/>
    </row>
    <row r="31" spans="1:21" ht="15" x14ac:dyDescent="0.2">
      <c r="A31" s="836" t="s">
        <v>2733</v>
      </c>
      <c r="B31" s="303"/>
      <c r="C31" s="837">
        <v>246212.2635</v>
      </c>
      <c r="D31" s="837" t="e">
        <f>'PR Expenditure_7A'!#REF!</f>
        <v>#REF!</v>
      </c>
      <c r="E31" s="838">
        <f>IFERROR(INDEX('LFA Expenditure_7B'!G$8:G$77,MATCH('LFA Expenditure_7B imp-exp'!N31,'LFA Expenditure_7B'!B$8:B$77,0)),"")</f>
        <v>0</v>
      </c>
      <c r="F31" s="837"/>
      <c r="G31" s="839"/>
      <c r="H31" s="52"/>
      <c r="I31" s="303">
        <f t="shared" si="0"/>
        <v>27</v>
      </c>
      <c r="J31" s="840">
        <v>342244.6385</v>
      </c>
      <c r="K31" s="838">
        <f>IFERROR(INDEX('LFA Expenditure_7B'!M$8:M$77,MATCH('LFA Expenditure_7B imp-exp'!N31,'LFA Expenditure_7B'!B$8:B$77,0)),"")</f>
        <v>0</v>
      </c>
      <c r="L31" s="837"/>
      <c r="M31" s="839"/>
      <c r="N31" s="841" t="str">
        <f t="shared" si="1"/>
        <v>Costgrp27</v>
      </c>
      <c r="O31" s="842" t="s">
        <v>2734</v>
      </c>
      <c r="P31" s="843">
        <v>7</v>
      </c>
      <c r="Q31" s="844">
        <v>3</v>
      </c>
      <c r="R31" s="280"/>
      <c r="S31" s="280"/>
      <c r="T31" s="280"/>
      <c r="U31" s="318"/>
    </row>
    <row r="32" spans="1:21" ht="15" x14ac:dyDescent="0.2">
      <c r="A32" s="836" t="s">
        <v>2735</v>
      </c>
      <c r="B32" s="303"/>
      <c r="C32" s="837">
        <v>117455.52</v>
      </c>
      <c r="D32" s="837" t="e">
        <f>'PR Expenditure_7A'!#REF!</f>
        <v>#REF!</v>
      </c>
      <c r="E32" s="838">
        <f>IFERROR(INDEX('LFA Expenditure_7B'!G$8:G$77,MATCH('LFA Expenditure_7B imp-exp'!N32,'LFA Expenditure_7B'!B$8:B$77,0)),"")</f>
        <v>0</v>
      </c>
      <c r="F32" s="837"/>
      <c r="G32" s="839"/>
      <c r="H32" s="52"/>
      <c r="I32" s="303">
        <f t="shared" si="0"/>
        <v>28</v>
      </c>
      <c r="J32" s="840">
        <v>180362.13</v>
      </c>
      <c r="K32" s="838">
        <f>IFERROR(INDEX('LFA Expenditure_7B'!M$8:M$77,MATCH('LFA Expenditure_7B imp-exp'!N32,'LFA Expenditure_7B'!B$8:B$77,0)),"")</f>
        <v>0</v>
      </c>
      <c r="L32" s="837"/>
      <c r="M32" s="839"/>
      <c r="N32" s="841" t="str">
        <f t="shared" si="1"/>
        <v>Costgrp28</v>
      </c>
      <c r="O32" s="842" t="s">
        <v>2736</v>
      </c>
      <c r="P32" s="843">
        <v>7</v>
      </c>
      <c r="Q32" s="844">
        <v>5</v>
      </c>
      <c r="R32" s="280"/>
      <c r="S32" s="280"/>
      <c r="T32" s="280"/>
      <c r="U32" s="318"/>
    </row>
    <row r="33" spans="1:21" ht="15" x14ac:dyDescent="0.2">
      <c r="A33" s="836" t="s">
        <v>2737</v>
      </c>
      <c r="B33" s="303"/>
      <c r="C33" s="837">
        <v>0</v>
      </c>
      <c r="D33" s="837" t="e">
        <f>'PR Expenditure_7A'!#REF!</f>
        <v>#REF!</v>
      </c>
      <c r="E33" s="838">
        <f>IFERROR(INDEX('LFA Expenditure_7B'!G$8:G$77,MATCH('LFA Expenditure_7B imp-exp'!N33,'LFA Expenditure_7B'!B$8:B$77,0)),"")</f>
        <v>0</v>
      </c>
      <c r="F33" s="837"/>
      <c r="G33" s="839"/>
      <c r="H33" s="52"/>
      <c r="I33" s="303">
        <f t="shared" si="0"/>
        <v>29</v>
      </c>
      <c r="J33" s="840">
        <v>7155</v>
      </c>
      <c r="K33" s="838">
        <f>IFERROR(INDEX('LFA Expenditure_7B'!M$8:M$77,MATCH('LFA Expenditure_7B imp-exp'!N33,'LFA Expenditure_7B'!B$8:B$77,0)),"")</f>
        <v>0</v>
      </c>
      <c r="L33" s="837"/>
      <c r="M33" s="839"/>
      <c r="N33" s="841" t="str">
        <f t="shared" si="1"/>
        <v>Costgrp29</v>
      </c>
      <c r="O33" s="842" t="s">
        <v>2738</v>
      </c>
      <c r="P33" s="843">
        <v>8</v>
      </c>
      <c r="Q33" s="844">
        <v>1</v>
      </c>
      <c r="R33" s="280"/>
      <c r="S33" s="280"/>
      <c r="T33" s="280"/>
      <c r="U33" s="318"/>
    </row>
    <row r="34" spans="1:21" ht="15" x14ac:dyDescent="0.2">
      <c r="A34" s="836" t="s">
        <v>2739</v>
      </c>
      <c r="B34" s="303"/>
      <c r="C34" s="837">
        <v>0</v>
      </c>
      <c r="D34" s="837" t="e">
        <f>'PR Expenditure_7A'!#REF!</f>
        <v>#REF!</v>
      </c>
      <c r="E34" s="838">
        <f>IFERROR(INDEX('LFA Expenditure_7B'!G$8:G$77,MATCH('LFA Expenditure_7B imp-exp'!N34,'LFA Expenditure_7B'!B$8:B$77,0)),"")</f>
        <v>0</v>
      </c>
      <c r="F34" s="837"/>
      <c r="G34" s="839"/>
      <c r="H34" s="52"/>
      <c r="I34" s="303">
        <f t="shared" si="0"/>
        <v>30</v>
      </c>
      <c r="J34" s="840">
        <v>17000</v>
      </c>
      <c r="K34" s="838">
        <f>IFERROR(INDEX('LFA Expenditure_7B'!M$8:M$77,MATCH('LFA Expenditure_7B imp-exp'!N34,'LFA Expenditure_7B'!B$8:B$77,0)),"")</f>
        <v>0</v>
      </c>
      <c r="L34" s="837"/>
      <c r="M34" s="839"/>
      <c r="N34" s="841" t="str">
        <f t="shared" si="1"/>
        <v>Costgrp30</v>
      </c>
      <c r="O34" s="842" t="s">
        <v>2740</v>
      </c>
      <c r="P34" s="843">
        <v>8</v>
      </c>
      <c r="Q34" s="844">
        <v>2</v>
      </c>
      <c r="R34" s="280"/>
      <c r="S34" s="280"/>
      <c r="T34" s="280"/>
      <c r="U34" s="318"/>
    </row>
    <row r="35" spans="1:21" ht="25.5" x14ac:dyDescent="0.2">
      <c r="A35" s="836" t="s">
        <v>2741</v>
      </c>
      <c r="B35" s="303"/>
      <c r="C35" s="837">
        <v>0</v>
      </c>
      <c r="D35" s="837" t="e">
        <f>'PR Expenditure_7A'!#REF!</f>
        <v>#REF!</v>
      </c>
      <c r="E35" s="838">
        <f>IFERROR(INDEX('LFA Expenditure_7B'!G$8:G$77,MATCH('LFA Expenditure_7B imp-exp'!N35,'LFA Expenditure_7B'!B$8:B$77,0)),"")</f>
        <v>0</v>
      </c>
      <c r="F35" s="837"/>
      <c r="G35" s="839"/>
      <c r="H35" s="52"/>
      <c r="I35" s="303">
        <f t="shared" si="0"/>
        <v>31</v>
      </c>
      <c r="J35" s="840">
        <v>10580</v>
      </c>
      <c r="K35" s="838">
        <f>IFERROR(INDEX('LFA Expenditure_7B'!M$8:M$77,MATCH('LFA Expenditure_7B imp-exp'!N35,'LFA Expenditure_7B'!B$8:B$77,0)),"")</f>
        <v>0</v>
      </c>
      <c r="L35" s="837"/>
      <c r="M35" s="839"/>
      <c r="N35" s="841" t="str">
        <f t="shared" si="1"/>
        <v>Costgrp31</v>
      </c>
      <c r="O35" s="842" t="s">
        <v>2742</v>
      </c>
      <c r="P35" s="843">
        <v>9</v>
      </c>
      <c r="Q35" s="844">
        <v>1</v>
      </c>
      <c r="R35" s="280"/>
      <c r="S35" s="280"/>
      <c r="T35" s="280"/>
      <c r="U35" s="318"/>
    </row>
    <row r="36" spans="1:21" ht="15" x14ac:dyDescent="0.2">
      <c r="A36" s="836" t="s">
        <v>2743</v>
      </c>
      <c r="B36" s="303"/>
      <c r="C36" s="837">
        <v>0</v>
      </c>
      <c r="D36" s="837" t="e">
        <f>'PR Expenditure_7A'!#REF!</f>
        <v>#REF!</v>
      </c>
      <c r="E36" s="838">
        <f>IFERROR(INDEX('LFA Expenditure_7B'!G$8:G$77,MATCH('LFA Expenditure_7B imp-exp'!N36,'LFA Expenditure_7B'!B$8:B$77,0)),"")</f>
        <v>0</v>
      </c>
      <c r="F36" s="837"/>
      <c r="G36" s="839"/>
      <c r="H36" s="52"/>
      <c r="I36" s="303">
        <f t="shared" si="0"/>
        <v>32</v>
      </c>
      <c r="J36" s="840">
        <v>30000</v>
      </c>
      <c r="K36" s="838">
        <f>IFERROR(INDEX('LFA Expenditure_7B'!M$8:M$77,MATCH('LFA Expenditure_7B imp-exp'!N36,'LFA Expenditure_7B'!B$8:B$77,0)),"")</f>
        <v>0</v>
      </c>
      <c r="L36" s="837"/>
      <c r="M36" s="839"/>
      <c r="N36" s="841" t="str">
        <f t="shared" si="1"/>
        <v>Costgrp32</v>
      </c>
      <c r="O36" s="842" t="s">
        <v>2744</v>
      </c>
      <c r="P36" s="843">
        <v>9</v>
      </c>
      <c r="Q36" s="844">
        <v>2</v>
      </c>
      <c r="R36" s="280"/>
      <c r="S36" s="280"/>
      <c r="T36" s="280"/>
      <c r="U36" s="318"/>
    </row>
    <row r="37" spans="1:21" ht="15" x14ac:dyDescent="0.2">
      <c r="A37" s="836" t="s">
        <v>2745</v>
      </c>
      <c r="B37" s="303"/>
      <c r="C37" s="837">
        <v>0</v>
      </c>
      <c r="D37" s="837" t="e">
        <f>'PR Expenditure_7A'!#REF!</f>
        <v>#REF!</v>
      </c>
      <c r="E37" s="838">
        <f>IFERROR(INDEX('LFA Expenditure_7B'!G$8:G$77,MATCH('LFA Expenditure_7B imp-exp'!N37,'LFA Expenditure_7B'!B$8:B$77,0)),"")</f>
        <v>0</v>
      </c>
      <c r="F37" s="837"/>
      <c r="G37" s="839"/>
      <c r="H37" s="52"/>
      <c r="I37" s="303">
        <f t="shared" si="0"/>
        <v>33</v>
      </c>
      <c r="J37" s="840">
        <v>4600</v>
      </c>
      <c r="K37" s="838">
        <f>IFERROR(INDEX('LFA Expenditure_7B'!M$8:M$77,MATCH('LFA Expenditure_7B imp-exp'!N37,'LFA Expenditure_7B'!B$8:B$77,0)),"")</f>
        <v>0</v>
      </c>
      <c r="L37" s="837"/>
      <c r="M37" s="839"/>
      <c r="N37" s="841" t="str">
        <f t="shared" si="1"/>
        <v>Costgrp33</v>
      </c>
      <c r="O37" s="842" t="s">
        <v>2746</v>
      </c>
      <c r="P37" s="843">
        <v>9</v>
      </c>
      <c r="Q37" s="844">
        <v>3</v>
      </c>
      <c r="R37" s="280"/>
      <c r="S37" s="280"/>
      <c r="T37" s="280"/>
      <c r="U37" s="318"/>
    </row>
    <row r="38" spans="1:21" ht="15" x14ac:dyDescent="0.2">
      <c r="A38" s="836" t="s">
        <v>2747</v>
      </c>
      <c r="B38" s="303"/>
      <c r="C38" s="837">
        <v>22764.758186967301</v>
      </c>
      <c r="D38" s="837" t="e">
        <f>'PR Expenditure_7A'!#REF!</f>
        <v>#REF!</v>
      </c>
      <c r="E38" s="838">
        <f>IFERROR(INDEX('LFA Expenditure_7B'!G$8:G$77,MATCH('LFA Expenditure_7B imp-exp'!N38,'LFA Expenditure_7B'!B$8:B$77,0)),"")</f>
        <v>0</v>
      </c>
      <c r="F38" s="837"/>
      <c r="G38" s="839"/>
      <c r="H38" s="52"/>
      <c r="I38" s="303">
        <f t="shared" si="0"/>
        <v>34</v>
      </c>
      <c r="J38" s="840">
        <v>45529.516373934603</v>
      </c>
      <c r="K38" s="838">
        <f>IFERROR(INDEX('LFA Expenditure_7B'!M$8:M$77,MATCH('LFA Expenditure_7B imp-exp'!N38,'LFA Expenditure_7B'!B$8:B$77,0)),"")</f>
        <v>0</v>
      </c>
      <c r="L38" s="837"/>
      <c r="M38" s="839"/>
      <c r="N38" s="841" t="str">
        <f t="shared" si="1"/>
        <v>Costgrp34</v>
      </c>
      <c r="O38" s="842" t="s">
        <v>2748</v>
      </c>
      <c r="P38" s="843">
        <v>9</v>
      </c>
      <c r="Q38" s="844">
        <v>4</v>
      </c>
      <c r="R38" s="280"/>
      <c r="S38" s="280"/>
      <c r="T38" s="280"/>
      <c r="U38" s="318"/>
    </row>
    <row r="39" spans="1:21" ht="25.5" x14ac:dyDescent="0.2">
      <c r="A39" s="836" t="s">
        <v>2749</v>
      </c>
      <c r="B39" s="303"/>
      <c r="C39" s="837">
        <v>37820.140250483098</v>
      </c>
      <c r="D39" s="837" t="e">
        <f>'PR Expenditure_7A'!#REF!</f>
        <v>#REF!</v>
      </c>
      <c r="E39" s="838">
        <f>IFERROR(INDEX('LFA Expenditure_7B'!G$8:G$77,MATCH('LFA Expenditure_7B imp-exp'!N39,'LFA Expenditure_7B'!B$8:B$77,0)),"")</f>
        <v>0</v>
      </c>
      <c r="F39" s="837"/>
      <c r="G39" s="839"/>
      <c r="H39" s="52"/>
      <c r="I39" s="303">
        <f t="shared" si="0"/>
        <v>35</v>
      </c>
      <c r="J39" s="840">
        <v>87791.524325767197</v>
      </c>
      <c r="K39" s="838">
        <f>IFERROR(INDEX('LFA Expenditure_7B'!M$8:M$77,MATCH('LFA Expenditure_7B imp-exp'!N39,'LFA Expenditure_7B'!B$8:B$77,0)),"")</f>
        <v>0</v>
      </c>
      <c r="L39" s="837"/>
      <c r="M39" s="839"/>
      <c r="N39" s="841" t="str">
        <f t="shared" si="1"/>
        <v>Costgrp35</v>
      </c>
      <c r="O39" s="842" t="s">
        <v>2750</v>
      </c>
      <c r="P39" s="843">
        <v>10</v>
      </c>
      <c r="Q39" s="844">
        <v>1</v>
      </c>
      <c r="R39" s="280"/>
      <c r="S39" s="280"/>
      <c r="T39" s="280"/>
      <c r="U39" s="318"/>
    </row>
    <row r="40" spans="1:21" ht="15" x14ac:dyDescent="0.2">
      <c r="A40" s="836" t="s">
        <v>2751</v>
      </c>
      <c r="B40" s="303"/>
      <c r="C40" s="837">
        <v>46237.763862936103</v>
      </c>
      <c r="D40" s="837" t="e">
        <f>'PR Expenditure_7A'!#REF!</f>
        <v>#REF!</v>
      </c>
      <c r="E40" s="838">
        <f>IFERROR(INDEX('LFA Expenditure_7B'!G$8:G$77,MATCH('LFA Expenditure_7B imp-exp'!N40,'LFA Expenditure_7B'!B$8:B$77,0)),"")</f>
        <v>0</v>
      </c>
      <c r="F40" s="837"/>
      <c r="G40" s="839"/>
      <c r="H40" s="52"/>
      <c r="I40" s="303">
        <f t="shared" si="0"/>
        <v>36</v>
      </c>
      <c r="J40" s="840">
        <v>87390.604375139694</v>
      </c>
      <c r="K40" s="838">
        <f>IFERROR(INDEX('LFA Expenditure_7B'!M$8:M$77,MATCH('LFA Expenditure_7B imp-exp'!N40,'LFA Expenditure_7B'!B$8:B$77,0)),"")</f>
        <v>0</v>
      </c>
      <c r="L40" s="837"/>
      <c r="M40" s="839"/>
      <c r="N40" s="841" t="str">
        <f t="shared" si="1"/>
        <v>Costgrp36</v>
      </c>
      <c r="O40" s="842" t="s">
        <v>2752</v>
      </c>
      <c r="P40" s="843">
        <v>10</v>
      </c>
      <c r="Q40" s="844">
        <v>2</v>
      </c>
      <c r="R40" s="280"/>
      <c r="S40" s="280"/>
      <c r="T40" s="280"/>
      <c r="U40" s="318"/>
    </row>
    <row r="41" spans="1:21" ht="25.5" x14ac:dyDescent="0.2">
      <c r="A41" s="836" t="s">
        <v>2753</v>
      </c>
      <c r="B41" s="303"/>
      <c r="C41" s="837">
        <v>20721.179549024899</v>
      </c>
      <c r="D41" s="837" t="e">
        <f>'PR Expenditure_7A'!#REF!</f>
        <v>#REF!</v>
      </c>
      <c r="E41" s="838">
        <f>IFERROR(INDEX('LFA Expenditure_7B'!G$8:G$77,MATCH('LFA Expenditure_7B imp-exp'!N41,'LFA Expenditure_7B'!B$8:B$77,0)),"")</f>
        <v>0</v>
      </c>
      <c r="F41" s="837"/>
      <c r="G41" s="839"/>
      <c r="H41" s="52"/>
      <c r="I41" s="303">
        <f t="shared" si="0"/>
        <v>37</v>
      </c>
      <c r="J41" s="840">
        <v>41442.359098049703</v>
      </c>
      <c r="K41" s="838">
        <f>IFERROR(INDEX('LFA Expenditure_7B'!M$8:M$77,MATCH('LFA Expenditure_7B imp-exp'!N41,'LFA Expenditure_7B'!B$8:B$77,0)),"")</f>
        <v>0</v>
      </c>
      <c r="L41" s="837"/>
      <c r="M41" s="839"/>
      <c r="N41" s="841" t="str">
        <f t="shared" si="1"/>
        <v>Costgrp37</v>
      </c>
      <c r="O41" s="842" t="s">
        <v>2754</v>
      </c>
      <c r="P41" s="843">
        <v>10</v>
      </c>
      <c r="Q41" s="844">
        <v>3</v>
      </c>
      <c r="R41" s="280"/>
      <c r="S41" s="280"/>
      <c r="T41" s="280"/>
      <c r="U41" s="318"/>
    </row>
    <row r="42" spans="1:21" ht="15" x14ac:dyDescent="0.2">
      <c r="A42" s="836" t="s">
        <v>2755</v>
      </c>
      <c r="B42" s="303"/>
      <c r="C42" s="837">
        <v>278450.45988567697</v>
      </c>
      <c r="D42" s="837" t="e">
        <f>'PR Expenditure_7A'!#REF!</f>
        <v>#REF!</v>
      </c>
      <c r="E42" s="838">
        <f>IFERROR(INDEX('LFA Expenditure_7B'!G$8:G$77,MATCH('LFA Expenditure_7B imp-exp'!N42,'LFA Expenditure_7B'!B$8:B$77,0)),"")</f>
        <v>0</v>
      </c>
      <c r="F42" s="837"/>
      <c r="G42" s="839"/>
      <c r="H42" s="52"/>
      <c r="I42" s="303">
        <f t="shared" si="0"/>
        <v>38</v>
      </c>
      <c r="J42" s="840">
        <v>558301.31977135397</v>
      </c>
      <c r="K42" s="838">
        <f>IFERROR(INDEX('LFA Expenditure_7B'!M$8:M$77,MATCH('LFA Expenditure_7B imp-exp'!N42,'LFA Expenditure_7B'!B$8:B$77,0)),"")</f>
        <v>0</v>
      </c>
      <c r="L42" s="837"/>
      <c r="M42" s="839"/>
      <c r="N42" s="841" t="str">
        <f t="shared" si="1"/>
        <v>Costgrp38</v>
      </c>
      <c r="O42" s="842" t="s">
        <v>2756</v>
      </c>
      <c r="P42" s="843">
        <v>11</v>
      </c>
      <c r="Q42" s="844">
        <v>1</v>
      </c>
      <c r="R42" s="280"/>
      <c r="S42" s="280"/>
      <c r="T42" s="280"/>
      <c r="U42" s="318"/>
    </row>
    <row r="43" spans="1:21" ht="15" x14ac:dyDescent="0.2">
      <c r="A43" s="836" t="s">
        <v>2757</v>
      </c>
      <c r="B43" s="303"/>
      <c r="C43" s="837">
        <v>769050.59500482504</v>
      </c>
      <c r="D43" s="837" t="e">
        <f>'PR Expenditure_7A'!#REF!</f>
        <v>#REF!</v>
      </c>
      <c r="E43" s="838">
        <f>IFERROR(INDEX('LFA Expenditure_7B'!G$8:G$77,MATCH('LFA Expenditure_7B imp-exp'!N43,'LFA Expenditure_7B'!B$8:B$77,0)),"")</f>
        <v>0</v>
      </c>
      <c r="F43" s="837"/>
      <c r="G43" s="839"/>
      <c r="H43" s="52"/>
      <c r="I43" s="303">
        <f t="shared" si="0"/>
        <v>39</v>
      </c>
      <c r="J43" s="840">
        <v>1309371.4001204099</v>
      </c>
      <c r="K43" s="838">
        <f>IFERROR(INDEX('LFA Expenditure_7B'!M$8:M$77,MATCH('LFA Expenditure_7B imp-exp'!N43,'LFA Expenditure_7B'!B$8:B$77,0)),"")</f>
        <v>0</v>
      </c>
      <c r="L43" s="837"/>
      <c r="M43" s="839"/>
      <c r="N43" s="841" t="str">
        <f t="shared" si="1"/>
        <v>Costgrp39</v>
      </c>
      <c r="O43" s="842" t="s">
        <v>2758</v>
      </c>
      <c r="P43" s="843">
        <v>11</v>
      </c>
      <c r="Q43" s="844">
        <v>3</v>
      </c>
      <c r="R43" s="280"/>
      <c r="S43" s="280"/>
      <c r="T43" s="280"/>
      <c r="U43" s="318"/>
    </row>
    <row r="44" spans="1:21" ht="15" x14ac:dyDescent="0.2">
      <c r="A44" s="836" t="s">
        <v>2759</v>
      </c>
      <c r="B44" s="303"/>
      <c r="C44" s="837">
        <v>0</v>
      </c>
      <c r="D44" s="837" t="e">
        <f>'PR Expenditure_7A'!#REF!</f>
        <v>#REF!</v>
      </c>
      <c r="E44" s="838">
        <f>IFERROR(INDEX('LFA Expenditure_7B'!G$8:G$77,MATCH('LFA Expenditure_7B imp-exp'!N44,'LFA Expenditure_7B'!B$8:B$77,0)),"")</f>
        <v>0</v>
      </c>
      <c r="F44" s="837"/>
      <c r="G44" s="839"/>
      <c r="H44" s="52"/>
      <c r="I44" s="303">
        <f t="shared" si="0"/>
        <v>40</v>
      </c>
      <c r="J44" s="840">
        <v>0</v>
      </c>
      <c r="K44" s="838">
        <f>IFERROR(INDEX('LFA Expenditure_7B'!M$8:M$77,MATCH('LFA Expenditure_7B imp-exp'!N44,'LFA Expenditure_7B'!B$8:B$77,0)),"")</f>
        <v>0</v>
      </c>
      <c r="L44" s="837"/>
      <c r="M44" s="839"/>
      <c r="N44" s="841" t="str">
        <f t="shared" si="1"/>
        <v>Costgrp40</v>
      </c>
      <c r="O44" s="842" t="s">
        <v>2760</v>
      </c>
      <c r="P44" s="843">
        <v>11</v>
      </c>
      <c r="Q44" s="844">
        <v>4</v>
      </c>
      <c r="R44" s="280"/>
      <c r="S44" s="280"/>
      <c r="T44" s="280"/>
      <c r="U44" s="318"/>
    </row>
    <row r="45" spans="1:21" ht="15" x14ac:dyDescent="0.2">
      <c r="A45" s="836" t="s">
        <v>2761</v>
      </c>
      <c r="B45" s="303"/>
      <c r="C45" s="837">
        <v>346983.259336107</v>
      </c>
      <c r="D45" s="837" t="e">
        <f>'PR Expenditure_7A'!#REF!</f>
        <v>#REF!</v>
      </c>
      <c r="E45" s="838">
        <f>IFERROR(INDEX('LFA Expenditure_7B'!G$8:G$77,MATCH('LFA Expenditure_7B imp-exp'!N45,'LFA Expenditure_7B'!B$8:B$77,0)),"")</f>
        <v>0</v>
      </c>
      <c r="F45" s="837"/>
      <c r="G45" s="839"/>
      <c r="H45" s="52"/>
      <c r="I45" s="303">
        <f t="shared" si="0"/>
        <v>41</v>
      </c>
      <c r="J45" s="840">
        <v>645523.17719629698</v>
      </c>
      <c r="K45" s="838">
        <f>IFERROR(INDEX('LFA Expenditure_7B'!M$8:M$77,MATCH('LFA Expenditure_7B imp-exp'!N45,'LFA Expenditure_7B'!B$8:B$77,0)),"")</f>
        <v>0</v>
      </c>
      <c r="L45" s="837"/>
      <c r="M45" s="839"/>
      <c r="N45" s="841" t="str">
        <f t="shared" si="1"/>
        <v>Costgrp41</v>
      </c>
      <c r="O45" s="842" t="s">
        <v>2762</v>
      </c>
      <c r="P45" s="843">
        <v>12</v>
      </c>
      <c r="Q45" s="844">
        <v>2</v>
      </c>
      <c r="R45" s="280"/>
      <c r="S45" s="280"/>
      <c r="T45" s="280"/>
      <c r="U45" s="318"/>
    </row>
    <row r="46" spans="1:21" ht="25.5" x14ac:dyDescent="0.2">
      <c r="A46" s="836" t="s">
        <v>2763</v>
      </c>
      <c r="B46" s="303"/>
      <c r="C46" s="837">
        <v>900.08988047449998</v>
      </c>
      <c r="D46" s="837" t="e">
        <f>'PR Expenditure_7A'!#REF!</f>
        <v>#REF!</v>
      </c>
      <c r="E46" s="838">
        <f>IFERROR(INDEX('LFA Expenditure_7B'!G$8:G$77,MATCH('LFA Expenditure_7B imp-exp'!N46,'LFA Expenditure_7B'!B$8:B$77,0)),"")</f>
        <v>0</v>
      </c>
      <c r="F46" s="837"/>
      <c r="G46" s="839"/>
      <c r="H46" s="52"/>
      <c r="I46" s="303">
        <f t="shared" si="0"/>
        <v>42</v>
      </c>
      <c r="J46" s="840">
        <v>1800.179760949</v>
      </c>
      <c r="K46" s="838">
        <f>IFERROR(INDEX('LFA Expenditure_7B'!M$8:M$77,MATCH('LFA Expenditure_7B imp-exp'!N46,'LFA Expenditure_7B'!B$8:B$77,0)),"")</f>
        <v>0</v>
      </c>
      <c r="L46" s="837"/>
      <c r="M46" s="839"/>
      <c r="N46" s="841" t="str">
        <f t="shared" si="1"/>
        <v>Costgrp42</v>
      </c>
      <c r="O46" s="842" t="s">
        <v>2764</v>
      </c>
      <c r="P46" s="843">
        <v>12</v>
      </c>
      <c r="Q46" s="844">
        <v>3</v>
      </c>
      <c r="R46" s="280"/>
      <c r="S46" s="280"/>
      <c r="T46" s="280"/>
      <c r="U46" s="318"/>
    </row>
    <row r="47" spans="1:21" ht="15" x14ac:dyDescent="0.2">
      <c r="A47" s="836" t="s">
        <v>2765</v>
      </c>
      <c r="B47" s="303"/>
      <c r="C47" s="837">
        <v>411312.17181605502</v>
      </c>
      <c r="D47" s="837" t="e">
        <f>'PR Expenditure_7A'!#REF!</f>
        <v>#REF!</v>
      </c>
      <c r="E47" s="838">
        <f>IFERROR(INDEX('LFA Expenditure_7B'!G$8:G$77,MATCH('LFA Expenditure_7B imp-exp'!N47,'LFA Expenditure_7B'!B$8:B$77,0)),"")</f>
        <v>0</v>
      </c>
      <c r="F47" s="837"/>
      <c r="G47" s="839"/>
      <c r="H47" s="52"/>
      <c r="I47" s="303">
        <f t="shared" si="0"/>
        <v>43</v>
      </c>
      <c r="J47" s="840">
        <v>794643.77752712497</v>
      </c>
      <c r="K47" s="838">
        <f>IFERROR(INDEX('LFA Expenditure_7B'!M$8:M$77,MATCH('LFA Expenditure_7B imp-exp'!N47,'LFA Expenditure_7B'!B$8:B$77,0)),"")</f>
        <v>0</v>
      </c>
      <c r="L47" s="837"/>
      <c r="M47" s="839"/>
      <c r="N47" s="841" t="str">
        <f t="shared" si="1"/>
        <v>Costgrp43</v>
      </c>
      <c r="O47" s="842" t="s">
        <v>2766</v>
      </c>
      <c r="P47" s="843">
        <v>12</v>
      </c>
      <c r="Q47" s="844">
        <v>5</v>
      </c>
      <c r="R47" s="280"/>
      <c r="S47" s="280"/>
      <c r="T47" s="280"/>
      <c r="U47" s="318"/>
    </row>
    <row r="48" spans="1:21" ht="10.5" customHeight="1" x14ac:dyDescent="0.2">
      <c r="A48" s="845" t="s">
        <v>2767</v>
      </c>
      <c r="B48" s="845"/>
      <c r="C48" s="845" t="s">
        <v>1117</v>
      </c>
      <c r="D48" s="845"/>
      <c r="E48" s="845" t="s">
        <v>2941</v>
      </c>
      <c r="F48" s="845"/>
      <c r="G48" s="845"/>
      <c r="H48" s="845"/>
      <c r="I48" s="845">
        <v>-1</v>
      </c>
      <c r="J48" s="845" t="s">
        <v>2671</v>
      </c>
      <c r="K48" s="845" t="s">
        <v>2942</v>
      </c>
      <c r="L48" s="845"/>
      <c r="M48" s="845"/>
      <c r="N48" s="841"/>
      <c r="O48" s="846" t="s">
        <v>122</v>
      </c>
      <c r="P48" s="624"/>
      <c r="Q48" s="280"/>
      <c r="R48" s="280"/>
      <c r="S48" s="421" t="s">
        <v>2943</v>
      </c>
      <c r="T48" s="280"/>
      <c r="U48" s="318"/>
    </row>
    <row r="49" spans="1:21" ht="20.100000000000001" hidden="1" customHeight="1" x14ac:dyDescent="0.2">
      <c r="A49" s="847" t="str">
        <f>IFERROR(INDEX('Reference Records'!$B$222:$B$298,MATCH(B49,'Reference Records'!$E$222:$E$298,0)),"")</f>
        <v/>
      </c>
      <c r="B49" s="303" t="str">
        <f>IFERROR(INDEX('LFA Expenditure_7B'!C$68:C$77,MATCH('LFA Expenditure_7B imp-exp'!N49,'LFA Expenditure_7B'!B$68:B$77,0)),"")</f>
        <v/>
      </c>
      <c r="C49" s="837" t="s">
        <v>2675</v>
      </c>
      <c r="D49" s="837">
        <f>'PR Expenditure_7A'!F69</f>
        <v>0</v>
      </c>
      <c r="E49" s="838" t="str">
        <f>IFERROR(INDEX('LFA Expenditure_7B'!G$68:G$77,MATCH('LFA Expenditure_7B imp-exp'!N49,'LFA Expenditure_7B'!B$68:B$77,0)),"")</f>
        <v/>
      </c>
      <c r="F49" s="837"/>
      <c r="G49" s="839"/>
      <c r="H49" s="52"/>
      <c r="I49" s="303">
        <f>I48+1</f>
        <v>0</v>
      </c>
      <c r="J49" s="840" t="s">
        <v>2676</v>
      </c>
      <c r="K49" s="838" t="str">
        <f>IFERROR(INDEX('LFA Expenditure_7B'!M$68:M$77,MATCH('LFA Expenditure_7B imp-exp'!N49,'LFA Expenditure_7B'!B$68:B$77,0)),"")</f>
        <v/>
      </c>
      <c r="L49" s="837"/>
      <c r="M49" s="839"/>
      <c r="N49" s="841" t="str">
        <f>"NewCostgrp"&amp;I49</f>
        <v>NewCostgrp0</v>
      </c>
      <c r="O49" s="842" t="s">
        <v>371</v>
      </c>
      <c r="P49" s="624"/>
      <c r="Q49" s="280"/>
      <c r="R49" s="280"/>
      <c r="T49" s="280"/>
      <c r="U49" s="318"/>
    </row>
    <row r="50" spans="1:21" ht="20.100000000000001" customHeight="1" x14ac:dyDescent="0.2">
      <c r="A50" s="847" t="str">
        <f>IFERROR(INDEX('Reference Records'!$B$222:$B$298,MATCH(B50,'Reference Records'!$E$222:$E$298,0)),"")</f>
        <v/>
      </c>
      <c r="B50" s="303" t="str">
        <f>IFERROR(INDEX('LFA Expenditure_7B'!C$68:C$77,MATCH('LFA Expenditure_7B imp-exp'!N50,'LFA Expenditure_7B'!B$68:B$77,0)),"")</f>
        <v/>
      </c>
      <c r="C50" s="837">
        <v>0</v>
      </c>
      <c r="D50" s="837">
        <f>'PR Expenditure_7A'!F70</f>
        <v>0</v>
      </c>
      <c r="E50" s="838">
        <f>IFERROR(INDEX('LFA Expenditure_7B'!G$68:G$77,MATCH('LFA Expenditure_7B imp-exp'!N50,'LFA Expenditure_7B'!B$68:B$77,0)),"")</f>
        <v>0</v>
      </c>
      <c r="F50" s="837"/>
      <c r="G50" s="839"/>
      <c r="H50" s="52"/>
      <c r="I50" s="303">
        <f t="shared" ref="I50:I59" si="2">I49+1</f>
        <v>1</v>
      </c>
      <c r="J50" s="840">
        <v>0</v>
      </c>
      <c r="K50" s="838">
        <f>IFERROR(INDEX('LFA Expenditure_7B'!M$68:M$77,MATCH('LFA Expenditure_7B imp-exp'!N50,'LFA Expenditure_7B'!B$68:B$77,0)),"")</f>
        <v>0</v>
      </c>
      <c r="L50" s="837"/>
      <c r="M50" s="839"/>
      <c r="N50" s="841" t="str">
        <f t="shared" ref="N50:N59" si="3">"NewCostgrp"&amp;I50</f>
        <v>NewCostgrp1</v>
      </c>
      <c r="O50" s="842" t="s">
        <v>2768</v>
      </c>
      <c r="P50" s="624"/>
      <c r="Q50" s="280"/>
      <c r="R50" s="280"/>
      <c r="T50" s="280"/>
      <c r="U50" s="318"/>
    </row>
    <row r="51" spans="1:21" ht="20.100000000000001" customHeight="1" x14ac:dyDescent="0.2">
      <c r="A51" s="847" t="str">
        <f>IFERROR(INDEX('Reference Records'!$B$222:$B$298,MATCH(B51,'Reference Records'!$E$222:$E$298,0)),"")</f>
        <v/>
      </c>
      <c r="B51" s="303" t="str">
        <f>IFERROR(INDEX('LFA Expenditure_7B'!C$68:C$77,MATCH('LFA Expenditure_7B imp-exp'!N51,'LFA Expenditure_7B'!B$68:B$77,0)),"")</f>
        <v/>
      </c>
      <c r="C51" s="837">
        <v>0</v>
      </c>
      <c r="D51" s="837">
        <f>'PR Expenditure_7A'!F71</f>
        <v>0</v>
      </c>
      <c r="E51" s="838">
        <f>IFERROR(INDEX('LFA Expenditure_7B'!G$68:G$77,MATCH('LFA Expenditure_7B imp-exp'!N51,'LFA Expenditure_7B'!B$68:B$77,0)),"")</f>
        <v>0</v>
      </c>
      <c r="F51" s="837"/>
      <c r="G51" s="839"/>
      <c r="H51" s="52"/>
      <c r="I51" s="303">
        <f t="shared" si="2"/>
        <v>2</v>
      </c>
      <c r="J51" s="840">
        <v>0</v>
      </c>
      <c r="K51" s="838">
        <f>IFERROR(INDEX('LFA Expenditure_7B'!M$68:M$77,MATCH('LFA Expenditure_7B imp-exp'!N51,'LFA Expenditure_7B'!B$68:B$77,0)),"")</f>
        <v>0</v>
      </c>
      <c r="L51" s="837"/>
      <c r="M51" s="839"/>
      <c r="N51" s="841" t="str">
        <f t="shared" si="3"/>
        <v>NewCostgrp2</v>
      </c>
      <c r="O51" s="842" t="s">
        <v>2769</v>
      </c>
      <c r="P51" s="624"/>
      <c r="Q51" s="280"/>
      <c r="R51" s="280"/>
      <c r="T51" s="280"/>
      <c r="U51" s="318"/>
    </row>
    <row r="52" spans="1:21" ht="20.100000000000001" customHeight="1" x14ac:dyDescent="0.2">
      <c r="A52" s="847" t="str">
        <f>IFERROR(INDEX('Reference Records'!$B$222:$B$298,MATCH(B52,'Reference Records'!$E$222:$E$298,0)),"")</f>
        <v/>
      </c>
      <c r="B52" s="303" t="str">
        <f>IFERROR(INDEX('LFA Expenditure_7B'!C$68:C$77,MATCH('LFA Expenditure_7B imp-exp'!N52,'LFA Expenditure_7B'!B$68:B$77,0)),"")</f>
        <v/>
      </c>
      <c r="C52" s="837">
        <v>0</v>
      </c>
      <c r="D52" s="837">
        <f>'PR Expenditure_7A'!F72</f>
        <v>0</v>
      </c>
      <c r="E52" s="838">
        <f>IFERROR(INDEX('LFA Expenditure_7B'!G$68:G$77,MATCH('LFA Expenditure_7B imp-exp'!N52,'LFA Expenditure_7B'!B$68:B$77,0)),"")</f>
        <v>0</v>
      </c>
      <c r="F52" s="837"/>
      <c r="G52" s="839"/>
      <c r="H52" s="52"/>
      <c r="I52" s="303">
        <f t="shared" si="2"/>
        <v>3</v>
      </c>
      <c r="J52" s="840">
        <v>0</v>
      </c>
      <c r="K52" s="838">
        <f>IFERROR(INDEX('LFA Expenditure_7B'!M$68:M$77,MATCH('LFA Expenditure_7B imp-exp'!N52,'LFA Expenditure_7B'!B$68:B$77,0)),"")</f>
        <v>0</v>
      </c>
      <c r="L52" s="837"/>
      <c r="M52" s="839"/>
      <c r="N52" s="841" t="str">
        <f t="shared" si="3"/>
        <v>NewCostgrp3</v>
      </c>
      <c r="O52" s="842" t="s">
        <v>2770</v>
      </c>
      <c r="P52" s="624"/>
      <c r="Q52" s="280"/>
      <c r="R52" s="280"/>
      <c r="T52" s="280"/>
      <c r="U52" s="318"/>
    </row>
    <row r="53" spans="1:21" ht="20.100000000000001" customHeight="1" x14ac:dyDescent="0.2">
      <c r="A53" s="847" t="str">
        <f>IFERROR(INDEX('Reference Records'!$B$222:$B$298,MATCH(B53,'Reference Records'!$E$222:$E$298,0)),"")</f>
        <v/>
      </c>
      <c r="B53" s="303" t="str">
        <f>IFERROR(INDEX('LFA Expenditure_7B'!C$68:C$77,MATCH('LFA Expenditure_7B imp-exp'!N53,'LFA Expenditure_7B'!B$68:B$77,0)),"")</f>
        <v/>
      </c>
      <c r="C53" s="837">
        <v>0</v>
      </c>
      <c r="D53" s="837">
        <f>'PR Expenditure_7A'!F73</f>
        <v>0</v>
      </c>
      <c r="E53" s="838">
        <f>IFERROR(INDEX('LFA Expenditure_7B'!G$68:G$77,MATCH('LFA Expenditure_7B imp-exp'!N53,'LFA Expenditure_7B'!B$68:B$77,0)),"")</f>
        <v>0</v>
      </c>
      <c r="F53" s="837"/>
      <c r="G53" s="839"/>
      <c r="H53" s="52"/>
      <c r="I53" s="303">
        <f t="shared" si="2"/>
        <v>4</v>
      </c>
      <c r="J53" s="840">
        <v>0</v>
      </c>
      <c r="K53" s="838">
        <f>IFERROR(INDEX('LFA Expenditure_7B'!M$68:M$77,MATCH('LFA Expenditure_7B imp-exp'!N53,'LFA Expenditure_7B'!B$68:B$77,0)),"")</f>
        <v>0</v>
      </c>
      <c r="L53" s="837"/>
      <c r="M53" s="839"/>
      <c r="N53" s="841" t="str">
        <f t="shared" si="3"/>
        <v>NewCostgrp4</v>
      </c>
      <c r="O53" s="842" t="s">
        <v>2771</v>
      </c>
      <c r="P53" s="624"/>
      <c r="Q53" s="280"/>
      <c r="R53" s="280"/>
      <c r="T53" s="280"/>
      <c r="U53" s="318"/>
    </row>
    <row r="54" spans="1:21" ht="20.100000000000001" customHeight="1" x14ac:dyDescent="0.2">
      <c r="A54" s="847" t="str">
        <f>IFERROR(INDEX('Reference Records'!$B$222:$B$298,MATCH(B54,'Reference Records'!$E$222:$E$298,0)),"")</f>
        <v/>
      </c>
      <c r="B54" s="303" t="str">
        <f>IFERROR(INDEX('LFA Expenditure_7B'!C$68:C$77,MATCH('LFA Expenditure_7B imp-exp'!N54,'LFA Expenditure_7B'!B$68:B$77,0)),"")</f>
        <v/>
      </c>
      <c r="C54" s="837">
        <v>0</v>
      </c>
      <c r="D54" s="837">
        <f>'PR Expenditure_7A'!F74</f>
        <v>0</v>
      </c>
      <c r="E54" s="838">
        <f>IFERROR(INDEX('LFA Expenditure_7B'!G$68:G$77,MATCH('LFA Expenditure_7B imp-exp'!N54,'LFA Expenditure_7B'!B$68:B$77,0)),"")</f>
        <v>0</v>
      </c>
      <c r="F54" s="837"/>
      <c r="G54" s="839"/>
      <c r="H54" s="52"/>
      <c r="I54" s="303">
        <f t="shared" si="2"/>
        <v>5</v>
      </c>
      <c r="J54" s="840">
        <v>0</v>
      </c>
      <c r="K54" s="838">
        <f>IFERROR(INDEX('LFA Expenditure_7B'!M$68:M$77,MATCH('LFA Expenditure_7B imp-exp'!N54,'LFA Expenditure_7B'!B$68:B$77,0)),"")</f>
        <v>0</v>
      </c>
      <c r="L54" s="837"/>
      <c r="M54" s="839"/>
      <c r="N54" s="841" t="str">
        <f t="shared" si="3"/>
        <v>NewCostgrp5</v>
      </c>
      <c r="O54" s="842" t="s">
        <v>2772</v>
      </c>
      <c r="P54" s="624"/>
      <c r="Q54" s="280"/>
      <c r="R54" s="280"/>
      <c r="T54" s="280"/>
      <c r="U54" s="318"/>
    </row>
    <row r="55" spans="1:21" ht="20.100000000000001" customHeight="1" x14ac:dyDescent="0.2">
      <c r="A55" s="847" t="str">
        <f>IFERROR(INDEX('Reference Records'!$B$222:$B$298,MATCH(B55,'Reference Records'!$E$222:$E$298,0)),"")</f>
        <v/>
      </c>
      <c r="B55" s="303" t="str">
        <f>IFERROR(INDEX('LFA Expenditure_7B'!C$68:C$77,MATCH('LFA Expenditure_7B imp-exp'!N55,'LFA Expenditure_7B'!B$68:B$77,0)),"")</f>
        <v/>
      </c>
      <c r="C55" s="837">
        <v>0</v>
      </c>
      <c r="D55" s="837">
        <f>'PR Expenditure_7A'!F75</f>
        <v>0</v>
      </c>
      <c r="E55" s="838">
        <f>IFERROR(INDEX('LFA Expenditure_7B'!G$68:G$77,MATCH('LFA Expenditure_7B imp-exp'!N55,'LFA Expenditure_7B'!B$68:B$77,0)),"")</f>
        <v>0</v>
      </c>
      <c r="F55" s="837"/>
      <c r="G55" s="839"/>
      <c r="H55" s="52"/>
      <c r="I55" s="303">
        <f t="shared" si="2"/>
        <v>6</v>
      </c>
      <c r="J55" s="840">
        <v>0</v>
      </c>
      <c r="K55" s="838">
        <f>IFERROR(INDEX('LFA Expenditure_7B'!M$68:M$77,MATCH('LFA Expenditure_7B imp-exp'!N55,'LFA Expenditure_7B'!B$68:B$77,0)),"")</f>
        <v>0</v>
      </c>
      <c r="L55" s="837"/>
      <c r="M55" s="839"/>
      <c r="N55" s="841" t="str">
        <f t="shared" si="3"/>
        <v>NewCostgrp6</v>
      </c>
      <c r="O55" s="842" t="s">
        <v>2773</v>
      </c>
      <c r="P55" s="624"/>
      <c r="Q55" s="280"/>
      <c r="R55" s="280"/>
      <c r="T55" s="280"/>
      <c r="U55" s="318"/>
    </row>
    <row r="56" spans="1:21" ht="20.100000000000001" customHeight="1" x14ac:dyDescent="0.2">
      <c r="A56" s="847" t="str">
        <f>IFERROR(INDEX('Reference Records'!$B$222:$B$298,MATCH(B56,'Reference Records'!$E$222:$E$298,0)),"")</f>
        <v/>
      </c>
      <c r="B56" s="303" t="str">
        <f>IFERROR(INDEX('LFA Expenditure_7B'!C$68:C$77,MATCH('LFA Expenditure_7B imp-exp'!N56,'LFA Expenditure_7B'!B$68:B$77,0)),"")</f>
        <v/>
      </c>
      <c r="C56" s="837">
        <v>0</v>
      </c>
      <c r="D56" s="837">
        <f>'PR Expenditure_7A'!F76</f>
        <v>0</v>
      </c>
      <c r="E56" s="838">
        <f>IFERROR(INDEX('LFA Expenditure_7B'!G$68:G$77,MATCH('LFA Expenditure_7B imp-exp'!N56,'LFA Expenditure_7B'!B$68:B$77,0)),"")</f>
        <v>0</v>
      </c>
      <c r="F56" s="837"/>
      <c r="G56" s="839"/>
      <c r="H56" s="52"/>
      <c r="I56" s="303">
        <f t="shared" si="2"/>
        <v>7</v>
      </c>
      <c r="J56" s="840">
        <v>0</v>
      </c>
      <c r="K56" s="838">
        <f>IFERROR(INDEX('LFA Expenditure_7B'!M$68:M$77,MATCH('LFA Expenditure_7B imp-exp'!N56,'LFA Expenditure_7B'!B$68:B$77,0)),"")</f>
        <v>0</v>
      </c>
      <c r="L56" s="837"/>
      <c r="M56" s="839"/>
      <c r="N56" s="841" t="str">
        <f t="shared" si="3"/>
        <v>NewCostgrp7</v>
      </c>
      <c r="O56" s="842" t="s">
        <v>2774</v>
      </c>
      <c r="P56" s="624"/>
      <c r="Q56" s="280"/>
      <c r="R56" s="280"/>
      <c r="T56" s="280"/>
      <c r="U56" s="318"/>
    </row>
    <row r="57" spans="1:21" ht="20.100000000000001" customHeight="1" x14ac:dyDescent="0.2">
      <c r="A57" s="847" t="str">
        <f>IFERROR(INDEX('Reference Records'!$B$222:$B$298,MATCH(B57,'Reference Records'!$E$222:$E$298,0)),"")</f>
        <v/>
      </c>
      <c r="B57" s="303" t="str">
        <f>IFERROR(INDEX('LFA Expenditure_7B'!C$68:C$77,MATCH('LFA Expenditure_7B imp-exp'!N57,'LFA Expenditure_7B'!B$68:B$77,0)),"")</f>
        <v/>
      </c>
      <c r="C57" s="837">
        <v>0</v>
      </c>
      <c r="D57" s="837">
        <f>'PR Expenditure_7A'!F77</f>
        <v>0</v>
      </c>
      <c r="E57" s="838">
        <f>IFERROR(INDEX('LFA Expenditure_7B'!G$68:G$77,MATCH('LFA Expenditure_7B imp-exp'!N57,'LFA Expenditure_7B'!B$68:B$77,0)),"")</f>
        <v>0</v>
      </c>
      <c r="F57" s="837"/>
      <c r="G57" s="839"/>
      <c r="H57" s="52"/>
      <c r="I57" s="303">
        <f t="shared" si="2"/>
        <v>8</v>
      </c>
      <c r="J57" s="840">
        <v>0</v>
      </c>
      <c r="K57" s="838">
        <f>IFERROR(INDEX('LFA Expenditure_7B'!M$68:M$77,MATCH('LFA Expenditure_7B imp-exp'!N57,'LFA Expenditure_7B'!B$68:B$77,0)),"")</f>
        <v>0</v>
      </c>
      <c r="L57" s="837"/>
      <c r="M57" s="839"/>
      <c r="N57" s="841" t="str">
        <f t="shared" si="3"/>
        <v>NewCostgrp8</v>
      </c>
      <c r="O57" s="842" t="s">
        <v>2775</v>
      </c>
      <c r="P57" s="624"/>
      <c r="Q57" s="280"/>
      <c r="R57" s="280"/>
      <c r="T57" s="280"/>
      <c r="U57" s="318"/>
    </row>
    <row r="58" spans="1:21" ht="20.100000000000001" customHeight="1" x14ac:dyDescent="0.2">
      <c r="A58" s="847" t="str">
        <f>IFERROR(INDEX('Reference Records'!$B$222:$B$298,MATCH(B58,'Reference Records'!$E$222:$E$298,0)),"")</f>
        <v/>
      </c>
      <c r="B58" s="303" t="str">
        <f>IFERROR(INDEX('LFA Expenditure_7B'!C$68:C$77,MATCH('LFA Expenditure_7B imp-exp'!N58,'LFA Expenditure_7B'!B$68:B$77,0)),"")</f>
        <v/>
      </c>
      <c r="C58" s="837">
        <v>0</v>
      </c>
      <c r="D58" s="837">
        <f>'PR Expenditure_7A'!F78</f>
        <v>0</v>
      </c>
      <c r="E58" s="838">
        <f>IFERROR(INDEX('LFA Expenditure_7B'!G$68:G$77,MATCH('LFA Expenditure_7B imp-exp'!N58,'LFA Expenditure_7B'!B$68:B$77,0)),"")</f>
        <v>0</v>
      </c>
      <c r="F58" s="837"/>
      <c r="G58" s="839"/>
      <c r="H58" s="52"/>
      <c r="I58" s="303">
        <f t="shared" si="2"/>
        <v>9</v>
      </c>
      <c r="J58" s="840">
        <v>0</v>
      </c>
      <c r="K58" s="838">
        <f>IFERROR(INDEX('LFA Expenditure_7B'!M$68:M$77,MATCH('LFA Expenditure_7B imp-exp'!N58,'LFA Expenditure_7B'!B$68:B$77,0)),"")</f>
        <v>0</v>
      </c>
      <c r="L58" s="837"/>
      <c r="M58" s="839"/>
      <c r="N58" s="841" t="str">
        <f t="shared" si="3"/>
        <v>NewCostgrp9</v>
      </c>
      <c r="O58" s="842" t="s">
        <v>2776</v>
      </c>
      <c r="P58" s="624"/>
      <c r="Q58" s="280"/>
      <c r="R58" s="280"/>
      <c r="T58" s="280"/>
      <c r="U58" s="318"/>
    </row>
    <row r="59" spans="1:21" ht="20.100000000000001" customHeight="1" x14ac:dyDescent="0.2">
      <c r="A59" s="847" t="str">
        <f>IFERROR(INDEX('Reference Records'!$B$222:$B$298,MATCH(B59,'Reference Records'!$E$222:$E$298,0)),"")</f>
        <v/>
      </c>
      <c r="B59" s="303" t="str">
        <f>IFERROR(INDEX('LFA Expenditure_7B'!C$68:C$77,MATCH('LFA Expenditure_7B imp-exp'!N59,'LFA Expenditure_7B'!B$68:B$77,0)),"")</f>
        <v/>
      </c>
      <c r="C59" s="837">
        <v>0</v>
      </c>
      <c r="D59" s="837">
        <f>'PR Expenditure_7A'!F79</f>
        <v>11276916.42</v>
      </c>
      <c r="E59" s="838">
        <f>IFERROR(INDEX('LFA Expenditure_7B'!G$68:G$77,MATCH('LFA Expenditure_7B imp-exp'!N59,'LFA Expenditure_7B'!B$68:B$77,0)),"")</f>
        <v>0</v>
      </c>
      <c r="F59" s="837"/>
      <c r="G59" s="839"/>
      <c r="H59" s="52"/>
      <c r="I59" s="303">
        <f t="shared" si="2"/>
        <v>10</v>
      </c>
      <c r="J59" s="840">
        <v>0</v>
      </c>
      <c r="K59" s="838">
        <f>IFERROR(INDEX('LFA Expenditure_7B'!M$68:M$77,MATCH('LFA Expenditure_7B imp-exp'!N59,'LFA Expenditure_7B'!B$68:B$77,0)),"")</f>
        <v>0</v>
      </c>
      <c r="L59" s="837"/>
      <c r="M59" s="839"/>
      <c r="N59" s="841" t="str">
        <f t="shared" si="3"/>
        <v>NewCostgrp10</v>
      </c>
      <c r="O59" s="842" t="s">
        <v>2777</v>
      </c>
      <c r="P59" s="624"/>
      <c r="Q59" s="280"/>
      <c r="R59" s="280"/>
      <c r="T59" s="280"/>
      <c r="U59" s="318"/>
    </row>
    <row r="60" spans="1:21" ht="19.350000000000001" customHeight="1" x14ac:dyDescent="0.2">
      <c r="A60" s="319"/>
      <c r="B60" s="300"/>
      <c r="C60" s="300"/>
      <c r="D60" s="300"/>
      <c r="E60" s="300"/>
      <c r="F60" s="300"/>
      <c r="G60" s="300"/>
      <c r="H60" s="300"/>
      <c r="I60" s="314"/>
      <c r="J60" s="300"/>
      <c r="K60" s="300"/>
      <c r="L60" s="300"/>
      <c r="M60" s="300"/>
      <c r="N60" s="318"/>
      <c r="O60" s="280"/>
      <c r="P60" s="624"/>
      <c r="Q60" s="280"/>
      <c r="R60" s="280"/>
      <c r="S60" s="280"/>
      <c r="T60" s="280"/>
      <c r="U60" s="318"/>
    </row>
    <row r="61" spans="1:21" s="232" customFormat="1" ht="60" x14ac:dyDescent="0.25">
      <c r="A61" s="820" t="s">
        <v>2778</v>
      </c>
      <c r="B61" s="820" t="s">
        <v>2779</v>
      </c>
      <c r="C61" s="848" t="s">
        <v>1117</v>
      </c>
      <c r="D61" s="848" t="s">
        <v>2909</v>
      </c>
      <c r="E61" s="848" t="s">
        <v>2910</v>
      </c>
      <c r="F61" s="848" t="s">
        <v>1119</v>
      </c>
      <c r="G61" s="848" t="s">
        <v>2669</v>
      </c>
      <c r="H61" s="848" t="s">
        <v>2911</v>
      </c>
      <c r="I61" s="303">
        <v>-1</v>
      </c>
      <c r="J61" s="848" t="s">
        <v>2671</v>
      </c>
      <c r="K61" s="848" t="s">
        <v>2672</v>
      </c>
      <c r="L61" s="848" t="s">
        <v>1124</v>
      </c>
      <c r="M61" s="848" t="s">
        <v>2669</v>
      </c>
      <c r="N61" s="833"/>
      <c r="O61" s="834" t="s">
        <v>122</v>
      </c>
      <c r="P61" s="630"/>
      <c r="Q61" s="418"/>
      <c r="R61" s="418"/>
      <c r="S61" s="418"/>
      <c r="T61" s="418"/>
      <c r="U61" s="317"/>
    </row>
    <row r="62" spans="1:21" ht="15" hidden="1" x14ac:dyDescent="0.2">
      <c r="A62" s="849" t="s">
        <v>596</v>
      </c>
      <c r="B62" s="849" t="s">
        <v>769</v>
      </c>
      <c r="C62" s="837" t="s">
        <v>2675</v>
      </c>
      <c r="D62" s="837">
        <f>'PR Expenditure_7A'!F84</f>
        <v>820.44774207433113</v>
      </c>
      <c r="E62" s="838" t="str">
        <f>IFERROR(INDEX('LFA Expenditure_7B'!G$83:G$182,MATCH('LFA Expenditure_7B imp-exp'!N62,'LFA Expenditure_7B'!B$83:B$182,0)),"")</f>
        <v/>
      </c>
      <c r="F62" s="837"/>
      <c r="G62" s="839"/>
      <c r="H62" s="52"/>
      <c r="I62" s="303">
        <f>I61+1</f>
        <v>0</v>
      </c>
      <c r="J62" s="840" t="s">
        <v>2676</v>
      </c>
      <c r="K62" s="838" t="str">
        <f>IFERROR(INDEX('LFA Expenditure_7B'!M$83:M$182,MATCH('LFA Expenditure_7B imp-exp'!N62,'LFA Expenditure_7B'!B$83:B$182,0)),"")</f>
        <v/>
      </c>
      <c r="L62" s="837"/>
      <c r="M62" s="839"/>
      <c r="N62" s="845" t="str">
        <f>"Int"&amp;I62</f>
        <v>Int0</v>
      </c>
      <c r="O62" s="842" t="s">
        <v>371</v>
      </c>
      <c r="P62" s="624"/>
      <c r="Q62" s="280"/>
      <c r="R62" s="280"/>
      <c r="S62" s="280"/>
      <c r="T62" s="280"/>
    </row>
    <row r="63" spans="1:21" ht="25.5" x14ac:dyDescent="0.2">
      <c r="A63" s="849" t="s">
        <v>776</v>
      </c>
      <c r="B63" s="849" t="s">
        <v>782</v>
      </c>
      <c r="C63" s="837">
        <v>1083.6147002595601</v>
      </c>
      <c r="D63" s="837">
        <f>'PR Expenditure_7A'!F85</f>
        <v>244262.22</v>
      </c>
      <c r="E63" s="838">
        <f>IFERROR(INDEX('LFA Expenditure_7B'!G$83:G$182,MATCH('LFA Expenditure_7B imp-exp'!N63,'LFA Expenditure_7B'!B$83:B$182,0)),"")</f>
        <v>0</v>
      </c>
      <c r="F63" s="837"/>
      <c r="G63" s="839"/>
      <c r="H63" s="52"/>
      <c r="I63" s="303">
        <f t="shared" ref="I63:I107" si="4">I62+1</f>
        <v>1</v>
      </c>
      <c r="J63" s="840">
        <v>5868.9367050627498</v>
      </c>
      <c r="K63" s="838">
        <f>IFERROR(INDEX('LFA Expenditure_7B'!M$83:M$182,MATCH('LFA Expenditure_7B imp-exp'!N63,'LFA Expenditure_7B'!B$83:B$182,0)),"")</f>
        <v>0</v>
      </c>
      <c r="L63" s="837"/>
      <c r="M63" s="839"/>
      <c r="N63" s="845" t="str">
        <f t="shared" ref="N63:N107" si="5">"Int"&amp;I63</f>
        <v>Int1</v>
      </c>
      <c r="O63" s="842" t="s">
        <v>2780</v>
      </c>
      <c r="P63" s="624"/>
      <c r="Q63" s="280"/>
      <c r="R63" s="280"/>
      <c r="S63" s="280"/>
      <c r="T63" s="280"/>
    </row>
    <row r="64" spans="1:21" ht="15" x14ac:dyDescent="0.2">
      <c r="A64" s="849" t="s">
        <v>390</v>
      </c>
      <c r="B64" s="849" t="s">
        <v>2781</v>
      </c>
      <c r="C64" s="837">
        <v>417648.47202143702</v>
      </c>
      <c r="D64" s="837">
        <f>'PR Expenditure_7A'!F86</f>
        <v>3535.6005357863141</v>
      </c>
      <c r="E64" s="838">
        <f>IFERROR(INDEX('LFA Expenditure_7B'!G$83:G$182,MATCH('LFA Expenditure_7B imp-exp'!N64,'LFA Expenditure_7B'!B$83:B$182,0)),"")</f>
        <v>0</v>
      </c>
      <c r="F64" s="837"/>
      <c r="G64" s="839"/>
      <c r="H64" s="52"/>
      <c r="I64" s="303">
        <f t="shared" si="4"/>
        <v>2</v>
      </c>
      <c r="J64" s="840">
        <v>920506.54512416304</v>
      </c>
      <c r="K64" s="838">
        <f>IFERROR(INDEX('LFA Expenditure_7B'!M$83:M$182,MATCH('LFA Expenditure_7B imp-exp'!N64,'LFA Expenditure_7B'!B$83:B$182,0)),"")</f>
        <v>0</v>
      </c>
      <c r="L64" s="837"/>
      <c r="M64" s="839"/>
      <c r="N64" s="845" t="str">
        <f t="shared" si="5"/>
        <v>Int2</v>
      </c>
      <c r="O64" s="842" t="s">
        <v>2782</v>
      </c>
      <c r="P64" s="624"/>
      <c r="Q64" s="280"/>
      <c r="R64" s="280"/>
      <c r="S64" s="280"/>
      <c r="T64" s="280"/>
    </row>
    <row r="65" spans="1:20" ht="15" x14ac:dyDescent="0.2">
      <c r="A65" s="849" t="s">
        <v>390</v>
      </c>
      <c r="B65" s="849" t="s">
        <v>2783</v>
      </c>
      <c r="C65" s="837">
        <v>45110.868282326497</v>
      </c>
      <c r="D65" s="837">
        <f>'PR Expenditure_7A'!F87</f>
        <v>2443.4799999999996</v>
      </c>
      <c r="E65" s="838">
        <f>IFERROR(INDEX('LFA Expenditure_7B'!G$83:G$182,MATCH('LFA Expenditure_7B imp-exp'!N65,'LFA Expenditure_7B'!B$83:B$182,0)),"")</f>
        <v>0</v>
      </c>
      <c r="F65" s="837"/>
      <c r="G65" s="839"/>
      <c r="H65" s="52"/>
      <c r="I65" s="303">
        <f t="shared" si="4"/>
        <v>3</v>
      </c>
      <c r="J65" s="840">
        <v>139563.02728521</v>
      </c>
      <c r="K65" s="838">
        <f>IFERROR(INDEX('LFA Expenditure_7B'!M$83:M$182,MATCH('LFA Expenditure_7B imp-exp'!N65,'LFA Expenditure_7B'!B$83:B$182,0)),"")</f>
        <v>0</v>
      </c>
      <c r="L65" s="837"/>
      <c r="M65" s="839"/>
      <c r="N65" s="845" t="str">
        <f t="shared" si="5"/>
        <v>Int3</v>
      </c>
      <c r="O65" s="842" t="s">
        <v>2784</v>
      </c>
      <c r="P65" s="624"/>
      <c r="Q65" s="280"/>
      <c r="R65" s="280"/>
      <c r="S65" s="280"/>
      <c r="T65" s="280"/>
    </row>
    <row r="66" spans="1:20" ht="15" x14ac:dyDescent="0.2">
      <c r="A66" s="849" t="s">
        <v>390</v>
      </c>
      <c r="B66" s="849" t="s">
        <v>2785</v>
      </c>
      <c r="C66" s="837">
        <v>12086.9212520861</v>
      </c>
      <c r="D66" s="837">
        <f>'PR Expenditure_7A'!F88</f>
        <v>5973.34</v>
      </c>
      <c r="E66" s="838">
        <f>IFERROR(INDEX('LFA Expenditure_7B'!G$83:G$182,MATCH('LFA Expenditure_7B imp-exp'!N66,'LFA Expenditure_7B'!B$83:B$182,0)),"")</f>
        <v>0</v>
      </c>
      <c r="F66" s="837"/>
      <c r="G66" s="839"/>
      <c r="H66" s="52"/>
      <c r="I66" s="303">
        <f t="shared" si="4"/>
        <v>4</v>
      </c>
      <c r="J66" s="840">
        <v>24173.8425041722</v>
      </c>
      <c r="K66" s="838">
        <f>IFERROR(INDEX('LFA Expenditure_7B'!M$83:M$182,MATCH('LFA Expenditure_7B imp-exp'!N66,'LFA Expenditure_7B'!B$83:B$182,0)),"")</f>
        <v>0</v>
      </c>
      <c r="L66" s="837"/>
      <c r="M66" s="839"/>
      <c r="N66" s="845" t="str">
        <f t="shared" si="5"/>
        <v>Int4</v>
      </c>
      <c r="O66" s="842" t="s">
        <v>2786</v>
      </c>
      <c r="P66" s="624"/>
      <c r="Q66" s="280"/>
      <c r="R66" s="280"/>
      <c r="S66" s="280"/>
      <c r="T66" s="280"/>
    </row>
    <row r="67" spans="1:20" ht="15" x14ac:dyDescent="0.2">
      <c r="A67" s="849" t="s">
        <v>390</v>
      </c>
      <c r="B67" s="849" t="s">
        <v>2787</v>
      </c>
      <c r="C67" s="837">
        <v>6342.4190506292398</v>
      </c>
      <c r="D67" s="837">
        <f>'PR Expenditure_7A'!F89</f>
        <v>252743.04000000004</v>
      </c>
      <c r="E67" s="838">
        <f>IFERROR(INDEX('LFA Expenditure_7B'!G$83:G$182,MATCH('LFA Expenditure_7B imp-exp'!N67,'LFA Expenditure_7B'!B$83:B$182,0)),"")</f>
        <v>0</v>
      </c>
      <c r="F67" s="837"/>
      <c r="G67" s="839"/>
      <c r="H67" s="52"/>
      <c r="I67" s="303">
        <f t="shared" si="4"/>
        <v>5</v>
      </c>
      <c r="J67" s="840">
        <v>12684.8381012585</v>
      </c>
      <c r="K67" s="838">
        <f>IFERROR(INDEX('LFA Expenditure_7B'!M$83:M$182,MATCH('LFA Expenditure_7B imp-exp'!N67,'LFA Expenditure_7B'!B$83:B$182,0)),"")</f>
        <v>0</v>
      </c>
      <c r="L67" s="837"/>
      <c r="M67" s="839"/>
      <c r="N67" s="845" t="str">
        <f t="shared" si="5"/>
        <v>Int5</v>
      </c>
      <c r="O67" s="842" t="s">
        <v>2788</v>
      </c>
      <c r="P67" s="624"/>
      <c r="Q67" s="280"/>
      <c r="R67" s="280"/>
      <c r="S67" s="280"/>
      <c r="T67" s="280"/>
    </row>
    <row r="68" spans="1:20" ht="15" x14ac:dyDescent="0.2">
      <c r="A68" s="849" t="s">
        <v>390</v>
      </c>
      <c r="B68" s="849" t="s">
        <v>2789</v>
      </c>
      <c r="C68" s="837">
        <v>362592.288397895</v>
      </c>
      <c r="D68" s="837">
        <f>'PR Expenditure_7A'!F90</f>
        <v>17042.030969260966</v>
      </c>
      <c r="E68" s="838">
        <f>IFERROR(INDEX('LFA Expenditure_7B'!G$83:G$182,MATCH('LFA Expenditure_7B imp-exp'!N68,'LFA Expenditure_7B'!B$83:B$182,0)),"")</f>
        <v>0</v>
      </c>
      <c r="F68" s="837"/>
      <c r="G68" s="839"/>
      <c r="H68" s="52"/>
      <c r="I68" s="303">
        <f t="shared" si="4"/>
        <v>6</v>
      </c>
      <c r="J68" s="840">
        <v>725184.57679578895</v>
      </c>
      <c r="K68" s="838">
        <f>IFERROR(INDEX('LFA Expenditure_7B'!M$83:M$182,MATCH('LFA Expenditure_7B imp-exp'!N68,'LFA Expenditure_7B'!B$83:B$182,0)),"")</f>
        <v>0</v>
      </c>
      <c r="L68" s="837"/>
      <c r="M68" s="839"/>
      <c r="N68" s="845" t="str">
        <f t="shared" si="5"/>
        <v>Int6</v>
      </c>
      <c r="O68" s="842" t="s">
        <v>2790</v>
      </c>
      <c r="P68" s="624"/>
      <c r="Q68" s="280"/>
      <c r="R68" s="280"/>
      <c r="S68" s="280"/>
      <c r="T68" s="280"/>
    </row>
    <row r="69" spans="1:20" ht="15" x14ac:dyDescent="0.2">
      <c r="A69" s="849" t="s">
        <v>390</v>
      </c>
      <c r="B69" s="849" t="s">
        <v>2791</v>
      </c>
      <c r="C69" s="837">
        <v>22513.615614632101</v>
      </c>
      <c r="D69" s="837">
        <f>'PR Expenditure_7A'!F91</f>
        <v>181664.87002959239</v>
      </c>
      <c r="E69" s="838">
        <f>IFERROR(INDEX('LFA Expenditure_7B'!G$83:G$182,MATCH('LFA Expenditure_7B imp-exp'!N69,'LFA Expenditure_7B'!B$83:B$182,0)),"")</f>
        <v>0</v>
      </c>
      <c r="F69" s="837"/>
      <c r="G69" s="839"/>
      <c r="H69" s="52"/>
      <c r="I69" s="303">
        <f t="shared" si="4"/>
        <v>7</v>
      </c>
      <c r="J69" s="840">
        <v>48117.929468192102</v>
      </c>
      <c r="K69" s="838">
        <f>IFERROR(INDEX('LFA Expenditure_7B'!M$83:M$182,MATCH('LFA Expenditure_7B imp-exp'!N69,'LFA Expenditure_7B'!B$83:B$182,0)),"")</f>
        <v>0</v>
      </c>
      <c r="L69" s="837"/>
      <c r="M69" s="839"/>
      <c r="N69" s="845" t="str">
        <f t="shared" si="5"/>
        <v>Int7</v>
      </c>
      <c r="O69" s="842" t="s">
        <v>2792</v>
      </c>
      <c r="P69" s="624"/>
      <c r="Q69" s="280"/>
      <c r="R69" s="280"/>
      <c r="S69" s="280"/>
      <c r="T69" s="280"/>
    </row>
    <row r="70" spans="1:20" ht="15" x14ac:dyDescent="0.2">
      <c r="A70" s="849" t="s">
        <v>453</v>
      </c>
      <c r="B70" s="849" t="s">
        <v>2793</v>
      </c>
      <c r="C70" s="837">
        <v>175560.76264251501</v>
      </c>
      <c r="D70" s="837">
        <f>'PR Expenditure_7A'!F92</f>
        <v>0</v>
      </c>
      <c r="E70" s="838">
        <f>IFERROR(INDEX('LFA Expenditure_7B'!G$83:G$182,MATCH('LFA Expenditure_7B imp-exp'!N70,'LFA Expenditure_7B'!B$83:B$182,0)),"")</f>
        <v>0</v>
      </c>
      <c r="F70" s="837"/>
      <c r="G70" s="839"/>
      <c r="H70" s="52"/>
      <c r="I70" s="303">
        <f t="shared" si="4"/>
        <v>8</v>
      </c>
      <c r="J70" s="840">
        <v>449057.42519641097</v>
      </c>
      <c r="K70" s="838">
        <f>IFERROR(INDEX('LFA Expenditure_7B'!M$83:M$182,MATCH('LFA Expenditure_7B imp-exp'!N70,'LFA Expenditure_7B'!B$83:B$182,0)),"")</f>
        <v>0</v>
      </c>
      <c r="L70" s="837"/>
      <c r="M70" s="839"/>
      <c r="N70" s="845" t="str">
        <f t="shared" si="5"/>
        <v>Int8</v>
      </c>
      <c r="O70" s="842" t="s">
        <v>2794</v>
      </c>
      <c r="P70" s="624"/>
      <c r="Q70" s="280"/>
      <c r="R70" s="280"/>
      <c r="S70" s="280"/>
      <c r="T70" s="280"/>
    </row>
    <row r="71" spans="1:20" ht="15" x14ac:dyDescent="0.2">
      <c r="A71" s="849" t="s">
        <v>453</v>
      </c>
      <c r="B71" s="849" t="s">
        <v>2795</v>
      </c>
      <c r="C71" s="837">
        <v>0</v>
      </c>
      <c r="D71" s="837">
        <f>'PR Expenditure_7A'!F93</f>
        <v>140238.6155567338</v>
      </c>
      <c r="E71" s="838">
        <f>IFERROR(INDEX('LFA Expenditure_7B'!G$83:G$182,MATCH('LFA Expenditure_7B imp-exp'!N71,'LFA Expenditure_7B'!B$83:B$182,0)),"")</f>
        <v>0</v>
      </c>
      <c r="F71" s="837"/>
      <c r="G71" s="839"/>
      <c r="H71" s="52"/>
      <c r="I71" s="303">
        <f t="shared" si="4"/>
        <v>9</v>
      </c>
      <c r="J71" s="840">
        <v>128041.523258478</v>
      </c>
      <c r="K71" s="838">
        <f>IFERROR(INDEX('LFA Expenditure_7B'!M$83:M$182,MATCH('LFA Expenditure_7B imp-exp'!N71,'LFA Expenditure_7B'!B$83:B$182,0)),"")</f>
        <v>0</v>
      </c>
      <c r="L71" s="837"/>
      <c r="M71" s="839"/>
      <c r="N71" s="845" t="str">
        <f t="shared" si="5"/>
        <v>Int9</v>
      </c>
      <c r="O71" s="842" t="s">
        <v>2796</v>
      </c>
      <c r="P71" s="624"/>
      <c r="Q71" s="280"/>
      <c r="R71" s="280"/>
      <c r="S71" s="280"/>
      <c r="T71" s="280"/>
    </row>
    <row r="72" spans="1:20" ht="15" x14ac:dyDescent="0.2">
      <c r="A72" s="849" t="s">
        <v>453</v>
      </c>
      <c r="B72" s="849" t="s">
        <v>2797</v>
      </c>
      <c r="C72" s="837">
        <v>118885.63710887</v>
      </c>
      <c r="D72" s="837">
        <f>'PR Expenditure_7A'!F94</f>
        <v>102144.93536585367</v>
      </c>
      <c r="E72" s="838">
        <f>IFERROR(INDEX('LFA Expenditure_7B'!G$83:G$182,MATCH('LFA Expenditure_7B imp-exp'!N72,'LFA Expenditure_7B'!B$83:B$182,0)),"")</f>
        <v>0</v>
      </c>
      <c r="F72" s="837"/>
      <c r="G72" s="839"/>
      <c r="H72" s="52"/>
      <c r="I72" s="303">
        <f t="shared" si="4"/>
        <v>10</v>
      </c>
      <c r="J72" s="840">
        <v>213212.718686804</v>
      </c>
      <c r="K72" s="838">
        <f>IFERROR(INDEX('LFA Expenditure_7B'!M$83:M$182,MATCH('LFA Expenditure_7B imp-exp'!N72,'LFA Expenditure_7B'!B$83:B$182,0)),"")</f>
        <v>0</v>
      </c>
      <c r="L72" s="837"/>
      <c r="M72" s="839"/>
      <c r="N72" s="845" t="str">
        <f t="shared" si="5"/>
        <v>Int10</v>
      </c>
      <c r="O72" s="842" t="s">
        <v>2798</v>
      </c>
      <c r="P72" s="624"/>
      <c r="Q72" s="280"/>
      <c r="R72" s="280"/>
      <c r="S72" s="280"/>
      <c r="T72" s="280"/>
    </row>
    <row r="73" spans="1:20" ht="15" x14ac:dyDescent="0.2">
      <c r="A73" s="849" t="s">
        <v>440</v>
      </c>
      <c r="B73" s="849" t="s">
        <v>2799</v>
      </c>
      <c r="C73" s="837">
        <v>297453.14335106098</v>
      </c>
      <c r="D73" s="837">
        <f>'PR Expenditure_7A'!F95</f>
        <v>118117.4</v>
      </c>
      <c r="E73" s="838">
        <f>IFERROR(INDEX('LFA Expenditure_7B'!G$83:G$182,MATCH('LFA Expenditure_7B imp-exp'!N73,'LFA Expenditure_7B'!B$83:B$182,0)),"")</f>
        <v>0</v>
      </c>
      <c r="F73" s="837"/>
      <c r="G73" s="839"/>
      <c r="H73" s="52"/>
      <c r="I73" s="303">
        <f t="shared" si="4"/>
        <v>11</v>
      </c>
      <c r="J73" s="840">
        <v>590424.82335148798</v>
      </c>
      <c r="K73" s="838">
        <f>IFERROR(INDEX('LFA Expenditure_7B'!M$83:M$182,MATCH('LFA Expenditure_7B imp-exp'!N73,'LFA Expenditure_7B'!B$83:B$182,0)),"")</f>
        <v>0</v>
      </c>
      <c r="L73" s="837"/>
      <c r="M73" s="839"/>
      <c r="N73" s="845" t="str">
        <f t="shared" si="5"/>
        <v>Int11</v>
      </c>
      <c r="O73" s="842" t="s">
        <v>2800</v>
      </c>
      <c r="P73" s="624"/>
      <c r="Q73" s="280"/>
      <c r="R73" s="280"/>
      <c r="S73" s="280"/>
      <c r="T73" s="280"/>
    </row>
    <row r="74" spans="1:20" ht="15" x14ac:dyDescent="0.2">
      <c r="A74" s="849" t="s">
        <v>427</v>
      </c>
      <c r="B74" s="849" t="s">
        <v>2801</v>
      </c>
      <c r="C74" s="837">
        <v>151021.356975537</v>
      </c>
      <c r="D74" s="837">
        <f>'PR Expenditure_7A'!F96</f>
        <v>2117930.1342065446</v>
      </c>
      <c r="E74" s="838">
        <f>IFERROR(INDEX('LFA Expenditure_7B'!G$83:G$182,MATCH('LFA Expenditure_7B imp-exp'!N74,'LFA Expenditure_7B'!B$83:B$182,0)),"")</f>
        <v>0</v>
      </c>
      <c r="F74" s="837"/>
      <c r="G74" s="839"/>
      <c r="H74" s="52"/>
      <c r="I74" s="303">
        <f t="shared" si="4"/>
        <v>12</v>
      </c>
      <c r="J74" s="840">
        <v>325068.86107999401</v>
      </c>
      <c r="K74" s="838">
        <f>IFERROR(INDEX('LFA Expenditure_7B'!M$83:M$182,MATCH('LFA Expenditure_7B imp-exp'!N74,'LFA Expenditure_7B'!B$83:B$182,0)),"")</f>
        <v>0</v>
      </c>
      <c r="L74" s="837"/>
      <c r="M74" s="839"/>
      <c r="N74" s="845" t="str">
        <f t="shared" si="5"/>
        <v>Int12</v>
      </c>
      <c r="O74" s="842" t="s">
        <v>2802</v>
      </c>
      <c r="P74" s="624"/>
      <c r="Q74" s="280"/>
      <c r="R74" s="280"/>
      <c r="S74" s="280"/>
      <c r="T74" s="280"/>
    </row>
    <row r="75" spans="1:20" ht="15" x14ac:dyDescent="0.2">
      <c r="A75" s="849" t="s">
        <v>2803</v>
      </c>
      <c r="B75" s="849" t="s">
        <v>2804</v>
      </c>
      <c r="C75" s="837">
        <v>2068169.66294363</v>
      </c>
      <c r="D75" s="837">
        <f>'PR Expenditure_7A'!F97</f>
        <v>218759.27450354589</v>
      </c>
      <c r="E75" s="838">
        <f>IFERROR(INDEX('LFA Expenditure_7B'!G$83:G$182,MATCH('LFA Expenditure_7B imp-exp'!N75,'LFA Expenditure_7B'!B$83:B$182,0)),"")</f>
        <v>0</v>
      </c>
      <c r="F75" s="837"/>
      <c r="G75" s="839"/>
      <c r="H75" s="52"/>
      <c r="I75" s="303">
        <f t="shared" si="4"/>
        <v>13</v>
      </c>
      <c r="J75" s="840">
        <v>4033977.12654887</v>
      </c>
      <c r="K75" s="838">
        <f>IFERROR(INDEX('LFA Expenditure_7B'!M$83:M$182,MATCH('LFA Expenditure_7B imp-exp'!N75,'LFA Expenditure_7B'!B$83:B$182,0)),"")</f>
        <v>0</v>
      </c>
      <c r="L75" s="837"/>
      <c r="M75" s="839"/>
      <c r="N75" s="845" t="str">
        <f t="shared" si="5"/>
        <v>Int13</v>
      </c>
      <c r="O75" s="842" t="s">
        <v>2805</v>
      </c>
      <c r="P75" s="624"/>
      <c r="Q75" s="280"/>
      <c r="R75" s="280"/>
      <c r="S75" s="280"/>
      <c r="T75" s="280"/>
    </row>
    <row r="76" spans="1:20" ht="25.5" x14ac:dyDescent="0.2">
      <c r="A76" s="849" t="s">
        <v>2803</v>
      </c>
      <c r="B76" s="849" t="s">
        <v>2806</v>
      </c>
      <c r="C76" s="837">
        <v>210578.60347420399</v>
      </c>
      <c r="D76" s="837">
        <f>'PR Expenditure_7A'!F98</f>
        <v>12008.6</v>
      </c>
      <c r="E76" s="838">
        <f>IFERROR(INDEX('LFA Expenditure_7B'!G$83:G$182,MATCH('LFA Expenditure_7B imp-exp'!N76,'LFA Expenditure_7B'!B$83:B$182,0)),"")</f>
        <v>0</v>
      </c>
      <c r="F76" s="837"/>
      <c r="G76" s="839"/>
      <c r="H76" s="52"/>
      <c r="I76" s="303">
        <f t="shared" si="4"/>
        <v>14</v>
      </c>
      <c r="J76" s="840">
        <v>420409.07916637498</v>
      </c>
      <c r="K76" s="838">
        <f>IFERROR(INDEX('LFA Expenditure_7B'!M$83:M$182,MATCH('LFA Expenditure_7B imp-exp'!N76,'LFA Expenditure_7B'!B$83:B$182,0)),"")</f>
        <v>0</v>
      </c>
      <c r="L76" s="837"/>
      <c r="M76" s="839"/>
      <c r="N76" s="845" t="str">
        <f t="shared" si="5"/>
        <v>Int14</v>
      </c>
      <c r="O76" s="842" t="s">
        <v>2807</v>
      </c>
      <c r="P76" s="624"/>
      <c r="Q76" s="280"/>
      <c r="R76" s="280"/>
      <c r="S76" s="280"/>
      <c r="T76" s="280"/>
    </row>
    <row r="77" spans="1:20" ht="25.5" x14ac:dyDescent="0.2">
      <c r="A77" s="849" t="s">
        <v>478</v>
      </c>
      <c r="B77" s="849" t="s">
        <v>2808</v>
      </c>
      <c r="C77" s="837">
        <v>13826.315722405699</v>
      </c>
      <c r="D77" s="837">
        <f>'PR Expenditure_7A'!F99</f>
        <v>413448.15</v>
      </c>
      <c r="E77" s="838">
        <f>IFERROR(INDEX('LFA Expenditure_7B'!G$83:G$182,MATCH('LFA Expenditure_7B imp-exp'!N77,'LFA Expenditure_7B'!B$83:B$182,0)),"")</f>
        <v>0</v>
      </c>
      <c r="F77" s="837"/>
      <c r="G77" s="839"/>
      <c r="H77" s="52"/>
      <c r="I77" s="303">
        <f t="shared" si="4"/>
        <v>15</v>
      </c>
      <c r="J77" s="840">
        <v>27652.631444811399</v>
      </c>
      <c r="K77" s="838">
        <f>IFERROR(INDEX('LFA Expenditure_7B'!M$83:M$182,MATCH('LFA Expenditure_7B imp-exp'!N77,'LFA Expenditure_7B'!B$83:B$182,0)),"")</f>
        <v>0</v>
      </c>
      <c r="L77" s="837"/>
      <c r="M77" s="839"/>
      <c r="N77" s="845" t="str">
        <f t="shared" si="5"/>
        <v>Int15</v>
      </c>
      <c r="O77" s="842" t="s">
        <v>2809</v>
      </c>
      <c r="P77" s="624"/>
      <c r="Q77" s="280"/>
      <c r="R77" s="280"/>
      <c r="S77" s="280"/>
      <c r="T77" s="280"/>
    </row>
    <row r="78" spans="1:20" ht="15" x14ac:dyDescent="0.2">
      <c r="A78" s="849" t="s">
        <v>478</v>
      </c>
      <c r="B78" s="849" t="s">
        <v>2810</v>
      </c>
      <c r="C78" s="837">
        <v>176767.48</v>
      </c>
      <c r="D78" s="837">
        <f>'PR Expenditure_7A'!F100</f>
        <v>58267.939999999995</v>
      </c>
      <c r="E78" s="838">
        <f>IFERROR(INDEX('LFA Expenditure_7B'!G$83:G$182,MATCH('LFA Expenditure_7B imp-exp'!N78,'LFA Expenditure_7B'!B$83:B$182,0)),"")</f>
        <v>0</v>
      </c>
      <c r="F78" s="837"/>
      <c r="G78" s="839"/>
      <c r="H78" s="52"/>
      <c r="I78" s="303">
        <f t="shared" si="4"/>
        <v>16</v>
      </c>
      <c r="J78" s="840">
        <v>575943.01959726296</v>
      </c>
      <c r="K78" s="838">
        <f>IFERROR(INDEX('LFA Expenditure_7B'!M$83:M$182,MATCH('LFA Expenditure_7B imp-exp'!N78,'LFA Expenditure_7B'!B$83:B$182,0)),"")</f>
        <v>0</v>
      </c>
      <c r="L78" s="837"/>
      <c r="M78" s="839"/>
      <c r="N78" s="845" t="str">
        <f t="shared" si="5"/>
        <v>Int16</v>
      </c>
      <c r="O78" s="842" t="s">
        <v>2811</v>
      </c>
      <c r="P78" s="624"/>
      <c r="Q78" s="280"/>
      <c r="R78" s="280"/>
      <c r="S78" s="280"/>
      <c r="T78" s="280"/>
    </row>
    <row r="79" spans="1:20" ht="25.5" x14ac:dyDescent="0.2">
      <c r="A79" s="849" t="s">
        <v>478</v>
      </c>
      <c r="B79" s="849" t="s">
        <v>2812</v>
      </c>
      <c r="C79" s="837">
        <v>14639.026747600299</v>
      </c>
      <c r="D79" s="837">
        <f>'PR Expenditure_7A'!F101</f>
        <v>347243.30778366921</v>
      </c>
      <c r="E79" s="838">
        <f>IFERROR(INDEX('LFA Expenditure_7B'!G$83:G$182,MATCH('LFA Expenditure_7B imp-exp'!N79,'LFA Expenditure_7B'!B$83:B$182,0)),"")</f>
        <v>0</v>
      </c>
      <c r="F79" s="837"/>
      <c r="G79" s="839"/>
      <c r="H79" s="52"/>
      <c r="I79" s="303">
        <f t="shared" si="4"/>
        <v>17</v>
      </c>
      <c r="J79" s="840">
        <v>77457.410006417602</v>
      </c>
      <c r="K79" s="838">
        <f>IFERROR(INDEX('LFA Expenditure_7B'!M$83:M$182,MATCH('LFA Expenditure_7B imp-exp'!N79,'LFA Expenditure_7B'!B$83:B$182,0)),"")</f>
        <v>0</v>
      </c>
      <c r="L79" s="837"/>
      <c r="M79" s="839"/>
      <c r="N79" s="845" t="str">
        <f t="shared" si="5"/>
        <v>Int17</v>
      </c>
      <c r="O79" s="842" t="s">
        <v>2813</v>
      </c>
      <c r="P79" s="624"/>
      <c r="Q79" s="280"/>
      <c r="R79" s="280"/>
      <c r="S79" s="280"/>
      <c r="T79" s="280"/>
    </row>
    <row r="80" spans="1:20" ht="15" x14ac:dyDescent="0.2">
      <c r="A80" s="849" t="s">
        <v>2814</v>
      </c>
      <c r="B80" s="849" t="s">
        <v>2815</v>
      </c>
      <c r="C80" s="837">
        <v>227549.03827324999</v>
      </c>
      <c r="D80" s="837">
        <f>'PR Expenditure_7A'!F102</f>
        <v>5200.8999999999996</v>
      </c>
      <c r="E80" s="838">
        <f>IFERROR(INDEX('LFA Expenditure_7B'!G$83:G$182,MATCH('LFA Expenditure_7B imp-exp'!N80,'LFA Expenditure_7B'!B$83:B$182,0)),"")</f>
        <v>0</v>
      </c>
      <c r="F80" s="837"/>
      <c r="G80" s="839"/>
      <c r="H80" s="52"/>
      <c r="I80" s="303">
        <f t="shared" si="4"/>
        <v>18</v>
      </c>
      <c r="J80" s="840">
        <v>421062.39837243198</v>
      </c>
      <c r="K80" s="838">
        <f>IFERROR(INDEX('LFA Expenditure_7B'!M$83:M$182,MATCH('LFA Expenditure_7B imp-exp'!N80,'LFA Expenditure_7B'!B$83:B$182,0)),"")</f>
        <v>0</v>
      </c>
      <c r="L80" s="837"/>
      <c r="M80" s="839"/>
      <c r="N80" s="845" t="str">
        <f t="shared" si="5"/>
        <v>Int18</v>
      </c>
      <c r="O80" s="842" t="s">
        <v>2816</v>
      </c>
      <c r="P80" s="624"/>
      <c r="Q80" s="280"/>
      <c r="R80" s="280"/>
      <c r="S80" s="280"/>
      <c r="T80" s="280"/>
    </row>
    <row r="81" spans="1:20" ht="15" x14ac:dyDescent="0.2">
      <c r="A81" s="849" t="s">
        <v>478</v>
      </c>
      <c r="B81" s="849" t="s">
        <v>2817</v>
      </c>
      <c r="C81" s="837">
        <v>0</v>
      </c>
      <c r="D81" s="837">
        <f>'PR Expenditure_7A'!F103</f>
        <v>1122.6199999999999</v>
      </c>
      <c r="E81" s="838">
        <f>IFERROR(INDEX('LFA Expenditure_7B'!G$83:G$182,MATCH('LFA Expenditure_7B imp-exp'!N81,'LFA Expenditure_7B'!B$83:B$182,0)),"")</f>
        <v>0</v>
      </c>
      <c r="F81" s="837"/>
      <c r="G81" s="839"/>
      <c r="H81" s="52"/>
      <c r="I81" s="303">
        <f t="shared" si="4"/>
        <v>19</v>
      </c>
      <c r="J81" s="840">
        <v>9533.6468086751993</v>
      </c>
      <c r="K81" s="838">
        <f>IFERROR(INDEX('LFA Expenditure_7B'!M$83:M$182,MATCH('LFA Expenditure_7B imp-exp'!N81,'LFA Expenditure_7B'!B$83:B$182,0)),"")</f>
        <v>0</v>
      </c>
      <c r="L81" s="837"/>
      <c r="M81" s="839"/>
      <c r="N81" s="845" t="str">
        <f t="shared" si="5"/>
        <v>Int19</v>
      </c>
      <c r="O81" s="842" t="s">
        <v>2818</v>
      </c>
      <c r="P81" s="624"/>
      <c r="Q81" s="280"/>
      <c r="R81" s="280"/>
      <c r="S81" s="280"/>
      <c r="T81" s="280"/>
    </row>
    <row r="82" spans="1:20" ht="15" x14ac:dyDescent="0.2">
      <c r="A82" s="849" t="s">
        <v>519</v>
      </c>
      <c r="B82" s="849" t="s">
        <v>2819</v>
      </c>
      <c r="C82" s="837">
        <v>4453.6914865036897</v>
      </c>
      <c r="D82" s="837">
        <f>'PR Expenditure_7A'!F104</f>
        <v>0</v>
      </c>
      <c r="E82" s="838">
        <f>IFERROR(INDEX('LFA Expenditure_7B'!G$83:G$182,MATCH('LFA Expenditure_7B imp-exp'!N82,'LFA Expenditure_7B'!B$83:B$182,0)),"")</f>
        <v>0</v>
      </c>
      <c r="F82" s="837"/>
      <c r="G82" s="839"/>
      <c r="H82" s="52"/>
      <c r="I82" s="303">
        <f t="shared" si="4"/>
        <v>20</v>
      </c>
      <c r="J82" s="840">
        <v>8907.3829730073794</v>
      </c>
      <c r="K82" s="838">
        <f>IFERROR(INDEX('LFA Expenditure_7B'!M$83:M$182,MATCH('LFA Expenditure_7B imp-exp'!N82,'LFA Expenditure_7B'!B$83:B$182,0)),"")</f>
        <v>0</v>
      </c>
      <c r="L82" s="837"/>
      <c r="M82" s="839"/>
      <c r="N82" s="845" t="str">
        <f t="shared" si="5"/>
        <v>Int20</v>
      </c>
      <c r="O82" s="842" t="s">
        <v>2820</v>
      </c>
      <c r="P82" s="624"/>
      <c r="Q82" s="280"/>
      <c r="R82" s="280"/>
      <c r="S82" s="280"/>
      <c r="T82" s="280"/>
    </row>
    <row r="83" spans="1:20" ht="15" x14ac:dyDescent="0.2">
      <c r="A83" s="849" t="s">
        <v>519</v>
      </c>
      <c r="B83" s="849" t="s">
        <v>2821</v>
      </c>
      <c r="C83" s="837">
        <v>38928.9939290701</v>
      </c>
      <c r="D83" s="837">
        <f>'PR Expenditure_7A'!F105</f>
        <v>17771.023684721076</v>
      </c>
      <c r="E83" s="838">
        <f>IFERROR(INDEX('LFA Expenditure_7B'!G$83:G$182,MATCH('LFA Expenditure_7B imp-exp'!N83,'LFA Expenditure_7B'!B$83:B$182,0)),"")</f>
        <v>0</v>
      </c>
      <c r="F83" s="837"/>
      <c r="G83" s="839"/>
      <c r="H83" s="52"/>
      <c r="I83" s="303">
        <f t="shared" si="4"/>
        <v>21</v>
      </c>
      <c r="J83" s="840">
        <v>43468.0869686402</v>
      </c>
      <c r="K83" s="838">
        <f>IFERROR(INDEX('LFA Expenditure_7B'!M$83:M$182,MATCH('LFA Expenditure_7B imp-exp'!N83,'LFA Expenditure_7B'!B$83:B$182,0)),"")</f>
        <v>0</v>
      </c>
      <c r="L83" s="837"/>
      <c r="M83" s="839"/>
      <c r="N83" s="845" t="str">
        <f t="shared" si="5"/>
        <v>Int21</v>
      </c>
      <c r="O83" s="842" t="s">
        <v>2822</v>
      </c>
      <c r="P83" s="624"/>
      <c r="Q83" s="280"/>
      <c r="R83" s="280"/>
      <c r="S83" s="280"/>
      <c r="T83" s="280"/>
    </row>
    <row r="84" spans="1:20" ht="15" x14ac:dyDescent="0.2">
      <c r="A84" s="849" t="s">
        <v>519</v>
      </c>
      <c r="B84" s="849" t="s">
        <v>2823</v>
      </c>
      <c r="C84" s="837">
        <v>31009.459375594099</v>
      </c>
      <c r="D84" s="837">
        <f>'PR Expenditure_7A'!F106</f>
        <v>2399.38</v>
      </c>
      <c r="E84" s="838">
        <f>IFERROR(INDEX('LFA Expenditure_7B'!G$83:G$182,MATCH('LFA Expenditure_7B imp-exp'!N84,'LFA Expenditure_7B'!B$83:B$182,0)),"")</f>
        <v>0</v>
      </c>
      <c r="F84" s="837"/>
      <c r="G84" s="839"/>
      <c r="H84" s="52"/>
      <c r="I84" s="303">
        <f t="shared" si="4"/>
        <v>22</v>
      </c>
      <c r="J84" s="840">
        <v>62018.918751188197</v>
      </c>
      <c r="K84" s="838">
        <f>IFERROR(INDEX('LFA Expenditure_7B'!M$83:M$182,MATCH('LFA Expenditure_7B imp-exp'!N84,'LFA Expenditure_7B'!B$83:B$182,0)),"")</f>
        <v>0</v>
      </c>
      <c r="L84" s="837"/>
      <c r="M84" s="839"/>
      <c r="N84" s="845" t="str">
        <f t="shared" si="5"/>
        <v>Int22</v>
      </c>
      <c r="O84" s="842" t="s">
        <v>2824</v>
      </c>
      <c r="P84" s="624"/>
      <c r="Q84" s="280"/>
      <c r="R84" s="280"/>
      <c r="S84" s="280"/>
      <c r="T84" s="280"/>
    </row>
    <row r="85" spans="1:20" ht="25.5" x14ac:dyDescent="0.2">
      <c r="A85" s="849" t="s">
        <v>534</v>
      </c>
      <c r="B85" s="849" t="s">
        <v>2825</v>
      </c>
      <c r="C85" s="837">
        <v>7127.7766950406804</v>
      </c>
      <c r="D85" s="837">
        <f>'PR Expenditure_7A'!F107</f>
        <v>13961.495184609677</v>
      </c>
      <c r="E85" s="838">
        <f>IFERROR(INDEX('LFA Expenditure_7B'!G$83:G$182,MATCH('LFA Expenditure_7B imp-exp'!N85,'LFA Expenditure_7B'!B$83:B$182,0)),"")</f>
        <v>0</v>
      </c>
      <c r="F85" s="837"/>
      <c r="G85" s="839"/>
      <c r="H85" s="52"/>
      <c r="I85" s="303">
        <f t="shared" si="4"/>
        <v>23</v>
      </c>
      <c r="J85" s="840">
        <v>14255.553390081401</v>
      </c>
      <c r="K85" s="838">
        <f>IFERROR(INDEX('LFA Expenditure_7B'!M$83:M$182,MATCH('LFA Expenditure_7B imp-exp'!N85,'LFA Expenditure_7B'!B$83:B$182,0)),"")</f>
        <v>0</v>
      </c>
      <c r="L85" s="837"/>
      <c r="M85" s="839"/>
      <c r="N85" s="845" t="str">
        <f t="shared" si="5"/>
        <v>Int23</v>
      </c>
      <c r="O85" s="842" t="s">
        <v>2826</v>
      </c>
      <c r="P85" s="624"/>
      <c r="Q85" s="280"/>
      <c r="R85" s="280"/>
      <c r="S85" s="280"/>
      <c r="T85" s="280"/>
    </row>
    <row r="86" spans="1:20" ht="25.5" x14ac:dyDescent="0.2">
      <c r="A86" s="849" t="s">
        <v>534</v>
      </c>
      <c r="B86" s="849" t="s">
        <v>2827</v>
      </c>
      <c r="C86" s="837">
        <v>622985.52204536099</v>
      </c>
      <c r="D86" s="837">
        <f>'PR Expenditure_7A'!F108</f>
        <v>18012.609037450595</v>
      </c>
      <c r="E86" s="838">
        <f>IFERROR(INDEX('LFA Expenditure_7B'!G$83:G$182,MATCH('LFA Expenditure_7B imp-exp'!N86,'LFA Expenditure_7B'!B$83:B$182,0)),"")</f>
        <v>0</v>
      </c>
      <c r="F86" s="837"/>
      <c r="G86" s="839"/>
      <c r="H86" s="52"/>
      <c r="I86" s="303">
        <f t="shared" si="4"/>
        <v>24</v>
      </c>
      <c r="J86" s="840">
        <v>636388.59280762204</v>
      </c>
      <c r="K86" s="838">
        <f>IFERROR(INDEX('LFA Expenditure_7B'!M$83:M$182,MATCH('LFA Expenditure_7B imp-exp'!N86,'LFA Expenditure_7B'!B$83:B$182,0)),"")</f>
        <v>0</v>
      </c>
      <c r="L86" s="837"/>
      <c r="M86" s="839"/>
      <c r="N86" s="845" t="str">
        <f t="shared" si="5"/>
        <v>Int24</v>
      </c>
      <c r="O86" s="842" t="s">
        <v>2828</v>
      </c>
      <c r="P86" s="624"/>
      <c r="Q86" s="280"/>
      <c r="R86" s="280"/>
      <c r="S86" s="280"/>
      <c r="T86" s="280"/>
    </row>
    <row r="87" spans="1:20" ht="25.5" x14ac:dyDescent="0.2">
      <c r="A87" s="849" t="s">
        <v>534</v>
      </c>
      <c r="B87" s="849" t="s">
        <v>2829</v>
      </c>
      <c r="C87" s="837">
        <v>29457.486997347201</v>
      </c>
      <c r="D87" s="837">
        <f>'PR Expenditure_7A'!F109</f>
        <v>14263.364608860929</v>
      </c>
      <c r="E87" s="838">
        <f>IFERROR(INDEX('LFA Expenditure_7B'!G$83:G$182,MATCH('LFA Expenditure_7B imp-exp'!N87,'LFA Expenditure_7B'!B$83:B$182,0)),"")</f>
        <v>0</v>
      </c>
      <c r="F87" s="837"/>
      <c r="G87" s="839"/>
      <c r="H87" s="52"/>
      <c r="I87" s="303">
        <f t="shared" si="4"/>
        <v>25</v>
      </c>
      <c r="J87" s="840">
        <v>58914.973994694497</v>
      </c>
      <c r="K87" s="838">
        <f>IFERROR(INDEX('LFA Expenditure_7B'!M$83:M$182,MATCH('LFA Expenditure_7B imp-exp'!N87,'LFA Expenditure_7B'!B$83:B$182,0)),"")</f>
        <v>0</v>
      </c>
      <c r="L87" s="837"/>
      <c r="M87" s="839"/>
      <c r="N87" s="845" t="str">
        <f t="shared" si="5"/>
        <v>Int25</v>
      </c>
      <c r="O87" s="842" t="s">
        <v>2830</v>
      </c>
      <c r="P87" s="624"/>
      <c r="Q87" s="280"/>
      <c r="R87" s="280"/>
      <c r="S87" s="280"/>
      <c r="T87" s="280"/>
    </row>
    <row r="88" spans="1:20" ht="25.5" x14ac:dyDescent="0.2">
      <c r="A88" s="849" t="s">
        <v>776</v>
      </c>
      <c r="B88" s="849" t="s">
        <v>2831</v>
      </c>
      <c r="C88" s="837">
        <v>13628.062159122001</v>
      </c>
      <c r="D88" s="837">
        <f>'PR Expenditure_7A'!F110</f>
        <v>62610.296214963135</v>
      </c>
      <c r="E88" s="838">
        <f>IFERROR(INDEX('LFA Expenditure_7B'!G$83:G$182,MATCH('LFA Expenditure_7B imp-exp'!N88,'LFA Expenditure_7B'!B$83:B$182,0)),"")</f>
        <v>0</v>
      </c>
      <c r="F88" s="837"/>
      <c r="G88" s="839"/>
      <c r="H88" s="52"/>
      <c r="I88" s="303">
        <f t="shared" si="4"/>
        <v>26</v>
      </c>
      <c r="J88" s="840">
        <v>27256.124318243899</v>
      </c>
      <c r="K88" s="838">
        <f>IFERROR(INDEX('LFA Expenditure_7B'!M$83:M$182,MATCH('LFA Expenditure_7B imp-exp'!N88,'LFA Expenditure_7B'!B$83:B$182,0)),"")</f>
        <v>0</v>
      </c>
      <c r="L88" s="837"/>
      <c r="M88" s="839"/>
      <c r="N88" s="845" t="str">
        <f t="shared" si="5"/>
        <v>Int26</v>
      </c>
      <c r="O88" s="842" t="s">
        <v>2832</v>
      </c>
      <c r="P88" s="624"/>
      <c r="Q88" s="280"/>
      <c r="R88" s="280"/>
      <c r="S88" s="280"/>
      <c r="T88" s="280"/>
    </row>
    <row r="89" spans="1:20" ht="25.5" x14ac:dyDescent="0.2">
      <c r="A89" s="849" t="s">
        <v>2814</v>
      </c>
      <c r="B89" s="849" t="s">
        <v>2833</v>
      </c>
      <c r="C89" s="837">
        <v>114220.697039722</v>
      </c>
      <c r="D89" s="837">
        <f>'PR Expenditure_7A'!F111</f>
        <v>137005.34000000003</v>
      </c>
      <c r="E89" s="838">
        <f>IFERROR(INDEX('LFA Expenditure_7B'!G$83:G$182,MATCH('LFA Expenditure_7B imp-exp'!N89,'LFA Expenditure_7B'!B$83:B$182,0)),"")</f>
        <v>0</v>
      </c>
      <c r="F89" s="837"/>
      <c r="G89" s="839"/>
      <c r="H89" s="52"/>
      <c r="I89" s="303">
        <f t="shared" si="4"/>
        <v>27</v>
      </c>
      <c r="J89" s="840">
        <v>224301.48327685599</v>
      </c>
      <c r="K89" s="838">
        <f>IFERROR(INDEX('LFA Expenditure_7B'!M$83:M$182,MATCH('LFA Expenditure_7B imp-exp'!N89,'LFA Expenditure_7B'!B$83:B$182,0)),"")</f>
        <v>0</v>
      </c>
      <c r="L89" s="837"/>
      <c r="M89" s="839"/>
      <c r="N89" s="845" t="str">
        <f t="shared" si="5"/>
        <v>Int27</v>
      </c>
      <c r="O89" s="842" t="s">
        <v>2834</v>
      </c>
      <c r="P89" s="624"/>
      <c r="Q89" s="280"/>
      <c r="R89" s="280"/>
      <c r="S89" s="280"/>
      <c r="T89" s="280"/>
    </row>
    <row r="90" spans="1:20" ht="15" x14ac:dyDescent="0.2">
      <c r="A90" s="849" t="s">
        <v>2835</v>
      </c>
      <c r="B90" s="849" t="s">
        <v>2836</v>
      </c>
      <c r="C90" s="837">
        <v>1163.05</v>
      </c>
      <c r="D90" s="837">
        <f>'PR Expenditure_7A'!F112</f>
        <v>344750.72000000003</v>
      </c>
      <c r="E90" s="838">
        <f>IFERROR(INDEX('LFA Expenditure_7B'!G$83:G$182,MATCH('LFA Expenditure_7B imp-exp'!N90,'LFA Expenditure_7B'!B$83:B$182,0)),"")</f>
        <v>0</v>
      </c>
      <c r="F90" s="837"/>
      <c r="G90" s="839"/>
      <c r="H90" s="52"/>
      <c r="I90" s="303">
        <f t="shared" si="4"/>
        <v>28</v>
      </c>
      <c r="J90" s="840">
        <v>31213.81</v>
      </c>
      <c r="K90" s="838">
        <f>IFERROR(INDEX('LFA Expenditure_7B'!M$83:M$182,MATCH('LFA Expenditure_7B imp-exp'!N90,'LFA Expenditure_7B'!B$83:B$182,0)),"")</f>
        <v>0</v>
      </c>
      <c r="L90" s="837"/>
      <c r="M90" s="839"/>
      <c r="N90" s="845" t="str">
        <f t="shared" si="5"/>
        <v>Int28</v>
      </c>
      <c r="O90" s="842" t="s">
        <v>2837</v>
      </c>
      <c r="P90" s="624"/>
      <c r="Q90" s="280"/>
      <c r="R90" s="280"/>
      <c r="S90" s="280"/>
      <c r="T90" s="280"/>
    </row>
    <row r="91" spans="1:20" ht="15" x14ac:dyDescent="0.2">
      <c r="A91" s="849" t="s">
        <v>510</v>
      </c>
      <c r="B91" s="849" t="s">
        <v>2838</v>
      </c>
      <c r="C91" s="837">
        <v>268251.85155221203</v>
      </c>
      <c r="D91" s="837">
        <f>'PR Expenditure_7A'!F113</f>
        <v>9126.369999999999</v>
      </c>
      <c r="E91" s="838">
        <f>IFERROR(INDEX('LFA Expenditure_7B'!G$83:G$182,MATCH('LFA Expenditure_7B imp-exp'!N91,'LFA Expenditure_7B'!B$83:B$182,0)),"")</f>
        <v>0</v>
      </c>
      <c r="F91" s="837"/>
      <c r="G91" s="839"/>
      <c r="H91" s="52"/>
      <c r="I91" s="303">
        <f t="shared" si="4"/>
        <v>29</v>
      </c>
      <c r="J91" s="840">
        <v>293188.98310442403</v>
      </c>
      <c r="K91" s="838">
        <f>IFERROR(INDEX('LFA Expenditure_7B'!M$83:M$182,MATCH('LFA Expenditure_7B imp-exp'!N91,'LFA Expenditure_7B'!B$83:B$182,0)),"")</f>
        <v>0</v>
      </c>
      <c r="L91" s="837"/>
      <c r="M91" s="839"/>
      <c r="N91" s="845" t="str">
        <f t="shared" si="5"/>
        <v>Int29</v>
      </c>
      <c r="O91" s="842" t="s">
        <v>2839</v>
      </c>
      <c r="P91" s="624"/>
      <c r="Q91" s="280"/>
      <c r="R91" s="280"/>
      <c r="S91" s="280"/>
      <c r="T91" s="280"/>
    </row>
    <row r="92" spans="1:20" ht="25.5" x14ac:dyDescent="0.2">
      <c r="A92" s="849" t="s">
        <v>2840</v>
      </c>
      <c r="B92" s="849" t="s">
        <v>2841</v>
      </c>
      <c r="C92" s="837">
        <v>20509.3129564829</v>
      </c>
      <c r="D92" s="837">
        <f>'PR Expenditure_7A'!F114</f>
        <v>76378.417420337268</v>
      </c>
      <c r="E92" s="838">
        <f>IFERROR(INDEX('LFA Expenditure_7B'!G$83:G$182,MATCH('LFA Expenditure_7B imp-exp'!N92,'LFA Expenditure_7B'!B$83:B$182,0)),"")</f>
        <v>0</v>
      </c>
      <c r="F92" s="837"/>
      <c r="G92" s="839"/>
      <c r="H92" s="52"/>
      <c r="I92" s="303">
        <f t="shared" si="4"/>
        <v>30</v>
      </c>
      <c r="J92" s="840">
        <v>46276.525912965801</v>
      </c>
      <c r="K92" s="838">
        <f>IFERROR(INDEX('LFA Expenditure_7B'!M$83:M$182,MATCH('LFA Expenditure_7B imp-exp'!N92,'LFA Expenditure_7B'!B$83:B$182,0)),"")</f>
        <v>0</v>
      </c>
      <c r="L92" s="837"/>
      <c r="M92" s="839"/>
      <c r="N92" s="845" t="str">
        <f t="shared" si="5"/>
        <v>Int30</v>
      </c>
      <c r="O92" s="842" t="s">
        <v>2842</v>
      </c>
      <c r="P92" s="624"/>
      <c r="Q92" s="280"/>
      <c r="R92" s="280"/>
      <c r="S92" s="280"/>
      <c r="T92" s="280"/>
    </row>
    <row r="93" spans="1:20" ht="15" x14ac:dyDescent="0.2">
      <c r="A93" s="849" t="s">
        <v>453</v>
      </c>
      <c r="B93" s="849" t="s">
        <v>2843</v>
      </c>
      <c r="C93" s="837">
        <v>187657.37905091501</v>
      </c>
      <c r="D93" s="837">
        <f>'PR Expenditure_7A'!F115</f>
        <v>961915.97234358441</v>
      </c>
      <c r="E93" s="838">
        <f>IFERROR(INDEX('LFA Expenditure_7B'!G$83:G$182,MATCH('LFA Expenditure_7B imp-exp'!N93,'LFA Expenditure_7B'!B$83:B$182,0)),"")</f>
        <v>0</v>
      </c>
      <c r="F93" s="837"/>
      <c r="G93" s="839"/>
      <c r="H93" s="52"/>
      <c r="I93" s="303">
        <f t="shared" si="4"/>
        <v>31</v>
      </c>
      <c r="J93" s="840">
        <v>372345.53119457298</v>
      </c>
      <c r="K93" s="838">
        <f>IFERROR(INDEX('LFA Expenditure_7B'!M$83:M$182,MATCH('LFA Expenditure_7B imp-exp'!N93,'LFA Expenditure_7B'!B$83:B$182,0)),"")</f>
        <v>0</v>
      </c>
      <c r="L93" s="837"/>
      <c r="M93" s="839"/>
      <c r="N93" s="845" t="str">
        <f t="shared" si="5"/>
        <v>Int31</v>
      </c>
      <c r="O93" s="842" t="s">
        <v>2844</v>
      </c>
      <c r="P93" s="624"/>
      <c r="Q93" s="280"/>
      <c r="R93" s="280"/>
      <c r="S93" s="280"/>
      <c r="T93" s="280"/>
    </row>
    <row r="94" spans="1:20" ht="15" x14ac:dyDescent="0.2">
      <c r="A94" s="849" t="s">
        <v>461</v>
      </c>
      <c r="B94" s="849" t="s">
        <v>2845</v>
      </c>
      <c r="C94" s="837">
        <v>1068283.68218652</v>
      </c>
      <c r="D94" s="837">
        <f>'PR Expenditure_7A'!F116</f>
        <v>756795.19382389309</v>
      </c>
      <c r="E94" s="838">
        <f>IFERROR(INDEX('LFA Expenditure_7B'!G$83:G$182,MATCH('LFA Expenditure_7B imp-exp'!N94,'LFA Expenditure_7B'!B$83:B$182,0)),"")</f>
        <v>0</v>
      </c>
      <c r="F94" s="837"/>
      <c r="G94" s="839"/>
      <c r="H94" s="52"/>
      <c r="I94" s="303">
        <f t="shared" si="4"/>
        <v>32</v>
      </c>
      <c r="J94" s="840">
        <v>2090564.7177717099</v>
      </c>
      <c r="K94" s="838">
        <f>IFERROR(INDEX('LFA Expenditure_7B'!M$83:M$182,MATCH('LFA Expenditure_7B imp-exp'!N94,'LFA Expenditure_7B'!B$83:B$182,0)),"")</f>
        <v>0</v>
      </c>
      <c r="L94" s="837"/>
      <c r="M94" s="839"/>
      <c r="N94" s="845" t="str">
        <f t="shared" si="5"/>
        <v>Int32</v>
      </c>
      <c r="O94" s="842" t="s">
        <v>2846</v>
      </c>
      <c r="P94" s="624"/>
      <c r="Q94" s="280"/>
      <c r="R94" s="280"/>
      <c r="S94" s="280"/>
      <c r="T94" s="280"/>
    </row>
    <row r="95" spans="1:20" ht="15" x14ac:dyDescent="0.2">
      <c r="A95" s="849" t="s">
        <v>461</v>
      </c>
      <c r="B95" s="849" t="s">
        <v>2847</v>
      </c>
      <c r="C95" s="837">
        <v>694038.37243824103</v>
      </c>
      <c r="D95" s="837">
        <f>'PR Expenditure_7A'!F117</f>
        <v>173679.92999999988</v>
      </c>
      <c r="E95" s="838">
        <f>IFERROR(INDEX('LFA Expenditure_7B'!G$83:G$182,MATCH('LFA Expenditure_7B imp-exp'!N95,'LFA Expenditure_7B'!B$83:B$182,0)),"")</f>
        <v>0</v>
      </c>
      <c r="F95" s="837"/>
      <c r="G95" s="839"/>
      <c r="H95" s="52"/>
      <c r="I95" s="303">
        <f t="shared" si="4"/>
        <v>33</v>
      </c>
      <c r="J95" s="840">
        <v>1325440.78616524</v>
      </c>
      <c r="K95" s="838">
        <f>IFERROR(INDEX('LFA Expenditure_7B'!M$83:M$182,MATCH('LFA Expenditure_7B imp-exp'!N95,'LFA Expenditure_7B'!B$83:B$182,0)),"")</f>
        <v>0</v>
      </c>
      <c r="L95" s="837"/>
      <c r="M95" s="839"/>
      <c r="N95" s="845" t="str">
        <f t="shared" si="5"/>
        <v>Int33</v>
      </c>
      <c r="O95" s="842" t="s">
        <v>2848</v>
      </c>
      <c r="P95" s="624"/>
      <c r="Q95" s="280"/>
      <c r="R95" s="280"/>
      <c r="S95" s="280"/>
      <c r="T95" s="280"/>
    </row>
    <row r="96" spans="1:20" ht="15" x14ac:dyDescent="0.2">
      <c r="A96" s="849" t="s">
        <v>461</v>
      </c>
      <c r="B96" s="849" t="s">
        <v>2849</v>
      </c>
      <c r="C96" s="837">
        <v>385032.36622405198</v>
      </c>
      <c r="D96" s="837">
        <f>'PR Expenditure_7A'!F118</f>
        <v>110783.38000000002</v>
      </c>
      <c r="E96" s="838">
        <f>IFERROR(INDEX('LFA Expenditure_7B'!G$83:G$182,MATCH('LFA Expenditure_7B imp-exp'!N96,'LFA Expenditure_7B'!B$83:B$182,0)),"")</f>
        <v>0</v>
      </c>
      <c r="F96" s="837"/>
      <c r="G96" s="839"/>
      <c r="H96" s="52"/>
      <c r="I96" s="303">
        <f t="shared" si="4"/>
        <v>34</v>
      </c>
      <c r="J96" s="840">
        <v>753980.967571388</v>
      </c>
      <c r="K96" s="838">
        <f>IFERROR(INDEX('LFA Expenditure_7B'!M$83:M$182,MATCH('LFA Expenditure_7B imp-exp'!N96,'LFA Expenditure_7B'!B$83:B$182,0)),"")</f>
        <v>0</v>
      </c>
      <c r="L96" s="837"/>
      <c r="M96" s="839"/>
      <c r="N96" s="845" t="str">
        <f t="shared" si="5"/>
        <v>Int34</v>
      </c>
      <c r="O96" s="842" t="s">
        <v>2850</v>
      </c>
      <c r="P96" s="624"/>
      <c r="Q96" s="280"/>
      <c r="R96" s="280"/>
      <c r="S96" s="280"/>
      <c r="T96" s="280"/>
    </row>
    <row r="97" spans="1:20" ht="25.5" x14ac:dyDescent="0.2">
      <c r="A97" s="849" t="s">
        <v>461</v>
      </c>
      <c r="B97" s="849" t="s">
        <v>2851</v>
      </c>
      <c r="C97" s="837">
        <v>96879.65</v>
      </c>
      <c r="D97" s="837">
        <f>'PR Expenditure_7A'!F119</f>
        <v>3675255.7800000003</v>
      </c>
      <c r="E97" s="838">
        <f>IFERROR(INDEX('LFA Expenditure_7B'!G$83:G$182,MATCH('LFA Expenditure_7B imp-exp'!N97,'LFA Expenditure_7B'!B$83:B$182,0)),"")</f>
        <v>0</v>
      </c>
      <c r="F97" s="837"/>
      <c r="G97" s="839"/>
      <c r="H97" s="52"/>
      <c r="I97" s="303">
        <f t="shared" si="4"/>
        <v>35</v>
      </c>
      <c r="J97" s="840">
        <v>205386.00484017201</v>
      </c>
      <c r="K97" s="838">
        <f>IFERROR(INDEX('LFA Expenditure_7B'!M$83:M$182,MATCH('LFA Expenditure_7B imp-exp'!N97,'LFA Expenditure_7B'!B$83:B$182,0)),"")</f>
        <v>0</v>
      </c>
      <c r="L97" s="837"/>
      <c r="M97" s="839"/>
      <c r="N97" s="845" t="str">
        <f t="shared" si="5"/>
        <v>Int35</v>
      </c>
      <c r="O97" s="842" t="s">
        <v>2852</v>
      </c>
      <c r="P97" s="624"/>
      <c r="Q97" s="280"/>
      <c r="R97" s="280"/>
      <c r="S97" s="280"/>
      <c r="T97" s="280"/>
    </row>
    <row r="98" spans="1:20" ht="15" x14ac:dyDescent="0.2">
      <c r="A98" s="849" t="s">
        <v>461</v>
      </c>
      <c r="B98" s="849" t="s">
        <v>2853</v>
      </c>
      <c r="C98" s="837">
        <v>3031850.71</v>
      </c>
      <c r="D98" s="837">
        <f>'PR Expenditure_7A'!F120</f>
        <v>636751.87000000011</v>
      </c>
      <c r="E98" s="838">
        <f>IFERROR(INDEX('LFA Expenditure_7B'!G$83:G$182,MATCH('LFA Expenditure_7B imp-exp'!N98,'LFA Expenditure_7B'!B$83:B$182,0)),"")</f>
        <v>0</v>
      </c>
      <c r="F98" s="837"/>
      <c r="G98" s="839"/>
      <c r="H98" s="52"/>
      <c r="I98" s="303">
        <f t="shared" si="4"/>
        <v>36</v>
      </c>
      <c r="J98" s="840">
        <v>3279654.91</v>
      </c>
      <c r="K98" s="838">
        <f>IFERROR(INDEX('LFA Expenditure_7B'!M$83:M$182,MATCH('LFA Expenditure_7B imp-exp'!N98,'LFA Expenditure_7B'!B$83:B$182,0)),"")</f>
        <v>0</v>
      </c>
      <c r="L98" s="837"/>
      <c r="M98" s="839"/>
      <c r="N98" s="845" t="str">
        <f t="shared" si="5"/>
        <v>Int36</v>
      </c>
      <c r="O98" s="842" t="s">
        <v>2854</v>
      </c>
      <c r="P98" s="624"/>
      <c r="Q98" s="280"/>
      <c r="R98" s="280"/>
      <c r="S98" s="280"/>
      <c r="T98" s="280"/>
    </row>
    <row r="99" spans="1:20" ht="15" x14ac:dyDescent="0.2">
      <c r="A99" s="849" t="s">
        <v>461</v>
      </c>
      <c r="B99" s="849" t="s">
        <v>2855</v>
      </c>
      <c r="C99" s="837">
        <v>607897.69134983898</v>
      </c>
      <c r="D99" s="837">
        <f>'PR Expenditure_7A'!F121</f>
        <v>6591.4499999999989</v>
      </c>
      <c r="E99" s="838">
        <f>IFERROR(INDEX('LFA Expenditure_7B'!G$83:G$182,MATCH('LFA Expenditure_7B imp-exp'!N99,'LFA Expenditure_7B'!B$83:B$182,0)),"")</f>
        <v>0</v>
      </c>
      <c r="F99" s="837"/>
      <c r="G99" s="839"/>
      <c r="H99" s="52"/>
      <c r="I99" s="303">
        <f t="shared" si="4"/>
        <v>37</v>
      </c>
      <c r="J99" s="840">
        <v>986521.99948607804</v>
      </c>
      <c r="K99" s="838">
        <f>IFERROR(INDEX('LFA Expenditure_7B'!M$83:M$182,MATCH('LFA Expenditure_7B imp-exp'!N99,'LFA Expenditure_7B'!B$83:B$182,0)),"")</f>
        <v>0</v>
      </c>
      <c r="L99" s="837"/>
      <c r="M99" s="839"/>
      <c r="N99" s="845" t="str">
        <f t="shared" si="5"/>
        <v>Int37</v>
      </c>
      <c r="O99" s="842" t="s">
        <v>2856</v>
      </c>
      <c r="P99" s="624"/>
      <c r="Q99" s="280"/>
      <c r="R99" s="280"/>
      <c r="S99" s="280"/>
      <c r="T99" s="280"/>
    </row>
    <row r="100" spans="1:20" ht="15" x14ac:dyDescent="0.2">
      <c r="A100" s="849" t="s">
        <v>461</v>
      </c>
      <c r="B100" s="849" t="s">
        <v>2857</v>
      </c>
      <c r="C100" s="837">
        <v>85041.91</v>
      </c>
      <c r="D100" s="837">
        <f>'PR Expenditure_7A'!F122</f>
        <v>191.15757672556381</v>
      </c>
      <c r="E100" s="838">
        <f>IFERROR(INDEX('LFA Expenditure_7B'!G$83:G$182,MATCH('LFA Expenditure_7B imp-exp'!N100,'LFA Expenditure_7B'!B$83:B$182,0)),"")</f>
        <v>0</v>
      </c>
      <c r="F100" s="837"/>
      <c r="G100" s="839"/>
      <c r="H100" s="52"/>
      <c r="I100" s="303">
        <f t="shared" si="4"/>
        <v>38</v>
      </c>
      <c r="J100" s="840">
        <v>251043.58</v>
      </c>
      <c r="K100" s="838">
        <f>IFERROR(INDEX('LFA Expenditure_7B'!M$83:M$182,MATCH('LFA Expenditure_7B imp-exp'!N100,'LFA Expenditure_7B'!B$83:B$182,0)),"")</f>
        <v>0</v>
      </c>
      <c r="L100" s="837"/>
      <c r="M100" s="839"/>
      <c r="N100" s="845" t="str">
        <f t="shared" si="5"/>
        <v>Int38</v>
      </c>
      <c r="O100" s="842" t="s">
        <v>2858</v>
      </c>
      <c r="P100" s="624"/>
      <c r="Q100" s="280"/>
      <c r="R100" s="280"/>
      <c r="S100" s="280"/>
      <c r="T100" s="280"/>
    </row>
    <row r="101" spans="1:20" ht="25.5" x14ac:dyDescent="0.2">
      <c r="A101" s="849" t="s">
        <v>534</v>
      </c>
      <c r="B101" s="849" t="s">
        <v>2859</v>
      </c>
      <c r="C101" s="837">
        <v>367.04963957012001</v>
      </c>
      <c r="D101" s="837">
        <f>'PR Expenditure_7A'!F123</f>
        <v>7247.49</v>
      </c>
      <c r="E101" s="838">
        <f>IFERROR(INDEX('LFA Expenditure_7B'!G$83:G$182,MATCH('LFA Expenditure_7B imp-exp'!N101,'LFA Expenditure_7B'!B$83:B$182,0)),"")</f>
        <v>0</v>
      </c>
      <c r="F101" s="837"/>
      <c r="G101" s="839"/>
      <c r="H101" s="52"/>
      <c r="I101" s="303">
        <f t="shared" si="4"/>
        <v>39</v>
      </c>
      <c r="J101" s="840">
        <v>734.09927914024001</v>
      </c>
      <c r="K101" s="838">
        <f>IFERROR(INDEX('LFA Expenditure_7B'!M$83:M$182,MATCH('LFA Expenditure_7B imp-exp'!N101,'LFA Expenditure_7B'!B$83:B$182,0)),"")</f>
        <v>0</v>
      </c>
      <c r="L101" s="837"/>
      <c r="M101" s="839"/>
      <c r="N101" s="845" t="str">
        <f t="shared" si="5"/>
        <v>Int39</v>
      </c>
      <c r="O101" s="842" t="s">
        <v>2860</v>
      </c>
      <c r="P101" s="624"/>
      <c r="Q101" s="280"/>
      <c r="R101" s="280"/>
      <c r="S101" s="280"/>
      <c r="T101" s="280"/>
    </row>
    <row r="102" spans="1:20" ht="25.5" x14ac:dyDescent="0.2">
      <c r="A102" s="849" t="s">
        <v>2814</v>
      </c>
      <c r="B102" s="849" t="s">
        <v>2861</v>
      </c>
      <c r="C102" s="837">
        <v>10891.0875537415</v>
      </c>
      <c r="D102" s="837">
        <f>'PR Expenditure_7A'!F124</f>
        <v>8021.170000000001</v>
      </c>
      <c r="E102" s="838">
        <f>IFERROR(INDEX('LFA Expenditure_7B'!G$83:G$182,MATCH('LFA Expenditure_7B imp-exp'!N102,'LFA Expenditure_7B'!B$83:B$182,0)),"")</f>
        <v>0</v>
      </c>
      <c r="F102" s="837"/>
      <c r="G102" s="839"/>
      <c r="H102" s="52"/>
      <c r="I102" s="303">
        <f t="shared" si="4"/>
        <v>40</v>
      </c>
      <c r="J102" s="840">
        <v>40891.087553741403</v>
      </c>
      <c r="K102" s="838">
        <f>IFERROR(INDEX('LFA Expenditure_7B'!M$83:M$182,MATCH('LFA Expenditure_7B imp-exp'!N102,'LFA Expenditure_7B'!B$83:B$182,0)),"")</f>
        <v>0</v>
      </c>
      <c r="L102" s="837"/>
      <c r="M102" s="839"/>
      <c r="N102" s="845" t="str">
        <f t="shared" si="5"/>
        <v>Int40</v>
      </c>
      <c r="O102" s="842" t="s">
        <v>2862</v>
      </c>
      <c r="P102" s="624"/>
      <c r="Q102" s="280"/>
      <c r="R102" s="280"/>
      <c r="S102" s="280"/>
      <c r="T102" s="280"/>
    </row>
    <row r="103" spans="1:20" ht="15" x14ac:dyDescent="0.2">
      <c r="A103" s="849" t="s">
        <v>440</v>
      </c>
      <c r="B103" s="849" t="s">
        <v>2863</v>
      </c>
      <c r="C103" s="837">
        <v>27789.511472717601</v>
      </c>
      <c r="D103" s="837">
        <f>'PR Expenditure_7A'!F125</f>
        <v>0</v>
      </c>
      <c r="E103" s="838">
        <f>IFERROR(INDEX('LFA Expenditure_7B'!G$83:G$182,MATCH('LFA Expenditure_7B imp-exp'!N103,'LFA Expenditure_7B'!B$83:B$182,0)),"")</f>
        <v>0</v>
      </c>
      <c r="F103" s="837"/>
      <c r="G103" s="839"/>
      <c r="H103" s="52"/>
      <c r="I103" s="303">
        <f t="shared" si="4"/>
        <v>41</v>
      </c>
      <c r="J103" s="840">
        <v>27789.511472717601</v>
      </c>
      <c r="K103" s="838">
        <f>IFERROR(INDEX('LFA Expenditure_7B'!M$83:M$182,MATCH('LFA Expenditure_7B imp-exp'!N103,'LFA Expenditure_7B'!B$83:B$182,0)),"")</f>
        <v>0</v>
      </c>
      <c r="L103" s="837"/>
      <c r="M103" s="839"/>
      <c r="N103" s="845" t="str">
        <f t="shared" si="5"/>
        <v>Int41</v>
      </c>
      <c r="O103" s="842" t="s">
        <v>2864</v>
      </c>
      <c r="P103" s="624"/>
      <c r="Q103" s="280"/>
      <c r="R103" s="280"/>
      <c r="S103" s="280"/>
      <c r="T103" s="280"/>
    </row>
    <row r="104" spans="1:20" ht="25.5" x14ac:dyDescent="0.2">
      <c r="A104" s="849" t="s">
        <v>2865</v>
      </c>
      <c r="B104" s="849" t="s">
        <v>2866</v>
      </c>
      <c r="C104" s="837">
        <v>6058.6886303199999</v>
      </c>
      <c r="D104" s="837">
        <f>'PR Expenditure_7A'!F126</f>
        <v>0</v>
      </c>
      <c r="E104" s="838">
        <f>IFERROR(INDEX('LFA Expenditure_7B'!G$83:G$182,MATCH('LFA Expenditure_7B imp-exp'!N104,'LFA Expenditure_7B'!B$83:B$182,0)),"")</f>
        <v>0</v>
      </c>
      <c r="F104" s="837"/>
      <c r="G104" s="839"/>
      <c r="H104" s="52"/>
      <c r="I104" s="303">
        <f t="shared" si="4"/>
        <v>42</v>
      </c>
      <c r="J104" s="840">
        <v>6058.6886303199999</v>
      </c>
      <c r="K104" s="838">
        <f>IFERROR(INDEX('LFA Expenditure_7B'!M$83:M$182,MATCH('LFA Expenditure_7B imp-exp'!N104,'LFA Expenditure_7B'!B$83:B$182,0)),"")</f>
        <v>0</v>
      </c>
      <c r="L104" s="837"/>
      <c r="M104" s="839"/>
      <c r="N104" s="845" t="str">
        <f t="shared" si="5"/>
        <v>Int42</v>
      </c>
      <c r="O104" s="842" t="s">
        <v>2867</v>
      </c>
      <c r="P104" s="624"/>
      <c r="Q104" s="280"/>
      <c r="R104" s="280"/>
      <c r="S104" s="280"/>
      <c r="T104" s="280"/>
    </row>
    <row r="105" spans="1:20" ht="25.5" x14ac:dyDescent="0.2">
      <c r="A105" s="849" t="s">
        <v>776</v>
      </c>
      <c r="B105" s="849" t="s">
        <v>2868</v>
      </c>
      <c r="C105" s="837">
        <v>278.23917061999998</v>
      </c>
      <c r="D105" s="837">
        <f>'PR Expenditure_7A'!F127</f>
        <v>46.38</v>
      </c>
      <c r="E105" s="838">
        <f>IFERROR(INDEX('LFA Expenditure_7B'!G$83:G$182,MATCH('LFA Expenditure_7B imp-exp'!N105,'LFA Expenditure_7B'!B$83:B$182,0)),"")</f>
        <v>0</v>
      </c>
      <c r="F105" s="837"/>
      <c r="G105" s="839"/>
      <c r="H105" s="52"/>
      <c r="I105" s="303">
        <f t="shared" si="4"/>
        <v>43</v>
      </c>
      <c r="J105" s="840">
        <v>278.23917061999998</v>
      </c>
      <c r="K105" s="838">
        <f>IFERROR(INDEX('LFA Expenditure_7B'!M$83:M$182,MATCH('LFA Expenditure_7B imp-exp'!N105,'LFA Expenditure_7B'!B$83:B$182,0)),"")</f>
        <v>0</v>
      </c>
      <c r="L105" s="837"/>
      <c r="M105" s="839"/>
      <c r="N105" s="845" t="str">
        <f t="shared" si="5"/>
        <v>Int43</v>
      </c>
      <c r="O105" s="842" t="s">
        <v>2869</v>
      </c>
      <c r="P105" s="624"/>
      <c r="Q105" s="280"/>
      <c r="R105" s="280"/>
      <c r="S105" s="280"/>
      <c r="T105" s="280"/>
    </row>
    <row r="106" spans="1:20" ht="25.5" x14ac:dyDescent="0.2">
      <c r="A106" s="849" t="s">
        <v>2870</v>
      </c>
      <c r="B106" s="849" t="s">
        <v>2871</v>
      </c>
      <c r="C106" s="837">
        <v>66006.276648359999</v>
      </c>
      <c r="D106" s="837">
        <f>'PR Expenditure_7A'!F128</f>
        <v>390.72</v>
      </c>
      <c r="E106" s="838">
        <f>IFERROR(INDEX('LFA Expenditure_7B'!G$83:G$182,MATCH('LFA Expenditure_7B imp-exp'!N106,'LFA Expenditure_7B'!B$83:B$182,0)),"")</f>
        <v>0</v>
      </c>
      <c r="F106" s="837"/>
      <c r="G106" s="839"/>
      <c r="H106" s="52"/>
      <c r="I106" s="303">
        <f t="shared" si="4"/>
        <v>44</v>
      </c>
      <c r="J106" s="840">
        <v>66006.276648359999</v>
      </c>
      <c r="K106" s="838">
        <f>IFERROR(INDEX('LFA Expenditure_7B'!M$83:M$182,MATCH('LFA Expenditure_7B imp-exp'!N106,'LFA Expenditure_7B'!B$83:B$182,0)),"")</f>
        <v>0</v>
      </c>
      <c r="L106" s="837"/>
      <c r="M106" s="839"/>
      <c r="N106" s="845" t="str">
        <f t="shared" si="5"/>
        <v>Int44</v>
      </c>
      <c r="O106" s="842" t="s">
        <v>2872</v>
      </c>
      <c r="P106" s="624"/>
      <c r="Q106" s="280"/>
      <c r="R106" s="280"/>
      <c r="S106" s="280"/>
      <c r="T106" s="280"/>
    </row>
    <row r="107" spans="1:20" ht="25.5" x14ac:dyDescent="0.2">
      <c r="A107" s="849" t="s">
        <v>2835</v>
      </c>
      <c r="B107" s="849" t="s">
        <v>2873</v>
      </c>
      <c r="C107" s="837">
        <v>13849.92134264</v>
      </c>
      <c r="D107" s="837">
        <f>'PR Expenditure_7A'!F129</f>
        <v>0</v>
      </c>
      <c r="E107" s="838">
        <f>IFERROR(INDEX('LFA Expenditure_7B'!G$83:G$182,MATCH('LFA Expenditure_7B imp-exp'!N107,'LFA Expenditure_7B'!B$83:B$182,0)),"")</f>
        <v>0</v>
      </c>
      <c r="F107" s="837"/>
      <c r="G107" s="839"/>
      <c r="H107" s="52"/>
      <c r="I107" s="303">
        <f t="shared" si="4"/>
        <v>45</v>
      </c>
      <c r="J107" s="840">
        <v>13849.92134264</v>
      </c>
      <c r="K107" s="838">
        <f>IFERROR(INDEX('LFA Expenditure_7B'!M$83:M$182,MATCH('LFA Expenditure_7B imp-exp'!N107,'LFA Expenditure_7B'!B$83:B$182,0)),"")</f>
        <v>0</v>
      </c>
      <c r="L107" s="837"/>
      <c r="M107" s="839"/>
      <c r="N107" s="845" t="str">
        <f t="shared" si="5"/>
        <v>Int45</v>
      </c>
      <c r="O107" s="842" t="s">
        <v>2874</v>
      </c>
      <c r="P107" s="624"/>
      <c r="Q107" s="280"/>
      <c r="R107" s="280"/>
      <c r="S107" s="280"/>
      <c r="T107" s="280"/>
    </row>
    <row r="108" spans="1:20" ht="15" customHeight="1" x14ac:dyDescent="0.2">
      <c r="A108" s="850" t="s">
        <v>353</v>
      </c>
      <c r="B108" s="850" t="s">
        <v>2944</v>
      </c>
      <c r="C108" s="851" t="s">
        <v>1117</v>
      </c>
      <c r="D108" s="851"/>
      <c r="E108" s="852" t="s">
        <v>2941</v>
      </c>
      <c r="F108" s="851"/>
      <c r="G108" s="853"/>
      <c r="H108" s="854"/>
      <c r="I108" s="316">
        <v>-1</v>
      </c>
      <c r="J108" s="852" t="s">
        <v>2671</v>
      </c>
      <c r="K108" s="852" t="s">
        <v>2942</v>
      </c>
      <c r="L108" s="851"/>
      <c r="M108" s="853"/>
      <c r="N108" s="845"/>
      <c r="O108" s="855" t="s">
        <v>353</v>
      </c>
      <c r="P108" s="856"/>
      <c r="Q108" s="846" t="s">
        <v>122</v>
      </c>
      <c r="R108" s="280"/>
      <c r="S108" s="280"/>
      <c r="T108" s="280"/>
    </row>
    <row r="109" spans="1:20" ht="15" hidden="1" x14ac:dyDescent="0.2">
      <c r="A109" s="857" t="str">
        <f>IFERROR(IF(INDEX('LFA Expenditure_7B'!C$183:C$198,MATCH(N109,'LFA Expenditure_7B'!B$183:B$198,0))="","",INDEX('LFA Expenditure_7B'!C$183:C$198,MATCH(N109,'LFA Expenditure_7B'!B$183:B$198,0))),"")</f>
        <v/>
      </c>
      <c r="B109" s="857" t="str">
        <f>IFERROR(IF(INDEX('LFA Expenditure_7B'!D$183:D$198,MATCH(N109,'LFA Expenditure_7B'!B$183:B$198,0))="","",INDEX('LFA Expenditure_7B'!D$183:D$198,MATCH(N109,'LFA Expenditure_7B'!B$183:B$198,0))),"")</f>
        <v/>
      </c>
      <c r="C109" s="837" t="s">
        <v>2675</v>
      </c>
      <c r="D109" s="837">
        <f>'PR Expenditure_7A'!F184</f>
        <v>0</v>
      </c>
      <c r="E109" s="838" t="str">
        <f>IFERROR(INDEX('LFA Expenditure_7B'!G$183:G$198,MATCH(N109,'LFA Expenditure_7B'!B$183:B$198,0)),"")</f>
        <v/>
      </c>
      <c r="F109" s="837"/>
      <c r="G109" s="839"/>
      <c r="H109" s="52"/>
      <c r="I109" s="303">
        <f>I108+1</f>
        <v>0</v>
      </c>
      <c r="J109" s="840" t="s">
        <v>2676</v>
      </c>
      <c r="K109" s="838" t="str">
        <f>IFERROR(INDEX('LFA Expenditure_7B'!M$183:M$198,MATCH(N109,'LFA Expenditure_7B'!B$183:B$198,0)),"")</f>
        <v/>
      </c>
      <c r="L109" s="837"/>
      <c r="M109" s="839"/>
      <c r="N109" s="845" t="str">
        <f>"Intcustom"&amp;I109</f>
        <v>Intcustom0</v>
      </c>
      <c r="O109" s="842" t="str">
        <f>IFERROR(IF(VLOOKUP(A109,'Reference Records'!$B$13:$D$48,3,FALSE)=0,"",VLOOKUP(A109,'Reference Records'!$B$13:$D$48,3,FALSE)),"")</f>
        <v/>
      </c>
      <c r="P109" s="856"/>
      <c r="Q109" s="842" t="s">
        <v>371</v>
      </c>
      <c r="R109" s="280"/>
      <c r="S109" s="280"/>
      <c r="T109" s="280"/>
    </row>
    <row r="110" spans="1:20" ht="15" x14ac:dyDescent="0.2">
      <c r="A110" s="857" t="str">
        <f>IFERROR(IF(INDEX('LFA Expenditure_7B'!C$183:C$198,MATCH(N110,'LFA Expenditure_7B'!B$183:B$198,0))="","",INDEX('LFA Expenditure_7B'!C$183:C$198,MATCH(N110,'LFA Expenditure_7B'!B$183:B$198,0))),"")</f>
        <v/>
      </c>
      <c r="B110" s="857" t="str">
        <f>IFERROR(IF(INDEX('LFA Expenditure_7B'!D$183:D$198,MATCH(N110,'LFA Expenditure_7B'!B$183:B$198,0))="","",INDEX('LFA Expenditure_7B'!D$183:D$198,MATCH(N110,'LFA Expenditure_7B'!B$183:B$198,0))),"")</f>
        <v/>
      </c>
      <c r="C110" s="837">
        <v>0</v>
      </c>
      <c r="D110" s="837">
        <f>'PR Expenditure_7A'!F185</f>
        <v>0</v>
      </c>
      <c r="E110" s="838">
        <f>IFERROR(INDEX('LFA Expenditure_7B'!G$183:G$198,MATCH(N110,'LFA Expenditure_7B'!B$183:B$198,0)),"")</f>
        <v>0</v>
      </c>
      <c r="F110" s="837"/>
      <c r="G110" s="839"/>
      <c r="H110" s="52"/>
      <c r="I110" s="303">
        <f t="shared" ref="I110:I124" si="6">I109+1</f>
        <v>1</v>
      </c>
      <c r="J110" s="840">
        <v>0</v>
      </c>
      <c r="K110" s="838">
        <f>IFERROR(INDEX('LFA Expenditure_7B'!M$183:M$198,MATCH(N110,'LFA Expenditure_7B'!B$183:B$198,0)),"")</f>
        <v>0</v>
      </c>
      <c r="L110" s="837"/>
      <c r="M110" s="839"/>
      <c r="N110" s="845" t="str">
        <f t="shared" ref="N110:N124" si="7">"Intcustom"&amp;I110</f>
        <v>Intcustom1</v>
      </c>
      <c r="O110" s="842" t="str">
        <f>IFERROR(IF(VLOOKUP(A110,'Reference Records'!$B$13:$D$48,3,FALSE)=0,"",VLOOKUP(A110,'Reference Records'!$B$13:$D$48,3,FALSE)),"")</f>
        <v/>
      </c>
      <c r="P110" s="856"/>
      <c r="Q110" s="842" t="s">
        <v>2876</v>
      </c>
      <c r="R110" s="280"/>
      <c r="S110" s="280"/>
      <c r="T110" s="280"/>
    </row>
    <row r="111" spans="1:20" ht="15" x14ac:dyDescent="0.2">
      <c r="A111" s="857" t="str">
        <f>IFERROR(IF(INDEX('LFA Expenditure_7B'!C$183:C$198,MATCH(N111,'LFA Expenditure_7B'!B$183:B$198,0))="","",INDEX('LFA Expenditure_7B'!C$183:C$198,MATCH(N111,'LFA Expenditure_7B'!B$183:B$198,0))),"")</f>
        <v/>
      </c>
      <c r="B111" s="857" t="str">
        <f>IFERROR(IF(INDEX('LFA Expenditure_7B'!D$183:D$198,MATCH(N111,'LFA Expenditure_7B'!B$183:B$198,0))="","",INDEX('LFA Expenditure_7B'!D$183:D$198,MATCH(N111,'LFA Expenditure_7B'!B$183:B$198,0))),"")</f>
        <v/>
      </c>
      <c r="C111" s="837">
        <v>0</v>
      </c>
      <c r="D111" s="837">
        <f>'PR Expenditure_7A'!F186</f>
        <v>0</v>
      </c>
      <c r="E111" s="838">
        <f>IFERROR(INDEX('LFA Expenditure_7B'!G$183:G$198,MATCH(N111,'LFA Expenditure_7B'!B$183:B$198,0)),"")</f>
        <v>0</v>
      </c>
      <c r="F111" s="837"/>
      <c r="G111" s="839"/>
      <c r="H111" s="52"/>
      <c r="I111" s="303">
        <f t="shared" si="6"/>
        <v>2</v>
      </c>
      <c r="J111" s="840">
        <v>0</v>
      </c>
      <c r="K111" s="838">
        <f>IFERROR(INDEX('LFA Expenditure_7B'!M$183:M$198,MATCH(N111,'LFA Expenditure_7B'!B$183:B$198,0)),"")</f>
        <v>0</v>
      </c>
      <c r="L111" s="837"/>
      <c r="M111" s="839"/>
      <c r="N111" s="845" t="str">
        <f t="shared" si="7"/>
        <v>Intcustom2</v>
      </c>
      <c r="O111" s="842" t="str">
        <f>IFERROR(IF(VLOOKUP(A111,'Reference Records'!$B$13:$D$48,3,FALSE)=0,"",VLOOKUP(A111,'Reference Records'!$B$13:$D$48,3,FALSE)),"")</f>
        <v/>
      </c>
      <c r="P111" s="856"/>
      <c r="Q111" s="842" t="s">
        <v>2877</v>
      </c>
      <c r="R111" s="280"/>
      <c r="S111" s="280"/>
      <c r="T111" s="280"/>
    </row>
    <row r="112" spans="1:20" ht="15" x14ac:dyDescent="0.2">
      <c r="A112" s="857" t="str">
        <f>IFERROR(IF(INDEX('LFA Expenditure_7B'!C$183:C$198,MATCH(N112,'LFA Expenditure_7B'!B$183:B$198,0))="","",INDEX('LFA Expenditure_7B'!C$183:C$198,MATCH(N112,'LFA Expenditure_7B'!B$183:B$198,0))),"")</f>
        <v/>
      </c>
      <c r="B112" s="857" t="str">
        <f>IFERROR(IF(INDEX('LFA Expenditure_7B'!D$183:D$198,MATCH(N112,'LFA Expenditure_7B'!B$183:B$198,0))="","",INDEX('LFA Expenditure_7B'!D$183:D$198,MATCH(N112,'LFA Expenditure_7B'!B$183:B$198,0))),"")</f>
        <v/>
      </c>
      <c r="C112" s="837">
        <v>0</v>
      </c>
      <c r="D112" s="837">
        <f>'PR Expenditure_7A'!F187</f>
        <v>0</v>
      </c>
      <c r="E112" s="838">
        <f>IFERROR(INDEX('LFA Expenditure_7B'!G$183:G$198,MATCH(N112,'LFA Expenditure_7B'!B$183:B$198,0)),"")</f>
        <v>0</v>
      </c>
      <c r="F112" s="837"/>
      <c r="G112" s="839"/>
      <c r="H112" s="52"/>
      <c r="I112" s="303">
        <f t="shared" si="6"/>
        <v>3</v>
      </c>
      <c r="J112" s="840">
        <v>0</v>
      </c>
      <c r="K112" s="838">
        <f>IFERROR(INDEX('LFA Expenditure_7B'!M$183:M$198,MATCH(N112,'LFA Expenditure_7B'!B$183:B$198,0)),"")</f>
        <v>0</v>
      </c>
      <c r="L112" s="837"/>
      <c r="M112" s="839"/>
      <c r="N112" s="845" t="str">
        <f t="shared" si="7"/>
        <v>Intcustom3</v>
      </c>
      <c r="O112" s="842" t="str">
        <f>IFERROR(IF(VLOOKUP(A112,'Reference Records'!$B$13:$D$48,3,FALSE)=0,"",VLOOKUP(A112,'Reference Records'!$B$13:$D$48,3,FALSE)),"")</f>
        <v/>
      </c>
      <c r="P112" s="856"/>
      <c r="Q112" s="842" t="s">
        <v>2878</v>
      </c>
      <c r="R112" s="280"/>
      <c r="S112" s="280"/>
      <c r="T112" s="280"/>
    </row>
    <row r="113" spans="1:20" ht="15" x14ac:dyDescent="0.2">
      <c r="A113" s="857" t="str">
        <f>IFERROR(IF(INDEX('LFA Expenditure_7B'!C$183:C$198,MATCH(N113,'LFA Expenditure_7B'!B$183:B$198,0))="","",INDEX('LFA Expenditure_7B'!C$183:C$198,MATCH(N113,'LFA Expenditure_7B'!B$183:B$198,0))),"")</f>
        <v/>
      </c>
      <c r="B113" s="857" t="str">
        <f>IFERROR(IF(INDEX('LFA Expenditure_7B'!D$183:D$198,MATCH(N113,'LFA Expenditure_7B'!B$183:B$198,0))="","",INDEX('LFA Expenditure_7B'!D$183:D$198,MATCH(N113,'LFA Expenditure_7B'!B$183:B$198,0))),"")</f>
        <v/>
      </c>
      <c r="C113" s="837">
        <v>0</v>
      </c>
      <c r="D113" s="837">
        <f>'PR Expenditure_7A'!F188</f>
        <v>0</v>
      </c>
      <c r="E113" s="838">
        <f>IFERROR(INDEX('LFA Expenditure_7B'!G$183:G$198,MATCH(N113,'LFA Expenditure_7B'!B$183:B$198,0)),"")</f>
        <v>0</v>
      </c>
      <c r="F113" s="837"/>
      <c r="G113" s="839"/>
      <c r="H113" s="52"/>
      <c r="I113" s="303">
        <f t="shared" si="6"/>
        <v>4</v>
      </c>
      <c r="J113" s="840">
        <v>0</v>
      </c>
      <c r="K113" s="838">
        <f>IFERROR(INDEX('LFA Expenditure_7B'!M$183:M$198,MATCH(N113,'LFA Expenditure_7B'!B$183:B$198,0)),"")</f>
        <v>0</v>
      </c>
      <c r="L113" s="837"/>
      <c r="M113" s="839"/>
      <c r="N113" s="845" t="str">
        <f t="shared" si="7"/>
        <v>Intcustom4</v>
      </c>
      <c r="O113" s="842" t="str">
        <f>IFERROR(IF(VLOOKUP(A113,'Reference Records'!$B$13:$D$48,3,FALSE)=0,"",VLOOKUP(A113,'Reference Records'!$B$13:$D$48,3,FALSE)),"")</f>
        <v/>
      </c>
      <c r="P113" s="856"/>
      <c r="Q113" s="842" t="s">
        <v>2879</v>
      </c>
      <c r="R113" s="280"/>
      <c r="S113" s="280"/>
      <c r="T113" s="280"/>
    </row>
    <row r="114" spans="1:20" ht="15" x14ac:dyDescent="0.2">
      <c r="A114" s="857" t="str">
        <f>IFERROR(IF(INDEX('LFA Expenditure_7B'!C$183:C$198,MATCH(N114,'LFA Expenditure_7B'!B$183:B$198,0))="","",INDEX('LFA Expenditure_7B'!C$183:C$198,MATCH(N114,'LFA Expenditure_7B'!B$183:B$198,0))),"")</f>
        <v/>
      </c>
      <c r="B114" s="857" t="str">
        <f>IFERROR(IF(INDEX('LFA Expenditure_7B'!D$183:D$198,MATCH(N114,'LFA Expenditure_7B'!B$183:B$198,0))="","",INDEX('LFA Expenditure_7B'!D$183:D$198,MATCH(N114,'LFA Expenditure_7B'!B$183:B$198,0))),"")</f>
        <v/>
      </c>
      <c r="C114" s="837">
        <v>0</v>
      </c>
      <c r="D114" s="837">
        <f>'PR Expenditure_7A'!F189</f>
        <v>0</v>
      </c>
      <c r="E114" s="838">
        <f>IFERROR(INDEX('LFA Expenditure_7B'!G$183:G$198,MATCH(N114,'LFA Expenditure_7B'!B$183:B$198,0)),"")</f>
        <v>0</v>
      </c>
      <c r="F114" s="837"/>
      <c r="G114" s="839"/>
      <c r="H114" s="52"/>
      <c r="I114" s="303">
        <f t="shared" si="6"/>
        <v>5</v>
      </c>
      <c r="J114" s="840">
        <v>0</v>
      </c>
      <c r="K114" s="838">
        <f>IFERROR(INDEX('LFA Expenditure_7B'!M$183:M$198,MATCH(N114,'LFA Expenditure_7B'!B$183:B$198,0)),"")</f>
        <v>0</v>
      </c>
      <c r="L114" s="837"/>
      <c r="M114" s="839"/>
      <c r="N114" s="845" t="str">
        <f t="shared" si="7"/>
        <v>Intcustom5</v>
      </c>
      <c r="O114" s="842" t="str">
        <f>IFERROR(IF(VLOOKUP(A114,'Reference Records'!$B$13:$D$48,3,FALSE)=0,"",VLOOKUP(A114,'Reference Records'!$B$13:$D$48,3,FALSE)),"")</f>
        <v/>
      </c>
      <c r="P114" s="856"/>
      <c r="Q114" s="842" t="s">
        <v>2880</v>
      </c>
      <c r="R114" s="280"/>
      <c r="S114" s="280"/>
      <c r="T114" s="280"/>
    </row>
    <row r="115" spans="1:20" ht="15" x14ac:dyDescent="0.2">
      <c r="A115" s="857" t="str">
        <f>IFERROR(IF(INDEX('LFA Expenditure_7B'!C$183:C$198,MATCH(N115,'LFA Expenditure_7B'!B$183:B$198,0))="","",INDEX('LFA Expenditure_7B'!C$183:C$198,MATCH(N115,'LFA Expenditure_7B'!B$183:B$198,0))),"")</f>
        <v/>
      </c>
      <c r="B115" s="857" t="str">
        <f>IFERROR(IF(INDEX('LFA Expenditure_7B'!D$183:D$198,MATCH(N115,'LFA Expenditure_7B'!B$183:B$198,0))="","",INDEX('LFA Expenditure_7B'!D$183:D$198,MATCH(N115,'LFA Expenditure_7B'!B$183:B$198,0))),"")</f>
        <v/>
      </c>
      <c r="C115" s="837">
        <v>0</v>
      </c>
      <c r="D115" s="837">
        <f>'PR Expenditure_7A'!F190</f>
        <v>0</v>
      </c>
      <c r="E115" s="838">
        <f>IFERROR(INDEX('LFA Expenditure_7B'!G$183:G$198,MATCH(N115,'LFA Expenditure_7B'!B$183:B$198,0)),"")</f>
        <v>0</v>
      </c>
      <c r="F115" s="837"/>
      <c r="G115" s="839"/>
      <c r="H115" s="52"/>
      <c r="I115" s="303">
        <f t="shared" si="6"/>
        <v>6</v>
      </c>
      <c r="J115" s="840">
        <v>0</v>
      </c>
      <c r="K115" s="838">
        <f>IFERROR(INDEX('LFA Expenditure_7B'!M$183:M$198,MATCH(N115,'LFA Expenditure_7B'!B$183:B$198,0)),"")</f>
        <v>0</v>
      </c>
      <c r="L115" s="837"/>
      <c r="M115" s="839"/>
      <c r="N115" s="845" t="str">
        <f t="shared" si="7"/>
        <v>Intcustom6</v>
      </c>
      <c r="O115" s="842" t="str">
        <f>IFERROR(IF(VLOOKUP(A115,'Reference Records'!$B$13:$D$48,3,FALSE)=0,"",VLOOKUP(A115,'Reference Records'!$B$13:$D$48,3,FALSE)),"")</f>
        <v/>
      </c>
      <c r="P115" s="856"/>
      <c r="Q115" s="842" t="s">
        <v>2881</v>
      </c>
      <c r="R115" s="280"/>
      <c r="S115" s="280"/>
      <c r="T115" s="280"/>
    </row>
    <row r="116" spans="1:20" ht="15" x14ac:dyDescent="0.2">
      <c r="A116" s="857" t="str">
        <f>IFERROR(IF(INDEX('LFA Expenditure_7B'!C$183:C$198,MATCH(N116,'LFA Expenditure_7B'!B$183:B$198,0))="","",INDEX('LFA Expenditure_7B'!C$183:C$198,MATCH(N116,'LFA Expenditure_7B'!B$183:B$198,0))),"")</f>
        <v/>
      </c>
      <c r="B116" s="857" t="str">
        <f>IFERROR(IF(INDEX('LFA Expenditure_7B'!D$183:D$198,MATCH(N116,'LFA Expenditure_7B'!B$183:B$198,0))="","",INDEX('LFA Expenditure_7B'!D$183:D$198,MATCH(N116,'LFA Expenditure_7B'!B$183:B$198,0))),"")</f>
        <v/>
      </c>
      <c r="C116" s="837">
        <v>0</v>
      </c>
      <c r="D116" s="837">
        <f>'PR Expenditure_7A'!F191</f>
        <v>0</v>
      </c>
      <c r="E116" s="838">
        <f>IFERROR(INDEX('LFA Expenditure_7B'!G$183:G$198,MATCH(N116,'LFA Expenditure_7B'!B$183:B$198,0)),"")</f>
        <v>0</v>
      </c>
      <c r="F116" s="837"/>
      <c r="G116" s="839"/>
      <c r="H116" s="52"/>
      <c r="I116" s="303">
        <f t="shared" si="6"/>
        <v>7</v>
      </c>
      <c r="J116" s="840">
        <v>0</v>
      </c>
      <c r="K116" s="838">
        <f>IFERROR(INDEX('LFA Expenditure_7B'!M$183:M$198,MATCH(N116,'LFA Expenditure_7B'!B$183:B$198,0)),"")</f>
        <v>0</v>
      </c>
      <c r="L116" s="837"/>
      <c r="M116" s="839"/>
      <c r="N116" s="845" t="str">
        <f t="shared" si="7"/>
        <v>Intcustom7</v>
      </c>
      <c r="O116" s="842" t="str">
        <f>IFERROR(IF(VLOOKUP(A116,'Reference Records'!$B$13:$D$48,3,FALSE)=0,"",VLOOKUP(A116,'Reference Records'!$B$13:$D$48,3,FALSE)),"")</f>
        <v/>
      </c>
      <c r="P116" s="856"/>
      <c r="Q116" s="842" t="s">
        <v>2882</v>
      </c>
      <c r="R116" s="280"/>
      <c r="S116" s="280"/>
      <c r="T116" s="280"/>
    </row>
    <row r="117" spans="1:20" ht="15" x14ac:dyDescent="0.2">
      <c r="A117" s="857" t="str">
        <f>IFERROR(IF(INDEX('LFA Expenditure_7B'!C$183:C$198,MATCH(N117,'LFA Expenditure_7B'!B$183:B$198,0))="","",INDEX('LFA Expenditure_7B'!C$183:C$198,MATCH(N117,'LFA Expenditure_7B'!B$183:B$198,0))),"")</f>
        <v/>
      </c>
      <c r="B117" s="857" t="str">
        <f>IFERROR(IF(INDEX('LFA Expenditure_7B'!D$183:D$198,MATCH(N117,'LFA Expenditure_7B'!B$183:B$198,0))="","",INDEX('LFA Expenditure_7B'!D$183:D$198,MATCH(N117,'LFA Expenditure_7B'!B$183:B$198,0))),"")</f>
        <v/>
      </c>
      <c r="C117" s="837">
        <v>0</v>
      </c>
      <c r="D117" s="837">
        <f>'PR Expenditure_7A'!F192</f>
        <v>0</v>
      </c>
      <c r="E117" s="838">
        <f>IFERROR(INDEX('LFA Expenditure_7B'!G$183:G$198,MATCH(N117,'LFA Expenditure_7B'!B$183:B$198,0)),"")</f>
        <v>0</v>
      </c>
      <c r="F117" s="837"/>
      <c r="G117" s="839"/>
      <c r="H117" s="52"/>
      <c r="I117" s="303">
        <f t="shared" si="6"/>
        <v>8</v>
      </c>
      <c r="J117" s="840">
        <v>0</v>
      </c>
      <c r="K117" s="838">
        <f>IFERROR(INDEX('LFA Expenditure_7B'!M$183:M$198,MATCH(N117,'LFA Expenditure_7B'!B$183:B$198,0)),"")</f>
        <v>0</v>
      </c>
      <c r="L117" s="837"/>
      <c r="M117" s="839"/>
      <c r="N117" s="845" t="str">
        <f t="shared" si="7"/>
        <v>Intcustom8</v>
      </c>
      <c r="O117" s="842" t="str">
        <f>IFERROR(IF(VLOOKUP(A117,'Reference Records'!$B$13:$D$48,3,FALSE)=0,"",VLOOKUP(A117,'Reference Records'!$B$13:$D$48,3,FALSE)),"")</f>
        <v/>
      </c>
      <c r="P117" s="856"/>
      <c r="Q117" s="842" t="s">
        <v>2883</v>
      </c>
      <c r="R117" s="280"/>
      <c r="S117" s="280"/>
      <c r="T117" s="280"/>
    </row>
    <row r="118" spans="1:20" ht="15" x14ac:dyDescent="0.2">
      <c r="A118" s="857" t="str">
        <f>IFERROR(IF(INDEX('LFA Expenditure_7B'!C$183:C$198,MATCH(N118,'LFA Expenditure_7B'!B$183:B$198,0))="","",INDEX('LFA Expenditure_7B'!C$183:C$198,MATCH(N118,'LFA Expenditure_7B'!B$183:B$198,0))),"")</f>
        <v/>
      </c>
      <c r="B118" s="857" t="str">
        <f>IFERROR(IF(INDEX('LFA Expenditure_7B'!D$183:D$198,MATCH(N118,'LFA Expenditure_7B'!B$183:B$198,0))="","",INDEX('LFA Expenditure_7B'!D$183:D$198,MATCH(N118,'LFA Expenditure_7B'!B$183:B$198,0))),"")</f>
        <v/>
      </c>
      <c r="C118" s="837">
        <v>0</v>
      </c>
      <c r="D118" s="837">
        <f>'PR Expenditure_7A'!F193</f>
        <v>0</v>
      </c>
      <c r="E118" s="838">
        <f>IFERROR(INDEX('LFA Expenditure_7B'!G$183:G$198,MATCH(N118,'LFA Expenditure_7B'!B$183:B$198,0)),"")</f>
        <v>0</v>
      </c>
      <c r="F118" s="837"/>
      <c r="G118" s="839"/>
      <c r="H118" s="52"/>
      <c r="I118" s="303">
        <f t="shared" si="6"/>
        <v>9</v>
      </c>
      <c r="J118" s="840">
        <v>0</v>
      </c>
      <c r="K118" s="838">
        <f>IFERROR(INDEX('LFA Expenditure_7B'!M$183:M$198,MATCH(N118,'LFA Expenditure_7B'!B$183:B$198,0)),"")</f>
        <v>0</v>
      </c>
      <c r="L118" s="837"/>
      <c r="M118" s="839"/>
      <c r="N118" s="845" t="str">
        <f t="shared" si="7"/>
        <v>Intcustom9</v>
      </c>
      <c r="O118" s="842" t="str">
        <f>IFERROR(IF(VLOOKUP(A118,'Reference Records'!$B$13:$D$48,3,FALSE)=0,"",VLOOKUP(A118,'Reference Records'!$B$13:$D$48,3,FALSE)),"")</f>
        <v/>
      </c>
      <c r="P118" s="856"/>
      <c r="Q118" s="842" t="s">
        <v>2884</v>
      </c>
      <c r="R118" s="280"/>
      <c r="S118" s="280"/>
      <c r="T118" s="280"/>
    </row>
    <row r="119" spans="1:20" ht="15" x14ac:dyDescent="0.2">
      <c r="A119" s="857" t="str">
        <f>IFERROR(IF(INDEX('LFA Expenditure_7B'!C$183:C$198,MATCH(N119,'LFA Expenditure_7B'!B$183:B$198,0))="","",INDEX('LFA Expenditure_7B'!C$183:C$198,MATCH(N119,'LFA Expenditure_7B'!B$183:B$198,0))),"")</f>
        <v/>
      </c>
      <c r="B119" s="857" t="str">
        <f>IFERROR(IF(INDEX('LFA Expenditure_7B'!D$183:D$198,MATCH(N119,'LFA Expenditure_7B'!B$183:B$198,0))="","",INDEX('LFA Expenditure_7B'!D$183:D$198,MATCH(N119,'LFA Expenditure_7B'!B$183:B$198,0))),"")</f>
        <v/>
      </c>
      <c r="C119" s="837">
        <v>0</v>
      </c>
      <c r="D119" s="837">
        <f>'PR Expenditure_7A'!F194</f>
        <v>0</v>
      </c>
      <c r="E119" s="838">
        <f>IFERROR(INDEX('LFA Expenditure_7B'!G$183:G$198,MATCH(N119,'LFA Expenditure_7B'!B$183:B$198,0)),"")</f>
        <v>0</v>
      </c>
      <c r="F119" s="837"/>
      <c r="G119" s="839"/>
      <c r="H119" s="52"/>
      <c r="I119" s="303">
        <f t="shared" si="6"/>
        <v>10</v>
      </c>
      <c r="J119" s="840">
        <v>0</v>
      </c>
      <c r="K119" s="838">
        <f>IFERROR(INDEX('LFA Expenditure_7B'!M$183:M$198,MATCH(N119,'LFA Expenditure_7B'!B$183:B$198,0)),"")</f>
        <v>0</v>
      </c>
      <c r="L119" s="837"/>
      <c r="M119" s="839"/>
      <c r="N119" s="845" t="str">
        <f t="shared" si="7"/>
        <v>Intcustom10</v>
      </c>
      <c r="O119" s="842" t="str">
        <f>IFERROR(IF(VLOOKUP(A119,'Reference Records'!$B$13:$D$48,3,FALSE)=0,"",VLOOKUP(A119,'Reference Records'!$B$13:$D$48,3,FALSE)),"")</f>
        <v/>
      </c>
      <c r="P119" s="856"/>
      <c r="Q119" s="842" t="s">
        <v>2885</v>
      </c>
      <c r="R119" s="280"/>
      <c r="S119" s="280"/>
      <c r="T119" s="280"/>
    </row>
    <row r="120" spans="1:20" ht="15" x14ac:dyDescent="0.2">
      <c r="A120" s="857" t="str">
        <f>IFERROR(IF(INDEX('LFA Expenditure_7B'!C$183:C$198,MATCH(N120,'LFA Expenditure_7B'!B$183:B$198,0))="","",INDEX('LFA Expenditure_7B'!C$183:C$198,MATCH(N120,'LFA Expenditure_7B'!B$183:B$198,0))),"")</f>
        <v/>
      </c>
      <c r="B120" s="857" t="str">
        <f>IFERROR(IF(INDEX('LFA Expenditure_7B'!D$183:D$198,MATCH(N120,'LFA Expenditure_7B'!B$183:B$198,0))="","",INDEX('LFA Expenditure_7B'!D$183:D$198,MATCH(N120,'LFA Expenditure_7B'!B$183:B$198,0))),"")</f>
        <v/>
      </c>
      <c r="C120" s="837">
        <v>0</v>
      </c>
      <c r="D120" s="837">
        <f>'PR Expenditure_7A'!F195</f>
        <v>0</v>
      </c>
      <c r="E120" s="838">
        <f>IFERROR(INDEX('LFA Expenditure_7B'!G$183:G$198,MATCH(N120,'LFA Expenditure_7B'!B$183:B$198,0)),"")</f>
        <v>0</v>
      </c>
      <c r="F120" s="837"/>
      <c r="G120" s="839"/>
      <c r="H120" s="52"/>
      <c r="I120" s="303">
        <f t="shared" si="6"/>
        <v>11</v>
      </c>
      <c r="J120" s="840">
        <v>0</v>
      </c>
      <c r="K120" s="838">
        <f>IFERROR(INDEX('LFA Expenditure_7B'!M$183:M$198,MATCH(N120,'LFA Expenditure_7B'!B$183:B$198,0)),"")</f>
        <v>0</v>
      </c>
      <c r="L120" s="837"/>
      <c r="M120" s="839"/>
      <c r="N120" s="845" t="str">
        <f t="shared" si="7"/>
        <v>Intcustom11</v>
      </c>
      <c r="O120" s="842" t="str">
        <f>IFERROR(IF(VLOOKUP(A120,'Reference Records'!$B$13:$D$48,3,FALSE)=0,"",VLOOKUP(A120,'Reference Records'!$B$13:$D$48,3,FALSE)),"")</f>
        <v/>
      </c>
      <c r="P120" s="856"/>
      <c r="Q120" s="842" t="s">
        <v>2886</v>
      </c>
      <c r="R120" s="280"/>
      <c r="S120" s="280"/>
      <c r="T120" s="280"/>
    </row>
    <row r="121" spans="1:20" ht="15" x14ac:dyDescent="0.2">
      <c r="A121" s="857" t="str">
        <f>IFERROR(IF(INDEX('LFA Expenditure_7B'!C$183:C$198,MATCH(N121,'LFA Expenditure_7B'!B$183:B$198,0))="","",INDEX('LFA Expenditure_7B'!C$183:C$198,MATCH(N121,'LFA Expenditure_7B'!B$183:B$198,0))),"")</f>
        <v/>
      </c>
      <c r="B121" s="857" t="str">
        <f>IFERROR(IF(INDEX('LFA Expenditure_7B'!D$183:D$198,MATCH(N121,'LFA Expenditure_7B'!B$183:B$198,0))="","",INDEX('LFA Expenditure_7B'!D$183:D$198,MATCH(N121,'LFA Expenditure_7B'!B$183:B$198,0))),"")</f>
        <v/>
      </c>
      <c r="C121" s="837">
        <v>0</v>
      </c>
      <c r="D121" s="837">
        <f>'PR Expenditure_7A'!F196</f>
        <v>0</v>
      </c>
      <c r="E121" s="838">
        <f>IFERROR(INDEX('LFA Expenditure_7B'!G$183:G$198,MATCH(N121,'LFA Expenditure_7B'!B$183:B$198,0)),"")</f>
        <v>0</v>
      </c>
      <c r="F121" s="837"/>
      <c r="G121" s="839"/>
      <c r="H121" s="52"/>
      <c r="I121" s="303">
        <f t="shared" si="6"/>
        <v>12</v>
      </c>
      <c r="J121" s="840">
        <v>0</v>
      </c>
      <c r="K121" s="838">
        <f>IFERROR(INDEX('LFA Expenditure_7B'!M$183:M$198,MATCH(N121,'LFA Expenditure_7B'!B$183:B$198,0)),"")</f>
        <v>0</v>
      </c>
      <c r="L121" s="837"/>
      <c r="M121" s="839"/>
      <c r="N121" s="845" t="str">
        <f t="shared" si="7"/>
        <v>Intcustom12</v>
      </c>
      <c r="O121" s="842" t="str">
        <f>IFERROR(IF(VLOOKUP(A121,'Reference Records'!$B$13:$D$48,3,FALSE)=0,"",VLOOKUP(A121,'Reference Records'!$B$13:$D$48,3,FALSE)),"")</f>
        <v/>
      </c>
      <c r="P121" s="856"/>
      <c r="Q121" s="842" t="s">
        <v>2887</v>
      </c>
      <c r="R121" s="280"/>
      <c r="S121" s="280"/>
      <c r="T121" s="280"/>
    </row>
    <row r="122" spans="1:20" ht="15" x14ac:dyDescent="0.2">
      <c r="A122" s="857" t="str">
        <f>IFERROR(IF(INDEX('LFA Expenditure_7B'!C$183:C$198,MATCH(N122,'LFA Expenditure_7B'!B$183:B$198,0))="","",INDEX('LFA Expenditure_7B'!C$183:C$198,MATCH(N122,'LFA Expenditure_7B'!B$183:B$198,0))),"")</f>
        <v/>
      </c>
      <c r="B122" s="857" t="str">
        <f>IFERROR(IF(INDEX('LFA Expenditure_7B'!D$183:D$198,MATCH(N122,'LFA Expenditure_7B'!B$183:B$198,0))="","",INDEX('LFA Expenditure_7B'!D$183:D$198,MATCH(N122,'LFA Expenditure_7B'!B$183:B$198,0))),"")</f>
        <v/>
      </c>
      <c r="C122" s="837">
        <v>0</v>
      </c>
      <c r="D122" s="837">
        <f>'PR Expenditure_7A'!F197</f>
        <v>0</v>
      </c>
      <c r="E122" s="838">
        <f>IFERROR(INDEX('LFA Expenditure_7B'!G$183:G$198,MATCH(N122,'LFA Expenditure_7B'!B$183:B$198,0)),"")</f>
        <v>0</v>
      </c>
      <c r="F122" s="837"/>
      <c r="G122" s="839"/>
      <c r="H122" s="52"/>
      <c r="I122" s="303">
        <f t="shared" si="6"/>
        <v>13</v>
      </c>
      <c r="J122" s="840">
        <v>0</v>
      </c>
      <c r="K122" s="838">
        <f>IFERROR(INDEX('LFA Expenditure_7B'!M$183:M$198,MATCH(N122,'LFA Expenditure_7B'!B$183:B$198,0)),"")</f>
        <v>0</v>
      </c>
      <c r="L122" s="837"/>
      <c r="M122" s="839"/>
      <c r="N122" s="845" t="str">
        <f t="shared" si="7"/>
        <v>Intcustom13</v>
      </c>
      <c r="O122" s="842" t="str">
        <f>IFERROR(IF(VLOOKUP(A122,'Reference Records'!$B$13:$D$48,3,FALSE)=0,"",VLOOKUP(A122,'Reference Records'!$B$13:$D$48,3,FALSE)),"")</f>
        <v/>
      </c>
      <c r="P122" s="856"/>
      <c r="Q122" s="842" t="s">
        <v>2888</v>
      </c>
      <c r="R122" s="280"/>
      <c r="S122" s="280"/>
      <c r="T122" s="280"/>
    </row>
    <row r="123" spans="1:20" ht="15" x14ac:dyDescent="0.2">
      <c r="A123" s="857" t="str">
        <f>IFERROR(IF(INDEX('LFA Expenditure_7B'!C$183:C$198,MATCH(N123,'LFA Expenditure_7B'!B$183:B$198,0))="","",INDEX('LFA Expenditure_7B'!C$183:C$198,MATCH(N123,'LFA Expenditure_7B'!B$183:B$198,0))),"")</f>
        <v/>
      </c>
      <c r="B123" s="857" t="str">
        <f>IFERROR(IF(INDEX('LFA Expenditure_7B'!D$183:D$198,MATCH(N123,'LFA Expenditure_7B'!B$183:B$198,0))="","",INDEX('LFA Expenditure_7B'!D$183:D$198,MATCH(N123,'LFA Expenditure_7B'!B$183:B$198,0))),"")</f>
        <v/>
      </c>
      <c r="C123" s="837">
        <v>0</v>
      </c>
      <c r="D123" s="837">
        <f>'PR Expenditure_7A'!F198</f>
        <v>0</v>
      </c>
      <c r="E123" s="838">
        <f>IFERROR(INDEX('LFA Expenditure_7B'!G$183:G$198,MATCH(N123,'LFA Expenditure_7B'!B$183:B$198,0)),"")</f>
        <v>0</v>
      </c>
      <c r="F123" s="837"/>
      <c r="G123" s="839"/>
      <c r="H123" s="52"/>
      <c r="I123" s="303">
        <f t="shared" si="6"/>
        <v>14</v>
      </c>
      <c r="J123" s="840">
        <v>0</v>
      </c>
      <c r="K123" s="838">
        <f>IFERROR(INDEX('LFA Expenditure_7B'!M$183:M$198,MATCH(N123,'LFA Expenditure_7B'!B$183:B$198,0)),"")</f>
        <v>0</v>
      </c>
      <c r="L123" s="837"/>
      <c r="M123" s="839"/>
      <c r="N123" s="845" t="str">
        <f t="shared" si="7"/>
        <v>Intcustom14</v>
      </c>
      <c r="O123" s="842" t="str">
        <f>IFERROR(IF(VLOOKUP(A123,'Reference Records'!$B$13:$D$48,3,FALSE)=0,"",VLOOKUP(A123,'Reference Records'!$B$13:$D$48,3,FALSE)),"")</f>
        <v/>
      </c>
      <c r="P123" s="856"/>
      <c r="Q123" s="842" t="s">
        <v>2889</v>
      </c>
      <c r="R123" s="280"/>
      <c r="S123" s="280"/>
      <c r="T123" s="280"/>
    </row>
    <row r="124" spans="1:20" ht="15" x14ac:dyDescent="0.2">
      <c r="A124" s="857" t="str">
        <f>IFERROR(IF(INDEX('LFA Expenditure_7B'!C$183:C$198,MATCH(N124,'LFA Expenditure_7B'!B$183:B$198,0))="","",INDEX('LFA Expenditure_7B'!C$183:C$198,MATCH(N124,'LFA Expenditure_7B'!B$183:B$198,0))),"")</f>
        <v/>
      </c>
      <c r="B124" s="857" t="str">
        <f>IFERROR(IF(INDEX('LFA Expenditure_7B'!D$183:D$198,MATCH(N124,'LFA Expenditure_7B'!B$183:B$198,0))="","",INDEX('LFA Expenditure_7B'!D$183:D$198,MATCH(N124,'LFA Expenditure_7B'!B$183:B$198,0))),"")</f>
        <v/>
      </c>
      <c r="C124" s="837">
        <v>0</v>
      </c>
      <c r="D124" s="837">
        <f>'PR Expenditure_7A'!F199</f>
        <v>0</v>
      </c>
      <c r="E124" s="838">
        <f>IFERROR(INDEX('LFA Expenditure_7B'!G$183:G$198,MATCH(N124,'LFA Expenditure_7B'!B$183:B$198,0)),"")</f>
        <v>0</v>
      </c>
      <c r="F124" s="837"/>
      <c r="G124" s="839"/>
      <c r="H124" s="52"/>
      <c r="I124" s="303">
        <f t="shared" si="6"/>
        <v>15</v>
      </c>
      <c r="J124" s="840">
        <v>0</v>
      </c>
      <c r="K124" s="838">
        <f>IFERROR(INDEX('LFA Expenditure_7B'!M$183:M$198,MATCH(N124,'LFA Expenditure_7B'!B$183:B$198,0)),"")</f>
        <v>0</v>
      </c>
      <c r="L124" s="837"/>
      <c r="M124" s="839"/>
      <c r="N124" s="845" t="str">
        <f t="shared" si="7"/>
        <v>Intcustom15</v>
      </c>
      <c r="O124" s="842" t="str">
        <f>IFERROR(IF(VLOOKUP(A124,'Reference Records'!$B$13:$D$48,3,FALSE)=0,"",VLOOKUP(A124,'Reference Records'!$B$13:$D$48,3,FALSE)),"")</f>
        <v/>
      </c>
      <c r="P124" s="856"/>
      <c r="Q124" s="842" t="s">
        <v>2890</v>
      </c>
      <c r="R124" s="280"/>
      <c r="S124" s="280"/>
      <c r="T124" s="280"/>
    </row>
    <row r="125" spans="1:20" x14ac:dyDescent="0.2">
      <c r="A125" s="315"/>
      <c r="I125" s="314"/>
      <c r="O125" s="280"/>
      <c r="P125" s="624"/>
      <c r="Q125" s="280"/>
      <c r="R125" s="280"/>
      <c r="S125" s="280"/>
      <c r="T125" s="280"/>
    </row>
    <row r="126" spans="1:20" s="232" customFormat="1" ht="45" x14ac:dyDescent="0.25">
      <c r="A126" s="820" t="s">
        <v>2891</v>
      </c>
      <c r="B126" s="820" t="s">
        <v>2611</v>
      </c>
      <c r="C126" s="848" t="s">
        <v>1117</v>
      </c>
      <c r="D126" s="848" t="s">
        <v>2909</v>
      </c>
      <c r="E126" s="848" t="s">
        <v>2910</v>
      </c>
      <c r="F126" s="848" t="s">
        <v>1119</v>
      </c>
      <c r="G126" s="848" t="s">
        <v>2669</v>
      </c>
      <c r="H126" s="848" t="s">
        <v>2911</v>
      </c>
      <c r="I126" s="303">
        <v>-1</v>
      </c>
      <c r="J126" s="848" t="s">
        <v>2671</v>
      </c>
      <c r="K126" s="848" t="s">
        <v>2672</v>
      </c>
      <c r="L126" s="848"/>
      <c r="M126" s="848"/>
      <c r="N126" s="832"/>
      <c r="O126" s="834" t="s">
        <v>122</v>
      </c>
      <c r="P126" s="630"/>
      <c r="Q126" s="418"/>
      <c r="R126" s="418"/>
      <c r="S126" s="418"/>
    </row>
    <row r="127" spans="1:20" ht="21.75" hidden="1" customHeight="1" x14ac:dyDescent="0.2">
      <c r="A127" s="849" t="s">
        <v>2892</v>
      </c>
      <c r="B127" s="858" t="s">
        <v>2893</v>
      </c>
      <c r="C127" s="837" t="s">
        <v>2675</v>
      </c>
      <c r="D127" s="837" t="e">
        <f>'PR Expenditure_7A'!#REF!</f>
        <v>#REF!</v>
      </c>
      <c r="E127" s="859" t="str">
        <f>IFERROR(INDEX('LFA Expenditure_7B'!G$204:G$253,MATCH(N127,'LFA Expenditure_7B'!B$204:B$253,0)),"")</f>
        <v/>
      </c>
      <c r="F127" s="837"/>
      <c r="G127" s="839"/>
      <c r="H127" s="52"/>
      <c r="I127" s="303">
        <f>I126+1</f>
        <v>0</v>
      </c>
      <c r="J127" s="840" t="s">
        <v>2676</v>
      </c>
      <c r="K127" s="859" t="str">
        <f>IFERROR(INDEX('LFA Expenditure_7B'!M$204:M$253,MATCH(N127,'LFA Expenditure_7B'!B$204:B$253,0)),"")</f>
        <v/>
      </c>
      <c r="L127" s="837"/>
      <c r="M127" s="839"/>
      <c r="N127" s="845" t="str">
        <f>"IP"&amp;I127</f>
        <v>IP0</v>
      </c>
      <c r="O127" s="842" t="s">
        <v>371</v>
      </c>
      <c r="P127" s="624"/>
      <c r="Q127" s="280"/>
      <c r="R127" s="280"/>
      <c r="S127" s="280"/>
    </row>
    <row r="128" spans="1:20" ht="21.75" customHeight="1" x14ac:dyDescent="0.2">
      <c r="A128" s="849" t="s">
        <v>2895</v>
      </c>
      <c r="B128" s="858" t="s">
        <v>2896</v>
      </c>
      <c r="C128" s="837">
        <v>2078161.0190789199</v>
      </c>
      <c r="D128" s="837" t="e">
        <f>'PR Expenditure_7A'!#REF!</f>
        <v>#REF!</v>
      </c>
      <c r="E128" s="859">
        <f>IFERROR(INDEX('LFA Expenditure_7B'!G$204:G$253,MATCH(N128,'LFA Expenditure_7B'!B$204:B$253,0)),"")</f>
        <v>0</v>
      </c>
      <c r="F128" s="837"/>
      <c r="G128" s="839"/>
      <c r="H128" s="52"/>
      <c r="I128" s="303">
        <f t="shared" ref="I128:I131" si="8">I127+1</f>
        <v>1</v>
      </c>
      <c r="J128" s="840">
        <v>4040600.2997711198</v>
      </c>
      <c r="K128" s="859">
        <f>IFERROR(INDEX('LFA Expenditure_7B'!M$204:M$253,MATCH(N128,'LFA Expenditure_7B'!B$204:B$253,0)),"")</f>
        <v>0</v>
      </c>
      <c r="L128" s="837"/>
      <c r="M128" s="839"/>
      <c r="N128" s="845" t="str">
        <f t="shared" ref="N128:N131" si="9">"IP"&amp;I128</f>
        <v>IP1</v>
      </c>
      <c r="O128" s="842" t="s">
        <v>2897</v>
      </c>
      <c r="P128" s="624"/>
      <c r="Q128" s="280"/>
      <c r="R128" s="280"/>
      <c r="S128" s="280"/>
    </row>
    <row r="129" spans="1:19" ht="21.75" customHeight="1" x14ac:dyDescent="0.2">
      <c r="A129" s="849" t="s">
        <v>1089</v>
      </c>
      <c r="B129" s="858" t="s">
        <v>2896</v>
      </c>
      <c r="C129" s="837">
        <v>523850.94752477901</v>
      </c>
      <c r="D129" s="837" t="e">
        <f>'PR Expenditure_7A'!#REF!</f>
        <v>#REF!</v>
      </c>
      <c r="E129" s="859">
        <f>IFERROR(INDEX('LFA Expenditure_7B'!G$204:G$253,MATCH(N129,'LFA Expenditure_7B'!B$204:B$253,0)),"")</f>
        <v>0</v>
      </c>
      <c r="F129" s="837"/>
      <c r="G129" s="839"/>
      <c r="H129" s="52"/>
      <c r="I129" s="303">
        <f t="shared" si="8"/>
        <v>2</v>
      </c>
      <c r="J129" s="840">
        <v>1225260.09197323</v>
      </c>
      <c r="K129" s="859">
        <f>IFERROR(INDEX('LFA Expenditure_7B'!M$204:M$253,MATCH(N129,'LFA Expenditure_7B'!B$204:B$253,0)),"")</f>
        <v>0</v>
      </c>
      <c r="L129" s="837"/>
      <c r="M129" s="839"/>
      <c r="N129" s="845" t="str">
        <f t="shared" si="9"/>
        <v>IP2</v>
      </c>
      <c r="O129" s="842" t="s">
        <v>2898</v>
      </c>
      <c r="P129" s="624"/>
      <c r="Q129" s="280"/>
      <c r="R129" s="280"/>
      <c r="S129" s="280"/>
    </row>
    <row r="130" spans="1:19" ht="21.75" customHeight="1" x14ac:dyDescent="0.2">
      <c r="A130" s="849" t="s">
        <v>45</v>
      </c>
      <c r="B130" s="858" t="s">
        <v>2896</v>
      </c>
      <c r="C130" s="837">
        <v>7663870.2379326597</v>
      </c>
      <c r="D130" s="837" t="e">
        <f>'PR Expenditure_7A'!#REF!</f>
        <v>#REF!</v>
      </c>
      <c r="E130" s="859">
        <f>IFERROR(INDEX('LFA Expenditure_7B'!G$204:G$253,MATCH(N130,'LFA Expenditure_7B'!B$204:B$253,0)),"")</f>
        <v>0</v>
      </c>
      <c r="F130" s="837"/>
      <c r="G130" s="839"/>
      <c r="H130" s="52"/>
      <c r="I130" s="303">
        <f t="shared" si="8"/>
        <v>3</v>
      </c>
      <c r="J130" s="840">
        <v>11578068.930232599</v>
      </c>
      <c r="K130" s="859">
        <f>IFERROR(INDEX('LFA Expenditure_7B'!M$204:M$253,MATCH(N130,'LFA Expenditure_7B'!B$204:B$253,0)),"")</f>
        <v>0</v>
      </c>
      <c r="L130" s="837"/>
      <c r="M130" s="839"/>
      <c r="N130" s="845" t="str">
        <f t="shared" si="9"/>
        <v>IP3</v>
      </c>
      <c r="O130" s="842" t="s">
        <v>2899</v>
      </c>
      <c r="P130" s="624"/>
      <c r="Q130" s="280"/>
      <c r="R130" s="280"/>
      <c r="S130" s="280"/>
    </row>
    <row r="131" spans="1:19" ht="21.75" customHeight="1" x14ac:dyDescent="0.2">
      <c r="A131" s="849" t="s">
        <v>2900</v>
      </c>
      <c r="B131" s="858" t="s">
        <v>2896</v>
      </c>
      <c r="C131" s="837">
        <v>1489605.46196596</v>
      </c>
      <c r="D131" s="837" t="e">
        <f>'PR Expenditure_7A'!#REF!</f>
        <v>#REF!</v>
      </c>
      <c r="E131" s="859">
        <f>IFERROR(INDEX('LFA Expenditure_7B'!G$204:G$253,MATCH(N131,'LFA Expenditure_7B'!B$204:B$253,0)),"")</f>
        <v>0</v>
      </c>
      <c r="F131" s="837"/>
      <c r="G131" s="839"/>
      <c r="H131" s="52"/>
      <c r="I131" s="303">
        <f t="shared" si="8"/>
        <v>4</v>
      </c>
      <c r="J131" s="840">
        <v>3170747.7941492898</v>
      </c>
      <c r="K131" s="859">
        <f>IFERROR(INDEX('LFA Expenditure_7B'!M$204:M$253,MATCH(N131,'LFA Expenditure_7B'!B$204:B$253,0)),"")</f>
        <v>0</v>
      </c>
      <c r="L131" s="837"/>
      <c r="M131" s="839"/>
      <c r="N131" s="845" t="str">
        <f t="shared" si="9"/>
        <v>IP4</v>
      </c>
      <c r="O131" s="842" t="s">
        <v>2901</v>
      </c>
      <c r="P131" s="624"/>
      <c r="Q131" s="280"/>
      <c r="R131" s="280"/>
      <c r="S131" s="280"/>
    </row>
    <row r="141" spans="1:19" ht="15.75" customHeight="1" x14ac:dyDescent="0.2"/>
  </sheetData>
  <sheetProtection formatCells="0" formatColumns="0" formatRows="0" sort="0" autoFilter="0"/>
  <dataValidations count="9">
    <dataValidation type="list" allowBlank="1" showInputMessage="1" showErrorMessage="1" sqref="A109:A124" xr:uid="{00000000-0002-0000-2000-000000000000}">
      <formula1>Module_List</formula1>
    </dataValidation>
    <dataValidation type="list" allowBlank="1" showInputMessage="1" showErrorMessage="1" sqref="B127:B131" xr:uid="{00000000-0002-0000-2000-000001000000}">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4:C47 C49:C59 C62:C107 C109:C124 C127:C131" xr:uid="{00000000-0002-0000-2000-000002000000}">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4:E47 E49:E59 E62:E107 E109:E124 E127:E131" xr:uid="{00000000-0002-0000-2000-000003000000}">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4:J47 J49:J59 J62:J107 J109:J124 J127:J131" xr:uid="{00000000-0002-0000-2000-000004000000}">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4:K47 K49:K59 K62:K107 K109:K124 K127:K131" xr:uid="{00000000-0002-0000-2000-000005000000}">
      <formula1>-9999999999.99</formula1>
      <formula2>9999999999.99</formula2>
    </dataValidation>
    <dataValidation type="custom" allowBlank="1" showInputMessage="1" showErrorMessage="1" errorTitle="X-Author for Excel" error="Id and Lookup fields are not editable." promptTitle="X-Author for Excel" sqref="O4:O47 O49:O59 O62:O107 Q109:Q124 O127:O131" xr:uid="{00000000-0002-0000-2000-000006000000}">
      <formula1>""</formula1>
    </dataValidation>
    <dataValidation type="decimal" allowBlank="1" showInputMessage="1" showErrorMessage="1" errorTitle="X-Author for Excel" error="Please enter a valid numeric value. Valid range for Cost Grouping Number is -99999 to 99999." promptTitle="X-Author for Excel" sqref="P4:P47" xr:uid="{00000000-0002-0000-2000-000007000000}">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Q4:Q47" xr:uid="{00000000-0002-0000-2000-000008000000}">
      <formula1>-99999</formula1>
      <formula2>99999</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8">
    <tabColor rgb="FF3FAF01"/>
  </sheetPr>
  <dimension ref="A1:W245"/>
  <sheetViews>
    <sheetView showGridLines="0" topLeftCell="C1" zoomScale="70" zoomScaleNormal="70" workbookViewId="0">
      <selection activeCell="G1" sqref="C1:P1"/>
    </sheetView>
  </sheetViews>
  <sheetFormatPr baseColWidth="10" defaultColWidth="8.85546875" defaultRowHeight="14.25" x14ac:dyDescent="0.2"/>
  <cols>
    <col min="1" max="1" width="6.42578125" style="756" hidden="1" customWidth="1"/>
    <col min="2" max="2" width="9.42578125" style="756" hidden="1" customWidth="1"/>
    <col min="3" max="3" width="57.85546875" style="328" customWidth="1"/>
    <col min="4" max="4" width="53.5703125" style="328" customWidth="1"/>
    <col min="5" max="5" width="19" style="328" customWidth="1"/>
    <col min="6" max="6" width="29.140625" style="328" bestFit="1" customWidth="1"/>
    <col min="7" max="7" width="36" style="328" customWidth="1"/>
    <col min="8" max="8" width="19" style="328" customWidth="1"/>
    <col min="9" max="9" width="24.42578125" style="328" customWidth="1"/>
    <col min="10" max="10" width="75.85546875" style="328" customWidth="1"/>
    <col min="11" max="11" width="20.85546875" style="328" customWidth="1"/>
    <col min="12" max="13" width="19.85546875" style="328" customWidth="1"/>
    <col min="14" max="14" width="13.5703125" style="328" hidden="1" customWidth="1"/>
    <col min="15" max="15" width="25.42578125" style="328" customWidth="1"/>
    <col min="16" max="16" width="65.42578125" style="328" customWidth="1"/>
    <col min="17" max="17" width="8.85546875" style="326" customWidth="1"/>
    <col min="18" max="18" width="8.85546875" style="327" customWidth="1"/>
    <col min="19" max="23" width="8.85546875" style="326" customWidth="1"/>
    <col min="24" max="16384" width="8.85546875" style="326"/>
  </cols>
  <sheetData>
    <row r="1" spans="1:23" s="328" customFormat="1" ht="38.25" customHeight="1" x14ac:dyDescent="0.2">
      <c r="A1" s="756"/>
      <c r="B1" s="756"/>
      <c r="C1" s="1813" t="str">
        <f>CoverSheet!A1</f>
        <v>Rapport périodique sur les résultats actuels et demande de décaissement</v>
      </c>
      <c r="D1" s="1813"/>
      <c r="E1" s="1813"/>
      <c r="F1" s="1813"/>
      <c r="G1" s="1813"/>
      <c r="H1" s="1813"/>
      <c r="I1" s="1813"/>
      <c r="J1" s="1813"/>
      <c r="K1" s="1813"/>
      <c r="L1" s="1813"/>
      <c r="M1" s="1813"/>
      <c r="N1" s="1813"/>
      <c r="O1" s="1813"/>
      <c r="P1" s="1813"/>
      <c r="R1" s="327"/>
    </row>
    <row r="2" spans="1:23" s="328" customFormat="1" ht="9.75" customHeight="1" thickBot="1" x14ac:dyDescent="0.25">
      <c r="A2" s="756"/>
      <c r="B2" s="756"/>
      <c r="R2" s="327"/>
    </row>
    <row r="3" spans="1:23" s="328" customFormat="1" ht="40.5" customHeight="1" thickBot="1" x14ac:dyDescent="0.25">
      <c r="A3" s="756"/>
      <c r="B3" s="756"/>
      <c r="C3" s="541" t="str">
        <f>VLOOKUP(Translations!B362,Translations!B3:H508,4,0)</f>
        <v>Section 8A : Modèle de prévision annuelle du Fonds mondial</v>
      </c>
      <c r="D3" s="542"/>
      <c r="E3" s="1814" t="str">
        <f>CoverSheet!F15</f>
        <v>Demande de décaissement  - période de prévision:</v>
      </c>
      <c r="F3" s="1815"/>
      <c r="G3" s="1815"/>
      <c r="H3" s="552" t="str">
        <f>CoverSheet!I15</f>
        <v>Date de début:</v>
      </c>
      <c r="I3" s="517">
        <f>CoverSheet!J15</f>
        <v>43831</v>
      </c>
      <c r="J3" s="543" t="str">
        <f>CoverSheet!K15</f>
        <v>Date de fin:</v>
      </c>
      <c r="K3" s="517">
        <f>CoverSheet!L15</f>
        <v>44196</v>
      </c>
      <c r="L3" s="544"/>
      <c r="M3" s="549"/>
      <c r="N3" s="549"/>
      <c r="O3" s="550"/>
      <c r="P3" s="551"/>
      <c r="R3" s="327"/>
    </row>
    <row r="4" spans="1:23" s="328" customFormat="1" ht="39" customHeight="1" thickBot="1" x14ac:dyDescent="0.25">
      <c r="A4" s="756"/>
      <c r="B4" s="756"/>
      <c r="C4" s="545"/>
      <c r="D4" s="546"/>
      <c r="E4" s="1816" t="str">
        <f>CoverSheet!F16</f>
        <v>Demande de décaissement  - Période additionnelle convenue:</v>
      </c>
      <c r="F4" s="1817"/>
      <c r="G4" s="1817"/>
      <c r="H4" s="971" t="str">
        <f>CoverSheet!I15</f>
        <v>Date de début:</v>
      </c>
      <c r="I4" s="517" t="str">
        <f>CoverSheet!J16</f>
        <v>n/a</v>
      </c>
      <c r="J4" s="548" t="str">
        <f>CoverSheet!K15</f>
        <v>Date de fin:</v>
      </c>
      <c r="K4" s="517" t="str">
        <f>CoverSheet!L16</f>
        <v>n/a</v>
      </c>
      <c r="L4" s="547"/>
      <c r="M4" s="1810" t="s">
        <v>2945</v>
      </c>
      <c r="N4" s="1811"/>
      <c r="O4" s="1812"/>
      <c r="P4" s="323" t="s">
        <v>1140</v>
      </c>
      <c r="R4" s="327"/>
    </row>
    <row r="5" spans="1:23" s="328" customFormat="1" x14ac:dyDescent="0.2">
      <c r="A5" s="756"/>
      <c r="B5" s="756"/>
      <c r="R5" s="327"/>
    </row>
    <row r="6" spans="1:23" ht="24.75" customHeight="1" x14ac:dyDescent="0.2">
      <c r="C6" s="350" t="str">
        <f>VLOOKUP(Translations!B368,Translations!B3:H508,4,0)</f>
        <v>Ventilation récapitulative par groupes de coûts</v>
      </c>
      <c r="D6" s="350"/>
      <c r="E6" s="313"/>
      <c r="F6" s="313"/>
      <c r="G6" s="313"/>
      <c r="H6" s="312"/>
      <c r="I6" s="278"/>
      <c r="J6" s="278"/>
      <c r="K6" s="355"/>
      <c r="L6" s="278"/>
      <c r="M6" s="278"/>
      <c r="N6" s="278"/>
      <c r="O6" s="278"/>
      <c r="P6" s="278"/>
      <c r="R6" s="371"/>
      <c r="S6" s="365"/>
    </row>
    <row r="7" spans="1:23" s="365" customFormat="1" ht="15" thickBot="1" x14ac:dyDescent="0.25">
      <c r="A7" s="757"/>
      <c r="B7" s="757"/>
      <c r="C7" s="328"/>
      <c r="D7" s="328"/>
      <c r="E7" s="370"/>
      <c r="F7" s="368"/>
      <c r="G7" s="368"/>
      <c r="H7" s="712"/>
      <c r="I7" s="368"/>
      <c r="J7" s="368"/>
      <c r="K7" s="328"/>
      <c r="L7" s="328"/>
      <c r="M7" s="328"/>
      <c r="N7" s="328"/>
      <c r="O7" s="367"/>
      <c r="P7" s="367"/>
      <c r="R7" s="327"/>
      <c r="S7" s="326"/>
    </row>
    <row r="8" spans="1:23" s="365" customFormat="1" ht="106.5" customHeight="1" x14ac:dyDescent="0.2">
      <c r="A8" s="757"/>
      <c r="B8" s="757"/>
      <c r="C8" s="670" t="str">
        <f>VLOOKUP(Translations!B369,Translations!B3:H508,4,0)</f>
        <v>'Évaluation des coûts (groupes de coûts)</v>
      </c>
      <c r="D8" s="713"/>
      <c r="E8" s="672" t="str">
        <f>VLOOKUP(Translations!B370,Translations!B3:H508,4,0)</f>
        <v>Budget pour la période de prévision</v>
      </c>
      <c r="F8" s="672" t="str">
        <f>VLOOKUP(Translations!B371,Translations!B3:H508,4,0)</f>
        <v>Montant prévu pour la période de prévision</v>
      </c>
      <c r="G8" s="672" t="str">
        <f>VLOOKUP(Translations!B372,Translations!B3:H508,4,0)</f>
        <v>Budget pour la période additionnelle</v>
      </c>
      <c r="H8" s="672" t="str">
        <f>VLOOKUP(Translations!B373,Translations!B3:H508,4,0)</f>
        <v>Montant prévu pour la période additionnelle</v>
      </c>
      <c r="I8" s="672" t="str">
        <f>VLOOKUP(Translations!B374,Translations!B3:H508,4,0)</f>
        <v>Budget total disponible (période additionnelle comprise)</v>
      </c>
      <c r="J8" s="674" t="str">
        <f>VLOOKUP(Translations!B375,Translations!B3:H508,4,0)</f>
        <v>Commentaires</v>
      </c>
      <c r="K8" s="355"/>
      <c r="L8" s="715" t="s">
        <v>2946</v>
      </c>
      <c r="M8" s="716" t="s">
        <v>2947</v>
      </c>
      <c r="N8" s="716"/>
      <c r="O8" s="716" t="s">
        <v>2948</v>
      </c>
      <c r="P8" s="717" t="s">
        <v>160</v>
      </c>
      <c r="R8" s="329"/>
      <c r="S8" s="351"/>
      <c r="T8" s="366"/>
      <c r="U8" s="366"/>
      <c r="V8" s="366"/>
      <c r="W8" s="366"/>
    </row>
    <row r="9" spans="1:23" ht="75" customHeight="1" x14ac:dyDescent="0.2">
      <c r="B9" s="756" t="s">
        <v>2338</v>
      </c>
      <c r="C9" s="972" t="str">
        <f>IFERROR(INDEX('Cash Forecast_8A import-export'!A$9:A$23,MATCH('Cash Forecast_8A'!B9,'Cash Forecast_8A import-export'!O$9:O$23,0)),"")</f>
        <v>1. Human Resources (HR)</v>
      </c>
      <c r="D9" s="1340"/>
      <c r="E9" s="1326">
        <f>IFERROR(INDEX('Cash Forecast_8A import-export'!C$9:C$23,MATCH('Cash Forecast_8A'!B9,'Cash Forecast_8A import-export'!O$9:O$23,0)),"")</f>
        <v>2786691.79352033</v>
      </c>
      <c r="F9" s="1341">
        <v>3416264.3912486434</v>
      </c>
      <c r="G9" s="1326">
        <f>IFERROR(INDEX('Cash Forecast_8A import-export'!E$9:E$23,MATCH('Cash Forecast_8A'!B9,'Cash Forecast_8A import-export'!O$9:O$23,0)),"")</f>
        <v>0</v>
      </c>
      <c r="H9" s="1341"/>
      <c r="I9" s="1342">
        <f>IFERROR(F9+H9,"")</f>
        <v>3416264.3912486434</v>
      </c>
      <c r="J9" s="1343" t="s">
        <v>2949</v>
      </c>
      <c r="K9" s="364"/>
      <c r="L9" s="973"/>
      <c r="M9" s="1327"/>
      <c r="N9" s="1327"/>
      <c r="O9" s="1342">
        <f>IFERROR(L9+M9,"")</f>
        <v>0</v>
      </c>
      <c r="P9" s="1344"/>
      <c r="R9" s="329"/>
      <c r="S9" s="351"/>
      <c r="T9" s="351"/>
      <c r="U9" s="351"/>
      <c r="V9" s="351"/>
      <c r="W9" s="351"/>
    </row>
    <row r="10" spans="1:23" ht="81.75" customHeight="1" x14ac:dyDescent="0.2">
      <c r="B10" s="756" t="s">
        <v>2340</v>
      </c>
      <c r="C10" s="972" t="str">
        <f>IFERROR(INDEX('Cash Forecast_8A import-export'!A$9:A$23,MATCH('Cash Forecast_8A'!B10,'Cash Forecast_8A import-export'!O$9:O$23,0)),"")</f>
        <v>2. Travel related costs (TRC)</v>
      </c>
      <c r="D10" s="1340"/>
      <c r="E10" s="1326">
        <f>IFERROR(INDEX('Cash Forecast_8A import-export'!C$9:C$23,MATCH('Cash Forecast_8A'!B10,'Cash Forecast_8A import-export'!O$9:O$23,0)),"")</f>
        <v>638864.16087374405</v>
      </c>
      <c r="F10" s="1341">
        <v>1466080.4695256727</v>
      </c>
      <c r="G10" s="1326">
        <f>IFERROR(INDEX('Cash Forecast_8A import-export'!E$9:E$23,MATCH('Cash Forecast_8A'!B10,'Cash Forecast_8A import-export'!O$9:O$23,0)),"")</f>
        <v>0</v>
      </c>
      <c r="H10" s="1341"/>
      <c r="I10" s="1342">
        <f t="shared" ref="I10:I21" si="0">IFERROR(F10+H10,"")</f>
        <v>1466080.4695256727</v>
      </c>
      <c r="J10" s="1343" t="s">
        <v>2950</v>
      </c>
      <c r="K10" s="364"/>
      <c r="L10" s="973"/>
      <c r="M10" s="1327"/>
      <c r="N10" s="1327"/>
      <c r="O10" s="1342">
        <f t="shared" ref="O10:O21" si="1">IFERROR(L10+M10,"")</f>
        <v>0</v>
      </c>
      <c r="P10" s="1344"/>
      <c r="R10" s="329"/>
      <c r="S10" s="351"/>
      <c r="T10" s="351"/>
      <c r="U10" s="351"/>
      <c r="V10" s="351"/>
      <c r="W10" s="351"/>
    </row>
    <row r="11" spans="1:23" ht="78" customHeight="1" x14ac:dyDescent="0.2">
      <c r="B11" s="756" t="s">
        <v>2342</v>
      </c>
      <c r="C11" s="972" t="str">
        <f>IFERROR(INDEX('Cash Forecast_8A import-export'!A$9:A$23,MATCH('Cash Forecast_8A'!B11,'Cash Forecast_8A import-export'!O$9:O$23,0)),"")</f>
        <v>3. External Professional services (EPS)</v>
      </c>
      <c r="D11" s="1340"/>
      <c r="E11" s="1326">
        <f>IFERROR(INDEX('Cash Forecast_8A import-export'!C$9:C$23,MATCH('Cash Forecast_8A'!B11,'Cash Forecast_8A import-export'!O$9:O$23,0)),"")</f>
        <v>62522.010635138497</v>
      </c>
      <c r="F11" s="1341">
        <v>136887.5</v>
      </c>
      <c r="G11" s="1326">
        <f>IFERROR(INDEX('Cash Forecast_8A import-export'!E$9:E$23,MATCH('Cash Forecast_8A'!B11,'Cash Forecast_8A import-export'!O$9:O$23,0)),"")</f>
        <v>0</v>
      </c>
      <c r="H11" s="1341"/>
      <c r="I11" s="1342">
        <f t="shared" si="0"/>
        <v>136887.5</v>
      </c>
      <c r="J11" s="1343" t="s">
        <v>2951</v>
      </c>
      <c r="K11" s="364"/>
      <c r="L11" s="973"/>
      <c r="M11" s="1327"/>
      <c r="N11" s="1327"/>
      <c r="O11" s="1342">
        <f t="shared" si="1"/>
        <v>0</v>
      </c>
      <c r="P11" s="1344"/>
      <c r="R11" s="329"/>
      <c r="S11" s="351"/>
      <c r="T11" s="351"/>
      <c r="U11" s="351"/>
      <c r="V11" s="351"/>
      <c r="W11" s="351"/>
    </row>
    <row r="12" spans="1:23" ht="72" customHeight="1" x14ac:dyDescent="0.2">
      <c r="B12" s="756" t="s">
        <v>2344</v>
      </c>
      <c r="C12" s="972" t="str">
        <f>IFERROR(INDEX('Cash Forecast_8A import-export'!A$9:A$23,MATCH('Cash Forecast_8A'!B12,'Cash Forecast_8A import-export'!O$9:O$23,0)),"")</f>
        <v>4. Health Products - Pharmaceutical Products (HPPP)</v>
      </c>
      <c r="D12" s="1340"/>
      <c r="E12" s="1326">
        <f>IFERROR(INDEX('Cash Forecast_8A import-export'!C$9:C$23,MATCH('Cash Forecast_8A'!B12,'Cash Forecast_8A import-export'!O$9:O$23,0)),"")</f>
        <v>5330016.76</v>
      </c>
      <c r="F12" s="1341">
        <v>4502212.5496763084</v>
      </c>
      <c r="G12" s="1326">
        <f>IFERROR(INDEX('Cash Forecast_8A import-export'!E$9:E$23,MATCH('Cash Forecast_8A'!B12,'Cash Forecast_8A import-export'!O$9:O$23,0)),"")</f>
        <v>0</v>
      </c>
      <c r="H12" s="1341"/>
      <c r="I12" s="1342">
        <f t="shared" si="0"/>
        <v>4502212.5496763084</v>
      </c>
      <c r="J12" s="1343" t="s">
        <v>2952</v>
      </c>
      <c r="K12" s="364"/>
      <c r="L12" s="973"/>
      <c r="M12" s="1327"/>
      <c r="N12" s="1327"/>
      <c r="O12" s="1342">
        <f t="shared" si="1"/>
        <v>0</v>
      </c>
      <c r="P12" s="1344"/>
      <c r="R12" s="329"/>
      <c r="S12" s="351"/>
      <c r="T12" s="351"/>
      <c r="U12" s="351"/>
      <c r="V12" s="351"/>
      <c r="W12" s="351"/>
    </row>
    <row r="13" spans="1:23" ht="57.75" customHeight="1" x14ac:dyDescent="0.2">
      <c r="B13" s="756" t="s">
        <v>2346</v>
      </c>
      <c r="C13" s="972" t="str">
        <f>IFERROR(INDEX('Cash Forecast_8A import-export'!A$9:A$23,MATCH('Cash Forecast_8A'!B13,'Cash Forecast_8A import-export'!O$9:O$23,0)),"")</f>
        <v>5. Health Products - Non-Pharmaceuticals (HPNP)</v>
      </c>
      <c r="D13" s="1340"/>
      <c r="E13" s="1326">
        <f>IFERROR(INDEX('Cash Forecast_8A import-export'!C$9:C$23,MATCH('Cash Forecast_8A'!B13,'Cash Forecast_8A import-export'!O$9:O$23,0)),"")</f>
        <v>2239790.5925460798</v>
      </c>
      <c r="F13" s="1341">
        <v>2690346.251566608</v>
      </c>
      <c r="G13" s="1326">
        <f>IFERROR(INDEX('Cash Forecast_8A import-export'!E$9:E$23,MATCH('Cash Forecast_8A'!B13,'Cash Forecast_8A import-export'!O$9:O$23,0)),"")</f>
        <v>0</v>
      </c>
      <c r="H13" s="1341"/>
      <c r="I13" s="1342">
        <f t="shared" si="0"/>
        <v>2690346.251566608</v>
      </c>
      <c r="J13" s="1343" t="s">
        <v>2953</v>
      </c>
      <c r="K13" s="364"/>
      <c r="L13" s="973"/>
      <c r="M13" s="1327"/>
      <c r="N13" s="1327"/>
      <c r="O13" s="1342">
        <f t="shared" si="1"/>
        <v>0</v>
      </c>
      <c r="P13" s="1344"/>
      <c r="R13" s="329"/>
      <c r="S13" s="351"/>
      <c r="T13" s="351"/>
      <c r="U13" s="351"/>
      <c r="V13" s="351"/>
      <c r="W13" s="351"/>
    </row>
    <row r="14" spans="1:23" ht="62.25" customHeight="1" x14ac:dyDescent="0.2">
      <c r="B14" s="756" t="s">
        <v>2348</v>
      </c>
      <c r="C14" s="972" t="str">
        <f>IFERROR(INDEX('Cash Forecast_8A import-export'!A$9:A$23,MATCH('Cash Forecast_8A'!B14,'Cash Forecast_8A import-export'!O$9:O$23,0)),"")</f>
        <v>6. Health Products - Equipment (HPE)</v>
      </c>
      <c r="D14" s="1340"/>
      <c r="E14" s="1326">
        <f>IFERROR(INDEX('Cash Forecast_8A import-export'!C$9:C$23,MATCH('Cash Forecast_8A'!B14,'Cash Forecast_8A import-export'!O$9:O$23,0)),"")</f>
        <v>218104.04</v>
      </c>
      <c r="F14" s="1341">
        <v>625350.93000000005</v>
      </c>
      <c r="G14" s="1326">
        <f>IFERROR(INDEX('Cash Forecast_8A import-export'!E$9:E$23,MATCH('Cash Forecast_8A'!B14,'Cash Forecast_8A import-export'!O$9:O$23,0)),"")</f>
        <v>0</v>
      </c>
      <c r="H14" s="1341"/>
      <c r="I14" s="1342">
        <f t="shared" si="0"/>
        <v>625350.93000000005</v>
      </c>
      <c r="J14" s="1343" t="s">
        <v>2954</v>
      </c>
      <c r="K14" s="364"/>
      <c r="L14" s="973"/>
      <c r="M14" s="1327"/>
      <c r="N14" s="1327"/>
      <c r="O14" s="1342">
        <f t="shared" si="1"/>
        <v>0</v>
      </c>
      <c r="P14" s="1344"/>
      <c r="R14" s="329"/>
      <c r="S14" s="351"/>
      <c r="T14" s="351"/>
      <c r="U14" s="351"/>
      <c r="V14" s="351"/>
      <c r="W14" s="351"/>
    </row>
    <row r="15" spans="1:23" ht="213" customHeight="1" x14ac:dyDescent="0.2">
      <c r="B15" s="756" t="s">
        <v>2350</v>
      </c>
      <c r="C15" s="972" t="str">
        <f>IFERROR(INDEX('Cash Forecast_8A import-export'!A$9:A$23,MATCH('Cash Forecast_8A'!B15,'Cash Forecast_8A import-export'!O$9:O$23,0)),"")</f>
        <v>7. Procurement and Supply-Chain Management costs (PSM)</v>
      </c>
      <c r="D15" s="1340"/>
      <c r="E15" s="1326">
        <f>IFERROR(INDEX('Cash Forecast_8A import-export'!C$9:C$23,MATCH('Cash Forecast_8A'!B15,'Cash Forecast_8A import-export'!O$9:O$23,0)),"")</f>
        <v>2088453.0408290001</v>
      </c>
      <c r="F15" s="1341">
        <v>2106051.289388591</v>
      </c>
      <c r="G15" s="1326">
        <f>IFERROR(INDEX('Cash Forecast_8A import-export'!E$9:E$23,MATCH('Cash Forecast_8A'!B15,'Cash Forecast_8A import-export'!O$9:O$23,0)),"")</f>
        <v>0</v>
      </c>
      <c r="H15" s="1341"/>
      <c r="I15" s="1342">
        <f t="shared" si="0"/>
        <v>2106051.289388591</v>
      </c>
      <c r="J15" s="1343" t="s">
        <v>2955</v>
      </c>
      <c r="K15" s="364"/>
      <c r="L15" s="973"/>
      <c r="M15" s="1327"/>
      <c r="N15" s="1327"/>
      <c r="O15" s="1342">
        <f t="shared" si="1"/>
        <v>0</v>
      </c>
      <c r="P15" s="1344"/>
      <c r="R15" s="329"/>
      <c r="S15" s="351"/>
      <c r="T15" s="351"/>
      <c r="U15" s="351"/>
      <c r="V15" s="351"/>
      <c r="W15" s="351"/>
    </row>
    <row r="16" spans="1:23" ht="16.5" customHeight="1" x14ac:dyDescent="0.2">
      <c r="B16" s="756" t="s">
        <v>2352</v>
      </c>
      <c r="C16" s="972" t="str">
        <f>IFERROR(INDEX('Cash Forecast_8A import-export'!A$9:A$23,MATCH('Cash Forecast_8A'!B16,'Cash Forecast_8A import-export'!O$9:O$23,0)),"")</f>
        <v>8. Infrastructure (INF)</v>
      </c>
      <c r="D16" s="1340"/>
      <c r="E16" s="1326">
        <f>IFERROR(INDEX('Cash Forecast_8A import-export'!C$9:C$23,MATCH('Cash Forecast_8A'!B16,'Cash Forecast_8A import-export'!O$9:O$23,0)),"")</f>
        <v>0</v>
      </c>
      <c r="F16" s="1341"/>
      <c r="G16" s="1326">
        <f>IFERROR(INDEX('Cash Forecast_8A import-export'!E$9:E$23,MATCH('Cash Forecast_8A'!B16,'Cash Forecast_8A import-export'!O$9:O$23,0)),"")</f>
        <v>0</v>
      </c>
      <c r="H16" s="1341"/>
      <c r="I16" s="1342">
        <f t="shared" si="0"/>
        <v>0</v>
      </c>
      <c r="J16" s="1343"/>
      <c r="K16" s="364"/>
      <c r="L16" s="973"/>
      <c r="M16" s="1327"/>
      <c r="N16" s="1327"/>
      <c r="O16" s="1342">
        <f t="shared" si="1"/>
        <v>0</v>
      </c>
      <c r="P16" s="1344"/>
      <c r="R16" s="329"/>
      <c r="S16" s="351"/>
      <c r="T16" s="351"/>
      <c r="U16" s="351"/>
      <c r="V16" s="351"/>
      <c r="W16" s="351"/>
    </row>
    <row r="17" spans="2:23" ht="69" customHeight="1" x14ac:dyDescent="0.2">
      <c r="B17" s="756" t="s">
        <v>2354</v>
      </c>
      <c r="C17" s="972" t="str">
        <f>IFERROR(INDEX('Cash Forecast_8A import-export'!A$9:A$23,MATCH('Cash Forecast_8A'!B17,'Cash Forecast_8A import-export'!O$9:O$23,0)),"")</f>
        <v>9. Non-health equipment (NHP)</v>
      </c>
      <c r="D17" s="1340"/>
      <c r="E17" s="1326">
        <f>IFERROR(INDEX('Cash Forecast_8A import-export'!C$9:C$23,MATCH('Cash Forecast_8A'!B17,'Cash Forecast_8A import-export'!O$9:O$23,0)),"")</f>
        <v>22764.758186967301</v>
      </c>
      <c r="F17" s="1341">
        <v>117369.15818696731</v>
      </c>
      <c r="G17" s="1326">
        <f>IFERROR(INDEX('Cash Forecast_8A import-export'!E$9:E$23,MATCH('Cash Forecast_8A'!B17,'Cash Forecast_8A import-export'!O$9:O$23,0)),"")</f>
        <v>0</v>
      </c>
      <c r="H17" s="1341"/>
      <c r="I17" s="1342">
        <f t="shared" si="0"/>
        <v>117369.15818696731</v>
      </c>
      <c r="J17" s="1343" t="s">
        <v>2956</v>
      </c>
      <c r="K17" s="364"/>
      <c r="L17" s="973"/>
      <c r="M17" s="1327"/>
      <c r="N17" s="1327"/>
      <c r="O17" s="1342">
        <f t="shared" si="1"/>
        <v>0</v>
      </c>
      <c r="P17" s="1344"/>
      <c r="R17" s="329"/>
      <c r="S17" s="351"/>
      <c r="T17" s="351"/>
      <c r="U17" s="351"/>
      <c r="V17" s="351"/>
      <c r="W17" s="351"/>
    </row>
    <row r="18" spans="2:23" ht="76.5" customHeight="1" x14ac:dyDescent="0.2">
      <c r="B18" s="756" t="s">
        <v>2356</v>
      </c>
      <c r="C18" s="972" t="str">
        <f>IFERROR(INDEX('Cash Forecast_8A import-export'!A$9:A$23,MATCH('Cash Forecast_8A'!B18,'Cash Forecast_8A import-export'!O$9:O$23,0)),"")</f>
        <v>10. Communication Material and Publications (CMP)</v>
      </c>
      <c r="D18" s="1340"/>
      <c r="E18" s="1326">
        <f>IFERROR(INDEX('Cash Forecast_8A import-export'!C$9:C$23,MATCH('Cash Forecast_8A'!B18,'Cash Forecast_8A import-export'!O$9:O$23,0)),"")</f>
        <v>81543.204950600004</v>
      </c>
      <c r="F18" s="1341">
        <v>204175.50958474632</v>
      </c>
      <c r="G18" s="1326">
        <f>IFERROR(INDEX('Cash Forecast_8A import-export'!E$9:E$23,MATCH('Cash Forecast_8A'!B18,'Cash Forecast_8A import-export'!O$9:O$23,0)),"")</f>
        <v>0</v>
      </c>
      <c r="H18" s="1341"/>
      <c r="I18" s="1342">
        <f t="shared" si="0"/>
        <v>204175.50958474632</v>
      </c>
      <c r="J18" s="1343" t="s">
        <v>2957</v>
      </c>
      <c r="K18" s="364"/>
      <c r="L18" s="973"/>
      <c r="M18" s="1327"/>
      <c r="N18" s="1327"/>
      <c r="O18" s="1342">
        <f t="shared" si="1"/>
        <v>0</v>
      </c>
      <c r="P18" s="1344"/>
      <c r="R18" s="329"/>
      <c r="S18" s="351"/>
      <c r="T18" s="351"/>
      <c r="U18" s="351"/>
      <c r="V18" s="351"/>
      <c r="W18" s="351"/>
    </row>
    <row r="19" spans="2:23" ht="119.25" customHeight="1" x14ac:dyDescent="0.2">
      <c r="B19" s="756" t="s">
        <v>2358</v>
      </c>
      <c r="C19" s="972" t="str">
        <f>IFERROR(INDEX('Cash Forecast_8A import-export'!A$9:A$23,MATCH('Cash Forecast_8A'!B19,'Cash Forecast_8A import-export'!O$9:O$23,0)),"")</f>
        <v>11. Indirect and Overhead Costs</v>
      </c>
      <c r="D19" s="1340"/>
      <c r="E19" s="1326">
        <f>IFERROR(INDEX('Cash Forecast_8A import-export'!C$9:C$23,MATCH('Cash Forecast_8A'!B19,'Cash Forecast_8A import-export'!O$9:O$23,0)),"")</f>
        <v>1312554.7119124399</v>
      </c>
      <c r="F19" s="1341">
        <v>1588755.6286723858</v>
      </c>
      <c r="G19" s="1326">
        <f>IFERROR(INDEX('Cash Forecast_8A import-export'!E$9:E$23,MATCH('Cash Forecast_8A'!B19,'Cash Forecast_8A import-export'!O$9:O$23,0)),"")</f>
        <v>0</v>
      </c>
      <c r="H19" s="1341"/>
      <c r="I19" s="1342">
        <f t="shared" si="0"/>
        <v>1588755.6286723858</v>
      </c>
      <c r="J19" s="1343" t="s">
        <v>2958</v>
      </c>
      <c r="K19" s="364"/>
      <c r="L19" s="973"/>
      <c r="M19" s="1327"/>
      <c r="N19" s="1327"/>
      <c r="O19" s="1342">
        <f t="shared" si="1"/>
        <v>0</v>
      </c>
      <c r="P19" s="1344"/>
      <c r="R19" s="329"/>
      <c r="S19" s="351"/>
      <c r="T19" s="351"/>
      <c r="U19" s="351"/>
      <c r="V19" s="351"/>
      <c r="W19" s="351"/>
    </row>
    <row r="20" spans="2:23" ht="68.25" customHeight="1" x14ac:dyDescent="0.2">
      <c r="B20" s="756" t="s">
        <v>2360</v>
      </c>
      <c r="C20" s="972" t="str">
        <f>IFERROR(INDEX('Cash Forecast_8A import-export'!A$9:A$23,MATCH('Cash Forecast_8A'!B20,'Cash Forecast_8A import-export'!O$9:O$23,0)),"")</f>
        <v>12. Living support to client/ target population (LSCTP)</v>
      </c>
      <c r="D20" s="1340"/>
      <c r="E20" s="1326">
        <f>IFERROR(INDEX('Cash Forecast_8A import-export'!C$9:C$23,MATCH('Cash Forecast_8A'!B20,'Cash Forecast_8A import-export'!O$9:O$23,0)),"")</f>
        <v>848821.84938394604</v>
      </c>
      <c r="F20" s="1341">
        <v>1364667.022124676</v>
      </c>
      <c r="G20" s="1326">
        <f>IFERROR(INDEX('Cash Forecast_8A import-export'!E$9:E$23,MATCH('Cash Forecast_8A'!B20,'Cash Forecast_8A import-export'!O$9:O$23,0)),"")</f>
        <v>0</v>
      </c>
      <c r="H20" s="1341"/>
      <c r="I20" s="1342">
        <f t="shared" si="0"/>
        <v>1364667.022124676</v>
      </c>
      <c r="J20" s="1343" t="s">
        <v>2959</v>
      </c>
      <c r="K20" s="364"/>
      <c r="L20" s="973"/>
      <c r="M20" s="1327"/>
      <c r="N20" s="1327"/>
      <c r="O20" s="1342">
        <f t="shared" si="1"/>
        <v>0</v>
      </c>
      <c r="P20" s="1344"/>
      <c r="R20" s="329"/>
      <c r="S20" s="351"/>
      <c r="T20" s="351"/>
      <c r="U20" s="351"/>
      <c r="V20" s="351"/>
      <c r="W20" s="351"/>
    </row>
    <row r="21" spans="2:23" ht="16.5" customHeight="1" x14ac:dyDescent="0.2">
      <c r="B21" s="756" t="s">
        <v>2362</v>
      </c>
      <c r="C21" s="972" t="str">
        <f>IFERROR(INDEX('Cash Forecast_8A import-export'!A$9:A$23,MATCH('Cash Forecast_8A'!B21,'Cash Forecast_8A import-export'!O$9:O$23,0)),"")</f>
        <v>13. Payment for Results</v>
      </c>
      <c r="D21" s="1340"/>
      <c r="E21" s="1326">
        <f>IFERROR(INDEX('Cash Forecast_8A import-export'!C$9:C$23,MATCH('Cash Forecast_8A'!B21,'Cash Forecast_8A import-export'!O$9:O$23,0)),"")</f>
        <v>0</v>
      </c>
      <c r="F21" s="1341"/>
      <c r="G21" s="1326">
        <f>IFERROR(INDEX('Cash Forecast_8A import-export'!E$9:E$23,MATCH('Cash Forecast_8A'!B21,'Cash Forecast_8A import-export'!O$9:O$23,0)),"")</f>
        <v>0</v>
      </c>
      <c r="H21" s="1341"/>
      <c r="I21" s="1342">
        <f t="shared" si="0"/>
        <v>0</v>
      </c>
      <c r="J21" s="1343"/>
      <c r="K21" s="364"/>
      <c r="L21" s="973"/>
      <c r="M21" s="1327"/>
      <c r="N21" s="1327"/>
      <c r="O21" s="1342">
        <f t="shared" si="1"/>
        <v>0</v>
      </c>
      <c r="P21" s="1344"/>
      <c r="R21" s="329"/>
      <c r="S21" s="351"/>
      <c r="T21" s="351"/>
      <c r="U21" s="351"/>
      <c r="V21" s="351"/>
      <c r="W21" s="351"/>
    </row>
    <row r="22" spans="2:23" ht="24.75" customHeight="1" thickBot="1" x14ac:dyDescent="0.25">
      <c r="C22" s="1345" t="s">
        <v>2449</v>
      </c>
      <c r="D22" s="1346"/>
      <c r="E22" s="1347">
        <f>ROUND(SUM(E9:E21),2)</f>
        <v>15630126.92</v>
      </c>
      <c r="F22" s="1347">
        <f>ROUND(SUM(F9:F21),2)</f>
        <v>18218160.699999999</v>
      </c>
      <c r="G22" s="1347">
        <f>ROUND(SUM(G9:G21),2)</f>
        <v>0</v>
      </c>
      <c r="H22" s="1347">
        <f>ROUND(SUM(H9:H21),2)</f>
        <v>0</v>
      </c>
      <c r="I22" s="1347">
        <f>ROUND(SUM(I9:I21),2)</f>
        <v>18218160.699999999</v>
      </c>
      <c r="J22" s="1348"/>
      <c r="K22" s="355"/>
      <c r="L22" s="1349">
        <f>ROUND(SUM(L9:L21),2)</f>
        <v>0</v>
      </c>
      <c r="M22" s="1347">
        <f>ROUND(SUM(M9:M21),2)</f>
        <v>0</v>
      </c>
      <c r="N22" s="1347">
        <f>ROUND(SUM(N9:N21),2)</f>
        <v>0</v>
      </c>
      <c r="O22" s="1347">
        <f>ROUND(SUM(O9:O21),2)</f>
        <v>0</v>
      </c>
      <c r="P22" s="1348"/>
      <c r="R22" s="329"/>
      <c r="S22" s="351"/>
      <c r="T22" s="351"/>
      <c r="U22" s="351"/>
      <c r="V22" s="351"/>
      <c r="W22" s="351"/>
    </row>
    <row r="23" spans="2:23" x14ac:dyDescent="0.2">
      <c r="R23" s="329"/>
      <c r="S23" s="351"/>
      <c r="T23" s="351"/>
      <c r="U23" s="351"/>
      <c r="V23" s="351"/>
      <c r="W23" s="351"/>
    </row>
    <row r="24" spans="2:23" x14ac:dyDescent="0.2">
      <c r="R24" s="329"/>
      <c r="S24" s="351"/>
      <c r="T24" s="351"/>
      <c r="U24" s="351"/>
      <c r="V24" s="351"/>
      <c r="W24" s="351"/>
    </row>
    <row r="25" spans="2:23" ht="18.75" thickBot="1" x14ac:dyDescent="0.25">
      <c r="C25" s="350" t="str">
        <f>VLOOKUP(Translations!B649,Translations!B3:H700,4,0)</f>
        <v>B. VENTILATION PAR INTERVENTIONS</v>
      </c>
      <c r="D25" s="350"/>
      <c r="E25" s="313"/>
      <c r="F25" s="313"/>
      <c r="G25" s="313"/>
      <c r="H25" s="312"/>
      <c r="I25" s="278"/>
      <c r="J25" s="278"/>
      <c r="K25" s="355"/>
      <c r="L25" s="278"/>
      <c r="M25" s="278"/>
      <c r="N25" s="278"/>
      <c r="O25" s="278"/>
      <c r="P25" s="278"/>
      <c r="R25" s="329"/>
      <c r="S25" s="351"/>
      <c r="T25" s="351"/>
      <c r="U25" s="351"/>
      <c r="V25" s="351"/>
      <c r="W25" s="351"/>
    </row>
    <row r="26" spans="2:23" ht="114" x14ac:dyDescent="0.2">
      <c r="C26" s="670" t="str">
        <f>VLOOKUP(Translations!B382,Translations!B3:H508,4,0)</f>
        <v>Démarche modulaire - Modules</v>
      </c>
      <c r="D26" s="714" t="str">
        <f>VLOOKUP(Translations!B383,Translations!B3:H508,4,0)</f>
        <v>Démarche modulaire - Interventions</v>
      </c>
      <c r="E26" s="672" t="str">
        <f>E8</f>
        <v>Budget pour la période de prévision</v>
      </c>
      <c r="F26" s="672" t="str">
        <f t="shared" ref="F26:J26" si="2">F8</f>
        <v>Montant prévu pour la période de prévision</v>
      </c>
      <c r="G26" s="672" t="str">
        <f t="shared" si="2"/>
        <v>Budget pour la période additionnelle</v>
      </c>
      <c r="H26" s="672" t="str">
        <f t="shared" si="2"/>
        <v>Montant prévu pour la période additionnelle</v>
      </c>
      <c r="I26" s="672" t="str">
        <f t="shared" si="2"/>
        <v>Budget total disponible (période additionnelle comprise)</v>
      </c>
      <c r="J26" s="674" t="str">
        <f t="shared" si="2"/>
        <v>Commentaires</v>
      </c>
      <c r="K26" s="358"/>
      <c r="L26" s="715" t="s">
        <v>2946</v>
      </c>
      <c r="M26" s="716" t="s">
        <v>2947</v>
      </c>
      <c r="N26" s="716"/>
      <c r="O26" s="716" t="s">
        <v>2948</v>
      </c>
      <c r="P26" s="717" t="s">
        <v>160</v>
      </c>
      <c r="R26" s="329"/>
      <c r="S26" s="351"/>
      <c r="T26" s="351"/>
      <c r="U26" s="351"/>
      <c r="V26" s="351"/>
      <c r="W26" s="351"/>
    </row>
    <row r="27" spans="2:23" ht="26.25" customHeight="1" x14ac:dyDescent="0.2">
      <c r="B27" s="756" t="s">
        <v>2450</v>
      </c>
      <c r="C27" s="972" t="str">
        <f>IFERROR(INDEX('Cash Forecast_8A import-export'!A$29:A$75,MATCH('Cash Forecast_8A'!B27,'Cash Forecast_8A import-export'!O$29:O$75,0)),"")</f>
        <v>Comprehensive prevention programs for people who inject drugs (PWID) and their partners</v>
      </c>
      <c r="D27" s="1350" t="str">
        <f>IFERROR(INDEX('Cash Forecast_8A import-export'!B$29:B$75,MATCH('Cash Forecast_8A'!B27,'Cash Forecast_8A import-export'!O$29:O$75,0)),"")</f>
        <v>Behavioral interventions for PWID</v>
      </c>
      <c r="E27" s="1326">
        <f>IFERROR(INDEX('Cash Forecast_8A import-export'!C$29:C$75,MATCH('Cash Forecast_8A'!B27,'Cash Forecast_8A import-export'!O$29:O$75,0)),"")</f>
        <v>1083.6147002595601</v>
      </c>
      <c r="F27" s="1341">
        <v>1083.6147002595599</v>
      </c>
      <c r="G27" s="1326">
        <f>IFERROR(INDEX('Cash Forecast_8A import-export'!E$29:E$75,MATCH('Cash Forecast_8A'!B27,'Cash Forecast_8A import-export'!O$29:O$75,0)),"")</f>
        <v>0</v>
      </c>
      <c r="H27" s="1341"/>
      <c r="I27" s="1342">
        <f>IFERROR(F27+H27,"")</f>
        <v>1083.6147002595599</v>
      </c>
      <c r="J27" s="1343" t="s">
        <v>2960</v>
      </c>
      <c r="L27" s="973"/>
      <c r="M27" s="1341"/>
      <c r="N27" s="1341"/>
      <c r="O27" s="1342">
        <f>IFERROR(L27+M27,"")</f>
        <v>0</v>
      </c>
      <c r="P27" s="1351"/>
      <c r="R27" s="329"/>
      <c r="S27" s="351"/>
      <c r="T27" s="351"/>
      <c r="U27" s="351"/>
      <c r="V27" s="351"/>
      <c r="W27" s="351"/>
    </row>
    <row r="28" spans="2:23" ht="106.5" customHeight="1" x14ac:dyDescent="0.2">
      <c r="B28" s="756" t="s">
        <v>2452</v>
      </c>
      <c r="C28" s="972" t="str">
        <f>IFERROR(INDEX('Cash Forecast_8A import-export'!A$29:A$75,MATCH('Cash Forecast_8A'!B28,'Cash Forecast_8A import-export'!O$29:O$75,0)),"")</f>
        <v>TB care and prevention</v>
      </c>
      <c r="D28" s="1350" t="str">
        <f>IFERROR(INDEX('Cash Forecast_8A import-export'!B$29:B$75,MATCH('Cash Forecast_8A'!B28,'Cash Forecast_8A import-export'!O$29:O$75,0)),"")</f>
        <v>Case detection and diagnosis</v>
      </c>
      <c r="E28" s="1326">
        <f>IFERROR(INDEX('Cash Forecast_8A import-export'!C$29:C$75,MATCH('Cash Forecast_8A'!B28,'Cash Forecast_8A import-export'!O$29:O$75,0)),"")</f>
        <v>437677.27371243801</v>
      </c>
      <c r="F28" s="1341">
        <v>885112.10450924339</v>
      </c>
      <c r="G28" s="1326">
        <f>IFERROR(INDEX('Cash Forecast_8A import-export'!E$29:E$75,MATCH('Cash Forecast_8A'!B28,'Cash Forecast_8A import-export'!O$29:O$75,0)),"")</f>
        <v>0</v>
      </c>
      <c r="H28" s="1341"/>
      <c r="I28" s="1342">
        <f t="shared" ref="I28:I31" si="3">IFERROR(F28+H28,"")</f>
        <v>885112.10450924339</v>
      </c>
      <c r="J28" s="1343" t="s">
        <v>2961</v>
      </c>
      <c r="L28" s="973"/>
      <c r="M28" s="1341"/>
      <c r="N28" s="1341"/>
      <c r="O28" s="1342">
        <f t="shared" ref="O28:O31" si="4">IFERROR(L28+M28,"")</f>
        <v>0</v>
      </c>
      <c r="P28" s="1351"/>
      <c r="R28" s="329"/>
      <c r="S28" s="351"/>
      <c r="T28" s="351"/>
      <c r="U28" s="351"/>
      <c r="V28" s="351"/>
      <c r="W28" s="351"/>
    </row>
    <row r="29" spans="2:23" ht="41.25" customHeight="1" x14ac:dyDescent="0.2">
      <c r="B29" s="756" t="s">
        <v>2454</v>
      </c>
      <c r="C29" s="972" t="str">
        <f>IFERROR(INDEX('Cash Forecast_8A import-export'!A$29:A$75,MATCH('Cash Forecast_8A'!B29,'Cash Forecast_8A import-export'!O$29:O$75,0)),"")</f>
        <v>TB care and prevention</v>
      </c>
      <c r="D29" s="1350" t="str">
        <f>IFERROR(INDEX('Cash Forecast_8A import-export'!B$29:B$75,MATCH('Cash Forecast_8A'!B29,'Cash Forecast_8A import-export'!O$29:O$75,0)),"")</f>
        <v>Key populations (TB care and prevention) - Others</v>
      </c>
      <c r="E29" s="1326">
        <f>IFERROR(INDEX('Cash Forecast_8A import-export'!C$29:C$75,MATCH('Cash Forecast_8A'!B29,'Cash Forecast_8A import-export'!O$29:O$75,0)),"")</f>
        <v>45110.868282326497</v>
      </c>
      <c r="F29" s="1341">
        <v>108507.0919985857</v>
      </c>
      <c r="G29" s="1326">
        <f>IFERROR(INDEX('Cash Forecast_8A import-export'!E$29:E$75,MATCH('Cash Forecast_8A'!B29,'Cash Forecast_8A import-export'!O$29:O$75,0)),"")</f>
        <v>0</v>
      </c>
      <c r="H29" s="1341"/>
      <c r="I29" s="1342">
        <f t="shared" si="3"/>
        <v>108507.0919985857</v>
      </c>
      <c r="J29" s="1343" t="s">
        <v>2962</v>
      </c>
      <c r="L29" s="973"/>
      <c r="M29" s="1341"/>
      <c r="N29" s="1341"/>
      <c r="O29" s="1342">
        <f t="shared" si="4"/>
        <v>0</v>
      </c>
      <c r="P29" s="1351"/>
      <c r="R29" s="329"/>
      <c r="S29" s="351"/>
      <c r="T29" s="351"/>
      <c r="U29" s="351"/>
      <c r="V29" s="351"/>
      <c r="W29" s="351"/>
    </row>
    <row r="30" spans="2:23" ht="33.75" customHeight="1" x14ac:dyDescent="0.2">
      <c r="B30" s="756" t="s">
        <v>2456</v>
      </c>
      <c r="C30" s="972" t="str">
        <f>IFERROR(INDEX('Cash Forecast_8A import-export'!A$29:A$75,MATCH('Cash Forecast_8A'!B30,'Cash Forecast_8A import-export'!O$29:O$75,0)),"")</f>
        <v>TB care and prevention</v>
      </c>
      <c r="D30" s="1350" t="str">
        <f>IFERROR(INDEX('Cash Forecast_8A import-export'!B$29:B$75,MATCH('Cash Forecast_8A'!B30,'Cash Forecast_8A import-export'!O$29:O$75,0)),"")</f>
        <v>Key populations (TB care and prevention) - Prisoners</v>
      </c>
      <c r="E30" s="1326">
        <f>IFERROR(INDEX('Cash Forecast_8A import-export'!C$29:C$75,MATCH('Cash Forecast_8A'!B30,'Cash Forecast_8A import-export'!O$29:O$75,0)),"")</f>
        <v>12086.9212520861</v>
      </c>
      <c r="F30" s="1341">
        <v>15901.740728592513</v>
      </c>
      <c r="G30" s="1326">
        <f>IFERROR(INDEX('Cash Forecast_8A import-export'!E$29:E$75,MATCH('Cash Forecast_8A'!B30,'Cash Forecast_8A import-export'!O$29:O$75,0)),"")</f>
        <v>0</v>
      </c>
      <c r="H30" s="1341"/>
      <c r="I30" s="1342">
        <f t="shared" si="3"/>
        <v>15901.740728592513</v>
      </c>
      <c r="J30" s="1343" t="s">
        <v>2963</v>
      </c>
      <c r="L30" s="973"/>
      <c r="M30" s="1341"/>
      <c r="N30" s="1341"/>
      <c r="O30" s="1342">
        <f t="shared" si="4"/>
        <v>0</v>
      </c>
      <c r="P30" s="1351"/>
      <c r="R30" s="329"/>
      <c r="S30" s="351"/>
      <c r="T30" s="351"/>
      <c r="U30" s="351"/>
      <c r="V30" s="351"/>
      <c r="W30" s="351"/>
    </row>
    <row r="31" spans="2:23" ht="30" customHeight="1" x14ac:dyDescent="0.2">
      <c r="B31" s="756" t="s">
        <v>2458</v>
      </c>
      <c r="C31" s="972" t="str">
        <f>IFERROR(INDEX('Cash Forecast_8A import-export'!A$29:A$75,MATCH('Cash Forecast_8A'!B31,'Cash Forecast_8A import-export'!O$29:O$75,0)),"")</f>
        <v>TB care and prevention</v>
      </c>
      <c r="D31" s="1350" t="str">
        <f>IFERROR(INDEX('Cash Forecast_8A import-export'!B$29:B$75,MATCH('Cash Forecast_8A'!B31,'Cash Forecast_8A import-export'!O$29:O$75,0)),"")</f>
        <v>Prevention</v>
      </c>
      <c r="E31" s="1326">
        <f>IFERROR(INDEX('Cash Forecast_8A import-export'!C$29:C$75,MATCH('Cash Forecast_8A'!B31,'Cash Forecast_8A import-export'!O$29:O$75,0)),"")</f>
        <v>6342.4190506292398</v>
      </c>
      <c r="F31" s="1341">
        <v>6342.4190506292425</v>
      </c>
      <c r="G31" s="1326">
        <f>IFERROR(INDEX('Cash Forecast_8A import-export'!E$29:E$75,MATCH('Cash Forecast_8A'!B31,'Cash Forecast_8A import-export'!O$29:O$75,0)),"")</f>
        <v>0</v>
      </c>
      <c r="H31" s="1341"/>
      <c r="I31" s="1342">
        <f t="shared" si="3"/>
        <v>6342.4190506292425</v>
      </c>
      <c r="J31" s="1343" t="s">
        <v>2960</v>
      </c>
      <c r="L31" s="973"/>
      <c r="M31" s="1341"/>
      <c r="N31" s="1341"/>
      <c r="O31" s="1342">
        <f t="shared" si="4"/>
        <v>0</v>
      </c>
      <c r="P31" s="1351"/>
      <c r="R31" s="329"/>
      <c r="S31" s="351"/>
      <c r="T31" s="351"/>
      <c r="U31" s="351"/>
      <c r="V31" s="351"/>
      <c r="W31" s="351"/>
    </row>
    <row r="32" spans="2:23" ht="69" customHeight="1" x14ac:dyDescent="0.2">
      <c r="B32" s="756" t="s">
        <v>2460</v>
      </c>
      <c r="C32" s="972" t="str">
        <f>IFERROR(INDEX('Cash Forecast_8A import-export'!A$29:A$75,MATCH('Cash Forecast_8A'!B32,'Cash Forecast_8A import-export'!O$29:O$75,0)),"")</f>
        <v>TB care and prevention</v>
      </c>
      <c r="D32" s="1350" t="str">
        <f>IFERROR(INDEX('Cash Forecast_8A import-export'!B$29:B$75,MATCH('Cash Forecast_8A'!B32,'Cash Forecast_8A import-export'!O$29:O$75,0)),"")</f>
        <v>Treatment</v>
      </c>
      <c r="E32" s="1326">
        <f>IFERROR(INDEX('Cash Forecast_8A import-export'!C$29:C$75,MATCH('Cash Forecast_8A'!B32,'Cash Forecast_8A import-export'!O$29:O$75,0)),"")</f>
        <v>362592.288397895</v>
      </c>
      <c r="F32" s="1341">
        <v>479635.90019165393</v>
      </c>
      <c r="G32" s="1326">
        <f>IFERROR(INDEX('Cash Forecast_8A import-export'!E$29:E$75,MATCH('Cash Forecast_8A'!B32,'Cash Forecast_8A import-export'!O$29:O$75,0)),"")</f>
        <v>0</v>
      </c>
      <c r="H32" s="1341"/>
      <c r="I32" s="1342">
        <f t="shared" ref="I32:I95" si="5">IFERROR(F32+H32,"")</f>
        <v>479635.90019165393</v>
      </c>
      <c r="J32" s="1343" t="s">
        <v>2964</v>
      </c>
      <c r="L32" s="973"/>
      <c r="M32" s="1341"/>
      <c r="N32" s="1341"/>
      <c r="O32" s="1342">
        <f t="shared" ref="O32:O95" si="6">IFERROR(L32+M32,"")</f>
        <v>0</v>
      </c>
      <c r="P32" s="1351"/>
      <c r="R32" s="329"/>
      <c r="S32" s="351"/>
      <c r="T32" s="351"/>
      <c r="U32" s="351"/>
      <c r="V32" s="351"/>
      <c r="W32" s="351"/>
    </row>
    <row r="33" spans="2:23" ht="73.5" customHeight="1" x14ac:dyDescent="0.2">
      <c r="B33" s="756" t="s">
        <v>2462</v>
      </c>
      <c r="C33" s="972" t="str">
        <f>IFERROR(INDEX('Cash Forecast_8A import-export'!A$29:A$75,MATCH('Cash Forecast_8A'!B33,'Cash Forecast_8A import-export'!O$29:O$75,0)),"")</f>
        <v>TB care and prevention</v>
      </c>
      <c r="D33" s="1350" t="str">
        <f>IFERROR(INDEX('Cash Forecast_8A import-export'!B$29:B$75,MATCH('Cash Forecast_8A'!B33,'Cash Forecast_8A import-export'!O$29:O$75,0)),"")</f>
        <v>Community TB care delivery</v>
      </c>
      <c r="E33" s="1326">
        <f>IFERROR(INDEX('Cash Forecast_8A import-export'!C$29:C$75,MATCH('Cash Forecast_8A'!B33,'Cash Forecast_8A import-export'!O$29:O$75,0)),"")</f>
        <v>22513.615614632101</v>
      </c>
      <c r="F33" s="1341">
        <v>46128.052997691782</v>
      </c>
      <c r="G33" s="1326">
        <f>IFERROR(INDEX('Cash Forecast_8A import-export'!E$29:E$75,MATCH('Cash Forecast_8A'!B33,'Cash Forecast_8A import-export'!O$29:O$75,0)),"")</f>
        <v>0</v>
      </c>
      <c r="H33" s="1341"/>
      <c r="I33" s="1342">
        <f t="shared" si="5"/>
        <v>46128.052997691782</v>
      </c>
      <c r="J33" s="1343" t="s">
        <v>2965</v>
      </c>
      <c r="L33" s="973"/>
      <c r="M33" s="1341"/>
      <c r="N33" s="1341"/>
      <c r="O33" s="1342">
        <f t="shared" si="6"/>
        <v>0</v>
      </c>
      <c r="P33" s="1351"/>
      <c r="R33" s="329"/>
      <c r="S33" s="351"/>
      <c r="T33" s="351"/>
      <c r="U33" s="351"/>
      <c r="V33" s="351"/>
      <c r="W33" s="351"/>
    </row>
    <row r="34" spans="2:23" ht="90.75" customHeight="1" x14ac:dyDescent="0.2">
      <c r="B34" s="756" t="s">
        <v>2464</v>
      </c>
      <c r="C34" s="972" t="str">
        <f>IFERROR(INDEX('Cash Forecast_8A import-export'!A$29:A$75,MATCH('Cash Forecast_8A'!B34,'Cash Forecast_8A import-export'!O$29:O$75,0)),"")</f>
        <v>RSSH: Health management information systems and M&amp;E</v>
      </c>
      <c r="D34" s="1350" t="str">
        <f>IFERROR(INDEX('Cash Forecast_8A import-export'!B$29:B$75,MATCH('Cash Forecast_8A'!B34,'Cash Forecast_8A import-export'!O$29:O$75,0)),"")</f>
        <v>Analysis, review and transparency</v>
      </c>
      <c r="E34" s="1326">
        <f>IFERROR(INDEX('Cash Forecast_8A import-export'!C$29:C$75,MATCH('Cash Forecast_8A'!B34,'Cash Forecast_8A import-export'!O$29:O$75,0)),"")</f>
        <v>175424.26289473299</v>
      </c>
      <c r="F34" s="1341">
        <v>222547.66911017071</v>
      </c>
      <c r="G34" s="1326">
        <f>IFERROR(INDEX('Cash Forecast_8A import-export'!E$29:E$75,MATCH('Cash Forecast_8A'!B34,'Cash Forecast_8A import-export'!O$29:O$75,0)),"")</f>
        <v>0</v>
      </c>
      <c r="H34" s="1341"/>
      <c r="I34" s="1342">
        <f t="shared" si="5"/>
        <v>222547.66911017071</v>
      </c>
      <c r="J34" s="1343" t="s">
        <v>2966</v>
      </c>
      <c r="L34" s="973"/>
      <c r="M34" s="1341"/>
      <c r="N34" s="1341"/>
      <c r="O34" s="1342">
        <f t="shared" si="6"/>
        <v>0</v>
      </c>
      <c r="P34" s="1351"/>
      <c r="R34" s="329"/>
      <c r="S34" s="351"/>
      <c r="T34" s="351"/>
      <c r="U34" s="351"/>
      <c r="V34" s="351"/>
      <c r="W34" s="351"/>
    </row>
    <row r="35" spans="2:23" ht="77.25" customHeight="1" x14ac:dyDescent="0.2">
      <c r="B35" s="756" t="s">
        <v>2466</v>
      </c>
      <c r="C35" s="972" t="str">
        <f>IFERROR(INDEX('Cash Forecast_8A import-export'!A$29:A$75,MATCH('Cash Forecast_8A'!B35,'Cash Forecast_8A import-export'!O$29:O$75,0)),"")</f>
        <v>RSSH: Health management information systems and M&amp;E</v>
      </c>
      <c r="D35" s="1350" t="str">
        <f>IFERROR(INDEX('Cash Forecast_8A import-export'!B$29:B$75,MATCH('Cash Forecast_8A'!B35,'Cash Forecast_8A import-export'!O$29:O$75,0)),"")</f>
        <v>Surveys</v>
      </c>
      <c r="E35" s="1326">
        <f>IFERROR(INDEX('Cash Forecast_8A import-export'!C$29:C$75,MATCH('Cash Forecast_8A'!B35,'Cash Forecast_8A import-export'!O$29:O$75,0)),"")</f>
        <v>0</v>
      </c>
      <c r="F35" s="1341">
        <v>208041.74704600681</v>
      </c>
      <c r="G35" s="1326">
        <f>IFERROR(INDEX('Cash Forecast_8A import-export'!E$29:E$75,MATCH('Cash Forecast_8A'!B35,'Cash Forecast_8A import-export'!O$29:O$75,0)),"")</f>
        <v>0</v>
      </c>
      <c r="H35" s="1341"/>
      <c r="I35" s="1342">
        <f t="shared" si="5"/>
        <v>208041.74704600681</v>
      </c>
      <c r="J35" s="1343" t="s">
        <v>2967</v>
      </c>
      <c r="L35" s="973"/>
      <c r="M35" s="1341"/>
      <c r="N35" s="1341"/>
      <c r="O35" s="1342">
        <f t="shared" si="6"/>
        <v>0</v>
      </c>
      <c r="P35" s="1351"/>
      <c r="R35" s="329"/>
      <c r="S35" s="351"/>
      <c r="T35" s="351"/>
      <c r="U35" s="351"/>
      <c r="V35" s="351"/>
      <c r="W35" s="351"/>
    </row>
    <row r="36" spans="2:23" ht="98.25" customHeight="1" x14ac:dyDescent="0.2">
      <c r="B36" s="756" t="s">
        <v>2467</v>
      </c>
      <c r="C36" s="972" t="str">
        <f>IFERROR(INDEX('Cash Forecast_8A import-export'!A$29:A$75,MATCH('Cash Forecast_8A'!B36,'Cash Forecast_8A import-export'!O$29:O$75,0)),"")</f>
        <v>RSSH: Health management information systems and M&amp;E</v>
      </c>
      <c r="D36" s="1350" t="str">
        <f>IFERROR(INDEX('Cash Forecast_8A import-export'!B$29:B$75,MATCH('Cash Forecast_8A'!B36,'Cash Forecast_8A import-export'!O$29:O$75,0)),"")</f>
        <v>Routine reporting</v>
      </c>
      <c r="E36" s="1326">
        <f>IFERROR(INDEX('Cash Forecast_8A import-export'!C$29:C$75,MATCH('Cash Forecast_8A'!B36,'Cash Forecast_8A import-export'!O$29:O$75,0)),"")</f>
        <v>109644.974816555</v>
      </c>
      <c r="F36" s="1341">
        <v>214103.35410192754</v>
      </c>
      <c r="G36" s="1326">
        <f>IFERROR(INDEX('Cash Forecast_8A import-export'!E$29:E$75,MATCH('Cash Forecast_8A'!B36,'Cash Forecast_8A import-export'!O$29:O$75,0)),"")</f>
        <v>0</v>
      </c>
      <c r="H36" s="1341"/>
      <c r="I36" s="1342">
        <f t="shared" si="5"/>
        <v>214103.35410192754</v>
      </c>
      <c r="J36" s="1343" t="s">
        <v>2968</v>
      </c>
      <c r="L36" s="973"/>
      <c r="M36" s="1341"/>
      <c r="N36" s="1341"/>
      <c r="O36" s="1342">
        <f t="shared" si="6"/>
        <v>0</v>
      </c>
      <c r="P36" s="1351"/>
      <c r="R36" s="329"/>
      <c r="S36" s="351"/>
      <c r="T36" s="351"/>
      <c r="U36" s="351"/>
      <c r="V36" s="351"/>
      <c r="W36" s="351"/>
    </row>
    <row r="37" spans="2:23" ht="78" customHeight="1" x14ac:dyDescent="0.2">
      <c r="B37" s="756" t="s">
        <v>2469</v>
      </c>
      <c r="C37" s="972" t="str">
        <f>IFERROR(INDEX('Cash Forecast_8A import-export'!A$29:A$75,MATCH('Cash Forecast_8A'!B37,'Cash Forecast_8A import-export'!O$29:O$75,0)),"")</f>
        <v>MDR-TB</v>
      </c>
      <c r="D37" s="1350" t="str">
        <f>IFERROR(INDEX('Cash Forecast_8A import-export'!B$29:B$75,MATCH('Cash Forecast_8A'!B37,'Cash Forecast_8A import-export'!O$29:O$75,0)),"")</f>
        <v>Treatment: MDR-TB</v>
      </c>
      <c r="E37" s="1326">
        <f>IFERROR(INDEX('Cash Forecast_8A import-export'!C$29:C$75,MATCH('Cash Forecast_8A'!B37,'Cash Forecast_8A import-export'!O$29:O$75,0)),"")</f>
        <v>301302.22809957899</v>
      </c>
      <c r="F37" s="1341">
        <v>232917.29944206934</v>
      </c>
      <c r="G37" s="1326">
        <f>IFERROR(INDEX('Cash Forecast_8A import-export'!E$29:E$75,MATCH('Cash Forecast_8A'!B37,'Cash Forecast_8A import-export'!O$29:O$75,0)),"")</f>
        <v>0</v>
      </c>
      <c r="H37" s="1341"/>
      <c r="I37" s="1342">
        <f t="shared" si="5"/>
        <v>232917.29944206934</v>
      </c>
      <c r="J37" s="1343" t="s">
        <v>2969</v>
      </c>
      <c r="L37" s="973"/>
      <c r="M37" s="1341"/>
      <c r="N37" s="1341"/>
      <c r="O37" s="1342">
        <f t="shared" si="6"/>
        <v>0</v>
      </c>
      <c r="P37" s="1351"/>
      <c r="R37" s="329"/>
      <c r="S37" s="351"/>
      <c r="T37" s="351"/>
      <c r="U37" s="351"/>
      <c r="V37" s="351"/>
      <c r="W37" s="351"/>
    </row>
    <row r="38" spans="2:23" ht="72" customHeight="1" x14ac:dyDescent="0.2">
      <c r="B38" s="756" t="s">
        <v>2471</v>
      </c>
      <c r="C38" s="972" t="str">
        <f>IFERROR(INDEX('Cash Forecast_8A import-export'!A$29:A$75,MATCH('Cash Forecast_8A'!B38,'Cash Forecast_8A import-export'!O$29:O$75,0)),"")</f>
        <v>TB/HIV</v>
      </c>
      <c r="D38" s="1350" t="str">
        <f>IFERROR(INDEX('Cash Forecast_8A import-export'!B$29:B$75,MATCH('Cash Forecast_8A'!B38,'Cash Forecast_8A import-export'!O$29:O$75,0)),"")</f>
        <v>TB/HIV collaborative interventions</v>
      </c>
      <c r="E38" s="1326">
        <f>IFERROR(INDEX('Cash Forecast_8A import-export'!C$29:C$75,MATCH('Cash Forecast_8A'!B38,'Cash Forecast_8A import-export'!O$29:O$75,0)),"")</f>
        <v>167902.992750537</v>
      </c>
      <c r="F38" s="1341">
        <v>166960.73583784216</v>
      </c>
      <c r="G38" s="1326">
        <f>IFERROR(INDEX('Cash Forecast_8A import-export'!E$29:E$75,MATCH('Cash Forecast_8A'!B38,'Cash Forecast_8A import-export'!O$29:O$75,0)),"")</f>
        <v>0</v>
      </c>
      <c r="H38" s="1341"/>
      <c r="I38" s="1342">
        <f t="shared" si="5"/>
        <v>166960.73583784216</v>
      </c>
      <c r="J38" s="1343" t="s">
        <v>2970</v>
      </c>
      <c r="L38" s="973"/>
      <c r="M38" s="1341"/>
      <c r="N38" s="1341"/>
      <c r="O38" s="1342">
        <f t="shared" si="6"/>
        <v>0</v>
      </c>
      <c r="P38" s="1351"/>
      <c r="R38" s="329"/>
      <c r="S38" s="351"/>
      <c r="T38" s="351"/>
      <c r="U38" s="351"/>
      <c r="V38" s="351"/>
      <c r="W38" s="351"/>
    </row>
    <row r="39" spans="2:23" ht="109.5" customHeight="1" x14ac:dyDescent="0.2">
      <c r="B39" s="756" t="s">
        <v>2473</v>
      </c>
      <c r="C39" s="972" t="str">
        <f>IFERROR(INDEX('Cash Forecast_8A import-export'!A$29:A$75,MATCH('Cash Forecast_8A'!B39,'Cash Forecast_8A import-export'!O$29:O$75,0)),"")</f>
        <v>Program management</v>
      </c>
      <c r="D39" s="1350" t="str">
        <f>IFERROR(INDEX('Cash Forecast_8A import-export'!B$29:B$75,MATCH('Cash Forecast_8A'!B39,'Cash Forecast_8A import-export'!O$29:O$75,0)),"")</f>
        <v>Grant management</v>
      </c>
      <c r="E39" s="1326">
        <f>IFERROR(INDEX('Cash Forecast_8A import-export'!C$29:C$75,MATCH('Cash Forecast_8A'!B39,'Cash Forecast_8A import-export'!O$29:O$75,0)),"")</f>
        <v>2327968.9340959201</v>
      </c>
      <c r="F39" s="1341">
        <v>3094052.24992313</v>
      </c>
      <c r="G39" s="1326">
        <f>IFERROR(INDEX('Cash Forecast_8A import-export'!E$29:E$75,MATCH('Cash Forecast_8A'!B39,'Cash Forecast_8A import-export'!O$29:O$75,0)),"")</f>
        <v>0</v>
      </c>
      <c r="H39" s="1341"/>
      <c r="I39" s="1342">
        <f t="shared" si="5"/>
        <v>3094052.24992313</v>
      </c>
      <c r="J39" s="1343" t="s">
        <v>2971</v>
      </c>
      <c r="L39" s="973"/>
      <c r="M39" s="1341"/>
      <c r="N39" s="1341"/>
      <c r="O39" s="1342">
        <f t="shared" si="6"/>
        <v>0</v>
      </c>
      <c r="P39" s="1351"/>
      <c r="R39" s="329"/>
      <c r="S39" s="351"/>
      <c r="T39" s="351"/>
      <c r="U39" s="351"/>
      <c r="V39" s="351"/>
      <c r="W39" s="351"/>
    </row>
    <row r="40" spans="2:23" ht="94.5" customHeight="1" x14ac:dyDescent="0.2">
      <c r="B40" s="756" t="s">
        <v>2475</v>
      </c>
      <c r="C40" s="972" t="str">
        <f>IFERROR(INDEX('Cash Forecast_8A import-export'!A$29:A$75,MATCH('Cash Forecast_8A'!B40,'Cash Forecast_8A import-export'!O$29:O$75,0)),"")</f>
        <v>Program management</v>
      </c>
      <c r="D40" s="1350" t="str">
        <f>IFERROR(INDEX('Cash Forecast_8A import-export'!B$29:B$75,MATCH('Cash Forecast_8A'!B40,'Cash Forecast_8A import-export'!O$29:O$75,0)),"")</f>
        <v>Policy, planning, coordination and management of national disease control programs</v>
      </c>
      <c r="E40" s="1326">
        <f>IFERROR(INDEX('Cash Forecast_8A import-export'!C$29:C$75,MATCH('Cash Forecast_8A'!B40,'Cash Forecast_8A import-export'!O$29:O$75,0)),"")</f>
        <v>211360.39700642799</v>
      </c>
      <c r="F40" s="1341">
        <v>267372.80784991774</v>
      </c>
      <c r="G40" s="1326">
        <f>IFERROR(INDEX('Cash Forecast_8A import-export'!E$29:E$75,MATCH('Cash Forecast_8A'!B40,'Cash Forecast_8A import-export'!O$29:O$75,0)),"")</f>
        <v>0</v>
      </c>
      <c r="H40" s="1341"/>
      <c r="I40" s="1342">
        <f t="shared" si="5"/>
        <v>267372.80784991774</v>
      </c>
      <c r="J40" s="1343" t="s">
        <v>2972</v>
      </c>
      <c r="L40" s="973"/>
      <c r="M40" s="1341"/>
      <c r="N40" s="1341"/>
      <c r="O40" s="1342">
        <f t="shared" si="6"/>
        <v>0</v>
      </c>
      <c r="P40" s="1351"/>
      <c r="R40" s="329"/>
      <c r="S40" s="351"/>
      <c r="T40" s="351"/>
      <c r="U40" s="351"/>
      <c r="V40" s="351"/>
      <c r="W40" s="351"/>
    </row>
    <row r="41" spans="2:23" ht="39" customHeight="1" x14ac:dyDescent="0.2">
      <c r="B41" s="756" t="s">
        <v>2477</v>
      </c>
      <c r="C41" s="972" t="str">
        <f>IFERROR(INDEX('Cash Forecast_8A import-export'!A$29:A$75,MATCH('Cash Forecast_8A'!B41,'Cash Forecast_8A import-export'!O$29:O$75,0)),"")</f>
        <v>PMTCT</v>
      </c>
      <c r="D41" s="1350" t="str">
        <f>IFERROR(INDEX('Cash Forecast_8A import-export'!B$29:B$75,MATCH('Cash Forecast_8A'!B41,'Cash Forecast_8A import-export'!O$29:O$75,0)),"")</f>
        <v>Prong 1: Primary prevention of HIV infection among women of childbearing age</v>
      </c>
      <c r="E41" s="1326">
        <f>IFERROR(INDEX('Cash Forecast_8A import-export'!C$29:C$75,MATCH('Cash Forecast_8A'!B41,'Cash Forecast_8A import-export'!O$29:O$75,0)),"")</f>
        <v>187.03166347522099</v>
      </c>
      <c r="F41" s="1341">
        <v>187.03166347522071</v>
      </c>
      <c r="G41" s="1326">
        <f>IFERROR(INDEX('Cash Forecast_8A import-export'!E$29:E$75,MATCH('Cash Forecast_8A'!B41,'Cash Forecast_8A import-export'!O$29:O$75,0)),"")</f>
        <v>0</v>
      </c>
      <c r="H41" s="1341"/>
      <c r="I41" s="1342">
        <f t="shared" si="5"/>
        <v>187.03166347522071</v>
      </c>
      <c r="J41" s="1343" t="s">
        <v>2960</v>
      </c>
      <c r="L41" s="973"/>
      <c r="M41" s="1341"/>
      <c r="N41" s="1341"/>
      <c r="O41" s="1342">
        <f t="shared" si="6"/>
        <v>0</v>
      </c>
      <c r="P41" s="1351"/>
      <c r="R41" s="329"/>
      <c r="S41" s="351"/>
      <c r="T41" s="351"/>
      <c r="U41" s="351"/>
      <c r="V41" s="351"/>
      <c r="W41" s="351"/>
    </row>
    <row r="42" spans="2:23" ht="108" customHeight="1" x14ac:dyDescent="0.2">
      <c r="B42" s="756" t="s">
        <v>2479</v>
      </c>
      <c r="C42" s="972" t="str">
        <f>IFERROR(INDEX('Cash Forecast_8A import-export'!A$29:A$75,MATCH('Cash Forecast_8A'!B42,'Cash Forecast_8A import-export'!O$29:O$75,0)),"")</f>
        <v>PMTCT</v>
      </c>
      <c r="D42" s="1350" t="str">
        <f>IFERROR(INDEX('Cash Forecast_8A import-export'!B$29:B$75,MATCH('Cash Forecast_8A'!B42,'Cash Forecast_8A import-export'!O$29:O$75,0)),"")</f>
        <v>Prong 3: Preventing vertical HIV transmission</v>
      </c>
      <c r="E42" s="1326">
        <f>IFERROR(INDEX('Cash Forecast_8A import-export'!C$29:C$75,MATCH('Cash Forecast_8A'!B42,'Cash Forecast_8A import-export'!O$29:O$75,0)),"")</f>
        <v>214224.12</v>
      </c>
      <c r="F42" s="1341">
        <v>213637.91999999998</v>
      </c>
      <c r="G42" s="1326">
        <f>IFERROR(INDEX('Cash Forecast_8A import-export'!E$29:E$75,MATCH('Cash Forecast_8A'!B42,'Cash Forecast_8A import-export'!O$29:O$75,0)),"")</f>
        <v>0</v>
      </c>
      <c r="H42" s="1341"/>
      <c r="I42" s="1342">
        <f t="shared" si="5"/>
        <v>213637.91999999998</v>
      </c>
      <c r="J42" s="1343" t="s">
        <v>2973</v>
      </c>
      <c r="L42" s="973"/>
      <c r="M42" s="1341"/>
      <c r="N42" s="1341"/>
      <c r="O42" s="1342">
        <f t="shared" si="6"/>
        <v>0</v>
      </c>
      <c r="P42" s="1351"/>
      <c r="R42" s="329"/>
      <c r="S42" s="351"/>
      <c r="T42" s="351"/>
      <c r="U42" s="351"/>
      <c r="V42" s="351"/>
      <c r="W42" s="351"/>
    </row>
    <row r="43" spans="2:23" ht="44.25" customHeight="1" x14ac:dyDescent="0.2">
      <c r="B43" s="756" t="s">
        <v>2481</v>
      </c>
      <c r="C43" s="972" t="str">
        <f>IFERROR(INDEX('Cash Forecast_8A import-export'!A$29:A$75,MATCH('Cash Forecast_8A'!B43,'Cash Forecast_8A import-export'!O$29:O$75,0)),"")</f>
        <v>PMTCT</v>
      </c>
      <c r="D43" s="1350" t="str">
        <f>IFERROR(INDEX('Cash Forecast_8A import-export'!B$29:B$75,MATCH('Cash Forecast_8A'!B43,'Cash Forecast_8A import-export'!O$29:O$75,0)),"")</f>
        <v>Prong 4: Treatment, care and support to mothers living with HIV, their children and families</v>
      </c>
      <c r="E43" s="1326">
        <f>IFERROR(INDEX('Cash Forecast_8A import-export'!C$29:C$75,MATCH('Cash Forecast_8A'!B43,'Cash Forecast_8A import-export'!O$29:O$75,0)),"")</f>
        <v>14639.026747600299</v>
      </c>
      <c r="F43" s="1341">
        <v>18982.214341061161</v>
      </c>
      <c r="G43" s="1326">
        <f>IFERROR(INDEX('Cash Forecast_8A import-export'!E$29:E$75,MATCH('Cash Forecast_8A'!B43,'Cash Forecast_8A import-export'!O$29:O$75,0)),"")</f>
        <v>0</v>
      </c>
      <c r="H43" s="1341"/>
      <c r="I43" s="1342">
        <f t="shared" si="5"/>
        <v>18982.214341061161</v>
      </c>
      <c r="J43" s="1343" t="s">
        <v>2974</v>
      </c>
      <c r="L43" s="973"/>
      <c r="M43" s="1341"/>
      <c r="N43" s="1341"/>
      <c r="O43" s="1342">
        <f t="shared" si="6"/>
        <v>0</v>
      </c>
      <c r="P43" s="1351"/>
      <c r="R43" s="329"/>
      <c r="S43" s="351"/>
      <c r="T43" s="351"/>
      <c r="U43" s="351"/>
      <c r="V43" s="351"/>
      <c r="W43" s="351"/>
    </row>
    <row r="44" spans="2:23" ht="105" customHeight="1" x14ac:dyDescent="0.2">
      <c r="B44" s="756" t="s">
        <v>2483</v>
      </c>
      <c r="C44" s="972" t="str">
        <f>IFERROR(INDEX('Cash Forecast_8A import-export'!A$29:A$75,MATCH('Cash Forecast_8A'!B44,'Cash Forecast_8A import-export'!O$29:O$75,0)),"")</f>
        <v>Prevention programs for general population</v>
      </c>
      <c r="D44" s="1350" t="str">
        <f>IFERROR(INDEX('Cash Forecast_8A import-export'!B$29:B$75,MATCH('Cash Forecast_8A'!B44,'Cash Forecast_8A import-export'!O$29:O$75,0)),"")</f>
        <v>Other intervention(s) for general population</v>
      </c>
      <c r="E44" s="1326">
        <f>IFERROR(INDEX('Cash Forecast_8A import-export'!C$29:C$75,MATCH('Cash Forecast_8A'!B44,'Cash Forecast_8A import-export'!O$29:O$75,0)),"")</f>
        <v>265038.12827325001</v>
      </c>
      <c r="F44" s="1341">
        <v>670516.45879173791</v>
      </c>
      <c r="G44" s="1326">
        <f>IFERROR(INDEX('Cash Forecast_8A import-export'!E$29:E$75,MATCH('Cash Forecast_8A'!B44,'Cash Forecast_8A import-export'!O$29:O$75,0)),"")</f>
        <v>0</v>
      </c>
      <c r="H44" s="1341"/>
      <c r="I44" s="1342">
        <f t="shared" si="5"/>
        <v>670516.45879173791</v>
      </c>
      <c r="J44" s="1343" t="s">
        <v>2975</v>
      </c>
      <c r="L44" s="973"/>
      <c r="M44" s="1341"/>
      <c r="N44" s="1341"/>
      <c r="O44" s="1342">
        <f t="shared" si="6"/>
        <v>0</v>
      </c>
      <c r="P44" s="1351"/>
      <c r="R44" s="329"/>
      <c r="S44" s="351"/>
      <c r="T44" s="351"/>
      <c r="U44" s="351"/>
      <c r="V44" s="351"/>
      <c r="W44" s="351"/>
    </row>
    <row r="45" spans="2:23" ht="18" customHeight="1" x14ac:dyDescent="0.2">
      <c r="B45" s="756" t="s">
        <v>2485</v>
      </c>
      <c r="C45" s="972" t="str">
        <f>IFERROR(INDEX('Cash Forecast_8A import-export'!A$29:A$75,MATCH('Cash Forecast_8A'!B45,'Cash Forecast_8A import-export'!O$29:O$75,0)),"")</f>
        <v>PMTCT</v>
      </c>
      <c r="D45" s="1350" t="str">
        <f>IFERROR(INDEX('Cash Forecast_8A import-export'!B$29:B$75,MATCH('Cash Forecast_8A'!B45,'Cash Forecast_8A import-export'!O$29:O$75,0)),"")</f>
        <v>Other intervention(s) for PMTCT</v>
      </c>
      <c r="E45" s="1326">
        <f>IFERROR(INDEX('Cash Forecast_8A import-export'!C$29:C$75,MATCH('Cash Forecast_8A'!B45,'Cash Forecast_8A import-export'!O$29:O$75,0)),"")</f>
        <v>0</v>
      </c>
      <c r="F45" s="1341"/>
      <c r="G45" s="1326">
        <f>IFERROR(INDEX('Cash Forecast_8A import-export'!E$29:E$75,MATCH('Cash Forecast_8A'!B45,'Cash Forecast_8A import-export'!O$29:O$75,0)),"")</f>
        <v>0</v>
      </c>
      <c r="H45" s="1341"/>
      <c r="I45" s="1342">
        <f t="shared" si="5"/>
        <v>0</v>
      </c>
      <c r="J45" s="1343"/>
      <c r="L45" s="973"/>
      <c r="M45" s="1341"/>
      <c r="N45" s="1341"/>
      <c r="O45" s="1342">
        <f t="shared" si="6"/>
        <v>0</v>
      </c>
      <c r="P45" s="1351"/>
      <c r="R45" s="329"/>
      <c r="S45" s="351"/>
      <c r="T45" s="351"/>
      <c r="U45" s="351"/>
      <c r="V45" s="351"/>
      <c r="W45" s="351"/>
    </row>
    <row r="46" spans="2:23" ht="18" customHeight="1" x14ac:dyDescent="0.2">
      <c r="B46" s="756" t="s">
        <v>2487</v>
      </c>
      <c r="C46" s="972" t="str">
        <f>IFERROR(INDEX('Cash Forecast_8A import-export'!A$29:A$75,MATCH('Cash Forecast_8A'!B46,'Cash Forecast_8A import-export'!O$29:O$75,0)),"")</f>
        <v>Comprehensive prevention programs for MSM</v>
      </c>
      <c r="D46" s="1350" t="str">
        <f>IFERROR(INDEX('Cash Forecast_8A import-export'!B$29:B$75,MATCH('Cash Forecast_8A'!B46,'Cash Forecast_8A import-export'!O$29:O$75,0)),"")</f>
        <v>Behavioral interventions for MSM</v>
      </c>
      <c r="E46" s="1326">
        <f>IFERROR(INDEX('Cash Forecast_8A import-export'!C$29:C$75,MATCH('Cash Forecast_8A'!B46,'Cash Forecast_8A import-export'!O$29:O$75,0)),"")</f>
        <v>7876.3709281002502</v>
      </c>
      <c r="F46" s="1341">
        <v>7876.370928100232</v>
      </c>
      <c r="G46" s="1326">
        <f>IFERROR(INDEX('Cash Forecast_8A import-export'!E$29:E$75,MATCH('Cash Forecast_8A'!B46,'Cash Forecast_8A import-export'!O$29:O$75,0)),"")</f>
        <v>0</v>
      </c>
      <c r="H46" s="1341"/>
      <c r="I46" s="1342">
        <f t="shared" si="5"/>
        <v>7876.370928100232</v>
      </c>
      <c r="J46" s="1343" t="s">
        <v>2960</v>
      </c>
      <c r="L46" s="973"/>
      <c r="M46" s="1341"/>
      <c r="N46" s="1341"/>
      <c r="O46" s="1342">
        <f t="shared" si="6"/>
        <v>0</v>
      </c>
      <c r="P46" s="1351"/>
      <c r="R46" s="329"/>
      <c r="S46" s="351"/>
      <c r="T46" s="351"/>
      <c r="U46" s="351"/>
      <c r="V46" s="351"/>
      <c r="W46" s="351"/>
    </row>
    <row r="47" spans="2:23" ht="92.25" customHeight="1" x14ac:dyDescent="0.2">
      <c r="B47" s="756" t="s">
        <v>2489</v>
      </c>
      <c r="C47" s="972" t="str">
        <f>IFERROR(INDEX('Cash Forecast_8A import-export'!A$29:A$75,MATCH('Cash Forecast_8A'!B47,'Cash Forecast_8A import-export'!O$29:O$75,0)),"")</f>
        <v>Comprehensive prevention programs for MSM</v>
      </c>
      <c r="D47" s="1350" t="str">
        <f>IFERROR(INDEX('Cash Forecast_8A import-export'!B$29:B$75,MATCH('Cash Forecast_8A'!B47,'Cash Forecast_8A import-export'!O$29:O$75,0)),"")</f>
        <v>Condoms and lubricant programming for MSM</v>
      </c>
      <c r="E47" s="1326">
        <f>IFERROR(INDEX('Cash Forecast_8A import-export'!C$29:C$75,MATCH('Cash Forecast_8A'!B47,'Cash Forecast_8A import-export'!O$29:O$75,0)),"")</f>
        <v>67306.273184410107</v>
      </c>
      <c r="F47" s="1341">
        <v>203764.49013957015</v>
      </c>
      <c r="G47" s="1326">
        <f>IFERROR(INDEX('Cash Forecast_8A import-export'!E$29:E$75,MATCH('Cash Forecast_8A'!B47,'Cash Forecast_8A import-export'!O$29:O$75,0)),"")</f>
        <v>0</v>
      </c>
      <c r="H47" s="1341"/>
      <c r="I47" s="1342">
        <f t="shared" si="5"/>
        <v>203764.49013957015</v>
      </c>
      <c r="J47" s="1343" t="s">
        <v>2976</v>
      </c>
      <c r="L47" s="973"/>
      <c r="M47" s="1341"/>
      <c r="N47" s="1341"/>
      <c r="O47" s="1342">
        <f t="shared" si="6"/>
        <v>0</v>
      </c>
      <c r="P47" s="1351"/>
      <c r="R47" s="329"/>
      <c r="S47" s="351"/>
      <c r="T47" s="351"/>
      <c r="U47" s="351"/>
      <c r="V47" s="351"/>
      <c r="W47" s="351"/>
    </row>
    <row r="48" spans="2:23" ht="89.25" customHeight="1" x14ac:dyDescent="0.2">
      <c r="B48" s="756" t="s">
        <v>2491</v>
      </c>
      <c r="C48" s="972" t="str">
        <f>IFERROR(INDEX('Cash Forecast_8A import-export'!A$29:A$75,MATCH('Cash Forecast_8A'!B48,'Cash Forecast_8A import-export'!O$29:O$75,0)),"")</f>
        <v>Comprehensive prevention programs for MSM</v>
      </c>
      <c r="D48" s="1350" t="str">
        <f>IFERROR(INDEX('Cash Forecast_8A import-export'!B$29:B$75,MATCH('Cash Forecast_8A'!B48,'Cash Forecast_8A import-export'!O$29:O$75,0)),"")</f>
        <v>Other intervention(s) for MSM</v>
      </c>
      <c r="E48" s="1326">
        <f>IFERROR(INDEX('Cash Forecast_8A import-export'!C$29:C$75,MATCH('Cash Forecast_8A'!B48,'Cash Forecast_8A import-export'!O$29:O$75,0)),"")</f>
        <v>43430.582246878599</v>
      </c>
      <c r="F48" s="1341">
        <v>265604.32999232726</v>
      </c>
      <c r="G48" s="1326">
        <f>IFERROR(INDEX('Cash Forecast_8A import-export'!E$29:E$75,MATCH('Cash Forecast_8A'!B48,'Cash Forecast_8A import-export'!O$29:O$75,0)),"")</f>
        <v>0</v>
      </c>
      <c r="H48" s="1341"/>
      <c r="I48" s="1342">
        <f t="shared" si="5"/>
        <v>265604.32999232726</v>
      </c>
      <c r="J48" s="1343" t="s">
        <v>2977</v>
      </c>
      <c r="L48" s="973"/>
      <c r="M48" s="1341"/>
      <c r="N48" s="1341"/>
      <c r="O48" s="1342">
        <f t="shared" si="6"/>
        <v>0</v>
      </c>
      <c r="P48" s="1351"/>
      <c r="R48" s="329"/>
      <c r="S48" s="351"/>
      <c r="T48" s="351"/>
      <c r="U48" s="351"/>
      <c r="V48" s="351"/>
      <c r="W48" s="351"/>
    </row>
    <row r="49" spans="2:23" ht="18" customHeight="1" x14ac:dyDescent="0.2">
      <c r="B49" s="756" t="s">
        <v>2493</v>
      </c>
      <c r="C49" s="972" t="str">
        <f>IFERROR(INDEX('Cash Forecast_8A import-export'!A$29:A$75,MATCH('Cash Forecast_8A'!B49,'Cash Forecast_8A import-export'!O$29:O$75,0)),"")</f>
        <v>Comprehensive prevention programs for sex workers and their clients</v>
      </c>
      <c r="D49" s="1350" t="str">
        <f>IFERROR(INDEX('Cash Forecast_8A import-export'!B$29:B$75,MATCH('Cash Forecast_8A'!B49,'Cash Forecast_8A import-export'!O$29:O$75,0)),"")</f>
        <v>Behavioral interventions for sex workers</v>
      </c>
      <c r="E49" s="1326">
        <f>IFERROR(INDEX('Cash Forecast_8A import-export'!C$29:C$75,MATCH('Cash Forecast_8A'!B49,'Cash Forecast_8A import-export'!O$29:O$75,0)),"")</f>
        <v>18711.3489827991</v>
      </c>
      <c r="F49" s="1341">
        <v>18711.348982799111</v>
      </c>
      <c r="G49" s="1326">
        <f>IFERROR(INDEX('Cash Forecast_8A import-export'!E$29:E$75,MATCH('Cash Forecast_8A'!B49,'Cash Forecast_8A import-export'!O$29:O$75,0)),"")</f>
        <v>0</v>
      </c>
      <c r="H49" s="1341"/>
      <c r="I49" s="1342">
        <f t="shared" si="5"/>
        <v>18711.348982799111</v>
      </c>
      <c r="J49" s="1343" t="s">
        <v>2960</v>
      </c>
      <c r="L49" s="973"/>
      <c r="M49" s="1341"/>
      <c r="N49" s="1341"/>
      <c r="O49" s="1342">
        <f t="shared" si="6"/>
        <v>0</v>
      </c>
      <c r="P49" s="1351"/>
      <c r="R49" s="329"/>
      <c r="S49" s="351"/>
      <c r="T49" s="351"/>
      <c r="U49" s="351"/>
      <c r="V49" s="351"/>
      <c r="W49" s="351"/>
    </row>
    <row r="50" spans="2:23" ht="81.75" customHeight="1" x14ac:dyDescent="0.2">
      <c r="B50" s="756" t="s">
        <v>2495</v>
      </c>
      <c r="C50" s="972" t="str">
        <f>IFERROR(INDEX('Cash Forecast_8A import-export'!A$29:A$75,MATCH('Cash Forecast_8A'!B50,'Cash Forecast_8A import-export'!O$29:O$75,0)),"")</f>
        <v>Comprehensive prevention programs for sex workers and their clients</v>
      </c>
      <c r="D50" s="1350" t="str">
        <f>IFERROR(INDEX('Cash Forecast_8A import-export'!B$29:B$75,MATCH('Cash Forecast_8A'!B50,'Cash Forecast_8A import-export'!O$29:O$75,0)),"")</f>
        <v>Condoms and lubricant programming for sex workers</v>
      </c>
      <c r="E50" s="1326">
        <f>IFERROR(INDEX('Cash Forecast_8A import-export'!C$29:C$75,MATCH('Cash Forecast_8A'!B50,'Cash Forecast_8A import-export'!O$29:O$75,0)),"")</f>
        <v>1019085.02319913</v>
      </c>
      <c r="F50" s="1341">
        <v>444380.79698008706</v>
      </c>
      <c r="G50" s="1326">
        <f>IFERROR(INDEX('Cash Forecast_8A import-export'!E$29:E$75,MATCH('Cash Forecast_8A'!B50,'Cash Forecast_8A import-export'!O$29:O$75,0)),"")</f>
        <v>0</v>
      </c>
      <c r="H50" s="1341"/>
      <c r="I50" s="1342">
        <f t="shared" si="5"/>
        <v>444380.79698008706</v>
      </c>
      <c r="J50" s="1343" t="s">
        <v>2978</v>
      </c>
      <c r="L50" s="973"/>
      <c r="M50" s="1341"/>
      <c r="N50" s="1341"/>
      <c r="O50" s="1342">
        <f t="shared" si="6"/>
        <v>0</v>
      </c>
      <c r="P50" s="1351"/>
      <c r="R50" s="329"/>
      <c r="S50" s="351"/>
      <c r="T50" s="351"/>
      <c r="U50" s="351"/>
      <c r="V50" s="351"/>
      <c r="W50" s="351"/>
    </row>
    <row r="51" spans="2:23" ht="45" customHeight="1" x14ac:dyDescent="0.2">
      <c r="B51" s="756" t="s">
        <v>2497</v>
      </c>
      <c r="C51" s="972" t="str">
        <f>IFERROR(INDEX('Cash Forecast_8A import-export'!A$29:A$75,MATCH('Cash Forecast_8A'!B51,'Cash Forecast_8A import-export'!O$29:O$75,0)),"")</f>
        <v>Comprehensive prevention programs for sex workers and their clients</v>
      </c>
      <c r="D51" s="1350" t="str">
        <f>IFERROR(INDEX('Cash Forecast_8A import-export'!B$29:B$75,MATCH('Cash Forecast_8A'!B51,'Cash Forecast_8A import-export'!O$29:O$75,0)),"")</f>
        <v>Other intervention(s) for sex workers and their clients</v>
      </c>
      <c r="E51" s="1326">
        <f>IFERROR(INDEX('Cash Forecast_8A import-export'!C$29:C$75,MATCH('Cash Forecast_8A'!B51,'Cash Forecast_8A import-export'!O$29:O$75,0)),"")</f>
        <v>41731.439912908601</v>
      </c>
      <c r="F51" s="1341">
        <v>46863.995586291436</v>
      </c>
      <c r="G51" s="1326">
        <f>IFERROR(INDEX('Cash Forecast_8A import-export'!E$29:E$75,MATCH('Cash Forecast_8A'!B51,'Cash Forecast_8A import-export'!O$29:O$75,0)),"")</f>
        <v>0</v>
      </c>
      <c r="H51" s="1341"/>
      <c r="I51" s="1342">
        <f t="shared" si="5"/>
        <v>46863.995586291436</v>
      </c>
      <c r="J51" s="1343" t="s">
        <v>2979</v>
      </c>
      <c r="L51" s="973"/>
      <c r="M51" s="1341"/>
      <c r="N51" s="1341"/>
      <c r="O51" s="1342">
        <f t="shared" si="6"/>
        <v>0</v>
      </c>
      <c r="P51" s="1351"/>
      <c r="R51" s="329"/>
      <c r="S51" s="351"/>
      <c r="T51" s="351"/>
      <c r="U51" s="351"/>
      <c r="V51" s="351"/>
      <c r="W51" s="351"/>
    </row>
    <row r="52" spans="2:23" ht="80.25" customHeight="1" x14ac:dyDescent="0.2">
      <c r="B52" s="756" t="s">
        <v>2499</v>
      </c>
      <c r="C52" s="972" t="str">
        <f>IFERROR(INDEX('Cash Forecast_8A import-export'!A$29:A$75,MATCH('Cash Forecast_8A'!B52,'Cash Forecast_8A import-export'!O$29:O$75,0)),"")</f>
        <v>Comprehensive prevention programs for people who inject drugs (PWID) and their partners</v>
      </c>
      <c r="D52" s="1350" t="str">
        <f>IFERROR(INDEX('Cash Forecast_8A import-export'!B$29:B$75,MATCH('Cash Forecast_8A'!B52,'Cash Forecast_8A import-export'!O$29:O$75,0)),"")</f>
        <v>Other intervention(s) for IDUs and their partners</v>
      </c>
      <c r="E52" s="1326">
        <f>IFERROR(INDEX('Cash Forecast_8A import-export'!C$29:C$75,MATCH('Cash Forecast_8A'!B52,'Cash Forecast_8A import-export'!O$29:O$75,0)),"")</f>
        <v>13628.062159122001</v>
      </c>
      <c r="F52" s="1341">
        <v>23883.776902845428</v>
      </c>
      <c r="G52" s="1326">
        <f>IFERROR(INDEX('Cash Forecast_8A import-export'!E$29:E$75,MATCH('Cash Forecast_8A'!B52,'Cash Forecast_8A import-export'!O$29:O$75,0)),"")</f>
        <v>0</v>
      </c>
      <c r="H52" s="1341"/>
      <c r="I52" s="1342">
        <f t="shared" si="5"/>
        <v>23883.776902845428</v>
      </c>
      <c r="J52" s="1343" t="s">
        <v>2980</v>
      </c>
      <c r="L52" s="973"/>
      <c r="M52" s="1341"/>
      <c r="N52" s="1341"/>
      <c r="O52" s="1342">
        <f t="shared" si="6"/>
        <v>0</v>
      </c>
      <c r="P52" s="1351"/>
      <c r="R52" s="329"/>
      <c r="S52" s="351"/>
      <c r="T52" s="351"/>
      <c r="U52" s="351"/>
      <c r="V52" s="351"/>
      <c r="W52" s="351"/>
    </row>
    <row r="53" spans="2:23" ht="70.5" customHeight="1" x14ac:dyDescent="0.2">
      <c r="B53" s="756" t="s">
        <v>2501</v>
      </c>
      <c r="C53" s="972" t="str">
        <f>IFERROR(INDEX('Cash Forecast_8A import-export'!A$29:A$75,MATCH('Cash Forecast_8A'!B53,'Cash Forecast_8A import-export'!O$29:O$75,0)),"")</f>
        <v>Prevention programs for general population</v>
      </c>
      <c r="D53" s="1350" t="str">
        <f>IFERROR(INDEX('Cash Forecast_8A import-export'!B$29:B$75,MATCH('Cash Forecast_8A'!B53,'Cash Forecast_8A import-export'!O$29:O$75,0)),"")</f>
        <v>Behavioral interventions as part of programs for general population</v>
      </c>
      <c r="E53" s="1326">
        <f>IFERROR(INDEX('Cash Forecast_8A import-export'!C$29:C$75,MATCH('Cash Forecast_8A'!B53,'Cash Forecast_8A import-export'!O$29:O$75,0)),"")</f>
        <v>109135.77368898899</v>
      </c>
      <c r="F53" s="1341">
        <v>126627.78077919547</v>
      </c>
      <c r="G53" s="1326">
        <f>IFERROR(INDEX('Cash Forecast_8A import-export'!E$29:E$75,MATCH('Cash Forecast_8A'!B53,'Cash Forecast_8A import-export'!O$29:O$75,0)),"")</f>
        <v>0</v>
      </c>
      <c r="H53" s="1341"/>
      <c r="I53" s="1342">
        <f t="shared" si="5"/>
        <v>126627.78077919547</v>
      </c>
      <c r="J53" s="1343" t="s">
        <v>2981</v>
      </c>
      <c r="L53" s="973"/>
      <c r="M53" s="1341"/>
      <c r="N53" s="1341"/>
      <c r="O53" s="1342">
        <f t="shared" si="6"/>
        <v>0</v>
      </c>
      <c r="P53" s="1351"/>
      <c r="R53" s="329"/>
      <c r="S53" s="351"/>
      <c r="T53" s="351"/>
      <c r="U53" s="351"/>
      <c r="V53" s="351"/>
      <c r="W53" s="351"/>
    </row>
    <row r="54" spans="2:23" ht="97.5" customHeight="1" x14ac:dyDescent="0.2">
      <c r="B54" s="756" t="s">
        <v>2503</v>
      </c>
      <c r="C54" s="972" t="str">
        <f>IFERROR(INDEX('Cash Forecast_8A import-export'!A$29:A$75,MATCH('Cash Forecast_8A'!B54,'Cash Forecast_8A import-export'!O$29:O$75,0)),"")</f>
        <v>Prevention programs for other vulnerable populations</v>
      </c>
      <c r="D54" s="1350" t="str">
        <f>IFERROR(INDEX('Cash Forecast_8A import-export'!B$29:B$75,MATCH('Cash Forecast_8A'!B54,'Cash Forecast_8A import-export'!O$29:O$75,0)),"")</f>
        <v>HIV testing services for other vulnerable populations</v>
      </c>
      <c r="E54" s="1326">
        <f>IFERROR(INDEX('Cash Forecast_8A import-export'!C$29:C$75,MATCH('Cash Forecast_8A'!B54,'Cash Forecast_8A import-export'!O$29:O$75,0)),"")</f>
        <v>2698.25</v>
      </c>
      <c r="F54" s="1341">
        <v>142604.774</v>
      </c>
      <c r="G54" s="1326">
        <f>IFERROR(INDEX('Cash Forecast_8A import-export'!E$29:E$75,MATCH('Cash Forecast_8A'!B54,'Cash Forecast_8A import-export'!O$29:O$75,0)),"")</f>
        <v>0</v>
      </c>
      <c r="H54" s="1341"/>
      <c r="I54" s="1342">
        <f t="shared" si="5"/>
        <v>142604.774</v>
      </c>
      <c r="J54" s="1343" t="s">
        <v>2982</v>
      </c>
      <c r="L54" s="973"/>
      <c r="M54" s="1341"/>
      <c r="N54" s="1341"/>
      <c r="O54" s="1342">
        <f t="shared" si="6"/>
        <v>0</v>
      </c>
      <c r="P54" s="1351"/>
      <c r="R54" s="329"/>
      <c r="S54" s="351"/>
      <c r="T54" s="351"/>
      <c r="U54" s="351"/>
      <c r="V54" s="351"/>
      <c r="W54" s="351"/>
    </row>
    <row r="55" spans="2:23" ht="59.25" customHeight="1" x14ac:dyDescent="0.2">
      <c r="B55" s="756" t="s">
        <v>2505</v>
      </c>
      <c r="C55" s="972" t="str">
        <f>IFERROR(INDEX('Cash Forecast_8A import-export'!A$29:A$75,MATCH('Cash Forecast_8A'!B55,'Cash Forecast_8A import-export'!O$29:O$75,0)),"")</f>
        <v>HIV Testing Services</v>
      </c>
      <c r="D55" s="1350" t="str">
        <f>IFERROR(INDEX('Cash Forecast_8A import-export'!B$29:B$75,MATCH('Cash Forecast_8A'!B55,'Cash Forecast_8A import-export'!O$29:O$75,0)),"")</f>
        <v>Differentiated HIV testing services</v>
      </c>
      <c r="E55" s="1326">
        <f>IFERROR(INDEX('Cash Forecast_8A import-export'!C$29:C$75,MATCH('Cash Forecast_8A'!B55,'Cash Forecast_8A import-export'!O$29:O$75,0)),"")</f>
        <v>234282.49155221201</v>
      </c>
      <c r="F55" s="1341">
        <v>69812.726604423951</v>
      </c>
      <c r="G55" s="1326">
        <f>IFERROR(INDEX('Cash Forecast_8A import-export'!E$29:E$75,MATCH('Cash Forecast_8A'!B55,'Cash Forecast_8A import-export'!O$29:O$75,0)),"")</f>
        <v>0</v>
      </c>
      <c r="H55" s="1341"/>
      <c r="I55" s="1342">
        <f t="shared" si="5"/>
        <v>69812.726604423951</v>
      </c>
      <c r="J55" s="1343" t="s">
        <v>2983</v>
      </c>
      <c r="L55" s="973"/>
      <c r="M55" s="1341"/>
      <c r="N55" s="1341"/>
      <c r="O55" s="1342">
        <f t="shared" si="6"/>
        <v>0</v>
      </c>
      <c r="P55" s="1351"/>
      <c r="R55" s="329"/>
      <c r="S55" s="351"/>
      <c r="T55" s="351"/>
      <c r="U55" s="351"/>
      <c r="V55" s="351"/>
      <c r="W55" s="351"/>
    </row>
    <row r="56" spans="2:23" ht="44.25" customHeight="1" x14ac:dyDescent="0.2">
      <c r="B56" s="756" t="s">
        <v>2507</v>
      </c>
      <c r="C56" s="972" t="str">
        <f>IFERROR(INDEX('Cash Forecast_8A import-export'!A$29:A$75,MATCH('Cash Forecast_8A'!B56,'Cash Forecast_8A import-export'!O$29:O$75,0)),"")</f>
        <v>RSSH: Integrated service delivery and quality improvement</v>
      </c>
      <c r="D56" s="1350" t="str">
        <f>IFERROR(INDEX('Cash Forecast_8A import-export'!B$29:B$75,MATCH('Cash Forecast_8A'!B56,'Cash Forecast_8A import-export'!O$29:O$75,0)),"")</f>
        <v>Laboratory systems for disease prevention, control, treatment and disease surveillance</v>
      </c>
      <c r="E56" s="1326">
        <f>IFERROR(INDEX('Cash Forecast_8A import-export'!C$29:C$75,MATCH('Cash Forecast_8A'!B56,'Cash Forecast_8A import-export'!O$29:O$75,0)),"")</f>
        <v>20509.3129564829</v>
      </c>
      <c r="F56" s="1341">
        <v>20509.312956482878</v>
      </c>
      <c r="G56" s="1326">
        <f>IFERROR(INDEX('Cash Forecast_8A import-export'!E$29:E$75,MATCH('Cash Forecast_8A'!B56,'Cash Forecast_8A import-export'!O$29:O$75,0)),"")</f>
        <v>0</v>
      </c>
      <c r="H56" s="1341"/>
      <c r="I56" s="1342">
        <f t="shared" si="5"/>
        <v>20509.312956482878</v>
      </c>
      <c r="J56" s="1343" t="s">
        <v>2960</v>
      </c>
      <c r="L56" s="973"/>
      <c r="M56" s="1341"/>
      <c r="N56" s="1341"/>
      <c r="O56" s="1342">
        <f t="shared" si="6"/>
        <v>0</v>
      </c>
      <c r="P56" s="1351"/>
      <c r="R56" s="329"/>
      <c r="S56" s="351"/>
      <c r="T56" s="351"/>
      <c r="U56" s="351"/>
      <c r="V56" s="351"/>
      <c r="W56" s="351"/>
    </row>
    <row r="57" spans="2:23" ht="68.25" customHeight="1" x14ac:dyDescent="0.2">
      <c r="B57" s="756" t="s">
        <v>2509</v>
      </c>
      <c r="C57" s="972" t="str">
        <f>IFERROR(INDEX('Cash Forecast_8A import-export'!A$29:A$75,MATCH('Cash Forecast_8A'!B57,'Cash Forecast_8A import-export'!O$29:O$75,0)),"")</f>
        <v>RSSH: Health management information systems and M&amp;E</v>
      </c>
      <c r="D57" s="1350" t="str">
        <f>IFERROR(INDEX('Cash Forecast_8A import-export'!B$29:B$75,MATCH('Cash Forecast_8A'!B57,'Cash Forecast_8A import-export'!O$29:O$75,0)),"")</f>
        <v>Program and data quality</v>
      </c>
      <c r="E57" s="1326">
        <f>IFERROR(INDEX('Cash Forecast_8A import-export'!C$29:C$75,MATCH('Cash Forecast_8A'!B57,'Cash Forecast_8A import-export'!O$29:O$75,0)),"")</f>
        <v>87968.118556357804</v>
      </c>
      <c r="F57" s="1341">
        <v>182153.06368887951</v>
      </c>
      <c r="G57" s="1326">
        <f>IFERROR(INDEX('Cash Forecast_8A import-export'!E$29:E$75,MATCH('Cash Forecast_8A'!B57,'Cash Forecast_8A import-export'!O$29:O$75,0)),"")</f>
        <v>0</v>
      </c>
      <c r="H57" s="1341"/>
      <c r="I57" s="1342">
        <f t="shared" si="5"/>
        <v>182153.06368887951</v>
      </c>
      <c r="J57" s="1343" t="s">
        <v>2984</v>
      </c>
      <c r="L57" s="973"/>
      <c r="M57" s="1341"/>
      <c r="N57" s="1341"/>
      <c r="O57" s="1342">
        <f t="shared" si="6"/>
        <v>0</v>
      </c>
      <c r="P57" s="1351"/>
      <c r="R57" s="329"/>
      <c r="S57" s="351"/>
      <c r="T57" s="351"/>
      <c r="U57" s="351"/>
      <c r="V57" s="351"/>
      <c r="W57" s="351"/>
    </row>
    <row r="58" spans="2:23" ht="79.5" customHeight="1" x14ac:dyDescent="0.2">
      <c r="B58" s="756" t="s">
        <v>2511</v>
      </c>
      <c r="C58" s="972" t="str">
        <f>IFERROR(INDEX('Cash Forecast_8A import-export'!A$29:A$75,MATCH('Cash Forecast_8A'!B58,'Cash Forecast_8A import-export'!O$29:O$75,0)),"")</f>
        <v>Treatment, care and support</v>
      </c>
      <c r="D58" s="1350" t="str">
        <f>IFERROR(INDEX('Cash Forecast_8A import-export'!B$29:B$75,MATCH('Cash Forecast_8A'!B58,'Cash Forecast_8A import-export'!O$29:O$75,0)),"")</f>
        <v>Counseling and psycho-social support</v>
      </c>
      <c r="E58" s="1326">
        <f>IFERROR(INDEX('Cash Forecast_8A import-export'!C$29:C$75,MATCH('Cash Forecast_8A'!B58,'Cash Forecast_8A import-export'!O$29:O$75,0)),"")</f>
        <v>1116356.44788491</v>
      </c>
      <c r="F58" s="1341">
        <v>1163151.0785252268</v>
      </c>
      <c r="G58" s="1326">
        <f>IFERROR(INDEX('Cash Forecast_8A import-export'!E$29:E$75,MATCH('Cash Forecast_8A'!B58,'Cash Forecast_8A import-export'!O$29:O$75,0)),"")</f>
        <v>0</v>
      </c>
      <c r="H58" s="1341"/>
      <c r="I58" s="1342">
        <f t="shared" si="5"/>
        <v>1163151.0785252268</v>
      </c>
      <c r="J58" s="1343" t="s">
        <v>2985</v>
      </c>
      <c r="L58" s="973"/>
      <c r="M58" s="1341"/>
      <c r="N58" s="1341"/>
      <c r="O58" s="1342">
        <f t="shared" si="6"/>
        <v>0</v>
      </c>
      <c r="P58" s="1351"/>
      <c r="R58" s="329"/>
      <c r="S58" s="351"/>
      <c r="T58" s="351"/>
      <c r="U58" s="351"/>
      <c r="V58" s="351"/>
      <c r="W58" s="351"/>
    </row>
    <row r="59" spans="2:23" ht="78.75" customHeight="1" x14ac:dyDescent="0.2">
      <c r="B59" s="756" t="s">
        <v>2513</v>
      </c>
      <c r="C59" s="972" t="str">
        <f>IFERROR(INDEX('Cash Forecast_8A import-export'!A$29:A$75,MATCH('Cash Forecast_8A'!B59,'Cash Forecast_8A import-export'!O$29:O$75,0)),"")</f>
        <v>Treatment, care and support</v>
      </c>
      <c r="D59" s="1350" t="str">
        <f>IFERROR(INDEX('Cash Forecast_8A import-export'!B$29:B$75,MATCH('Cash Forecast_8A'!B59,'Cash Forecast_8A import-export'!O$29:O$75,0)),"")</f>
        <v>Other intervention(s) for treatment</v>
      </c>
      <c r="E59" s="1326">
        <f>IFERROR(INDEX('Cash Forecast_8A import-export'!C$29:C$75,MATCH('Cash Forecast_8A'!B59,'Cash Forecast_8A import-export'!O$29:O$75,0)),"")</f>
        <v>771437.91566624295</v>
      </c>
      <c r="F59" s="1341">
        <v>836543.82386127487</v>
      </c>
      <c r="G59" s="1326">
        <f>IFERROR(INDEX('Cash Forecast_8A import-export'!E$29:E$75,MATCH('Cash Forecast_8A'!B59,'Cash Forecast_8A import-export'!O$29:O$75,0)),"")</f>
        <v>0</v>
      </c>
      <c r="H59" s="1341"/>
      <c r="I59" s="1342">
        <f t="shared" si="5"/>
        <v>836543.82386127487</v>
      </c>
      <c r="J59" s="1343" t="s">
        <v>2986</v>
      </c>
      <c r="L59" s="973"/>
      <c r="M59" s="1341"/>
      <c r="N59" s="1341"/>
      <c r="O59" s="1342">
        <f t="shared" si="6"/>
        <v>0</v>
      </c>
      <c r="P59" s="1351"/>
      <c r="R59" s="329"/>
      <c r="S59" s="351"/>
      <c r="T59" s="351"/>
      <c r="U59" s="351"/>
      <c r="V59" s="351"/>
      <c r="W59" s="351"/>
    </row>
    <row r="60" spans="2:23" ht="60.75" customHeight="1" x14ac:dyDescent="0.2">
      <c r="B60" s="756" t="s">
        <v>2515</v>
      </c>
      <c r="C60" s="972" t="str">
        <f>IFERROR(INDEX('Cash Forecast_8A import-export'!A$29:A$75,MATCH('Cash Forecast_8A'!B60,'Cash Forecast_8A import-export'!O$29:O$75,0)),"")</f>
        <v>Treatment, care and support</v>
      </c>
      <c r="D60" s="1350" t="str">
        <f>IFERROR(INDEX('Cash Forecast_8A import-export'!B$29:B$75,MATCH('Cash Forecast_8A'!B60,'Cash Forecast_8A import-export'!O$29:O$75,0)),"")</f>
        <v>Differentiated ART service delivery</v>
      </c>
      <c r="E60" s="1326">
        <f>IFERROR(INDEX('Cash Forecast_8A import-export'!C$29:C$75,MATCH('Cash Forecast_8A'!B60,'Cash Forecast_8A import-export'!O$29:O$75,0)),"")</f>
        <v>405801.43647309998</v>
      </c>
      <c r="F60" s="1341">
        <v>927714.6733570518</v>
      </c>
      <c r="G60" s="1326">
        <f>IFERROR(INDEX('Cash Forecast_8A import-export'!E$29:E$75,MATCH('Cash Forecast_8A'!B60,'Cash Forecast_8A import-export'!O$29:O$75,0)),"")</f>
        <v>0</v>
      </c>
      <c r="H60" s="1341"/>
      <c r="I60" s="1342">
        <f t="shared" si="5"/>
        <v>927714.6733570518</v>
      </c>
      <c r="J60" s="1343" t="s">
        <v>2987</v>
      </c>
      <c r="L60" s="973"/>
      <c r="M60" s="1341"/>
      <c r="N60" s="1341"/>
      <c r="O60" s="1342">
        <f t="shared" si="6"/>
        <v>0</v>
      </c>
      <c r="P60" s="1351"/>
      <c r="R60" s="329"/>
      <c r="S60" s="351"/>
      <c r="T60" s="351"/>
      <c r="U60" s="351"/>
      <c r="V60" s="351"/>
      <c r="W60" s="351"/>
    </row>
    <row r="61" spans="2:23" ht="93.75" customHeight="1" x14ac:dyDescent="0.2">
      <c r="B61" s="756" t="s">
        <v>2517</v>
      </c>
      <c r="C61" s="972" t="str">
        <f>IFERROR(INDEX('Cash Forecast_8A import-export'!A$29:A$75,MATCH('Cash Forecast_8A'!B61,'Cash Forecast_8A import-export'!O$29:O$75,0)),"")</f>
        <v>Treatment, care and support</v>
      </c>
      <c r="D61" s="1350" t="str">
        <f>IFERROR(INDEX('Cash Forecast_8A import-export'!B$29:B$75,MATCH('Cash Forecast_8A'!B61,'Cash Forecast_8A import-export'!O$29:O$75,0)),"")</f>
        <v>Prevention, diagnosis and treatment of opportunistic infections</v>
      </c>
      <c r="E61" s="1326">
        <f>IFERROR(INDEX('Cash Forecast_8A import-export'!C$29:C$75,MATCH('Cash Forecast_8A'!B61,'Cash Forecast_8A import-export'!O$29:O$75,0)),"")</f>
        <v>97629.2</v>
      </c>
      <c r="F61" s="1341">
        <v>20447.783150437081</v>
      </c>
      <c r="G61" s="1326">
        <f>IFERROR(INDEX('Cash Forecast_8A import-export'!E$29:E$75,MATCH('Cash Forecast_8A'!B61,'Cash Forecast_8A import-export'!O$29:O$75,0)),"")</f>
        <v>0</v>
      </c>
      <c r="H61" s="1341"/>
      <c r="I61" s="1342">
        <f t="shared" si="5"/>
        <v>20447.783150437081</v>
      </c>
      <c r="J61" s="1343" t="s">
        <v>2988</v>
      </c>
      <c r="L61" s="973"/>
      <c r="M61" s="1341"/>
      <c r="N61" s="1341"/>
      <c r="O61" s="1342">
        <f t="shared" si="6"/>
        <v>0</v>
      </c>
      <c r="P61" s="1351"/>
      <c r="R61" s="329"/>
      <c r="S61" s="351"/>
      <c r="T61" s="351"/>
      <c r="U61" s="351"/>
      <c r="V61" s="351"/>
      <c r="W61" s="351"/>
    </row>
    <row r="62" spans="2:23" ht="112.5" customHeight="1" x14ac:dyDescent="0.2">
      <c r="B62" s="756" t="s">
        <v>2519</v>
      </c>
      <c r="C62" s="972" t="str">
        <f>IFERROR(INDEX('Cash Forecast_8A import-export'!A$29:A$75,MATCH('Cash Forecast_8A'!B62,'Cash Forecast_8A import-export'!O$29:O$75,0)),"")</f>
        <v>Treatment, care and support</v>
      </c>
      <c r="D62" s="1350" t="str">
        <f>IFERROR(INDEX('Cash Forecast_8A import-export'!B$29:B$75,MATCH('Cash Forecast_8A'!B62,'Cash Forecast_8A import-export'!O$29:O$75,0)),"")</f>
        <v>HIV care</v>
      </c>
      <c r="E62" s="1326">
        <f>IFERROR(INDEX('Cash Forecast_8A import-export'!C$29:C$75,MATCH('Cash Forecast_8A'!B62,'Cash Forecast_8A import-export'!O$29:O$75,0)),"")</f>
        <v>6021994.21</v>
      </c>
      <c r="F62" s="1341">
        <v>4940133.5542941289</v>
      </c>
      <c r="G62" s="1326">
        <f>IFERROR(INDEX('Cash Forecast_8A import-export'!E$29:E$75,MATCH('Cash Forecast_8A'!B62,'Cash Forecast_8A import-export'!O$29:O$75,0)),"")</f>
        <v>0</v>
      </c>
      <c r="H62" s="1341"/>
      <c r="I62" s="1342">
        <f t="shared" si="5"/>
        <v>4940133.5542941289</v>
      </c>
      <c r="J62" s="1343" t="s">
        <v>2989</v>
      </c>
      <c r="L62" s="973"/>
      <c r="M62" s="1341"/>
      <c r="N62" s="1341"/>
      <c r="O62" s="1342">
        <f t="shared" si="6"/>
        <v>0</v>
      </c>
      <c r="P62" s="1351"/>
      <c r="R62" s="329"/>
      <c r="S62" s="351"/>
      <c r="T62" s="351"/>
      <c r="U62" s="351"/>
      <c r="V62" s="351"/>
      <c r="W62" s="351"/>
    </row>
    <row r="63" spans="2:23" ht="83.25" customHeight="1" x14ac:dyDescent="0.2">
      <c r="B63" s="756" t="s">
        <v>2521</v>
      </c>
      <c r="C63" s="972" t="str">
        <f>IFERROR(INDEX('Cash Forecast_8A import-export'!A$29:A$75,MATCH('Cash Forecast_8A'!B63,'Cash Forecast_8A import-export'!O$29:O$75,0)),"")</f>
        <v>Treatment, care and support</v>
      </c>
      <c r="D63" s="1350" t="str">
        <f>IFERROR(INDEX('Cash Forecast_8A import-export'!B$29:B$75,MATCH('Cash Forecast_8A'!B63,'Cash Forecast_8A import-export'!O$29:O$75,0)),"")</f>
        <v>Treatment monitoring - Viral load</v>
      </c>
      <c r="E63" s="1326">
        <f>IFERROR(INDEX('Cash Forecast_8A import-export'!C$29:C$75,MATCH('Cash Forecast_8A'!B63,'Cash Forecast_8A import-export'!O$29:O$75,0)),"")</f>
        <v>702096.66134983895</v>
      </c>
      <c r="F63" s="1341">
        <v>1502999.048309936</v>
      </c>
      <c r="G63" s="1326">
        <f>IFERROR(INDEX('Cash Forecast_8A import-export'!E$29:E$75,MATCH('Cash Forecast_8A'!B63,'Cash Forecast_8A import-export'!O$29:O$75,0)),"")</f>
        <v>0</v>
      </c>
      <c r="H63" s="1341"/>
      <c r="I63" s="1342">
        <f t="shared" si="5"/>
        <v>1502999.048309936</v>
      </c>
      <c r="J63" s="1343" t="s">
        <v>2990</v>
      </c>
      <c r="L63" s="973"/>
      <c r="M63" s="1341"/>
      <c r="N63" s="1341"/>
      <c r="O63" s="1342">
        <f t="shared" si="6"/>
        <v>0</v>
      </c>
      <c r="P63" s="1351"/>
      <c r="R63" s="329"/>
      <c r="S63" s="351"/>
      <c r="T63" s="351"/>
      <c r="U63" s="351"/>
      <c r="V63" s="351"/>
      <c r="W63" s="351"/>
    </row>
    <row r="64" spans="2:23" ht="71.25" customHeight="1" x14ac:dyDescent="0.2">
      <c r="B64" s="756" t="s">
        <v>2523</v>
      </c>
      <c r="C64" s="972" t="str">
        <f>IFERROR(INDEX('Cash Forecast_8A import-export'!A$29:A$75,MATCH('Cash Forecast_8A'!B64,'Cash Forecast_8A import-export'!O$29:O$75,0)),"")</f>
        <v>Treatment, care and support</v>
      </c>
      <c r="D64" s="1350" t="str">
        <f>IFERROR(INDEX('Cash Forecast_8A import-export'!B$29:B$75,MATCH('Cash Forecast_8A'!B64,'Cash Forecast_8A import-export'!O$29:O$75,0)),"")</f>
        <v>Treatment monitoring - Drug resistance surveillance</v>
      </c>
      <c r="E64" s="1326">
        <f>IFERROR(INDEX('Cash Forecast_8A import-export'!C$29:C$75,MATCH('Cash Forecast_8A'!B64,'Cash Forecast_8A import-export'!O$29:O$75,0)),"")</f>
        <v>13712</v>
      </c>
      <c r="F64" s="1341">
        <v>19275.059025000002</v>
      </c>
      <c r="G64" s="1326">
        <f>IFERROR(INDEX('Cash Forecast_8A import-export'!E$29:E$75,MATCH('Cash Forecast_8A'!B64,'Cash Forecast_8A import-export'!O$29:O$75,0)),"")</f>
        <v>0</v>
      </c>
      <c r="H64" s="1341"/>
      <c r="I64" s="1342">
        <f t="shared" si="5"/>
        <v>19275.059025000002</v>
      </c>
      <c r="J64" s="1343" t="s">
        <v>2991</v>
      </c>
      <c r="L64" s="973"/>
      <c r="M64" s="1341"/>
      <c r="N64" s="1341"/>
      <c r="O64" s="1342">
        <f t="shared" si="6"/>
        <v>0</v>
      </c>
      <c r="P64" s="1351"/>
      <c r="R64" s="329"/>
      <c r="S64" s="351"/>
      <c r="T64" s="351"/>
      <c r="U64" s="351"/>
      <c r="V64" s="351"/>
      <c r="W64" s="351"/>
    </row>
    <row r="65" spans="2:23" ht="30" customHeight="1" x14ac:dyDescent="0.2">
      <c r="B65" s="756" t="s">
        <v>2525</v>
      </c>
      <c r="C65" s="972" t="str">
        <f>IFERROR(INDEX('Cash Forecast_8A import-export'!A$29:A$75,MATCH('Cash Forecast_8A'!B65,'Cash Forecast_8A import-export'!O$29:O$75,0)),"")</f>
        <v>Comprehensive prevention programs for sex workers and their clients</v>
      </c>
      <c r="D65" s="1350" t="str">
        <f>IFERROR(INDEX('Cash Forecast_8A import-export'!B$29:B$75,MATCH('Cash Forecast_8A'!B65,'Cash Forecast_8A import-export'!O$29:O$75,0)),"")</f>
        <v>HIV testing services for sex workers</v>
      </c>
      <c r="E65" s="1326">
        <f>IFERROR(INDEX('Cash Forecast_8A import-export'!C$29:C$75,MATCH('Cash Forecast_8A'!B65,'Cash Forecast_8A import-export'!O$29:O$75,0)),"")</f>
        <v>1009.38650881783</v>
      </c>
      <c r="F65" s="1341">
        <v>1009.3865088178318</v>
      </c>
      <c r="G65" s="1326">
        <f>IFERROR(INDEX('Cash Forecast_8A import-export'!E$29:E$75,MATCH('Cash Forecast_8A'!B65,'Cash Forecast_8A import-export'!O$29:O$75,0)),"")</f>
        <v>0</v>
      </c>
      <c r="H65" s="1341"/>
      <c r="I65" s="1342">
        <f t="shared" si="5"/>
        <v>1009.3865088178318</v>
      </c>
      <c r="J65" s="1343" t="s">
        <v>2960</v>
      </c>
      <c r="L65" s="973"/>
      <c r="M65" s="1341"/>
      <c r="N65" s="1341"/>
      <c r="O65" s="1342">
        <f t="shared" si="6"/>
        <v>0</v>
      </c>
      <c r="P65" s="1351"/>
      <c r="R65" s="329"/>
      <c r="S65" s="351"/>
      <c r="T65" s="351"/>
      <c r="U65" s="351"/>
      <c r="V65" s="351"/>
      <c r="W65" s="351"/>
    </row>
    <row r="66" spans="2:23" ht="45" customHeight="1" x14ac:dyDescent="0.2">
      <c r="B66" s="756" t="s">
        <v>2527</v>
      </c>
      <c r="C66" s="972" t="str">
        <f>IFERROR(INDEX('Cash Forecast_8A import-export'!A$29:A$75,MATCH('Cash Forecast_8A'!B66,'Cash Forecast_8A import-export'!O$29:O$75,0)),"")</f>
        <v>Prevention programs for general population</v>
      </c>
      <c r="D66" s="1350" t="str">
        <f>IFERROR(INDEX('Cash Forecast_8A import-export'!B$29:B$75,MATCH('Cash Forecast_8A'!B66,'Cash Forecast_8A import-export'!O$29:O$75,0)),"")</f>
        <v>Gender-based violence prevention and treatment programs for general population</v>
      </c>
      <c r="E66" s="1326">
        <f>IFERROR(INDEX('Cash Forecast_8A import-export'!C$29:C$75,MATCH('Cash Forecast_8A'!B66,'Cash Forecast_8A import-export'!O$29:O$75,0)),"")</f>
        <v>1851.6134684046899</v>
      </c>
      <c r="F66" s="1341">
        <v>3703.2269368093703</v>
      </c>
      <c r="G66" s="1326">
        <f>IFERROR(INDEX('Cash Forecast_8A import-export'!E$29:E$75,MATCH('Cash Forecast_8A'!B66,'Cash Forecast_8A import-export'!O$29:O$75,0)),"")</f>
        <v>0</v>
      </c>
      <c r="H66" s="1341"/>
      <c r="I66" s="1342">
        <f t="shared" si="5"/>
        <v>3703.2269368093703</v>
      </c>
      <c r="J66" s="1343" t="s">
        <v>2992</v>
      </c>
      <c r="L66" s="973"/>
      <c r="M66" s="1341"/>
      <c r="N66" s="1341"/>
      <c r="O66" s="1342">
        <f t="shared" si="6"/>
        <v>0</v>
      </c>
      <c r="P66" s="1351"/>
      <c r="R66" s="329"/>
      <c r="S66" s="351"/>
      <c r="T66" s="351"/>
      <c r="U66" s="351"/>
      <c r="V66" s="351"/>
      <c r="W66" s="351"/>
    </row>
    <row r="67" spans="2:23" ht="81.75" customHeight="1" x14ac:dyDescent="0.2">
      <c r="B67" s="756" t="s">
        <v>2529</v>
      </c>
      <c r="C67" s="972" t="str">
        <f>IFERROR(INDEX('Cash Forecast_8A import-export'!A$29:A$75,MATCH('Cash Forecast_8A'!B67,'Cash Forecast_8A import-export'!O$29:O$75,0)),"")</f>
        <v>MDR-TB</v>
      </c>
      <c r="D67" s="1350" t="str">
        <f>IFERROR(INDEX('Cash Forecast_8A import-export'!B$29:B$75,MATCH('Cash Forecast_8A'!B67,'Cash Forecast_8A import-export'!O$29:O$75,0)),"")</f>
        <v>Case detection and diagnosis: MDR-TB</v>
      </c>
      <c r="E67" s="1326">
        <f>IFERROR(INDEX('Cash Forecast_8A import-export'!C$29:C$75,MATCH('Cash Forecast_8A'!B67,'Cash Forecast_8A import-export'!O$29:O$75,0)),"")</f>
        <v>0</v>
      </c>
      <c r="F67" s="1341">
        <v>178124.4814727176</v>
      </c>
      <c r="G67" s="1326">
        <f>IFERROR(INDEX('Cash Forecast_8A import-export'!E$29:E$75,MATCH('Cash Forecast_8A'!B67,'Cash Forecast_8A import-export'!O$29:O$75,0)),"")</f>
        <v>0</v>
      </c>
      <c r="H67" s="1341"/>
      <c r="I67" s="1342">
        <f t="shared" si="5"/>
        <v>178124.4814727176</v>
      </c>
      <c r="J67" s="1343" t="s">
        <v>2993</v>
      </c>
      <c r="L67" s="973"/>
      <c r="M67" s="1341"/>
      <c r="N67" s="1341"/>
      <c r="O67" s="1342">
        <f t="shared" si="6"/>
        <v>0</v>
      </c>
      <c r="P67" s="1351"/>
      <c r="R67" s="329"/>
      <c r="S67" s="351"/>
      <c r="T67" s="351"/>
      <c r="U67" s="351"/>
      <c r="V67" s="351"/>
      <c r="W67" s="351"/>
    </row>
    <row r="68" spans="2:23" ht="65.25" customHeight="1" x14ac:dyDescent="0.2">
      <c r="B68" s="756" t="s">
        <v>2531</v>
      </c>
      <c r="C68" s="972" t="str">
        <f>IFERROR(INDEX('Cash Forecast_8A import-export'!A$29:A$75,MATCH('Cash Forecast_8A'!B68,'Cash Forecast_8A import-export'!O$29:O$75,0)),"")</f>
        <v>Comprehensive programs for people in prisons and other closed settings</v>
      </c>
      <c r="D68" s="1350" t="str">
        <f>IFERROR(INDEX('Cash Forecast_8A import-export'!B$29:B$75,MATCH('Cash Forecast_8A'!B68,'Cash Forecast_8A import-export'!O$29:O$75,0)),"")</f>
        <v>Condoms and lubricant programming for people in prisons and other closed settings</v>
      </c>
      <c r="E68" s="1326">
        <f>IFERROR(INDEX('Cash Forecast_8A import-export'!C$29:C$75,MATCH('Cash Forecast_8A'!B68,'Cash Forecast_8A import-export'!O$29:O$75,0)),"")</f>
        <v>11235.4601408</v>
      </c>
      <c r="F68" s="1341">
        <v>7724.8327948000006</v>
      </c>
      <c r="G68" s="1326">
        <f>IFERROR(INDEX('Cash Forecast_8A import-export'!E$29:E$75,MATCH('Cash Forecast_8A'!B68,'Cash Forecast_8A import-export'!O$29:O$75,0)),"")</f>
        <v>0</v>
      </c>
      <c r="H68" s="1341"/>
      <c r="I68" s="1342">
        <f t="shared" si="5"/>
        <v>7724.8327948000006</v>
      </c>
      <c r="J68" s="1343" t="s">
        <v>2994</v>
      </c>
      <c r="L68" s="973"/>
      <c r="M68" s="1341"/>
      <c r="N68" s="1341"/>
      <c r="O68" s="1342">
        <f t="shared" si="6"/>
        <v>0</v>
      </c>
      <c r="P68" s="1351"/>
      <c r="R68" s="329"/>
      <c r="S68" s="351"/>
      <c r="T68" s="351"/>
      <c r="U68" s="351"/>
      <c r="V68" s="351"/>
      <c r="W68" s="351"/>
    </row>
    <row r="69" spans="2:23" ht="84.75" customHeight="1" x14ac:dyDescent="0.2">
      <c r="B69" s="756" t="s">
        <v>2533</v>
      </c>
      <c r="C69" s="972" t="str">
        <f>IFERROR(INDEX('Cash Forecast_8A import-export'!A$29:A$75,MATCH('Cash Forecast_8A'!B69,'Cash Forecast_8A import-export'!O$29:O$75,0)),"")</f>
        <v>Comprehensive prevention programs for people who inject drugs (PWID) and their partners</v>
      </c>
      <c r="D69" s="1350" t="str">
        <f>IFERROR(INDEX('Cash Forecast_8A import-export'!B$29:B$75,MATCH('Cash Forecast_8A'!B69,'Cash Forecast_8A import-export'!O$29:O$75,0)),"")</f>
        <v>Condoms and lubricant programming for PWID</v>
      </c>
      <c r="E69" s="1326">
        <f>IFERROR(INDEX('Cash Forecast_8A import-export'!C$29:C$75,MATCH('Cash Forecast_8A'!B69,'Cash Forecast_8A import-export'!O$29:O$75,0)),"")</f>
        <v>511.34365100000002</v>
      </c>
      <c r="F69" s="1341">
        <v>725.38050000000044</v>
      </c>
      <c r="G69" s="1326">
        <f>IFERROR(INDEX('Cash Forecast_8A import-export'!E$29:E$75,MATCH('Cash Forecast_8A'!B69,'Cash Forecast_8A import-export'!O$29:O$75,0)),"")</f>
        <v>0</v>
      </c>
      <c r="H69" s="1341"/>
      <c r="I69" s="1342">
        <f t="shared" si="5"/>
        <v>725.38050000000044</v>
      </c>
      <c r="J69" s="1343" t="s">
        <v>2995</v>
      </c>
      <c r="L69" s="973"/>
      <c r="M69" s="1341"/>
      <c r="N69" s="1341"/>
      <c r="O69" s="1342">
        <f t="shared" si="6"/>
        <v>0</v>
      </c>
      <c r="P69" s="1351"/>
      <c r="R69" s="329"/>
      <c r="S69" s="351"/>
      <c r="T69" s="351"/>
      <c r="U69" s="351"/>
      <c r="V69" s="351"/>
      <c r="W69" s="351"/>
    </row>
    <row r="70" spans="2:23" ht="68.25" customHeight="1" x14ac:dyDescent="0.2">
      <c r="B70" s="756" t="s">
        <v>2535</v>
      </c>
      <c r="C70" s="972" t="str">
        <f>IFERROR(INDEX('Cash Forecast_8A import-export'!A$29:A$75,MATCH('Cash Forecast_8A'!B70,'Cash Forecast_8A import-export'!O$29:O$75,0)),"")</f>
        <v>Prevention programs for adolescents and youth, in and out of school</v>
      </c>
      <c r="D70" s="1350" t="str">
        <f>IFERROR(INDEX('Cash Forecast_8A import-export'!B$29:B$75,MATCH('Cash Forecast_8A'!B70,'Cash Forecast_8A import-export'!O$29:O$75,0)),"")</f>
        <v>Male and Female condoms for adolescents and youth, in and out of school</v>
      </c>
      <c r="E70" s="1326">
        <f>IFERROR(INDEX('Cash Forecast_8A import-export'!C$29:C$75,MATCH('Cash Forecast_8A'!B70,'Cash Forecast_8A import-export'!O$29:O$75,0)),"")</f>
        <v>122949.97656048</v>
      </c>
      <c r="F70" s="1341">
        <v>179517.31956047998</v>
      </c>
      <c r="G70" s="1326">
        <f>IFERROR(INDEX('Cash Forecast_8A import-export'!E$29:E$75,MATCH('Cash Forecast_8A'!B70,'Cash Forecast_8A import-export'!O$29:O$75,0)),"")</f>
        <v>0</v>
      </c>
      <c r="H70" s="1341"/>
      <c r="I70" s="1342">
        <f t="shared" si="5"/>
        <v>179517.31956047998</v>
      </c>
      <c r="J70" s="1343" t="s">
        <v>2996</v>
      </c>
      <c r="L70" s="973"/>
      <c r="M70" s="1341"/>
      <c r="N70" s="1341"/>
      <c r="O70" s="1342">
        <f t="shared" si="6"/>
        <v>0</v>
      </c>
      <c r="P70" s="1351"/>
      <c r="R70" s="329"/>
      <c r="S70" s="351"/>
      <c r="T70" s="351"/>
      <c r="U70" s="351"/>
      <c r="V70" s="351"/>
      <c r="W70" s="351"/>
    </row>
    <row r="71" spans="2:23" ht="59.25" customHeight="1" x14ac:dyDescent="0.2">
      <c r="B71" s="756" t="s">
        <v>2537</v>
      </c>
      <c r="C71" s="972" t="str">
        <f>IFERROR(INDEX('Cash Forecast_8A import-export'!A$29:A$75,MATCH('Cash Forecast_8A'!B71,'Cash Forecast_8A import-export'!O$29:O$75,0)),"")</f>
        <v>Prevention programs for other vulnerable populations</v>
      </c>
      <c r="D71" s="1350" t="str">
        <f>IFERROR(INDEX('Cash Forecast_8A import-export'!B$29:B$75,MATCH('Cash Forecast_8A'!B71,'Cash Forecast_8A import-export'!O$29:O$75,0)),"")</f>
        <v>Male and female condoms for other vulnerable populations</v>
      </c>
      <c r="E71" s="1326">
        <f>IFERROR(INDEX('Cash Forecast_8A import-export'!C$29:C$75,MATCH('Cash Forecast_8A'!B71,'Cash Forecast_8A import-export'!O$29:O$75,0)),"")</f>
        <v>22079.126408920001</v>
      </c>
      <c r="F71" s="1341">
        <v>32267.871852920005</v>
      </c>
      <c r="G71" s="1326">
        <f>IFERROR(INDEX('Cash Forecast_8A import-export'!E$29:E$75,MATCH('Cash Forecast_8A'!B71,'Cash Forecast_8A import-export'!O$29:O$75,0)),"")</f>
        <v>0</v>
      </c>
      <c r="H71" s="1341"/>
      <c r="I71" s="1342">
        <f t="shared" si="5"/>
        <v>32267.871852920005</v>
      </c>
      <c r="J71" s="1343" t="s">
        <v>2997</v>
      </c>
      <c r="L71" s="973"/>
      <c r="M71" s="1341"/>
      <c r="N71" s="1341"/>
      <c r="O71" s="1342">
        <f t="shared" si="6"/>
        <v>0</v>
      </c>
      <c r="P71" s="1351"/>
      <c r="R71" s="329"/>
      <c r="S71" s="351"/>
      <c r="T71" s="351"/>
      <c r="U71" s="351"/>
      <c r="V71" s="351"/>
      <c r="W71" s="351"/>
    </row>
    <row r="72" spans="2:23" ht="18" customHeight="1" x14ac:dyDescent="0.2">
      <c r="B72" s="756" t="s">
        <v>2539</v>
      </c>
      <c r="C72" s="972" t="str">
        <f>IFERROR(INDEX('Cash Forecast_8A import-export'!A$29:A$75,MATCH('Cash Forecast_8A'!B72,'Cash Forecast_8A import-export'!O$29:O$75,0)),"")</f>
        <v/>
      </c>
      <c r="D72" s="1350" t="str">
        <f>IFERROR(INDEX('Cash Forecast_8A import-export'!B$29:B$75,MATCH('Cash Forecast_8A'!B72,'Cash Forecast_8A import-export'!O$29:O$75,0)),"")</f>
        <v/>
      </c>
      <c r="E72" s="1326" t="str">
        <f>IFERROR(INDEX('Cash Forecast_8A import-export'!C$29:C$75,MATCH('Cash Forecast_8A'!B72,'Cash Forecast_8A import-export'!O$29:O$75,0)),"")</f>
        <v/>
      </c>
      <c r="F72" s="1341"/>
      <c r="G72" s="1326" t="str">
        <f>IFERROR(INDEX('Cash Forecast_8A import-export'!E$29:E$75,MATCH('Cash Forecast_8A'!B72,'Cash Forecast_8A import-export'!O$29:O$75,0)),"")</f>
        <v/>
      </c>
      <c r="H72" s="1341"/>
      <c r="I72" s="1342">
        <f t="shared" si="5"/>
        <v>0</v>
      </c>
      <c r="J72" s="1343"/>
      <c r="L72" s="973"/>
      <c r="M72" s="1341"/>
      <c r="N72" s="1341"/>
      <c r="O72" s="1342">
        <f t="shared" si="6"/>
        <v>0</v>
      </c>
      <c r="P72" s="1351"/>
      <c r="R72" s="329"/>
      <c r="S72" s="351"/>
      <c r="T72" s="351"/>
      <c r="U72" s="351"/>
      <c r="V72" s="351"/>
      <c r="W72" s="351"/>
    </row>
    <row r="73" spans="2:23" ht="18" customHeight="1" x14ac:dyDescent="0.2">
      <c r="B73" s="756" t="s">
        <v>2540</v>
      </c>
      <c r="C73" s="972" t="str">
        <f>IFERROR(INDEX('Cash Forecast_8A import-export'!A$29:A$75,MATCH('Cash Forecast_8A'!B73,'Cash Forecast_8A import-export'!O$29:O$75,0)),"")</f>
        <v/>
      </c>
      <c r="D73" s="1350" t="str">
        <f>IFERROR(INDEX('Cash Forecast_8A import-export'!B$29:B$75,MATCH('Cash Forecast_8A'!B73,'Cash Forecast_8A import-export'!O$29:O$75,0)),"")</f>
        <v/>
      </c>
      <c r="E73" s="1326" t="str">
        <f>IFERROR(INDEX('Cash Forecast_8A import-export'!C$29:C$75,MATCH('Cash Forecast_8A'!B73,'Cash Forecast_8A import-export'!O$29:O$75,0)),"")</f>
        <v/>
      </c>
      <c r="F73" s="1341"/>
      <c r="G73" s="1326" t="str">
        <f>IFERROR(INDEX('Cash Forecast_8A import-export'!E$29:E$75,MATCH('Cash Forecast_8A'!B73,'Cash Forecast_8A import-export'!O$29:O$75,0)),"")</f>
        <v/>
      </c>
      <c r="H73" s="1341"/>
      <c r="I73" s="1342">
        <f t="shared" si="5"/>
        <v>0</v>
      </c>
      <c r="J73" s="1343"/>
      <c r="L73" s="973"/>
      <c r="M73" s="1341"/>
      <c r="N73" s="1341"/>
      <c r="O73" s="1342">
        <f t="shared" si="6"/>
        <v>0</v>
      </c>
      <c r="P73" s="1351"/>
      <c r="R73" s="329"/>
      <c r="S73" s="351"/>
      <c r="T73" s="351"/>
      <c r="U73" s="351"/>
      <c r="V73" s="351"/>
      <c r="W73" s="351"/>
    </row>
    <row r="74" spans="2:23" ht="18" customHeight="1" x14ac:dyDescent="0.2">
      <c r="B74" s="756" t="s">
        <v>2541</v>
      </c>
      <c r="C74" s="972" t="str">
        <f>IFERROR(INDEX('Cash Forecast_8A import-export'!A$29:A$75,MATCH('Cash Forecast_8A'!B74,'Cash Forecast_8A import-export'!O$29:O$75,0)),"")</f>
        <v/>
      </c>
      <c r="D74" s="1350" t="str">
        <f>IFERROR(INDEX('Cash Forecast_8A import-export'!B$29:B$75,MATCH('Cash Forecast_8A'!B74,'Cash Forecast_8A import-export'!O$29:O$75,0)),"")</f>
        <v/>
      </c>
      <c r="E74" s="1326" t="str">
        <f>IFERROR(INDEX('Cash Forecast_8A import-export'!C$29:C$75,MATCH('Cash Forecast_8A'!B74,'Cash Forecast_8A import-export'!O$29:O$75,0)),"")</f>
        <v/>
      </c>
      <c r="F74" s="1341"/>
      <c r="G74" s="1326" t="str">
        <f>IFERROR(INDEX('Cash Forecast_8A import-export'!E$29:E$75,MATCH('Cash Forecast_8A'!B74,'Cash Forecast_8A import-export'!O$29:O$75,0)),"")</f>
        <v/>
      </c>
      <c r="H74" s="1341"/>
      <c r="I74" s="1342">
        <f t="shared" si="5"/>
        <v>0</v>
      </c>
      <c r="J74" s="1343"/>
      <c r="L74" s="973"/>
      <c r="M74" s="1341"/>
      <c r="N74" s="1341"/>
      <c r="O74" s="1342">
        <f t="shared" si="6"/>
        <v>0</v>
      </c>
      <c r="P74" s="1351"/>
      <c r="R74" s="329"/>
      <c r="S74" s="351"/>
      <c r="T74" s="351"/>
      <c r="U74" s="351"/>
      <c r="V74" s="351"/>
      <c r="W74" s="351"/>
    </row>
    <row r="75" spans="2:23" ht="18" customHeight="1" x14ac:dyDescent="0.2">
      <c r="B75" s="756" t="s">
        <v>2542</v>
      </c>
      <c r="C75" s="972" t="str">
        <f>IFERROR(INDEX('Cash Forecast_8A import-export'!A$29:A$75,MATCH('Cash Forecast_8A'!B75,'Cash Forecast_8A import-export'!O$29:O$75,0)),"")</f>
        <v/>
      </c>
      <c r="D75" s="1350" t="str">
        <f>IFERROR(INDEX('Cash Forecast_8A import-export'!B$29:B$75,MATCH('Cash Forecast_8A'!B75,'Cash Forecast_8A import-export'!O$29:O$75,0)),"")</f>
        <v/>
      </c>
      <c r="E75" s="1326" t="str">
        <f>IFERROR(INDEX('Cash Forecast_8A import-export'!C$29:C$75,MATCH('Cash Forecast_8A'!B75,'Cash Forecast_8A import-export'!O$29:O$75,0)),"")</f>
        <v/>
      </c>
      <c r="F75" s="1341"/>
      <c r="G75" s="1326" t="str">
        <f>IFERROR(INDEX('Cash Forecast_8A import-export'!E$29:E$75,MATCH('Cash Forecast_8A'!B75,'Cash Forecast_8A import-export'!O$29:O$75,0)),"")</f>
        <v/>
      </c>
      <c r="H75" s="1341"/>
      <c r="I75" s="1342">
        <f t="shared" si="5"/>
        <v>0</v>
      </c>
      <c r="J75" s="1343"/>
      <c r="L75" s="973"/>
      <c r="M75" s="1341"/>
      <c r="N75" s="1341"/>
      <c r="O75" s="1342">
        <f t="shared" si="6"/>
        <v>0</v>
      </c>
      <c r="P75" s="1351"/>
      <c r="R75" s="329"/>
      <c r="S75" s="351"/>
      <c r="T75" s="351"/>
      <c r="U75" s="351"/>
      <c r="V75" s="351"/>
      <c r="W75" s="351"/>
    </row>
    <row r="76" spans="2:23" ht="18" customHeight="1" x14ac:dyDescent="0.2">
      <c r="B76" s="756" t="s">
        <v>2543</v>
      </c>
      <c r="C76" s="972" t="str">
        <f>IFERROR(INDEX('Cash Forecast_8A import-export'!A$29:A$75,MATCH('Cash Forecast_8A'!B76,'Cash Forecast_8A import-export'!O$29:O$75,0)),"")</f>
        <v/>
      </c>
      <c r="D76" s="1350" t="str">
        <f>IFERROR(INDEX('Cash Forecast_8A import-export'!B$29:B$75,MATCH('Cash Forecast_8A'!B76,'Cash Forecast_8A import-export'!O$29:O$75,0)),"")</f>
        <v/>
      </c>
      <c r="E76" s="1326" t="str">
        <f>IFERROR(INDEX('Cash Forecast_8A import-export'!C$29:C$75,MATCH('Cash Forecast_8A'!B76,'Cash Forecast_8A import-export'!O$29:O$75,0)),"")</f>
        <v/>
      </c>
      <c r="F76" s="1341"/>
      <c r="G76" s="1326" t="str">
        <f>IFERROR(INDEX('Cash Forecast_8A import-export'!E$29:E$75,MATCH('Cash Forecast_8A'!B76,'Cash Forecast_8A import-export'!O$29:O$75,0)),"")</f>
        <v/>
      </c>
      <c r="H76" s="1341"/>
      <c r="I76" s="1342">
        <f t="shared" si="5"/>
        <v>0</v>
      </c>
      <c r="J76" s="1343"/>
      <c r="L76" s="973"/>
      <c r="M76" s="1341"/>
      <c r="N76" s="1341"/>
      <c r="O76" s="1342">
        <f t="shared" si="6"/>
        <v>0</v>
      </c>
      <c r="P76" s="1351"/>
      <c r="R76" s="329"/>
      <c r="S76" s="351"/>
      <c r="T76" s="351"/>
      <c r="U76" s="351"/>
      <c r="V76" s="351"/>
      <c r="W76" s="351"/>
    </row>
    <row r="77" spans="2:23" ht="18" customHeight="1" x14ac:dyDescent="0.2">
      <c r="B77" s="756" t="s">
        <v>2544</v>
      </c>
      <c r="C77" s="972" t="str">
        <f>IFERROR(INDEX('Cash Forecast_8A import-export'!A$29:A$75,MATCH('Cash Forecast_8A'!B77,'Cash Forecast_8A import-export'!O$29:O$75,0)),"")</f>
        <v/>
      </c>
      <c r="D77" s="1350" t="str">
        <f>IFERROR(INDEX('Cash Forecast_8A import-export'!B$29:B$75,MATCH('Cash Forecast_8A'!B77,'Cash Forecast_8A import-export'!O$29:O$75,0)),"")</f>
        <v/>
      </c>
      <c r="E77" s="1326" t="str">
        <f>IFERROR(INDEX('Cash Forecast_8A import-export'!C$29:C$75,MATCH('Cash Forecast_8A'!B77,'Cash Forecast_8A import-export'!O$29:O$75,0)),"")</f>
        <v/>
      </c>
      <c r="F77" s="1341"/>
      <c r="G77" s="1326" t="str">
        <f>IFERROR(INDEX('Cash Forecast_8A import-export'!E$29:E$75,MATCH('Cash Forecast_8A'!B77,'Cash Forecast_8A import-export'!O$29:O$75,0)),"")</f>
        <v/>
      </c>
      <c r="H77" s="1341"/>
      <c r="I77" s="1342">
        <f t="shared" si="5"/>
        <v>0</v>
      </c>
      <c r="J77" s="1343"/>
      <c r="L77" s="973"/>
      <c r="M77" s="1341"/>
      <c r="N77" s="1341"/>
      <c r="O77" s="1342">
        <f t="shared" si="6"/>
        <v>0</v>
      </c>
      <c r="P77" s="1351"/>
      <c r="R77" s="329"/>
      <c r="S77" s="351"/>
      <c r="T77" s="351"/>
      <c r="U77" s="351"/>
      <c r="V77" s="351"/>
      <c r="W77" s="351"/>
    </row>
    <row r="78" spans="2:23" ht="18" customHeight="1" x14ac:dyDescent="0.2">
      <c r="B78" s="756" t="s">
        <v>2545</v>
      </c>
      <c r="C78" s="972" t="str">
        <f>IFERROR(INDEX('Cash Forecast_8A import-export'!A$29:A$75,MATCH('Cash Forecast_8A'!B78,'Cash Forecast_8A import-export'!O$29:O$75,0)),"")</f>
        <v/>
      </c>
      <c r="D78" s="1350" t="str">
        <f>IFERROR(INDEX('Cash Forecast_8A import-export'!B$29:B$75,MATCH('Cash Forecast_8A'!B78,'Cash Forecast_8A import-export'!O$29:O$75,0)),"")</f>
        <v/>
      </c>
      <c r="E78" s="1326" t="str">
        <f>IFERROR(INDEX('Cash Forecast_8A import-export'!C$29:C$75,MATCH('Cash Forecast_8A'!B78,'Cash Forecast_8A import-export'!O$29:O$75,0)),"")</f>
        <v/>
      </c>
      <c r="F78" s="1341"/>
      <c r="G78" s="1326" t="str">
        <f>IFERROR(INDEX('Cash Forecast_8A import-export'!E$29:E$75,MATCH('Cash Forecast_8A'!B78,'Cash Forecast_8A import-export'!O$29:O$75,0)),"")</f>
        <v/>
      </c>
      <c r="H78" s="1341"/>
      <c r="I78" s="1342">
        <f t="shared" si="5"/>
        <v>0</v>
      </c>
      <c r="J78" s="1343"/>
      <c r="L78" s="973"/>
      <c r="M78" s="1341"/>
      <c r="N78" s="1341"/>
      <c r="O78" s="1342">
        <f t="shared" si="6"/>
        <v>0</v>
      </c>
      <c r="P78" s="1351"/>
      <c r="R78" s="329"/>
      <c r="S78" s="351"/>
      <c r="T78" s="351"/>
      <c r="U78" s="351"/>
      <c r="V78" s="351"/>
      <c r="W78" s="351"/>
    </row>
    <row r="79" spans="2:23" ht="18" customHeight="1" x14ac:dyDescent="0.2">
      <c r="B79" s="756" t="s">
        <v>2546</v>
      </c>
      <c r="C79" s="972" t="str">
        <f>IFERROR(INDEX('Cash Forecast_8A import-export'!A$29:A$75,MATCH('Cash Forecast_8A'!B79,'Cash Forecast_8A import-export'!O$29:O$75,0)),"")</f>
        <v/>
      </c>
      <c r="D79" s="1350" t="str">
        <f>IFERROR(INDEX('Cash Forecast_8A import-export'!B$29:B$75,MATCH('Cash Forecast_8A'!B79,'Cash Forecast_8A import-export'!O$29:O$75,0)),"")</f>
        <v/>
      </c>
      <c r="E79" s="1326" t="str">
        <f>IFERROR(INDEX('Cash Forecast_8A import-export'!C$29:C$75,MATCH('Cash Forecast_8A'!B79,'Cash Forecast_8A import-export'!O$29:O$75,0)),"")</f>
        <v/>
      </c>
      <c r="F79" s="1341"/>
      <c r="G79" s="1326" t="str">
        <f>IFERROR(INDEX('Cash Forecast_8A import-export'!E$29:E$75,MATCH('Cash Forecast_8A'!B79,'Cash Forecast_8A import-export'!O$29:O$75,0)),"")</f>
        <v/>
      </c>
      <c r="H79" s="1341"/>
      <c r="I79" s="1342">
        <f t="shared" si="5"/>
        <v>0</v>
      </c>
      <c r="J79" s="1343"/>
      <c r="L79" s="973"/>
      <c r="M79" s="1341"/>
      <c r="N79" s="1341"/>
      <c r="O79" s="1342">
        <f t="shared" si="6"/>
        <v>0</v>
      </c>
      <c r="P79" s="1351"/>
      <c r="R79" s="329"/>
      <c r="S79" s="351"/>
      <c r="T79" s="351"/>
      <c r="U79" s="351"/>
      <c r="V79" s="351"/>
      <c r="W79" s="351"/>
    </row>
    <row r="80" spans="2:23" ht="18" customHeight="1" x14ac:dyDescent="0.2">
      <c r="B80" s="756" t="s">
        <v>2547</v>
      </c>
      <c r="C80" s="972" t="str">
        <f>IFERROR(INDEX('Cash Forecast_8A import-export'!A$29:A$75,MATCH('Cash Forecast_8A'!B80,'Cash Forecast_8A import-export'!O$29:O$75,0)),"")</f>
        <v/>
      </c>
      <c r="D80" s="1350" t="str">
        <f>IFERROR(INDEX('Cash Forecast_8A import-export'!B$29:B$75,MATCH('Cash Forecast_8A'!B80,'Cash Forecast_8A import-export'!O$29:O$75,0)),"")</f>
        <v/>
      </c>
      <c r="E80" s="1326" t="str">
        <f>IFERROR(INDEX('Cash Forecast_8A import-export'!C$29:C$75,MATCH('Cash Forecast_8A'!B80,'Cash Forecast_8A import-export'!O$29:O$75,0)),"")</f>
        <v/>
      </c>
      <c r="F80" s="1341"/>
      <c r="G80" s="1326" t="str">
        <f>IFERROR(INDEX('Cash Forecast_8A import-export'!E$29:E$75,MATCH('Cash Forecast_8A'!B80,'Cash Forecast_8A import-export'!O$29:O$75,0)),"")</f>
        <v/>
      </c>
      <c r="H80" s="1341"/>
      <c r="I80" s="1342">
        <f t="shared" si="5"/>
        <v>0</v>
      </c>
      <c r="J80" s="1343"/>
      <c r="L80" s="973"/>
      <c r="M80" s="1341"/>
      <c r="N80" s="1341"/>
      <c r="O80" s="1342">
        <f t="shared" si="6"/>
        <v>0</v>
      </c>
      <c r="P80" s="1351"/>
      <c r="R80" s="329"/>
      <c r="S80" s="351"/>
      <c r="T80" s="351"/>
      <c r="U80" s="351"/>
      <c r="V80" s="351"/>
      <c r="W80" s="351"/>
    </row>
    <row r="81" spans="2:23" ht="18" customHeight="1" x14ac:dyDescent="0.2">
      <c r="B81" s="756" t="s">
        <v>2548</v>
      </c>
      <c r="C81" s="972" t="str">
        <f>IFERROR(INDEX('Cash Forecast_8A import-export'!A$29:A$75,MATCH('Cash Forecast_8A'!B81,'Cash Forecast_8A import-export'!O$29:O$75,0)),"")</f>
        <v/>
      </c>
      <c r="D81" s="1350" t="str">
        <f>IFERROR(INDEX('Cash Forecast_8A import-export'!B$29:B$75,MATCH('Cash Forecast_8A'!B81,'Cash Forecast_8A import-export'!O$29:O$75,0)),"")</f>
        <v/>
      </c>
      <c r="E81" s="1326" t="str">
        <f>IFERROR(INDEX('Cash Forecast_8A import-export'!C$29:C$75,MATCH('Cash Forecast_8A'!B81,'Cash Forecast_8A import-export'!O$29:O$75,0)),"")</f>
        <v/>
      </c>
      <c r="F81" s="1341"/>
      <c r="G81" s="1326" t="str">
        <f>IFERROR(INDEX('Cash Forecast_8A import-export'!E$29:E$75,MATCH('Cash Forecast_8A'!B81,'Cash Forecast_8A import-export'!O$29:O$75,0)),"")</f>
        <v/>
      </c>
      <c r="H81" s="1341"/>
      <c r="I81" s="1342">
        <f t="shared" si="5"/>
        <v>0</v>
      </c>
      <c r="J81" s="1343"/>
      <c r="L81" s="973"/>
      <c r="M81" s="1341"/>
      <c r="N81" s="1341"/>
      <c r="O81" s="1342">
        <f t="shared" si="6"/>
        <v>0</v>
      </c>
      <c r="P81" s="1351"/>
      <c r="R81" s="329"/>
      <c r="S81" s="351"/>
      <c r="T81" s="351"/>
      <c r="U81" s="351"/>
      <c r="V81" s="351"/>
      <c r="W81" s="351"/>
    </row>
    <row r="82" spans="2:23" ht="18" customHeight="1" x14ac:dyDescent="0.2">
      <c r="B82" s="756" t="s">
        <v>2549</v>
      </c>
      <c r="C82" s="972" t="str">
        <f>IFERROR(INDEX('Cash Forecast_8A import-export'!A$29:A$75,MATCH('Cash Forecast_8A'!B82,'Cash Forecast_8A import-export'!O$29:O$75,0)),"")</f>
        <v/>
      </c>
      <c r="D82" s="1350" t="str">
        <f>IFERROR(INDEX('Cash Forecast_8A import-export'!B$29:B$75,MATCH('Cash Forecast_8A'!B82,'Cash Forecast_8A import-export'!O$29:O$75,0)),"")</f>
        <v/>
      </c>
      <c r="E82" s="1326" t="str">
        <f>IFERROR(INDEX('Cash Forecast_8A import-export'!C$29:C$75,MATCH('Cash Forecast_8A'!B82,'Cash Forecast_8A import-export'!O$29:O$75,0)),"")</f>
        <v/>
      </c>
      <c r="F82" s="1341"/>
      <c r="G82" s="1326" t="str">
        <f>IFERROR(INDEX('Cash Forecast_8A import-export'!E$29:E$75,MATCH('Cash Forecast_8A'!B82,'Cash Forecast_8A import-export'!O$29:O$75,0)),"")</f>
        <v/>
      </c>
      <c r="H82" s="1341"/>
      <c r="I82" s="1342">
        <f t="shared" si="5"/>
        <v>0</v>
      </c>
      <c r="J82" s="1343"/>
      <c r="L82" s="973"/>
      <c r="M82" s="1341"/>
      <c r="N82" s="1341"/>
      <c r="O82" s="1342">
        <f t="shared" si="6"/>
        <v>0</v>
      </c>
      <c r="P82" s="1351"/>
      <c r="R82" s="329"/>
      <c r="S82" s="351"/>
      <c r="T82" s="351"/>
      <c r="U82" s="351"/>
      <c r="V82" s="351"/>
      <c r="W82" s="351"/>
    </row>
    <row r="83" spans="2:23" ht="18" customHeight="1" x14ac:dyDescent="0.2">
      <c r="B83" s="756" t="s">
        <v>2550</v>
      </c>
      <c r="C83" s="972" t="str">
        <f>IFERROR(INDEX('Cash Forecast_8A import-export'!A$29:A$75,MATCH('Cash Forecast_8A'!B83,'Cash Forecast_8A import-export'!O$29:O$75,0)),"")</f>
        <v/>
      </c>
      <c r="D83" s="1350" t="str">
        <f>IFERROR(INDEX('Cash Forecast_8A import-export'!B$29:B$75,MATCH('Cash Forecast_8A'!B83,'Cash Forecast_8A import-export'!O$29:O$75,0)),"")</f>
        <v/>
      </c>
      <c r="E83" s="1326" t="str">
        <f>IFERROR(INDEX('Cash Forecast_8A import-export'!C$29:C$75,MATCH('Cash Forecast_8A'!B83,'Cash Forecast_8A import-export'!O$29:O$75,0)),"")</f>
        <v/>
      </c>
      <c r="F83" s="1341"/>
      <c r="G83" s="1326" t="str">
        <f>IFERROR(INDEX('Cash Forecast_8A import-export'!E$29:E$75,MATCH('Cash Forecast_8A'!B83,'Cash Forecast_8A import-export'!O$29:O$75,0)),"")</f>
        <v/>
      </c>
      <c r="H83" s="1341"/>
      <c r="I83" s="1342">
        <f t="shared" si="5"/>
        <v>0</v>
      </c>
      <c r="J83" s="1343"/>
      <c r="L83" s="973"/>
      <c r="M83" s="1341"/>
      <c r="N83" s="1341"/>
      <c r="O83" s="1342">
        <f t="shared" si="6"/>
        <v>0</v>
      </c>
      <c r="P83" s="1351"/>
      <c r="R83" s="329"/>
      <c r="S83" s="351"/>
      <c r="T83" s="351"/>
      <c r="U83" s="351"/>
      <c r="V83" s="351"/>
      <c r="W83" s="351"/>
    </row>
    <row r="84" spans="2:23" ht="18" customHeight="1" x14ac:dyDescent="0.2">
      <c r="B84" s="756" t="s">
        <v>2551</v>
      </c>
      <c r="C84" s="972" t="str">
        <f>IFERROR(INDEX('Cash Forecast_8A import-export'!A$29:A$75,MATCH('Cash Forecast_8A'!B84,'Cash Forecast_8A import-export'!O$29:O$75,0)),"")</f>
        <v/>
      </c>
      <c r="D84" s="1350" t="str">
        <f>IFERROR(INDEX('Cash Forecast_8A import-export'!B$29:B$75,MATCH('Cash Forecast_8A'!B84,'Cash Forecast_8A import-export'!O$29:O$75,0)),"")</f>
        <v/>
      </c>
      <c r="E84" s="1326" t="str">
        <f>IFERROR(INDEX('Cash Forecast_8A import-export'!C$29:C$75,MATCH('Cash Forecast_8A'!B84,'Cash Forecast_8A import-export'!O$29:O$75,0)),"")</f>
        <v/>
      </c>
      <c r="F84" s="1341"/>
      <c r="G84" s="1326" t="str">
        <f>IFERROR(INDEX('Cash Forecast_8A import-export'!E$29:E$75,MATCH('Cash Forecast_8A'!B84,'Cash Forecast_8A import-export'!O$29:O$75,0)),"")</f>
        <v/>
      </c>
      <c r="H84" s="1341"/>
      <c r="I84" s="1342">
        <f t="shared" si="5"/>
        <v>0</v>
      </c>
      <c r="J84" s="1343"/>
      <c r="L84" s="973"/>
      <c r="M84" s="1341"/>
      <c r="N84" s="1341"/>
      <c r="O84" s="1342">
        <f t="shared" si="6"/>
        <v>0</v>
      </c>
      <c r="P84" s="1351"/>
      <c r="R84" s="329"/>
      <c r="S84" s="351"/>
      <c r="T84" s="351"/>
      <c r="U84" s="351"/>
      <c r="V84" s="351"/>
      <c r="W84" s="351"/>
    </row>
    <row r="85" spans="2:23" ht="18" customHeight="1" x14ac:dyDescent="0.2">
      <c r="B85" s="756" t="s">
        <v>2552</v>
      </c>
      <c r="C85" s="972" t="str">
        <f>IFERROR(INDEX('Cash Forecast_8A import-export'!A$29:A$75,MATCH('Cash Forecast_8A'!B85,'Cash Forecast_8A import-export'!O$29:O$75,0)),"")</f>
        <v/>
      </c>
      <c r="D85" s="1350" t="str">
        <f>IFERROR(INDEX('Cash Forecast_8A import-export'!B$29:B$75,MATCH('Cash Forecast_8A'!B85,'Cash Forecast_8A import-export'!O$29:O$75,0)),"")</f>
        <v/>
      </c>
      <c r="E85" s="1326" t="str">
        <f>IFERROR(INDEX('Cash Forecast_8A import-export'!C$29:C$75,MATCH('Cash Forecast_8A'!B85,'Cash Forecast_8A import-export'!O$29:O$75,0)),"")</f>
        <v/>
      </c>
      <c r="F85" s="1341"/>
      <c r="G85" s="1326" t="str">
        <f>IFERROR(INDEX('Cash Forecast_8A import-export'!E$29:E$75,MATCH('Cash Forecast_8A'!B85,'Cash Forecast_8A import-export'!O$29:O$75,0)),"")</f>
        <v/>
      </c>
      <c r="H85" s="1341"/>
      <c r="I85" s="1342">
        <f t="shared" si="5"/>
        <v>0</v>
      </c>
      <c r="J85" s="1343"/>
      <c r="L85" s="973"/>
      <c r="M85" s="1341"/>
      <c r="N85" s="1341"/>
      <c r="O85" s="1342">
        <f t="shared" si="6"/>
        <v>0</v>
      </c>
      <c r="P85" s="1351"/>
      <c r="R85" s="329"/>
      <c r="S85" s="351"/>
      <c r="T85" s="351"/>
      <c r="U85" s="351"/>
      <c r="V85" s="351"/>
      <c r="W85" s="351"/>
    </row>
    <row r="86" spans="2:23" ht="18" customHeight="1" x14ac:dyDescent="0.2">
      <c r="B86" s="756" t="s">
        <v>2553</v>
      </c>
      <c r="C86" s="972" t="str">
        <f>IFERROR(INDEX('Cash Forecast_8A import-export'!A$29:A$75,MATCH('Cash Forecast_8A'!B86,'Cash Forecast_8A import-export'!O$29:O$75,0)),"")</f>
        <v/>
      </c>
      <c r="D86" s="1350" t="str">
        <f>IFERROR(INDEX('Cash Forecast_8A import-export'!B$29:B$75,MATCH('Cash Forecast_8A'!B86,'Cash Forecast_8A import-export'!O$29:O$75,0)),"")</f>
        <v/>
      </c>
      <c r="E86" s="1326" t="str">
        <f>IFERROR(INDEX('Cash Forecast_8A import-export'!C$29:C$75,MATCH('Cash Forecast_8A'!B86,'Cash Forecast_8A import-export'!O$29:O$75,0)),"")</f>
        <v/>
      </c>
      <c r="F86" s="1341"/>
      <c r="G86" s="1326" t="str">
        <f>IFERROR(INDEX('Cash Forecast_8A import-export'!E$29:E$75,MATCH('Cash Forecast_8A'!B86,'Cash Forecast_8A import-export'!O$29:O$75,0)),"")</f>
        <v/>
      </c>
      <c r="H86" s="1341"/>
      <c r="I86" s="1342">
        <f t="shared" si="5"/>
        <v>0</v>
      </c>
      <c r="J86" s="1343"/>
      <c r="L86" s="973"/>
      <c r="M86" s="1341"/>
      <c r="N86" s="1341"/>
      <c r="O86" s="1342">
        <f t="shared" si="6"/>
        <v>0</v>
      </c>
      <c r="P86" s="1351"/>
      <c r="R86" s="329"/>
      <c r="S86" s="351"/>
      <c r="T86" s="351"/>
      <c r="U86" s="351"/>
      <c r="V86" s="351"/>
      <c r="W86" s="351"/>
    </row>
    <row r="87" spans="2:23" ht="18" customHeight="1" x14ac:dyDescent="0.2">
      <c r="B87" s="756" t="s">
        <v>2554</v>
      </c>
      <c r="C87" s="972" t="str">
        <f>IFERROR(INDEX('Cash Forecast_8A import-export'!A$29:A$75,MATCH('Cash Forecast_8A'!B87,'Cash Forecast_8A import-export'!O$29:O$75,0)),"")</f>
        <v/>
      </c>
      <c r="D87" s="1350" t="str">
        <f>IFERROR(INDEX('Cash Forecast_8A import-export'!B$29:B$75,MATCH('Cash Forecast_8A'!B87,'Cash Forecast_8A import-export'!O$29:O$75,0)),"")</f>
        <v/>
      </c>
      <c r="E87" s="1326" t="str">
        <f>IFERROR(INDEX('Cash Forecast_8A import-export'!C$29:C$75,MATCH('Cash Forecast_8A'!B87,'Cash Forecast_8A import-export'!O$29:O$75,0)),"")</f>
        <v/>
      </c>
      <c r="F87" s="1341"/>
      <c r="G87" s="1326" t="str">
        <f>IFERROR(INDEX('Cash Forecast_8A import-export'!E$29:E$75,MATCH('Cash Forecast_8A'!B87,'Cash Forecast_8A import-export'!O$29:O$75,0)),"")</f>
        <v/>
      </c>
      <c r="H87" s="1341"/>
      <c r="I87" s="1342">
        <f t="shared" si="5"/>
        <v>0</v>
      </c>
      <c r="J87" s="1343"/>
      <c r="L87" s="973"/>
      <c r="M87" s="1341"/>
      <c r="N87" s="1341"/>
      <c r="O87" s="1342">
        <f t="shared" si="6"/>
        <v>0</v>
      </c>
      <c r="P87" s="1351"/>
      <c r="R87" s="329"/>
      <c r="S87" s="351"/>
      <c r="T87" s="351"/>
      <c r="U87" s="351"/>
      <c r="V87" s="351"/>
      <c r="W87" s="351"/>
    </row>
    <row r="88" spans="2:23" ht="18" customHeight="1" x14ac:dyDescent="0.2">
      <c r="B88" s="756" t="s">
        <v>2555</v>
      </c>
      <c r="C88" s="972" t="str">
        <f>IFERROR(INDEX('Cash Forecast_8A import-export'!A$29:A$75,MATCH('Cash Forecast_8A'!B88,'Cash Forecast_8A import-export'!O$29:O$75,0)),"")</f>
        <v/>
      </c>
      <c r="D88" s="1350" t="str">
        <f>IFERROR(INDEX('Cash Forecast_8A import-export'!B$29:B$75,MATCH('Cash Forecast_8A'!B88,'Cash Forecast_8A import-export'!O$29:O$75,0)),"")</f>
        <v/>
      </c>
      <c r="E88" s="1326" t="str">
        <f>IFERROR(INDEX('Cash Forecast_8A import-export'!C$29:C$75,MATCH('Cash Forecast_8A'!B88,'Cash Forecast_8A import-export'!O$29:O$75,0)),"")</f>
        <v/>
      </c>
      <c r="F88" s="1341"/>
      <c r="G88" s="1326" t="str">
        <f>IFERROR(INDEX('Cash Forecast_8A import-export'!E$29:E$75,MATCH('Cash Forecast_8A'!B88,'Cash Forecast_8A import-export'!O$29:O$75,0)),"")</f>
        <v/>
      </c>
      <c r="H88" s="1341"/>
      <c r="I88" s="1342">
        <f t="shared" si="5"/>
        <v>0</v>
      </c>
      <c r="J88" s="1343"/>
      <c r="L88" s="973"/>
      <c r="M88" s="1341"/>
      <c r="N88" s="1341"/>
      <c r="O88" s="1342">
        <f t="shared" si="6"/>
        <v>0</v>
      </c>
      <c r="P88" s="1351"/>
      <c r="R88" s="329"/>
      <c r="S88" s="351"/>
      <c r="T88" s="351"/>
      <c r="U88" s="351"/>
      <c r="V88" s="351"/>
      <c r="W88" s="351"/>
    </row>
    <row r="89" spans="2:23" ht="18" customHeight="1" x14ac:dyDescent="0.2">
      <c r="B89" s="756" t="s">
        <v>2556</v>
      </c>
      <c r="C89" s="972" t="str">
        <f>IFERROR(INDEX('Cash Forecast_8A import-export'!A$29:A$75,MATCH('Cash Forecast_8A'!B89,'Cash Forecast_8A import-export'!O$29:O$75,0)),"")</f>
        <v/>
      </c>
      <c r="D89" s="1350" t="str">
        <f>IFERROR(INDEX('Cash Forecast_8A import-export'!B$29:B$75,MATCH('Cash Forecast_8A'!B89,'Cash Forecast_8A import-export'!O$29:O$75,0)),"")</f>
        <v/>
      </c>
      <c r="E89" s="1326" t="str">
        <f>IFERROR(INDEX('Cash Forecast_8A import-export'!C$29:C$75,MATCH('Cash Forecast_8A'!B89,'Cash Forecast_8A import-export'!O$29:O$75,0)),"")</f>
        <v/>
      </c>
      <c r="F89" s="1341"/>
      <c r="G89" s="1326" t="str">
        <f>IFERROR(INDEX('Cash Forecast_8A import-export'!E$29:E$75,MATCH('Cash Forecast_8A'!B89,'Cash Forecast_8A import-export'!O$29:O$75,0)),"")</f>
        <v/>
      </c>
      <c r="H89" s="1341"/>
      <c r="I89" s="1342">
        <f t="shared" si="5"/>
        <v>0</v>
      </c>
      <c r="J89" s="1343"/>
      <c r="L89" s="973"/>
      <c r="M89" s="1341"/>
      <c r="N89" s="1341"/>
      <c r="O89" s="1342">
        <f t="shared" si="6"/>
        <v>0</v>
      </c>
      <c r="P89" s="1351"/>
      <c r="R89" s="329"/>
      <c r="S89" s="351"/>
      <c r="T89" s="351"/>
      <c r="U89" s="351"/>
      <c r="V89" s="351"/>
      <c r="W89" s="351"/>
    </row>
    <row r="90" spans="2:23" ht="18" customHeight="1" x14ac:dyDescent="0.2">
      <c r="B90" s="756" t="s">
        <v>2557</v>
      </c>
      <c r="C90" s="972" t="str">
        <f>IFERROR(INDEX('Cash Forecast_8A import-export'!A$29:A$75,MATCH('Cash Forecast_8A'!B90,'Cash Forecast_8A import-export'!O$29:O$75,0)),"")</f>
        <v/>
      </c>
      <c r="D90" s="1350" t="str">
        <f>IFERROR(INDEX('Cash Forecast_8A import-export'!B$29:B$75,MATCH('Cash Forecast_8A'!B90,'Cash Forecast_8A import-export'!O$29:O$75,0)),"")</f>
        <v/>
      </c>
      <c r="E90" s="1326" t="str">
        <f>IFERROR(INDEX('Cash Forecast_8A import-export'!C$29:C$75,MATCH('Cash Forecast_8A'!B90,'Cash Forecast_8A import-export'!O$29:O$75,0)),"")</f>
        <v/>
      </c>
      <c r="F90" s="1341"/>
      <c r="G90" s="1326" t="str">
        <f>IFERROR(INDEX('Cash Forecast_8A import-export'!E$29:E$75,MATCH('Cash Forecast_8A'!B90,'Cash Forecast_8A import-export'!O$29:O$75,0)),"")</f>
        <v/>
      </c>
      <c r="H90" s="1341"/>
      <c r="I90" s="1342">
        <f t="shared" si="5"/>
        <v>0</v>
      </c>
      <c r="J90" s="1343"/>
      <c r="L90" s="973"/>
      <c r="M90" s="1341"/>
      <c r="N90" s="1341"/>
      <c r="O90" s="1342">
        <f t="shared" si="6"/>
        <v>0</v>
      </c>
      <c r="P90" s="1351"/>
      <c r="R90" s="329"/>
      <c r="S90" s="351"/>
      <c r="T90" s="351"/>
      <c r="U90" s="351"/>
      <c r="V90" s="351"/>
      <c r="W90" s="351"/>
    </row>
    <row r="91" spans="2:23" ht="18" customHeight="1" x14ac:dyDescent="0.2">
      <c r="B91" s="756" t="s">
        <v>2558</v>
      </c>
      <c r="C91" s="972" t="str">
        <f>IFERROR(INDEX('Cash Forecast_8A import-export'!A$29:A$75,MATCH('Cash Forecast_8A'!B91,'Cash Forecast_8A import-export'!O$29:O$75,0)),"")</f>
        <v/>
      </c>
      <c r="D91" s="1350" t="str">
        <f>IFERROR(INDEX('Cash Forecast_8A import-export'!B$29:B$75,MATCH('Cash Forecast_8A'!B91,'Cash Forecast_8A import-export'!O$29:O$75,0)),"")</f>
        <v/>
      </c>
      <c r="E91" s="1326" t="str">
        <f>IFERROR(INDEX('Cash Forecast_8A import-export'!C$29:C$75,MATCH('Cash Forecast_8A'!B91,'Cash Forecast_8A import-export'!O$29:O$75,0)),"")</f>
        <v/>
      </c>
      <c r="F91" s="1341"/>
      <c r="G91" s="1326" t="str">
        <f>IFERROR(INDEX('Cash Forecast_8A import-export'!E$29:E$75,MATCH('Cash Forecast_8A'!B91,'Cash Forecast_8A import-export'!O$29:O$75,0)),"")</f>
        <v/>
      </c>
      <c r="H91" s="1341"/>
      <c r="I91" s="1342">
        <f t="shared" si="5"/>
        <v>0</v>
      </c>
      <c r="J91" s="1343"/>
      <c r="L91" s="973"/>
      <c r="M91" s="1341"/>
      <c r="N91" s="1341"/>
      <c r="O91" s="1342">
        <f t="shared" si="6"/>
        <v>0</v>
      </c>
      <c r="P91" s="1351"/>
      <c r="R91" s="329"/>
      <c r="S91" s="351"/>
      <c r="T91" s="351"/>
      <c r="U91" s="351"/>
      <c r="V91" s="351"/>
      <c r="W91" s="351"/>
    </row>
    <row r="92" spans="2:23" ht="18" customHeight="1" x14ac:dyDescent="0.2">
      <c r="B92" s="756" t="s">
        <v>2559</v>
      </c>
      <c r="C92" s="972" t="str">
        <f>IFERROR(INDEX('Cash Forecast_8A import-export'!A$29:A$75,MATCH('Cash Forecast_8A'!B92,'Cash Forecast_8A import-export'!O$29:O$75,0)),"")</f>
        <v/>
      </c>
      <c r="D92" s="1350" t="str">
        <f>IFERROR(INDEX('Cash Forecast_8A import-export'!B$29:B$75,MATCH('Cash Forecast_8A'!B92,'Cash Forecast_8A import-export'!O$29:O$75,0)),"")</f>
        <v/>
      </c>
      <c r="E92" s="1326" t="str">
        <f>IFERROR(INDEX('Cash Forecast_8A import-export'!C$29:C$75,MATCH('Cash Forecast_8A'!B92,'Cash Forecast_8A import-export'!O$29:O$75,0)),"")</f>
        <v/>
      </c>
      <c r="F92" s="1341"/>
      <c r="G92" s="1326" t="str">
        <f>IFERROR(INDEX('Cash Forecast_8A import-export'!E$29:E$75,MATCH('Cash Forecast_8A'!B92,'Cash Forecast_8A import-export'!O$29:O$75,0)),"")</f>
        <v/>
      </c>
      <c r="H92" s="1341"/>
      <c r="I92" s="1342">
        <f t="shared" si="5"/>
        <v>0</v>
      </c>
      <c r="J92" s="1343"/>
      <c r="L92" s="973"/>
      <c r="M92" s="1341"/>
      <c r="N92" s="1341"/>
      <c r="O92" s="1342">
        <f t="shared" si="6"/>
        <v>0</v>
      </c>
      <c r="P92" s="1351"/>
      <c r="R92" s="329"/>
      <c r="S92" s="351"/>
      <c r="T92" s="351"/>
      <c r="U92" s="351"/>
      <c r="V92" s="351"/>
      <c r="W92" s="351"/>
    </row>
    <row r="93" spans="2:23" ht="18" customHeight="1" x14ac:dyDescent="0.2">
      <c r="B93" s="756" t="s">
        <v>2560</v>
      </c>
      <c r="C93" s="972" t="str">
        <f>IFERROR(INDEX('Cash Forecast_8A import-export'!A$29:A$75,MATCH('Cash Forecast_8A'!B93,'Cash Forecast_8A import-export'!O$29:O$75,0)),"")</f>
        <v/>
      </c>
      <c r="D93" s="1350" t="str">
        <f>IFERROR(INDEX('Cash Forecast_8A import-export'!B$29:B$75,MATCH('Cash Forecast_8A'!B93,'Cash Forecast_8A import-export'!O$29:O$75,0)),"")</f>
        <v/>
      </c>
      <c r="E93" s="1326" t="str">
        <f>IFERROR(INDEX('Cash Forecast_8A import-export'!C$29:C$75,MATCH('Cash Forecast_8A'!B93,'Cash Forecast_8A import-export'!O$29:O$75,0)),"")</f>
        <v/>
      </c>
      <c r="F93" s="1341"/>
      <c r="G93" s="1326" t="str">
        <f>IFERROR(INDEX('Cash Forecast_8A import-export'!E$29:E$75,MATCH('Cash Forecast_8A'!B93,'Cash Forecast_8A import-export'!O$29:O$75,0)),"")</f>
        <v/>
      </c>
      <c r="H93" s="1341"/>
      <c r="I93" s="1342">
        <f t="shared" si="5"/>
        <v>0</v>
      </c>
      <c r="J93" s="1343"/>
      <c r="L93" s="973"/>
      <c r="M93" s="1341"/>
      <c r="N93" s="1341"/>
      <c r="O93" s="1342">
        <f t="shared" si="6"/>
        <v>0</v>
      </c>
      <c r="P93" s="1351"/>
      <c r="R93" s="329"/>
      <c r="S93" s="351"/>
      <c r="T93" s="351"/>
      <c r="U93" s="351"/>
      <c r="V93" s="351"/>
      <c r="W93" s="351"/>
    </row>
    <row r="94" spans="2:23" ht="18" customHeight="1" x14ac:dyDescent="0.2">
      <c r="B94" s="756" t="s">
        <v>2561</v>
      </c>
      <c r="C94" s="972" t="str">
        <f>IFERROR(INDEX('Cash Forecast_8A import-export'!A$29:A$75,MATCH('Cash Forecast_8A'!B94,'Cash Forecast_8A import-export'!O$29:O$75,0)),"")</f>
        <v/>
      </c>
      <c r="D94" s="1350" t="str">
        <f>IFERROR(INDEX('Cash Forecast_8A import-export'!B$29:B$75,MATCH('Cash Forecast_8A'!B94,'Cash Forecast_8A import-export'!O$29:O$75,0)),"")</f>
        <v/>
      </c>
      <c r="E94" s="1326" t="str">
        <f>IFERROR(INDEX('Cash Forecast_8A import-export'!C$29:C$75,MATCH('Cash Forecast_8A'!B94,'Cash Forecast_8A import-export'!O$29:O$75,0)),"")</f>
        <v/>
      </c>
      <c r="F94" s="1341"/>
      <c r="G94" s="1326" t="str">
        <f>IFERROR(INDEX('Cash Forecast_8A import-export'!E$29:E$75,MATCH('Cash Forecast_8A'!B94,'Cash Forecast_8A import-export'!O$29:O$75,0)),"")</f>
        <v/>
      </c>
      <c r="H94" s="1341"/>
      <c r="I94" s="1342">
        <f t="shared" si="5"/>
        <v>0</v>
      </c>
      <c r="J94" s="1343"/>
      <c r="L94" s="973"/>
      <c r="M94" s="1341"/>
      <c r="N94" s="1341"/>
      <c r="O94" s="1342">
        <f t="shared" si="6"/>
        <v>0</v>
      </c>
      <c r="P94" s="1351"/>
      <c r="R94" s="329"/>
      <c r="S94" s="351"/>
      <c r="T94" s="351"/>
      <c r="U94" s="351"/>
      <c r="V94" s="351"/>
      <c r="W94" s="351"/>
    </row>
    <row r="95" spans="2:23" ht="18" customHeight="1" x14ac:dyDescent="0.2">
      <c r="B95" s="756" t="s">
        <v>2562</v>
      </c>
      <c r="C95" s="972" t="str">
        <f>IFERROR(INDEX('Cash Forecast_8A import-export'!A$29:A$75,MATCH('Cash Forecast_8A'!B95,'Cash Forecast_8A import-export'!O$29:O$75,0)),"")</f>
        <v/>
      </c>
      <c r="D95" s="1350" t="str">
        <f>IFERROR(INDEX('Cash Forecast_8A import-export'!B$29:B$75,MATCH('Cash Forecast_8A'!B95,'Cash Forecast_8A import-export'!O$29:O$75,0)),"")</f>
        <v/>
      </c>
      <c r="E95" s="1326" t="str">
        <f>IFERROR(INDEX('Cash Forecast_8A import-export'!C$29:C$75,MATCH('Cash Forecast_8A'!B95,'Cash Forecast_8A import-export'!O$29:O$75,0)),"")</f>
        <v/>
      </c>
      <c r="F95" s="1341"/>
      <c r="G95" s="1326" t="str">
        <f>IFERROR(INDEX('Cash Forecast_8A import-export'!E$29:E$75,MATCH('Cash Forecast_8A'!B95,'Cash Forecast_8A import-export'!O$29:O$75,0)),"")</f>
        <v/>
      </c>
      <c r="H95" s="1341"/>
      <c r="I95" s="1342">
        <f t="shared" si="5"/>
        <v>0</v>
      </c>
      <c r="J95" s="1343"/>
      <c r="L95" s="973"/>
      <c r="M95" s="1341"/>
      <c r="N95" s="1341"/>
      <c r="O95" s="1342">
        <f t="shared" si="6"/>
        <v>0</v>
      </c>
      <c r="P95" s="1351"/>
      <c r="R95" s="329"/>
      <c r="S95" s="351"/>
      <c r="T95" s="351"/>
      <c r="U95" s="351"/>
      <c r="V95" s="351"/>
      <c r="W95" s="351"/>
    </row>
    <row r="96" spans="2:23" ht="18" customHeight="1" x14ac:dyDescent="0.2">
      <c r="B96" s="756" t="s">
        <v>2563</v>
      </c>
      <c r="C96" s="972" t="str">
        <f>IFERROR(INDEX('Cash Forecast_8A import-export'!A$29:A$75,MATCH('Cash Forecast_8A'!B96,'Cash Forecast_8A import-export'!O$29:O$75,0)),"")</f>
        <v/>
      </c>
      <c r="D96" s="1350" t="str">
        <f>IFERROR(INDEX('Cash Forecast_8A import-export'!B$29:B$75,MATCH('Cash Forecast_8A'!B96,'Cash Forecast_8A import-export'!O$29:O$75,0)),"")</f>
        <v/>
      </c>
      <c r="E96" s="1326" t="str">
        <f>IFERROR(INDEX('Cash Forecast_8A import-export'!C$29:C$75,MATCH('Cash Forecast_8A'!B96,'Cash Forecast_8A import-export'!O$29:O$75,0)),"")</f>
        <v/>
      </c>
      <c r="F96" s="1341"/>
      <c r="G96" s="1326" t="str">
        <f>IFERROR(INDEX('Cash Forecast_8A import-export'!E$29:E$75,MATCH('Cash Forecast_8A'!B96,'Cash Forecast_8A import-export'!O$29:O$75,0)),"")</f>
        <v/>
      </c>
      <c r="H96" s="1341"/>
      <c r="I96" s="1342">
        <f t="shared" ref="I96:I120" si="7">IFERROR(F96+H96,"")</f>
        <v>0</v>
      </c>
      <c r="J96" s="1343"/>
      <c r="L96" s="973"/>
      <c r="M96" s="1341"/>
      <c r="N96" s="1341"/>
      <c r="O96" s="1342">
        <f t="shared" ref="O96:O120" si="8">IFERROR(L96+M96,"")</f>
        <v>0</v>
      </c>
      <c r="P96" s="1351"/>
      <c r="R96" s="329"/>
      <c r="S96" s="351"/>
      <c r="T96" s="351"/>
      <c r="U96" s="351"/>
      <c r="V96" s="351"/>
      <c r="W96" s="351"/>
    </row>
    <row r="97" spans="2:23" ht="18" customHeight="1" x14ac:dyDescent="0.2">
      <c r="B97" s="756" t="s">
        <v>2564</v>
      </c>
      <c r="C97" s="972" t="str">
        <f>IFERROR(INDEX('Cash Forecast_8A import-export'!A$29:A$75,MATCH('Cash Forecast_8A'!B97,'Cash Forecast_8A import-export'!O$29:O$75,0)),"")</f>
        <v/>
      </c>
      <c r="D97" s="1350" t="str">
        <f>IFERROR(INDEX('Cash Forecast_8A import-export'!B$29:B$75,MATCH('Cash Forecast_8A'!B97,'Cash Forecast_8A import-export'!O$29:O$75,0)),"")</f>
        <v/>
      </c>
      <c r="E97" s="1326" t="str">
        <f>IFERROR(INDEX('Cash Forecast_8A import-export'!C$29:C$75,MATCH('Cash Forecast_8A'!B97,'Cash Forecast_8A import-export'!O$29:O$75,0)),"")</f>
        <v/>
      </c>
      <c r="F97" s="1341"/>
      <c r="G97" s="1326" t="str">
        <f>IFERROR(INDEX('Cash Forecast_8A import-export'!E$29:E$75,MATCH('Cash Forecast_8A'!B97,'Cash Forecast_8A import-export'!O$29:O$75,0)),"")</f>
        <v/>
      </c>
      <c r="H97" s="1341"/>
      <c r="I97" s="1342">
        <f t="shared" si="7"/>
        <v>0</v>
      </c>
      <c r="J97" s="1343"/>
      <c r="L97" s="973"/>
      <c r="M97" s="1341"/>
      <c r="N97" s="1341"/>
      <c r="O97" s="1342">
        <f t="shared" si="8"/>
        <v>0</v>
      </c>
      <c r="P97" s="1351"/>
      <c r="R97" s="329"/>
      <c r="S97" s="351"/>
      <c r="T97" s="351"/>
      <c r="U97" s="351"/>
      <c r="V97" s="351"/>
      <c r="W97" s="351"/>
    </row>
    <row r="98" spans="2:23" ht="18" customHeight="1" x14ac:dyDescent="0.2">
      <c r="B98" s="756" t="s">
        <v>2565</v>
      </c>
      <c r="C98" s="972" t="str">
        <f>IFERROR(INDEX('Cash Forecast_8A import-export'!A$29:A$75,MATCH('Cash Forecast_8A'!B98,'Cash Forecast_8A import-export'!O$29:O$75,0)),"")</f>
        <v/>
      </c>
      <c r="D98" s="1350" t="str">
        <f>IFERROR(INDEX('Cash Forecast_8A import-export'!B$29:B$75,MATCH('Cash Forecast_8A'!B98,'Cash Forecast_8A import-export'!O$29:O$75,0)),"")</f>
        <v/>
      </c>
      <c r="E98" s="1326" t="str">
        <f>IFERROR(INDEX('Cash Forecast_8A import-export'!C$29:C$75,MATCH('Cash Forecast_8A'!B98,'Cash Forecast_8A import-export'!O$29:O$75,0)),"")</f>
        <v/>
      </c>
      <c r="F98" s="1341"/>
      <c r="G98" s="1326" t="str">
        <f>IFERROR(INDEX('Cash Forecast_8A import-export'!E$29:E$75,MATCH('Cash Forecast_8A'!B98,'Cash Forecast_8A import-export'!O$29:O$75,0)),"")</f>
        <v/>
      </c>
      <c r="H98" s="1341"/>
      <c r="I98" s="1342">
        <f t="shared" si="7"/>
        <v>0</v>
      </c>
      <c r="J98" s="1343"/>
      <c r="L98" s="973"/>
      <c r="M98" s="1341"/>
      <c r="N98" s="1341"/>
      <c r="O98" s="1342">
        <f t="shared" si="8"/>
        <v>0</v>
      </c>
      <c r="P98" s="1351"/>
      <c r="R98" s="329"/>
      <c r="S98" s="351"/>
      <c r="T98" s="351"/>
      <c r="U98" s="351"/>
      <c r="V98" s="351"/>
      <c r="W98" s="351"/>
    </row>
    <row r="99" spans="2:23" ht="18" customHeight="1" x14ac:dyDescent="0.2">
      <c r="B99" s="756" t="s">
        <v>2566</v>
      </c>
      <c r="C99" s="972" t="str">
        <f>IFERROR(INDEX('Cash Forecast_8A import-export'!A$29:A$75,MATCH('Cash Forecast_8A'!B99,'Cash Forecast_8A import-export'!O$29:O$75,0)),"")</f>
        <v/>
      </c>
      <c r="D99" s="1350" t="str">
        <f>IFERROR(INDEX('Cash Forecast_8A import-export'!B$29:B$75,MATCH('Cash Forecast_8A'!B99,'Cash Forecast_8A import-export'!O$29:O$75,0)),"")</f>
        <v/>
      </c>
      <c r="E99" s="1326" t="str">
        <f>IFERROR(INDEX('Cash Forecast_8A import-export'!C$29:C$75,MATCH('Cash Forecast_8A'!B99,'Cash Forecast_8A import-export'!O$29:O$75,0)),"")</f>
        <v/>
      </c>
      <c r="F99" s="1341"/>
      <c r="G99" s="1326" t="str">
        <f>IFERROR(INDEX('Cash Forecast_8A import-export'!E$29:E$75,MATCH('Cash Forecast_8A'!B99,'Cash Forecast_8A import-export'!O$29:O$75,0)),"")</f>
        <v/>
      </c>
      <c r="H99" s="1341"/>
      <c r="I99" s="1342">
        <f t="shared" si="7"/>
        <v>0</v>
      </c>
      <c r="J99" s="1343"/>
      <c r="L99" s="973"/>
      <c r="M99" s="1341"/>
      <c r="N99" s="1341"/>
      <c r="O99" s="1342">
        <f t="shared" si="8"/>
        <v>0</v>
      </c>
      <c r="P99" s="1351"/>
      <c r="R99" s="329"/>
      <c r="S99" s="351"/>
      <c r="T99" s="351"/>
      <c r="U99" s="351"/>
      <c r="V99" s="351"/>
      <c r="W99" s="351"/>
    </row>
    <row r="100" spans="2:23" ht="18" customHeight="1" x14ac:dyDescent="0.2">
      <c r="B100" s="756" t="s">
        <v>2567</v>
      </c>
      <c r="C100" s="972" t="str">
        <f>IFERROR(INDEX('Cash Forecast_8A import-export'!A$29:A$75,MATCH('Cash Forecast_8A'!B100,'Cash Forecast_8A import-export'!O$29:O$75,0)),"")</f>
        <v/>
      </c>
      <c r="D100" s="1350" t="str">
        <f>IFERROR(INDEX('Cash Forecast_8A import-export'!B$29:B$75,MATCH('Cash Forecast_8A'!B100,'Cash Forecast_8A import-export'!O$29:O$75,0)),"")</f>
        <v/>
      </c>
      <c r="E100" s="1326" t="str">
        <f>IFERROR(INDEX('Cash Forecast_8A import-export'!C$29:C$75,MATCH('Cash Forecast_8A'!B100,'Cash Forecast_8A import-export'!O$29:O$75,0)),"")</f>
        <v/>
      </c>
      <c r="F100" s="1341"/>
      <c r="G100" s="1326" t="str">
        <f>IFERROR(INDEX('Cash Forecast_8A import-export'!E$29:E$75,MATCH('Cash Forecast_8A'!B100,'Cash Forecast_8A import-export'!O$29:O$75,0)),"")</f>
        <v/>
      </c>
      <c r="H100" s="1341"/>
      <c r="I100" s="1342">
        <f t="shared" si="7"/>
        <v>0</v>
      </c>
      <c r="J100" s="1343"/>
      <c r="L100" s="973"/>
      <c r="M100" s="1341"/>
      <c r="N100" s="1341"/>
      <c r="O100" s="1342">
        <f t="shared" si="8"/>
        <v>0</v>
      </c>
      <c r="P100" s="1351"/>
      <c r="R100" s="329"/>
      <c r="S100" s="351"/>
      <c r="T100" s="351"/>
      <c r="U100" s="351"/>
      <c r="V100" s="351"/>
      <c r="W100" s="351"/>
    </row>
    <row r="101" spans="2:23" ht="18" customHeight="1" x14ac:dyDescent="0.2">
      <c r="B101" s="756" t="s">
        <v>2568</v>
      </c>
      <c r="C101" s="972" t="str">
        <f>IFERROR(INDEX('Cash Forecast_8A import-export'!A$29:A$75,MATCH('Cash Forecast_8A'!B101,'Cash Forecast_8A import-export'!O$29:O$75,0)),"")</f>
        <v/>
      </c>
      <c r="D101" s="1350" t="str">
        <f>IFERROR(INDEX('Cash Forecast_8A import-export'!B$29:B$75,MATCH('Cash Forecast_8A'!B101,'Cash Forecast_8A import-export'!O$29:O$75,0)),"")</f>
        <v/>
      </c>
      <c r="E101" s="1326" t="str">
        <f>IFERROR(INDEX('Cash Forecast_8A import-export'!C$29:C$75,MATCH('Cash Forecast_8A'!B101,'Cash Forecast_8A import-export'!O$29:O$75,0)),"")</f>
        <v/>
      </c>
      <c r="F101" s="1341"/>
      <c r="G101" s="1326" t="str">
        <f>IFERROR(INDEX('Cash Forecast_8A import-export'!E$29:E$75,MATCH('Cash Forecast_8A'!B101,'Cash Forecast_8A import-export'!O$29:O$75,0)),"")</f>
        <v/>
      </c>
      <c r="H101" s="1341"/>
      <c r="I101" s="1342">
        <f t="shared" si="7"/>
        <v>0</v>
      </c>
      <c r="J101" s="1343"/>
      <c r="L101" s="973"/>
      <c r="M101" s="1341"/>
      <c r="N101" s="1341"/>
      <c r="O101" s="1342">
        <f t="shared" si="8"/>
        <v>0</v>
      </c>
      <c r="P101" s="1351"/>
      <c r="R101" s="329"/>
      <c r="S101" s="351"/>
      <c r="T101" s="351"/>
      <c r="U101" s="351"/>
      <c r="V101" s="351"/>
      <c r="W101" s="351"/>
    </row>
    <row r="102" spans="2:23" ht="18" customHeight="1" x14ac:dyDescent="0.2">
      <c r="B102" s="756" t="s">
        <v>2569</v>
      </c>
      <c r="C102" s="972" t="str">
        <f>IFERROR(INDEX('Cash Forecast_8A import-export'!A$29:A$75,MATCH('Cash Forecast_8A'!B102,'Cash Forecast_8A import-export'!O$29:O$75,0)),"")</f>
        <v/>
      </c>
      <c r="D102" s="1350" t="str">
        <f>IFERROR(INDEX('Cash Forecast_8A import-export'!B$29:B$75,MATCH('Cash Forecast_8A'!B102,'Cash Forecast_8A import-export'!O$29:O$75,0)),"")</f>
        <v/>
      </c>
      <c r="E102" s="1326" t="str">
        <f>IFERROR(INDEX('Cash Forecast_8A import-export'!C$29:C$75,MATCH('Cash Forecast_8A'!B102,'Cash Forecast_8A import-export'!O$29:O$75,0)),"")</f>
        <v/>
      </c>
      <c r="F102" s="1341"/>
      <c r="G102" s="1326" t="str">
        <f>IFERROR(INDEX('Cash Forecast_8A import-export'!E$29:E$75,MATCH('Cash Forecast_8A'!B102,'Cash Forecast_8A import-export'!O$29:O$75,0)),"")</f>
        <v/>
      </c>
      <c r="H102" s="1341"/>
      <c r="I102" s="1342">
        <f t="shared" si="7"/>
        <v>0</v>
      </c>
      <c r="J102" s="1343"/>
      <c r="L102" s="973"/>
      <c r="M102" s="1341"/>
      <c r="N102" s="1341"/>
      <c r="O102" s="1342">
        <f t="shared" si="8"/>
        <v>0</v>
      </c>
      <c r="P102" s="1351"/>
      <c r="R102" s="329"/>
      <c r="S102" s="351"/>
      <c r="T102" s="351"/>
      <c r="U102" s="351"/>
      <c r="V102" s="351"/>
      <c r="W102" s="351"/>
    </row>
    <row r="103" spans="2:23" ht="18" customHeight="1" x14ac:dyDescent="0.2">
      <c r="B103" s="756" t="s">
        <v>2570</v>
      </c>
      <c r="C103" s="972" t="str">
        <f>IFERROR(INDEX('Cash Forecast_8A import-export'!A$29:A$75,MATCH('Cash Forecast_8A'!B103,'Cash Forecast_8A import-export'!O$29:O$75,0)),"")</f>
        <v/>
      </c>
      <c r="D103" s="1350" t="str">
        <f>IFERROR(INDEX('Cash Forecast_8A import-export'!B$29:B$75,MATCH('Cash Forecast_8A'!B103,'Cash Forecast_8A import-export'!O$29:O$75,0)),"")</f>
        <v/>
      </c>
      <c r="E103" s="1326" t="str">
        <f>IFERROR(INDEX('Cash Forecast_8A import-export'!C$29:C$75,MATCH('Cash Forecast_8A'!B103,'Cash Forecast_8A import-export'!O$29:O$75,0)),"")</f>
        <v/>
      </c>
      <c r="F103" s="1341"/>
      <c r="G103" s="1326" t="str">
        <f>IFERROR(INDEX('Cash Forecast_8A import-export'!E$29:E$75,MATCH('Cash Forecast_8A'!B103,'Cash Forecast_8A import-export'!O$29:O$75,0)),"")</f>
        <v/>
      </c>
      <c r="H103" s="1341"/>
      <c r="I103" s="1342">
        <f t="shared" si="7"/>
        <v>0</v>
      </c>
      <c r="J103" s="1343"/>
      <c r="L103" s="973"/>
      <c r="M103" s="1341"/>
      <c r="N103" s="1341"/>
      <c r="O103" s="1342">
        <f t="shared" si="8"/>
        <v>0</v>
      </c>
      <c r="P103" s="1351"/>
      <c r="R103" s="329"/>
      <c r="S103" s="351"/>
      <c r="T103" s="351"/>
      <c r="U103" s="351"/>
      <c r="V103" s="351"/>
      <c r="W103" s="351"/>
    </row>
    <row r="104" spans="2:23" ht="18" customHeight="1" x14ac:dyDescent="0.2">
      <c r="B104" s="756" t="s">
        <v>2571</v>
      </c>
      <c r="C104" s="972" t="str">
        <f>IFERROR(INDEX('Cash Forecast_8A import-export'!A$29:A$75,MATCH('Cash Forecast_8A'!B104,'Cash Forecast_8A import-export'!O$29:O$75,0)),"")</f>
        <v/>
      </c>
      <c r="D104" s="1350" t="str">
        <f>IFERROR(INDEX('Cash Forecast_8A import-export'!B$29:B$75,MATCH('Cash Forecast_8A'!B104,'Cash Forecast_8A import-export'!O$29:O$75,0)),"")</f>
        <v/>
      </c>
      <c r="E104" s="1326" t="str">
        <f>IFERROR(INDEX('Cash Forecast_8A import-export'!C$29:C$75,MATCH('Cash Forecast_8A'!B104,'Cash Forecast_8A import-export'!O$29:O$75,0)),"")</f>
        <v/>
      </c>
      <c r="F104" s="1341"/>
      <c r="G104" s="1326" t="str">
        <f>IFERROR(INDEX('Cash Forecast_8A import-export'!E$29:E$75,MATCH('Cash Forecast_8A'!B104,'Cash Forecast_8A import-export'!O$29:O$75,0)),"")</f>
        <v/>
      </c>
      <c r="H104" s="1341"/>
      <c r="I104" s="1342">
        <f t="shared" si="7"/>
        <v>0</v>
      </c>
      <c r="J104" s="1343"/>
      <c r="L104" s="973"/>
      <c r="M104" s="1341"/>
      <c r="N104" s="1341"/>
      <c r="O104" s="1342">
        <f t="shared" si="8"/>
        <v>0</v>
      </c>
      <c r="P104" s="1351"/>
      <c r="R104" s="329"/>
      <c r="S104" s="351"/>
      <c r="T104" s="351"/>
      <c r="U104" s="351"/>
      <c r="V104" s="351"/>
      <c r="W104" s="351"/>
    </row>
    <row r="105" spans="2:23" ht="18" customHeight="1" x14ac:dyDescent="0.2">
      <c r="B105" s="756" t="s">
        <v>2572</v>
      </c>
      <c r="C105" s="972" t="str">
        <f>IFERROR(INDEX('Cash Forecast_8A import-export'!A$29:A$75,MATCH('Cash Forecast_8A'!B105,'Cash Forecast_8A import-export'!O$29:O$75,0)),"")</f>
        <v/>
      </c>
      <c r="D105" s="1350" t="str">
        <f>IFERROR(INDEX('Cash Forecast_8A import-export'!B$29:B$75,MATCH('Cash Forecast_8A'!B105,'Cash Forecast_8A import-export'!O$29:O$75,0)),"")</f>
        <v/>
      </c>
      <c r="E105" s="1326" t="str">
        <f>IFERROR(INDEX('Cash Forecast_8A import-export'!C$29:C$75,MATCH('Cash Forecast_8A'!B105,'Cash Forecast_8A import-export'!O$29:O$75,0)),"")</f>
        <v/>
      </c>
      <c r="F105" s="1341"/>
      <c r="G105" s="1326" t="str">
        <f>IFERROR(INDEX('Cash Forecast_8A import-export'!E$29:E$75,MATCH('Cash Forecast_8A'!B105,'Cash Forecast_8A import-export'!O$29:O$75,0)),"")</f>
        <v/>
      </c>
      <c r="H105" s="1341"/>
      <c r="I105" s="1342">
        <f t="shared" si="7"/>
        <v>0</v>
      </c>
      <c r="J105" s="1343"/>
      <c r="L105" s="973"/>
      <c r="M105" s="1341"/>
      <c r="N105" s="1341"/>
      <c r="O105" s="1342">
        <f t="shared" si="8"/>
        <v>0</v>
      </c>
      <c r="P105" s="1351"/>
      <c r="R105" s="329"/>
      <c r="S105" s="351"/>
      <c r="T105" s="351"/>
      <c r="U105" s="351"/>
      <c r="V105" s="351"/>
      <c r="W105" s="351"/>
    </row>
    <row r="106" spans="2:23" ht="18" customHeight="1" x14ac:dyDescent="0.2">
      <c r="B106" s="756" t="s">
        <v>2573</v>
      </c>
      <c r="C106" s="972" t="str">
        <f>IFERROR(INDEX('Cash Forecast_8A import-export'!A$29:A$75,MATCH('Cash Forecast_8A'!B106,'Cash Forecast_8A import-export'!O$29:O$75,0)),"")</f>
        <v/>
      </c>
      <c r="D106" s="1350" t="str">
        <f>IFERROR(INDEX('Cash Forecast_8A import-export'!B$29:B$75,MATCH('Cash Forecast_8A'!B106,'Cash Forecast_8A import-export'!O$29:O$75,0)),"")</f>
        <v/>
      </c>
      <c r="E106" s="1326" t="str">
        <f>IFERROR(INDEX('Cash Forecast_8A import-export'!C$29:C$75,MATCH('Cash Forecast_8A'!B106,'Cash Forecast_8A import-export'!O$29:O$75,0)),"")</f>
        <v/>
      </c>
      <c r="F106" s="1341"/>
      <c r="G106" s="1326" t="str">
        <f>IFERROR(INDEX('Cash Forecast_8A import-export'!E$29:E$75,MATCH('Cash Forecast_8A'!B106,'Cash Forecast_8A import-export'!O$29:O$75,0)),"")</f>
        <v/>
      </c>
      <c r="H106" s="1341"/>
      <c r="I106" s="1342">
        <f t="shared" si="7"/>
        <v>0</v>
      </c>
      <c r="J106" s="1343"/>
      <c r="L106" s="973"/>
      <c r="M106" s="1341"/>
      <c r="N106" s="1341"/>
      <c r="O106" s="1342">
        <f t="shared" si="8"/>
        <v>0</v>
      </c>
      <c r="P106" s="1351"/>
      <c r="R106" s="329"/>
      <c r="S106" s="351"/>
      <c r="T106" s="351"/>
      <c r="U106" s="351"/>
      <c r="V106" s="351"/>
      <c r="W106" s="351"/>
    </row>
    <row r="107" spans="2:23" ht="18" customHeight="1" x14ac:dyDescent="0.2">
      <c r="B107" s="756" t="s">
        <v>2574</v>
      </c>
      <c r="C107" s="972" t="str">
        <f>IFERROR(INDEX('Cash Forecast_8A import-export'!A$29:A$75,MATCH('Cash Forecast_8A'!B107,'Cash Forecast_8A import-export'!O$29:O$75,0)),"")</f>
        <v/>
      </c>
      <c r="D107" s="1350" t="str">
        <f>IFERROR(INDEX('Cash Forecast_8A import-export'!B$29:B$75,MATCH('Cash Forecast_8A'!B107,'Cash Forecast_8A import-export'!O$29:O$75,0)),"")</f>
        <v/>
      </c>
      <c r="E107" s="1326" t="str">
        <f>IFERROR(INDEX('Cash Forecast_8A import-export'!C$29:C$75,MATCH('Cash Forecast_8A'!B107,'Cash Forecast_8A import-export'!O$29:O$75,0)),"")</f>
        <v/>
      </c>
      <c r="F107" s="1341"/>
      <c r="G107" s="1326" t="str">
        <f>IFERROR(INDEX('Cash Forecast_8A import-export'!E$29:E$75,MATCH('Cash Forecast_8A'!B107,'Cash Forecast_8A import-export'!O$29:O$75,0)),"")</f>
        <v/>
      </c>
      <c r="H107" s="1341"/>
      <c r="I107" s="1342">
        <f t="shared" si="7"/>
        <v>0</v>
      </c>
      <c r="J107" s="1343"/>
      <c r="L107" s="973"/>
      <c r="M107" s="1341"/>
      <c r="N107" s="1341"/>
      <c r="O107" s="1342">
        <f t="shared" si="8"/>
        <v>0</v>
      </c>
      <c r="P107" s="1351"/>
      <c r="R107" s="329"/>
      <c r="S107" s="351"/>
      <c r="T107" s="351"/>
      <c r="U107" s="351"/>
      <c r="V107" s="351"/>
      <c r="W107" s="351"/>
    </row>
    <row r="108" spans="2:23" ht="18" customHeight="1" x14ac:dyDescent="0.2">
      <c r="B108" s="756" t="s">
        <v>2575</v>
      </c>
      <c r="C108" s="972" t="str">
        <f>IFERROR(INDEX('Cash Forecast_8A import-export'!A$29:A$75,MATCH('Cash Forecast_8A'!B108,'Cash Forecast_8A import-export'!O$29:O$75,0)),"")</f>
        <v/>
      </c>
      <c r="D108" s="1350" t="str">
        <f>IFERROR(INDEX('Cash Forecast_8A import-export'!B$29:B$75,MATCH('Cash Forecast_8A'!B108,'Cash Forecast_8A import-export'!O$29:O$75,0)),"")</f>
        <v/>
      </c>
      <c r="E108" s="1326" t="str">
        <f>IFERROR(INDEX('Cash Forecast_8A import-export'!C$29:C$75,MATCH('Cash Forecast_8A'!B108,'Cash Forecast_8A import-export'!O$29:O$75,0)),"")</f>
        <v/>
      </c>
      <c r="F108" s="1341"/>
      <c r="G108" s="1326" t="str">
        <f>IFERROR(INDEX('Cash Forecast_8A import-export'!E$29:E$75,MATCH('Cash Forecast_8A'!B108,'Cash Forecast_8A import-export'!O$29:O$75,0)),"")</f>
        <v/>
      </c>
      <c r="H108" s="1341"/>
      <c r="I108" s="1342">
        <f t="shared" si="7"/>
        <v>0</v>
      </c>
      <c r="J108" s="1343"/>
      <c r="L108" s="973"/>
      <c r="M108" s="1341"/>
      <c r="N108" s="1341"/>
      <c r="O108" s="1342">
        <f t="shared" si="8"/>
        <v>0</v>
      </c>
      <c r="P108" s="1351"/>
      <c r="R108" s="329"/>
      <c r="S108" s="351"/>
      <c r="T108" s="351"/>
      <c r="U108" s="351"/>
      <c r="V108" s="351"/>
      <c r="W108" s="351"/>
    </row>
    <row r="109" spans="2:23" ht="18" customHeight="1" x14ac:dyDescent="0.2">
      <c r="B109" s="756" t="s">
        <v>2576</v>
      </c>
      <c r="C109" s="972" t="str">
        <f>IFERROR(INDEX('Cash Forecast_8A import-export'!A$29:A$75,MATCH('Cash Forecast_8A'!B109,'Cash Forecast_8A import-export'!O$29:O$75,0)),"")</f>
        <v/>
      </c>
      <c r="D109" s="1350" t="str">
        <f>IFERROR(INDEX('Cash Forecast_8A import-export'!B$29:B$75,MATCH('Cash Forecast_8A'!B109,'Cash Forecast_8A import-export'!O$29:O$75,0)),"")</f>
        <v/>
      </c>
      <c r="E109" s="1326" t="str">
        <f>IFERROR(INDEX('Cash Forecast_8A import-export'!C$29:C$75,MATCH('Cash Forecast_8A'!B109,'Cash Forecast_8A import-export'!O$29:O$75,0)),"")</f>
        <v/>
      </c>
      <c r="F109" s="1341"/>
      <c r="G109" s="1326" t="str">
        <f>IFERROR(INDEX('Cash Forecast_8A import-export'!E$29:E$75,MATCH('Cash Forecast_8A'!B109,'Cash Forecast_8A import-export'!O$29:O$75,0)),"")</f>
        <v/>
      </c>
      <c r="H109" s="1341"/>
      <c r="I109" s="1342">
        <f t="shared" si="7"/>
        <v>0</v>
      </c>
      <c r="J109" s="1343"/>
      <c r="L109" s="973"/>
      <c r="M109" s="1341"/>
      <c r="N109" s="1341"/>
      <c r="O109" s="1342">
        <f t="shared" si="8"/>
        <v>0</v>
      </c>
      <c r="P109" s="1351"/>
      <c r="R109" s="329"/>
      <c r="S109" s="351"/>
      <c r="T109" s="351"/>
      <c r="U109" s="351"/>
      <c r="V109" s="351"/>
      <c r="W109" s="351"/>
    </row>
    <row r="110" spans="2:23" ht="18" customHeight="1" x14ac:dyDescent="0.2">
      <c r="B110" s="756" t="s">
        <v>2577</v>
      </c>
      <c r="C110" s="972" t="str">
        <f>IFERROR(INDEX('Cash Forecast_8A import-export'!A$29:A$75,MATCH('Cash Forecast_8A'!B110,'Cash Forecast_8A import-export'!O$29:O$75,0)),"")</f>
        <v/>
      </c>
      <c r="D110" s="1350" t="str">
        <f>IFERROR(INDEX('Cash Forecast_8A import-export'!B$29:B$75,MATCH('Cash Forecast_8A'!B110,'Cash Forecast_8A import-export'!O$29:O$75,0)),"")</f>
        <v/>
      </c>
      <c r="E110" s="1326" t="str">
        <f>IFERROR(INDEX('Cash Forecast_8A import-export'!C$29:C$75,MATCH('Cash Forecast_8A'!B110,'Cash Forecast_8A import-export'!O$29:O$75,0)),"")</f>
        <v/>
      </c>
      <c r="F110" s="1341"/>
      <c r="G110" s="1326" t="str">
        <f>IFERROR(INDEX('Cash Forecast_8A import-export'!E$29:E$75,MATCH('Cash Forecast_8A'!B110,'Cash Forecast_8A import-export'!O$29:O$75,0)),"")</f>
        <v/>
      </c>
      <c r="H110" s="1341"/>
      <c r="I110" s="1342">
        <f t="shared" si="7"/>
        <v>0</v>
      </c>
      <c r="J110" s="1343"/>
      <c r="L110" s="973"/>
      <c r="M110" s="1341"/>
      <c r="N110" s="1341"/>
      <c r="O110" s="1342">
        <f t="shared" si="8"/>
        <v>0</v>
      </c>
      <c r="P110" s="1351"/>
      <c r="R110" s="329"/>
      <c r="S110" s="351"/>
      <c r="T110" s="351"/>
      <c r="U110" s="351"/>
      <c r="V110" s="351"/>
      <c r="W110" s="351"/>
    </row>
    <row r="111" spans="2:23" ht="18" customHeight="1" x14ac:dyDescent="0.2">
      <c r="B111" s="756" t="s">
        <v>2578</v>
      </c>
      <c r="C111" s="972" t="str">
        <f>IFERROR(INDEX('Cash Forecast_8A import-export'!A$29:A$75,MATCH('Cash Forecast_8A'!B111,'Cash Forecast_8A import-export'!O$29:O$75,0)),"")</f>
        <v/>
      </c>
      <c r="D111" s="1350" t="str">
        <f>IFERROR(INDEX('Cash Forecast_8A import-export'!B$29:B$75,MATCH('Cash Forecast_8A'!B111,'Cash Forecast_8A import-export'!O$29:O$75,0)),"")</f>
        <v/>
      </c>
      <c r="E111" s="1326" t="str">
        <f>IFERROR(INDEX('Cash Forecast_8A import-export'!C$29:C$75,MATCH('Cash Forecast_8A'!B111,'Cash Forecast_8A import-export'!O$29:O$75,0)),"")</f>
        <v/>
      </c>
      <c r="F111" s="1341"/>
      <c r="G111" s="1326" t="str">
        <f>IFERROR(INDEX('Cash Forecast_8A import-export'!E$29:E$75,MATCH('Cash Forecast_8A'!B111,'Cash Forecast_8A import-export'!O$29:O$75,0)),"")</f>
        <v/>
      </c>
      <c r="H111" s="1341"/>
      <c r="I111" s="1342">
        <f t="shared" si="7"/>
        <v>0</v>
      </c>
      <c r="J111" s="1343"/>
      <c r="L111" s="973"/>
      <c r="M111" s="1341"/>
      <c r="N111" s="1341"/>
      <c r="O111" s="1342">
        <f t="shared" si="8"/>
        <v>0</v>
      </c>
      <c r="P111" s="1351"/>
      <c r="R111" s="329"/>
      <c r="S111" s="351"/>
      <c r="T111" s="351"/>
      <c r="U111" s="351"/>
      <c r="V111" s="351"/>
      <c r="W111" s="351"/>
    </row>
    <row r="112" spans="2:23" ht="18" customHeight="1" x14ac:dyDescent="0.2">
      <c r="B112" s="756" t="s">
        <v>2579</v>
      </c>
      <c r="C112" s="972" t="str">
        <f>IFERROR(INDEX('Cash Forecast_8A import-export'!A$29:A$75,MATCH('Cash Forecast_8A'!B112,'Cash Forecast_8A import-export'!O$29:O$75,0)),"")</f>
        <v/>
      </c>
      <c r="D112" s="1350" t="str">
        <f>IFERROR(INDEX('Cash Forecast_8A import-export'!B$29:B$75,MATCH('Cash Forecast_8A'!B112,'Cash Forecast_8A import-export'!O$29:O$75,0)),"")</f>
        <v/>
      </c>
      <c r="E112" s="1326" t="str">
        <f>IFERROR(INDEX('Cash Forecast_8A import-export'!C$29:C$75,MATCH('Cash Forecast_8A'!B112,'Cash Forecast_8A import-export'!O$29:O$75,0)),"")</f>
        <v/>
      </c>
      <c r="F112" s="1341"/>
      <c r="G112" s="1326" t="str">
        <f>IFERROR(INDEX('Cash Forecast_8A import-export'!E$29:E$75,MATCH('Cash Forecast_8A'!B112,'Cash Forecast_8A import-export'!O$29:O$75,0)),"")</f>
        <v/>
      </c>
      <c r="H112" s="1341"/>
      <c r="I112" s="1342">
        <f t="shared" si="7"/>
        <v>0</v>
      </c>
      <c r="J112" s="1343"/>
      <c r="L112" s="973"/>
      <c r="M112" s="1341"/>
      <c r="N112" s="1341"/>
      <c r="O112" s="1342">
        <f t="shared" si="8"/>
        <v>0</v>
      </c>
      <c r="P112" s="1351"/>
      <c r="R112" s="329"/>
      <c r="S112" s="351"/>
      <c r="T112" s="351"/>
      <c r="U112" s="351"/>
      <c r="V112" s="351"/>
      <c r="W112" s="351"/>
    </row>
    <row r="113" spans="2:23" ht="18" customHeight="1" x14ac:dyDescent="0.2">
      <c r="B113" s="756" t="s">
        <v>2580</v>
      </c>
      <c r="C113" s="972" t="str">
        <f>IFERROR(INDEX('Cash Forecast_8A import-export'!A$29:A$75,MATCH('Cash Forecast_8A'!B113,'Cash Forecast_8A import-export'!O$29:O$75,0)),"")</f>
        <v/>
      </c>
      <c r="D113" s="1350" t="str">
        <f>IFERROR(INDEX('Cash Forecast_8A import-export'!B$29:B$75,MATCH('Cash Forecast_8A'!B113,'Cash Forecast_8A import-export'!O$29:O$75,0)),"")</f>
        <v/>
      </c>
      <c r="E113" s="1326" t="str">
        <f>IFERROR(INDEX('Cash Forecast_8A import-export'!C$29:C$75,MATCH('Cash Forecast_8A'!B113,'Cash Forecast_8A import-export'!O$29:O$75,0)),"")</f>
        <v/>
      </c>
      <c r="F113" s="1341"/>
      <c r="G113" s="1326" t="str">
        <f>IFERROR(INDEX('Cash Forecast_8A import-export'!E$29:E$75,MATCH('Cash Forecast_8A'!B113,'Cash Forecast_8A import-export'!O$29:O$75,0)),"")</f>
        <v/>
      </c>
      <c r="H113" s="1341"/>
      <c r="I113" s="1342">
        <f t="shared" si="7"/>
        <v>0</v>
      </c>
      <c r="J113" s="1343"/>
      <c r="L113" s="973"/>
      <c r="M113" s="1341"/>
      <c r="N113" s="1341"/>
      <c r="O113" s="1342">
        <f t="shared" si="8"/>
        <v>0</v>
      </c>
      <c r="P113" s="1351"/>
      <c r="R113" s="329"/>
      <c r="S113" s="351"/>
      <c r="T113" s="351"/>
      <c r="U113" s="351"/>
      <c r="V113" s="351"/>
      <c r="W113" s="351"/>
    </row>
    <row r="114" spans="2:23" ht="18" customHeight="1" x14ac:dyDescent="0.2">
      <c r="B114" s="756" t="s">
        <v>2581</v>
      </c>
      <c r="C114" s="972" t="str">
        <f>IFERROR(INDEX('Cash Forecast_8A import-export'!A$29:A$75,MATCH('Cash Forecast_8A'!B114,'Cash Forecast_8A import-export'!O$29:O$75,0)),"")</f>
        <v/>
      </c>
      <c r="D114" s="1350" t="str">
        <f>IFERROR(INDEX('Cash Forecast_8A import-export'!B$29:B$75,MATCH('Cash Forecast_8A'!B114,'Cash Forecast_8A import-export'!O$29:O$75,0)),"")</f>
        <v/>
      </c>
      <c r="E114" s="1326" t="str">
        <f>IFERROR(INDEX('Cash Forecast_8A import-export'!C$29:C$75,MATCH('Cash Forecast_8A'!B114,'Cash Forecast_8A import-export'!O$29:O$75,0)),"")</f>
        <v/>
      </c>
      <c r="F114" s="1341"/>
      <c r="G114" s="1326" t="str">
        <f>IFERROR(INDEX('Cash Forecast_8A import-export'!E$29:E$75,MATCH('Cash Forecast_8A'!B114,'Cash Forecast_8A import-export'!O$29:O$75,0)),"")</f>
        <v/>
      </c>
      <c r="H114" s="1341"/>
      <c r="I114" s="1342">
        <f t="shared" si="7"/>
        <v>0</v>
      </c>
      <c r="J114" s="1343"/>
      <c r="L114" s="973"/>
      <c r="M114" s="1341"/>
      <c r="N114" s="1341"/>
      <c r="O114" s="1342">
        <f t="shared" si="8"/>
        <v>0</v>
      </c>
      <c r="P114" s="1351"/>
      <c r="R114" s="329"/>
      <c r="S114" s="351"/>
      <c r="T114" s="351"/>
      <c r="U114" s="351"/>
      <c r="V114" s="351"/>
      <c r="W114" s="351"/>
    </row>
    <row r="115" spans="2:23" ht="18" customHeight="1" x14ac:dyDescent="0.2">
      <c r="B115" s="756" t="s">
        <v>2582</v>
      </c>
      <c r="C115" s="972" t="str">
        <f>IFERROR(INDEX('Cash Forecast_8A import-export'!A$29:A$75,MATCH('Cash Forecast_8A'!B115,'Cash Forecast_8A import-export'!O$29:O$75,0)),"")</f>
        <v/>
      </c>
      <c r="D115" s="1350" t="str">
        <f>IFERROR(INDEX('Cash Forecast_8A import-export'!B$29:B$75,MATCH('Cash Forecast_8A'!B115,'Cash Forecast_8A import-export'!O$29:O$75,0)),"")</f>
        <v/>
      </c>
      <c r="E115" s="1326" t="str">
        <f>IFERROR(INDEX('Cash Forecast_8A import-export'!C$29:C$75,MATCH('Cash Forecast_8A'!B115,'Cash Forecast_8A import-export'!O$29:O$75,0)),"")</f>
        <v/>
      </c>
      <c r="F115" s="1341"/>
      <c r="G115" s="1326" t="str">
        <f>IFERROR(INDEX('Cash Forecast_8A import-export'!E$29:E$75,MATCH('Cash Forecast_8A'!B115,'Cash Forecast_8A import-export'!O$29:O$75,0)),"")</f>
        <v/>
      </c>
      <c r="H115" s="1341"/>
      <c r="I115" s="1342">
        <f t="shared" si="7"/>
        <v>0</v>
      </c>
      <c r="J115" s="1343"/>
      <c r="L115" s="973"/>
      <c r="M115" s="1341"/>
      <c r="N115" s="1341"/>
      <c r="O115" s="1342">
        <f t="shared" si="8"/>
        <v>0</v>
      </c>
      <c r="P115" s="1351"/>
      <c r="R115" s="329"/>
      <c r="S115" s="351"/>
      <c r="T115" s="351"/>
      <c r="U115" s="351"/>
      <c r="V115" s="351"/>
      <c r="W115" s="351"/>
    </row>
    <row r="116" spans="2:23" ht="18" customHeight="1" x14ac:dyDescent="0.2">
      <c r="B116" s="756" t="s">
        <v>2583</v>
      </c>
      <c r="C116" s="972" t="str">
        <f>IFERROR(INDEX('Cash Forecast_8A import-export'!A$29:A$75,MATCH('Cash Forecast_8A'!B116,'Cash Forecast_8A import-export'!O$29:O$75,0)),"")</f>
        <v/>
      </c>
      <c r="D116" s="1350" t="str">
        <f>IFERROR(INDEX('Cash Forecast_8A import-export'!B$29:B$75,MATCH('Cash Forecast_8A'!B116,'Cash Forecast_8A import-export'!O$29:O$75,0)),"")</f>
        <v/>
      </c>
      <c r="E116" s="1326" t="str">
        <f>IFERROR(INDEX('Cash Forecast_8A import-export'!C$29:C$75,MATCH('Cash Forecast_8A'!B116,'Cash Forecast_8A import-export'!O$29:O$75,0)),"")</f>
        <v/>
      </c>
      <c r="F116" s="1341"/>
      <c r="G116" s="1326" t="str">
        <f>IFERROR(INDEX('Cash Forecast_8A import-export'!E$29:E$75,MATCH('Cash Forecast_8A'!B116,'Cash Forecast_8A import-export'!O$29:O$75,0)),"")</f>
        <v/>
      </c>
      <c r="H116" s="1341"/>
      <c r="I116" s="1342">
        <f t="shared" si="7"/>
        <v>0</v>
      </c>
      <c r="J116" s="1343"/>
      <c r="L116" s="973"/>
      <c r="M116" s="1341"/>
      <c r="N116" s="1341"/>
      <c r="O116" s="1342">
        <f t="shared" si="8"/>
        <v>0</v>
      </c>
      <c r="P116" s="1351"/>
      <c r="R116" s="329"/>
      <c r="S116" s="351"/>
      <c r="T116" s="351"/>
      <c r="U116" s="351"/>
      <c r="V116" s="351"/>
      <c r="W116" s="351"/>
    </row>
    <row r="117" spans="2:23" ht="18" customHeight="1" x14ac:dyDescent="0.2">
      <c r="B117" s="756" t="s">
        <v>2584</v>
      </c>
      <c r="C117" s="972" t="str">
        <f>IFERROR(INDEX('Cash Forecast_8A import-export'!A$29:A$75,MATCH('Cash Forecast_8A'!B117,'Cash Forecast_8A import-export'!O$29:O$75,0)),"")</f>
        <v/>
      </c>
      <c r="D117" s="1350" t="str">
        <f>IFERROR(INDEX('Cash Forecast_8A import-export'!B$29:B$75,MATCH('Cash Forecast_8A'!B117,'Cash Forecast_8A import-export'!O$29:O$75,0)),"")</f>
        <v/>
      </c>
      <c r="E117" s="1326" t="str">
        <f>IFERROR(INDEX('Cash Forecast_8A import-export'!C$29:C$75,MATCH('Cash Forecast_8A'!B117,'Cash Forecast_8A import-export'!O$29:O$75,0)),"")</f>
        <v/>
      </c>
      <c r="F117" s="1341"/>
      <c r="G117" s="1326" t="str">
        <f>IFERROR(INDEX('Cash Forecast_8A import-export'!E$29:E$75,MATCH('Cash Forecast_8A'!B117,'Cash Forecast_8A import-export'!O$29:O$75,0)),"")</f>
        <v/>
      </c>
      <c r="H117" s="1341"/>
      <c r="I117" s="1342">
        <f t="shared" si="7"/>
        <v>0</v>
      </c>
      <c r="J117" s="1343"/>
      <c r="L117" s="973"/>
      <c r="M117" s="1341"/>
      <c r="N117" s="1341"/>
      <c r="O117" s="1342">
        <f t="shared" si="8"/>
        <v>0</v>
      </c>
      <c r="P117" s="1351"/>
      <c r="R117" s="329"/>
      <c r="S117" s="351"/>
      <c r="T117" s="351"/>
      <c r="U117" s="351"/>
      <c r="V117" s="351"/>
      <c r="W117" s="351"/>
    </row>
    <row r="118" spans="2:23" ht="18" customHeight="1" x14ac:dyDescent="0.2">
      <c r="B118" s="756" t="s">
        <v>2585</v>
      </c>
      <c r="C118" s="972" t="str">
        <f>IFERROR(INDEX('Cash Forecast_8A import-export'!A$29:A$75,MATCH('Cash Forecast_8A'!B118,'Cash Forecast_8A import-export'!O$29:O$75,0)),"")</f>
        <v/>
      </c>
      <c r="D118" s="1350" t="str">
        <f>IFERROR(INDEX('Cash Forecast_8A import-export'!B$29:B$75,MATCH('Cash Forecast_8A'!B118,'Cash Forecast_8A import-export'!O$29:O$75,0)),"")</f>
        <v/>
      </c>
      <c r="E118" s="1326" t="str">
        <f>IFERROR(INDEX('Cash Forecast_8A import-export'!C$29:C$75,MATCH('Cash Forecast_8A'!B118,'Cash Forecast_8A import-export'!O$29:O$75,0)),"")</f>
        <v/>
      </c>
      <c r="F118" s="1341"/>
      <c r="G118" s="1326" t="str">
        <f>IFERROR(INDEX('Cash Forecast_8A import-export'!E$29:E$75,MATCH('Cash Forecast_8A'!B118,'Cash Forecast_8A import-export'!O$29:O$75,0)),"")</f>
        <v/>
      </c>
      <c r="H118" s="1341"/>
      <c r="I118" s="1342">
        <f t="shared" si="7"/>
        <v>0</v>
      </c>
      <c r="J118" s="1343"/>
      <c r="L118" s="973"/>
      <c r="M118" s="1341"/>
      <c r="N118" s="1341"/>
      <c r="O118" s="1342">
        <f t="shared" si="8"/>
        <v>0</v>
      </c>
      <c r="P118" s="1351"/>
      <c r="R118" s="329"/>
      <c r="S118" s="351"/>
      <c r="T118" s="351"/>
      <c r="U118" s="351"/>
      <c r="V118" s="351"/>
      <c r="W118" s="351"/>
    </row>
    <row r="119" spans="2:23" ht="18" customHeight="1" x14ac:dyDescent="0.2">
      <c r="B119" s="756" t="s">
        <v>2586</v>
      </c>
      <c r="C119" s="972" t="str">
        <f>IFERROR(INDEX('Cash Forecast_8A import-export'!A$29:A$75,MATCH('Cash Forecast_8A'!B119,'Cash Forecast_8A import-export'!O$29:O$75,0)),"")</f>
        <v/>
      </c>
      <c r="D119" s="1350" t="str">
        <f>IFERROR(INDEX('Cash Forecast_8A import-export'!B$29:B$75,MATCH('Cash Forecast_8A'!B119,'Cash Forecast_8A import-export'!O$29:O$75,0)),"")</f>
        <v/>
      </c>
      <c r="E119" s="1326" t="str">
        <f>IFERROR(INDEX('Cash Forecast_8A import-export'!C$29:C$75,MATCH('Cash Forecast_8A'!B119,'Cash Forecast_8A import-export'!O$29:O$75,0)),"")</f>
        <v/>
      </c>
      <c r="F119" s="1341"/>
      <c r="G119" s="1326" t="str">
        <f>IFERROR(INDEX('Cash Forecast_8A import-export'!E$29:E$75,MATCH('Cash Forecast_8A'!B119,'Cash Forecast_8A import-export'!O$29:O$75,0)),"")</f>
        <v/>
      </c>
      <c r="H119" s="1341"/>
      <c r="I119" s="1342">
        <f t="shared" si="7"/>
        <v>0</v>
      </c>
      <c r="J119" s="1343"/>
      <c r="L119" s="973"/>
      <c r="M119" s="1341"/>
      <c r="N119" s="1341"/>
      <c r="O119" s="1342">
        <f t="shared" si="8"/>
        <v>0</v>
      </c>
      <c r="P119" s="1351"/>
      <c r="R119" s="329"/>
      <c r="S119" s="351"/>
      <c r="T119" s="351"/>
      <c r="U119" s="351"/>
      <c r="V119" s="351"/>
      <c r="W119" s="351"/>
    </row>
    <row r="120" spans="2:23" ht="18" customHeight="1" x14ac:dyDescent="0.2">
      <c r="B120" s="756" t="s">
        <v>2587</v>
      </c>
      <c r="C120" s="972" t="str">
        <f>IFERROR(INDEX('Cash Forecast_8A import-export'!A$29:A$75,MATCH('Cash Forecast_8A'!B120,'Cash Forecast_8A import-export'!O$29:O$75,0)),"")</f>
        <v/>
      </c>
      <c r="D120" s="1350" t="str">
        <f>IFERROR(INDEX('Cash Forecast_8A import-export'!B$29:B$75,MATCH('Cash Forecast_8A'!B120,'Cash Forecast_8A import-export'!O$29:O$75,0)),"")</f>
        <v/>
      </c>
      <c r="E120" s="1326" t="str">
        <f>IFERROR(INDEX('Cash Forecast_8A import-export'!C$29:C$75,MATCH('Cash Forecast_8A'!B120,'Cash Forecast_8A import-export'!O$29:O$75,0)),"")</f>
        <v/>
      </c>
      <c r="F120" s="1341"/>
      <c r="G120" s="1326" t="str">
        <f>IFERROR(INDEX('Cash Forecast_8A import-export'!E$29:E$75,MATCH('Cash Forecast_8A'!B120,'Cash Forecast_8A import-export'!O$29:O$75,0)),"")</f>
        <v/>
      </c>
      <c r="H120" s="1341"/>
      <c r="I120" s="1342">
        <f t="shared" si="7"/>
        <v>0</v>
      </c>
      <c r="J120" s="1343"/>
      <c r="L120" s="973"/>
      <c r="M120" s="1341"/>
      <c r="N120" s="1341"/>
      <c r="O120" s="1342">
        <f t="shared" si="8"/>
        <v>0</v>
      </c>
      <c r="P120" s="1351"/>
      <c r="R120" s="329"/>
      <c r="S120" s="351"/>
      <c r="T120" s="351"/>
      <c r="U120" s="351"/>
      <c r="V120" s="351"/>
      <c r="W120" s="351"/>
    </row>
    <row r="121" spans="2:23" ht="16.5" customHeight="1" x14ac:dyDescent="0.2">
      <c r="B121" s="756" t="s">
        <v>2923</v>
      </c>
      <c r="C121" s="974"/>
      <c r="D121" s="1352"/>
      <c r="E121" s="1326">
        <v>0</v>
      </c>
      <c r="F121" s="1341"/>
      <c r="G121" s="1326">
        <v>0</v>
      </c>
      <c r="H121" s="1341"/>
      <c r="I121" s="1342">
        <f>IFERROR(F121+H121,"")</f>
        <v>0</v>
      </c>
      <c r="J121" s="1343"/>
      <c r="L121" s="973"/>
      <c r="M121" s="1341"/>
      <c r="N121" s="1353"/>
      <c r="O121" s="1342">
        <f>IFERROR(L121+M121,"")</f>
        <v>0</v>
      </c>
      <c r="P121" s="1351"/>
      <c r="Q121" s="328"/>
      <c r="R121" s="329" t="str">
        <f>IFERROR(IF(VLOOKUP(C121,'Reference Records'!$B$13:$D$48,3,FALSE)=0,"",VLOOKUP(C121,'Reference Records'!$B$13:$D$48,3,FALSE)),"")</f>
        <v/>
      </c>
      <c r="S121" s="351"/>
      <c r="T121" s="351"/>
      <c r="U121" s="351"/>
      <c r="V121" s="351"/>
      <c r="W121" s="351"/>
    </row>
    <row r="122" spans="2:23" ht="16.5" customHeight="1" x14ac:dyDescent="0.2">
      <c r="B122" s="756" t="s">
        <v>2924</v>
      </c>
      <c r="C122" s="974"/>
      <c r="D122" s="1352"/>
      <c r="E122" s="1326">
        <v>0</v>
      </c>
      <c r="F122" s="1341"/>
      <c r="G122" s="1326">
        <v>0</v>
      </c>
      <c r="H122" s="1341"/>
      <c r="I122" s="1342">
        <f t="shared" ref="I122:I136" si="9">IFERROR(F122+H122,"")</f>
        <v>0</v>
      </c>
      <c r="J122" s="1343"/>
      <c r="L122" s="973"/>
      <c r="M122" s="1341"/>
      <c r="N122" s="1353"/>
      <c r="O122" s="1342">
        <f t="shared" ref="O122:O136" si="10">IFERROR(L122+M122,"")</f>
        <v>0</v>
      </c>
      <c r="P122" s="1351"/>
      <c r="Q122" s="328"/>
      <c r="R122" s="329"/>
      <c r="S122" s="351"/>
      <c r="T122" s="351"/>
      <c r="U122" s="351"/>
      <c r="V122" s="351"/>
      <c r="W122" s="351"/>
    </row>
    <row r="123" spans="2:23" ht="16.5" customHeight="1" x14ac:dyDescent="0.2">
      <c r="B123" s="756" t="s">
        <v>2925</v>
      </c>
      <c r="C123" s="974"/>
      <c r="D123" s="1352"/>
      <c r="E123" s="1326">
        <v>0</v>
      </c>
      <c r="F123" s="1341"/>
      <c r="G123" s="1326">
        <v>0</v>
      </c>
      <c r="H123" s="1341"/>
      <c r="I123" s="1342">
        <f t="shared" si="9"/>
        <v>0</v>
      </c>
      <c r="J123" s="1343"/>
      <c r="L123" s="973"/>
      <c r="M123" s="1341"/>
      <c r="N123" s="1353"/>
      <c r="O123" s="1342">
        <f t="shared" si="10"/>
        <v>0</v>
      </c>
      <c r="P123" s="1351"/>
      <c r="Q123" s="328"/>
      <c r="R123" s="329"/>
      <c r="S123" s="351"/>
      <c r="T123" s="351"/>
      <c r="U123" s="351"/>
      <c r="V123" s="351"/>
      <c r="W123" s="351"/>
    </row>
    <row r="124" spans="2:23" ht="16.5" customHeight="1" x14ac:dyDescent="0.2">
      <c r="B124" s="756" t="s">
        <v>2926</v>
      </c>
      <c r="C124" s="974"/>
      <c r="D124" s="1352"/>
      <c r="E124" s="1326">
        <v>0</v>
      </c>
      <c r="F124" s="1341"/>
      <c r="G124" s="1326">
        <v>0</v>
      </c>
      <c r="H124" s="1341"/>
      <c r="I124" s="1342">
        <f t="shared" si="9"/>
        <v>0</v>
      </c>
      <c r="J124" s="1343"/>
      <c r="L124" s="973"/>
      <c r="M124" s="1341"/>
      <c r="N124" s="1353"/>
      <c r="O124" s="1342">
        <f t="shared" si="10"/>
        <v>0</v>
      </c>
      <c r="P124" s="1351"/>
      <c r="Q124" s="328"/>
      <c r="R124" s="329"/>
      <c r="S124" s="351"/>
      <c r="T124" s="351"/>
      <c r="U124" s="351"/>
      <c r="V124" s="351"/>
      <c r="W124" s="351"/>
    </row>
    <row r="125" spans="2:23" ht="16.5" customHeight="1" x14ac:dyDescent="0.2">
      <c r="B125" s="756" t="s">
        <v>2927</v>
      </c>
      <c r="C125" s="974"/>
      <c r="D125" s="1352"/>
      <c r="E125" s="1326">
        <v>0</v>
      </c>
      <c r="F125" s="1341"/>
      <c r="G125" s="1326">
        <v>0</v>
      </c>
      <c r="H125" s="1341"/>
      <c r="I125" s="1342">
        <f t="shared" si="9"/>
        <v>0</v>
      </c>
      <c r="J125" s="1343"/>
      <c r="L125" s="973"/>
      <c r="M125" s="1341"/>
      <c r="N125" s="1353"/>
      <c r="O125" s="1342">
        <f t="shared" si="10"/>
        <v>0</v>
      </c>
      <c r="P125" s="1351"/>
      <c r="Q125" s="328"/>
      <c r="R125" s="329"/>
      <c r="S125" s="351"/>
      <c r="T125" s="351"/>
      <c r="U125" s="351"/>
      <c r="V125" s="351"/>
      <c r="W125" s="351"/>
    </row>
    <row r="126" spans="2:23" ht="16.5" customHeight="1" x14ac:dyDescent="0.2">
      <c r="B126" s="756" t="s">
        <v>2928</v>
      </c>
      <c r="C126" s="974"/>
      <c r="D126" s="1352"/>
      <c r="E126" s="1326">
        <v>0</v>
      </c>
      <c r="F126" s="1341"/>
      <c r="G126" s="1326">
        <v>0</v>
      </c>
      <c r="H126" s="1341"/>
      <c r="I126" s="1342">
        <f t="shared" si="9"/>
        <v>0</v>
      </c>
      <c r="J126" s="1343"/>
      <c r="L126" s="973"/>
      <c r="M126" s="1341"/>
      <c r="N126" s="1353"/>
      <c r="O126" s="1342">
        <f t="shared" si="10"/>
        <v>0</v>
      </c>
      <c r="P126" s="1351"/>
      <c r="Q126" s="328"/>
      <c r="R126" s="329"/>
      <c r="S126" s="351"/>
      <c r="T126" s="351"/>
      <c r="U126" s="351"/>
      <c r="V126" s="351"/>
      <c r="W126" s="351"/>
    </row>
    <row r="127" spans="2:23" ht="16.5" customHeight="1" x14ac:dyDescent="0.2">
      <c r="B127" s="756" t="s">
        <v>2929</v>
      </c>
      <c r="C127" s="974"/>
      <c r="D127" s="1352"/>
      <c r="E127" s="1326">
        <v>0</v>
      </c>
      <c r="F127" s="1341"/>
      <c r="G127" s="1326">
        <v>0</v>
      </c>
      <c r="H127" s="1341"/>
      <c r="I127" s="1342">
        <f t="shared" si="9"/>
        <v>0</v>
      </c>
      <c r="J127" s="1343"/>
      <c r="L127" s="973"/>
      <c r="M127" s="1341"/>
      <c r="N127" s="1353"/>
      <c r="O127" s="1342">
        <f t="shared" si="10"/>
        <v>0</v>
      </c>
      <c r="P127" s="1351"/>
      <c r="Q127" s="328"/>
      <c r="R127" s="329"/>
      <c r="S127" s="351"/>
      <c r="T127" s="351"/>
      <c r="U127" s="351"/>
      <c r="V127" s="351"/>
      <c r="W127" s="351"/>
    </row>
    <row r="128" spans="2:23" ht="16.5" customHeight="1" x14ac:dyDescent="0.2">
      <c r="B128" s="756" t="s">
        <v>2930</v>
      </c>
      <c r="C128" s="974"/>
      <c r="D128" s="1352"/>
      <c r="E128" s="1326">
        <v>0</v>
      </c>
      <c r="F128" s="1341"/>
      <c r="G128" s="1326">
        <v>0</v>
      </c>
      <c r="H128" s="1341"/>
      <c r="I128" s="1342">
        <f t="shared" si="9"/>
        <v>0</v>
      </c>
      <c r="J128" s="1343"/>
      <c r="L128" s="973"/>
      <c r="M128" s="1341"/>
      <c r="N128" s="1353"/>
      <c r="O128" s="1342">
        <f t="shared" si="10"/>
        <v>0</v>
      </c>
      <c r="P128" s="1351"/>
      <c r="Q128" s="328"/>
      <c r="R128" s="329"/>
      <c r="S128" s="351"/>
      <c r="T128" s="351"/>
      <c r="U128" s="351"/>
      <c r="V128" s="351"/>
      <c r="W128" s="351"/>
    </row>
    <row r="129" spans="2:23" ht="16.5" customHeight="1" x14ac:dyDescent="0.2">
      <c r="B129" s="756" t="s">
        <v>2931</v>
      </c>
      <c r="C129" s="974"/>
      <c r="D129" s="1352"/>
      <c r="E129" s="1326">
        <v>0</v>
      </c>
      <c r="F129" s="1341"/>
      <c r="G129" s="1326">
        <v>0</v>
      </c>
      <c r="H129" s="1341"/>
      <c r="I129" s="1342">
        <f t="shared" si="9"/>
        <v>0</v>
      </c>
      <c r="J129" s="1343"/>
      <c r="L129" s="973"/>
      <c r="M129" s="1341"/>
      <c r="N129" s="1353"/>
      <c r="O129" s="1342">
        <f t="shared" si="10"/>
        <v>0</v>
      </c>
      <c r="P129" s="1351"/>
      <c r="Q129" s="328"/>
      <c r="R129" s="329"/>
      <c r="S129" s="351"/>
      <c r="T129" s="351"/>
      <c r="U129" s="351"/>
      <c r="V129" s="351"/>
      <c r="W129" s="351"/>
    </row>
    <row r="130" spans="2:23" ht="16.5" customHeight="1" x14ac:dyDescent="0.2">
      <c r="B130" s="756" t="s">
        <v>2932</v>
      </c>
      <c r="C130" s="974"/>
      <c r="D130" s="1352"/>
      <c r="E130" s="1326">
        <v>0</v>
      </c>
      <c r="F130" s="1341"/>
      <c r="G130" s="1326">
        <v>0</v>
      </c>
      <c r="H130" s="1341"/>
      <c r="I130" s="1342">
        <f t="shared" si="9"/>
        <v>0</v>
      </c>
      <c r="J130" s="1343"/>
      <c r="L130" s="973"/>
      <c r="M130" s="1341"/>
      <c r="N130" s="1353"/>
      <c r="O130" s="1342">
        <f t="shared" si="10"/>
        <v>0</v>
      </c>
      <c r="P130" s="1351"/>
      <c r="Q130" s="328"/>
      <c r="R130" s="329"/>
      <c r="S130" s="351"/>
      <c r="T130" s="351"/>
      <c r="U130" s="351"/>
      <c r="V130" s="351"/>
      <c r="W130" s="351"/>
    </row>
    <row r="131" spans="2:23" ht="16.5" customHeight="1" x14ac:dyDescent="0.2">
      <c r="B131" s="756" t="s">
        <v>2933</v>
      </c>
      <c r="C131" s="974"/>
      <c r="D131" s="1352"/>
      <c r="E131" s="1326">
        <v>0</v>
      </c>
      <c r="F131" s="1341"/>
      <c r="G131" s="1326">
        <v>0</v>
      </c>
      <c r="H131" s="1341"/>
      <c r="I131" s="1342">
        <f t="shared" si="9"/>
        <v>0</v>
      </c>
      <c r="J131" s="1343"/>
      <c r="L131" s="973"/>
      <c r="M131" s="1341"/>
      <c r="N131" s="1353"/>
      <c r="O131" s="1342">
        <f t="shared" si="10"/>
        <v>0</v>
      </c>
      <c r="P131" s="1351"/>
      <c r="Q131" s="328"/>
      <c r="R131" s="329"/>
      <c r="S131" s="351"/>
      <c r="T131" s="351"/>
      <c r="U131" s="351"/>
      <c r="V131" s="351"/>
      <c r="W131" s="351"/>
    </row>
    <row r="132" spans="2:23" ht="16.5" customHeight="1" x14ac:dyDescent="0.2">
      <c r="B132" s="756" t="s">
        <v>2934</v>
      </c>
      <c r="C132" s="974"/>
      <c r="D132" s="1352"/>
      <c r="E132" s="1326">
        <v>0</v>
      </c>
      <c r="F132" s="1341"/>
      <c r="G132" s="1326">
        <v>0</v>
      </c>
      <c r="H132" s="1341"/>
      <c r="I132" s="1342">
        <f t="shared" si="9"/>
        <v>0</v>
      </c>
      <c r="J132" s="1343"/>
      <c r="L132" s="973"/>
      <c r="M132" s="1341"/>
      <c r="N132" s="1353"/>
      <c r="O132" s="1342">
        <f t="shared" si="10"/>
        <v>0</v>
      </c>
      <c r="P132" s="1351"/>
      <c r="Q132" s="328"/>
      <c r="R132" s="329"/>
      <c r="S132" s="351"/>
      <c r="T132" s="351"/>
      <c r="U132" s="351"/>
      <c r="V132" s="351"/>
      <c r="W132" s="351"/>
    </row>
    <row r="133" spans="2:23" ht="16.5" customHeight="1" x14ac:dyDescent="0.2">
      <c r="B133" s="756" t="s">
        <v>2935</v>
      </c>
      <c r="C133" s="974"/>
      <c r="D133" s="1352"/>
      <c r="E133" s="1326">
        <v>0</v>
      </c>
      <c r="F133" s="1341"/>
      <c r="G133" s="1326">
        <v>0</v>
      </c>
      <c r="H133" s="1341"/>
      <c r="I133" s="1342">
        <f t="shared" si="9"/>
        <v>0</v>
      </c>
      <c r="J133" s="1343"/>
      <c r="L133" s="973"/>
      <c r="M133" s="1341"/>
      <c r="N133" s="1353"/>
      <c r="O133" s="1342">
        <f t="shared" si="10"/>
        <v>0</v>
      </c>
      <c r="P133" s="1351"/>
      <c r="Q133" s="328"/>
      <c r="R133" s="329"/>
      <c r="S133" s="351"/>
      <c r="T133" s="351"/>
      <c r="U133" s="351"/>
      <c r="V133" s="351"/>
      <c r="W133" s="351"/>
    </row>
    <row r="134" spans="2:23" ht="16.5" customHeight="1" x14ac:dyDescent="0.2">
      <c r="B134" s="756" t="s">
        <v>2936</v>
      </c>
      <c r="C134" s="974"/>
      <c r="D134" s="1352"/>
      <c r="E134" s="1326">
        <v>0</v>
      </c>
      <c r="F134" s="1341"/>
      <c r="G134" s="1326">
        <v>0</v>
      </c>
      <c r="H134" s="1341"/>
      <c r="I134" s="1342">
        <f t="shared" si="9"/>
        <v>0</v>
      </c>
      <c r="J134" s="1343"/>
      <c r="L134" s="973"/>
      <c r="M134" s="1341"/>
      <c r="N134" s="1353"/>
      <c r="O134" s="1342">
        <f t="shared" si="10"/>
        <v>0</v>
      </c>
      <c r="P134" s="1351"/>
      <c r="Q134" s="328"/>
      <c r="R134" s="329"/>
      <c r="S134" s="351"/>
      <c r="T134" s="351"/>
      <c r="U134" s="351"/>
      <c r="V134" s="351"/>
      <c r="W134" s="351"/>
    </row>
    <row r="135" spans="2:23" ht="16.5" customHeight="1" x14ac:dyDescent="0.2">
      <c r="B135" s="756" t="s">
        <v>2937</v>
      </c>
      <c r="C135" s="974"/>
      <c r="D135" s="1352"/>
      <c r="E135" s="1326">
        <v>0</v>
      </c>
      <c r="F135" s="1341"/>
      <c r="G135" s="1326">
        <v>0</v>
      </c>
      <c r="H135" s="1341"/>
      <c r="I135" s="1342">
        <f t="shared" si="9"/>
        <v>0</v>
      </c>
      <c r="J135" s="1343"/>
      <c r="L135" s="973"/>
      <c r="M135" s="1341"/>
      <c r="N135" s="1353"/>
      <c r="O135" s="1342">
        <f t="shared" si="10"/>
        <v>0</v>
      </c>
      <c r="P135" s="1351"/>
      <c r="Q135" s="328"/>
      <c r="R135" s="329"/>
      <c r="S135" s="351"/>
      <c r="T135" s="351"/>
      <c r="U135" s="351"/>
      <c r="V135" s="351"/>
      <c r="W135" s="351"/>
    </row>
    <row r="136" spans="2:23" ht="16.5" customHeight="1" x14ac:dyDescent="0.2">
      <c r="B136" s="756" t="s">
        <v>2938</v>
      </c>
      <c r="C136" s="974"/>
      <c r="D136" s="1352"/>
      <c r="E136" s="1326">
        <v>0</v>
      </c>
      <c r="F136" s="1341"/>
      <c r="G136" s="1326">
        <v>0</v>
      </c>
      <c r="H136" s="1341"/>
      <c r="I136" s="1342">
        <f t="shared" si="9"/>
        <v>0</v>
      </c>
      <c r="J136" s="1343"/>
      <c r="L136" s="973"/>
      <c r="M136" s="1341"/>
      <c r="N136" s="1353"/>
      <c r="O136" s="1342">
        <f t="shared" si="10"/>
        <v>0</v>
      </c>
      <c r="P136" s="1351"/>
      <c r="Q136" s="328"/>
      <c r="R136" s="329"/>
      <c r="S136" s="351"/>
      <c r="T136" s="351"/>
      <c r="U136" s="351"/>
      <c r="V136" s="351"/>
      <c r="W136" s="351"/>
    </row>
    <row r="137" spans="2:23" ht="25.5" customHeight="1" thickBot="1" x14ac:dyDescent="0.25">
      <c r="C137" s="1345" t="s">
        <v>2449</v>
      </c>
      <c r="D137" s="1346"/>
      <c r="E137" s="1347">
        <f>ROUND(SUM(E27:E136),2)</f>
        <v>15630126.92</v>
      </c>
      <c r="F137" s="1347">
        <f>ROUND(SUM(F27:F136),2)</f>
        <v>18218160.699999999</v>
      </c>
      <c r="G137" s="1347">
        <f>ROUND(SUM(G27:G136),2)</f>
        <v>0</v>
      </c>
      <c r="H137" s="1347">
        <f>ROUND(SUM(H27:H136),2)</f>
        <v>0</v>
      </c>
      <c r="I137" s="1347">
        <f>ROUND(SUM(I27:I136),2)</f>
        <v>18218160.699999999</v>
      </c>
      <c r="J137" s="1348"/>
      <c r="L137" s="1349">
        <f>ROUND(SUM(L27:L136),2)</f>
        <v>0</v>
      </c>
      <c r="M137" s="1347">
        <f>ROUND(SUM(M27:M136),2)</f>
        <v>0</v>
      </c>
      <c r="N137" s="1347">
        <f>ROUND(SUM(N27:N120),2)</f>
        <v>0</v>
      </c>
      <c r="O137" s="1347">
        <f>ROUND(SUM(O27:O136),2)</f>
        <v>0</v>
      </c>
      <c r="P137" s="1348"/>
      <c r="R137" s="329"/>
      <c r="S137" s="351"/>
      <c r="T137" s="351"/>
      <c r="U137" s="351"/>
      <c r="V137" s="351"/>
      <c r="W137" s="351"/>
    </row>
    <row r="138" spans="2:23" ht="18.75" thickBot="1" x14ac:dyDescent="0.25">
      <c r="C138" s="356"/>
      <c r="R138" s="329"/>
      <c r="S138" s="351"/>
      <c r="T138" s="351"/>
      <c r="U138" s="351"/>
      <c r="V138" s="351"/>
      <c r="W138" s="351"/>
    </row>
    <row r="139" spans="2:23" ht="17.25" customHeight="1" thickBot="1" x14ac:dyDescent="0.25">
      <c r="C139" s="553" t="str">
        <f>VLOOKUP(Translations!B650,Translations!B3:H650,4,0)</f>
        <v>C. VENTILATION PAR ENTITÉ DE MISE EN ŒUVRE</v>
      </c>
      <c r="D139" s="718"/>
      <c r="E139" s="719"/>
      <c r="F139" s="719"/>
      <c r="G139" s="719"/>
      <c r="H139" s="720"/>
      <c r="I139" s="721"/>
      <c r="J139" s="722"/>
      <c r="K139" s="355"/>
      <c r="L139" s="278"/>
      <c r="M139" s="278"/>
      <c r="N139" s="278"/>
      <c r="O139" s="278"/>
      <c r="P139" s="278"/>
      <c r="R139" s="329"/>
      <c r="S139" s="351"/>
      <c r="T139" s="351"/>
      <c r="U139" s="351"/>
      <c r="V139" s="351"/>
      <c r="W139" s="351"/>
    </row>
    <row r="140" spans="2:23" ht="75" customHeight="1" x14ac:dyDescent="0.2">
      <c r="C140" s="975" t="str">
        <f>VLOOKUP(Translations!B395,Translations!B3:H508,4,0)</f>
        <v>Entité de mise en œuvre</v>
      </c>
      <c r="D140" s="1354"/>
      <c r="E140" s="1119" t="str">
        <f>E26</f>
        <v>Budget pour la période de prévision</v>
      </c>
      <c r="F140" s="1119" t="str">
        <f t="shared" ref="F140:J140" si="11">F26</f>
        <v>Montant prévu pour la période de prévision</v>
      </c>
      <c r="G140" s="1119" t="str">
        <f t="shared" si="11"/>
        <v>Budget pour la période additionnelle</v>
      </c>
      <c r="H140" s="1119" t="str">
        <f t="shared" si="11"/>
        <v>Montant prévu pour la période additionnelle</v>
      </c>
      <c r="I140" s="1119" t="str">
        <f t="shared" si="11"/>
        <v>Budget total disponible (période additionnelle comprise)</v>
      </c>
      <c r="J140" s="1120" t="str">
        <f t="shared" si="11"/>
        <v>Commentaires</v>
      </c>
      <c r="L140" s="715" t="s">
        <v>2946</v>
      </c>
      <c r="M140" s="716" t="s">
        <v>2947</v>
      </c>
      <c r="N140" s="716"/>
      <c r="O140" s="716" t="s">
        <v>2948</v>
      </c>
      <c r="P140" s="717" t="s">
        <v>160</v>
      </c>
      <c r="R140" s="329"/>
      <c r="S140" s="351"/>
      <c r="T140" s="351"/>
      <c r="U140" s="351"/>
      <c r="V140" s="351"/>
      <c r="W140" s="351"/>
    </row>
    <row r="141" spans="2:23" ht="79.5" customHeight="1" x14ac:dyDescent="0.2">
      <c r="B141" s="756" t="s">
        <v>2998</v>
      </c>
      <c r="C141" s="972" t="str">
        <f>IFERROR(INDEX('Cash Forecast_8A import-export'!A$107:A$112,MATCH('Cash Forecast_8A'!B141,'Cash Forecast_8A import-export'!O$107:O$112,0)),"")</f>
        <v>Red Cross Burundi</v>
      </c>
      <c r="D141" s="1350">
        <f>IFERROR(INDEX('Cash Forecast_8A import-export'!B$107:B$112,MATCH('Cash Forecast_8A'!B141,'Cash Forecast_8A import-export'!O$107:O$112,0)),"")</f>
        <v>0</v>
      </c>
      <c r="E141" s="1326">
        <f>IFERROR(INDEX('Cash Forecast_8A import-export'!C$107:C$112,MATCH('Cash Forecast_8A'!B141,'Cash Forecast_8A import-export'!O$107:O$112,0)),"")</f>
        <v>2247147.2643712601</v>
      </c>
      <c r="F141" s="1341">
        <v>2711640.5244092494</v>
      </c>
      <c r="G141" s="1326">
        <f>IFERROR(INDEX('Cash Forecast_8A import-export'!E$107:E$112,MATCH('Cash Forecast_8A'!B141,'Cash Forecast_8A import-export'!O$107:O$112,0)),"")</f>
        <v>0</v>
      </c>
      <c r="H141" s="1341"/>
      <c r="I141" s="1342">
        <f>IFERROR(F141+H141,"")</f>
        <v>2711640.5244092494</v>
      </c>
      <c r="J141" s="1343" t="s">
        <v>2999</v>
      </c>
      <c r="L141" s="973"/>
      <c r="M141" s="1341"/>
      <c r="N141" s="1341"/>
      <c r="O141" s="1342">
        <f>IFERROR(L141+M141,"")</f>
        <v>0</v>
      </c>
      <c r="P141" s="1351"/>
      <c r="R141" s="329"/>
      <c r="S141" s="351"/>
      <c r="T141" s="351"/>
      <c r="U141" s="351"/>
      <c r="V141" s="351"/>
      <c r="W141" s="351"/>
    </row>
    <row r="142" spans="2:23" ht="96" customHeight="1" x14ac:dyDescent="0.2">
      <c r="B142" s="756" t="s">
        <v>3000</v>
      </c>
      <c r="C142" s="972" t="str">
        <f>IFERROR(INDEX('Cash Forecast_8A import-export'!A$107:A$112,MATCH('Cash Forecast_8A'!B142,'Cash Forecast_8A import-export'!O$107:O$112,0)),"")</f>
        <v>PNILT</v>
      </c>
      <c r="D142" s="1350">
        <f>IFERROR(INDEX('Cash Forecast_8A import-export'!B$107:B$112,MATCH('Cash Forecast_8A'!B142,'Cash Forecast_8A import-export'!O$107:O$112,0)),"")</f>
        <v>0</v>
      </c>
      <c r="E142" s="1326">
        <f>IFERROR(INDEX('Cash Forecast_8A import-export'!C$107:C$112,MATCH('Cash Forecast_8A'!B142,'Cash Forecast_8A import-export'!O$107:O$112,0)),"")</f>
        <v>449261.23220812599</v>
      </c>
      <c r="F142" s="1341">
        <v>987522.56671955029</v>
      </c>
      <c r="G142" s="1326">
        <f>IFERROR(INDEX('Cash Forecast_8A import-export'!E$107:E$112,MATCH('Cash Forecast_8A'!B142,'Cash Forecast_8A import-export'!O$107:O$112,0)),"")</f>
        <v>0</v>
      </c>
      <c r="H142" s="1341"/>
      <c r="I142" s="1342">
        <f t="shared" ref="I142:I190" si="12">IFERROR(F142+H142,"")</f>
        <v>987522.56671955029</v>
      </c>
      <c r="J142" s="1343" t="s">
        <v>3001</v>
      </c>
      <c r="L142" s="973"/>
      <c r="M142" s="1341"/>
      <c r="N142" s="1341"/>
      <c r="O142" s="1342">
        <f t="shared" ref="O142:O190" si="13">IFERROR(L142+M142,"")</f>
        <v>0</v>
      </c>
      <c r="P142" s="1351"/>
      <c r="R142" s="329"/>
      <c r="S142" s="351"/>
      <c r="T142" s="351"/>
      <c r="U142" s="351"/>
      <c r="V142" s="351"/>
      <c r="W142" s="351"/>
    </row>
    <row r="143" spans="2:23" ht="109.5" customHeight="1" x14ac:dyDescent="0.2">
      <c r="B143" s="756" t="s">
        <v>3002</v>
      </c>
      <c r="C143" s="972" t="str">
        <f>IFERROR(INDEX('Cash Forecast_8A import-export'!A$107:A$112,MATCH('Cash Forecast_8A'!B143,'Cash Forecast_8A import-export'!O$107:O$112,0)),"")</f>
        <v>United Nations Development Programme</v>
      </c>
      <c r="D143" s="1350">
        <f>IFERROR(INDEX('Cash Forecast_8A import-export'!B$107:B$112,MATCH('Cash Forecast_8A'!B143,'Cash Forecast_8A import-export'!O$107:O$112,0)),"")</f>
        <v>0</v>
      </c>
      <c r="E143" s="1326">
        <f>IFERROR(INDEX('Cash Forecast_8A import-export'!C$107:C$112,MATCH('Cash Forecast_8A'!B143,'Cash Forecast_8A import-export'!O$107:O$112,0)),"")</f>
        <v>11437485.789462499</v>
      </c>
      <c r="F143" s="1341">
        <v>12031345.025166458</v>
      </c>
      <c r="G143" s="1326">
        <f>IFERROR(INDEX('Cash Forecast_8A import-export'!E$107:E$112,MATCH('Cash Forecast_8A'!B143,'Cash Forecast_8A import-export'!O$107:O$112,0)),"")</f>
        <v>0</v>
      </c>
      <c r="H143" s="1341"/>
      <c r="I143" s="1342">
        <f t="shared" si="12"/>
        <v>12031345.025166458</v>
      </c>
      <c r="J143" s="1343" t="s">
        <v>3003</v>
      </c>
      <c r="L143" s="973"/>
      <c r="M143" s="1341"/>
      <c r="N143" s="1341"/>
      <c r="O143" s="1342">
        <f t="shared" si="13"/>
        <v>0</v>
      </c>
      <c r="P143" s="1351"/>
      <c r="R143" s="329"/>
      <c r="S143" s="351"/>
      <c r="T143" s="351"/>
      <c r="U143" s="351"/>
      <c r="V143" s="351"/>
      <c r="W143" s="351"/>
    </row>
    <row r="144" spans="2:23" ht="143.25" customHeight="1" x14ac:dyDescent="0.2">
      <c r="B144" s="756" t="s">
        <v>3004</v>
      </c>
      <c r="C144" s="972" t="str">
        <f>IFERROR(INDEX('Cash Forecast_8A import-export'!A$107:A$112,MATCH('Cash Forecast_8A'!B144,'Cash Forecast_8A import-export'!O$107:O$112,0)),"")</f>
        <v>PNLS /IST</v>
      </c>
      <c r="D144" s="1350">
        <f>IFERROR(INDEX('Cash Forecast_8A import-export'!B$107:B$112,MATCH('Cash Forecast_8A'!B144,'Cash Forecast_8A import-export'!O$107:O$112,0)),"")</f>
        <v>0</v>
      </c>
      <c r="E144" s="1326">
        <f>IFERROR(INDEX('Cash Forecast_8A import-export'!C$107:C$112,MATCH('Cash Forecast_8A'!B144,'Cash Forecast_8A import-export'!O$107:O$112,0)),"")</f>
        <v>1496232.6367963699</v>
      </c>
      <c r="F144" s="1341">
        <v>2487652.5836793426</v>
      </c>
      <c r="G144" s="1326">
        <f>IFERROR(INDEX('Cash Forecast_8A import-export'!E$107:E$112,MATCH('Cash Forecast_8A'!B144,'Cash Forecast_8A import-export'!O$107:O$112,0)),"")</f>
        <v>0</v>
      </c>
      <c r="H144" s="1341"/>
      <c r="I144" s="1342">
        <f t="shared" si="12"/>
        <v>2487652.5836793426</v>
      </c>
      <c r="J144" s="1343" t="s">
        <v>3005</v>
      </c>
      <c r="L144" s="973"/>
      <c r="M144" s="1341"/>
      <c r="N144" s="1341"/>
      <c r="O144" s="1342">
        <f t="shared" si="13"/>
        <v>0</v>
      </c>
      <c r="P144" s="1351"/>
      <c r="R144" s="329"/>
      <c r="S144" s="351"/>
      <c r="T144" s="351"/>
      <c r="U144" s="351"/>
      <c r="V144" s="351"/>
      <c r="W144" s="351"/>
    </row>
    <row r="145" spans="2:23" ht="17.25" customHeight="1" x14ac:dyDescent="0.2">
      <c r="B145" s="756" t="s">
        <v>3006</v>
      </c>
      <c r="C145" s="972" t="str">
        <f>IFERROR(INDEX('Cash Forecast_8A import-export'!A$107:A$112,MATCH('Cash Forecast_8A'!B145,'Cash Forecast_8A import-export'!O$107:O$112,0)),"")</f>
        <v/>
      </c>
      <c r="D145" s="1350" t="str">
        <f>IFERROR(INDEX('Cash Forecast_8A import-export'!B$107:B$112,MATCH('Cash Forecast_8A'!B145,'Cash Forecast_8A import-export'!O$107:O$112,0)),"")</f>
        <v/>
      </c>
      <c r="E145" s="1326" t="str">
        <f>IFERROR(INDEX('Cash Forecast_8A import-export'!C$107:C$112,MATCH('Cash Forecast_8A'!B145,'Cash Forecast_8A import-export'!O$107:O$112,0)),"")</f>
        <v/>
      </c>
      <c r="F145" s="1341"/>
      <c r="G145" s="1326" t="str">
        <f>IFERROR(INDEX('Cash Forecast_8A import-export'!E$107:E$112,MATCH('Cash Forecast_8A'!B145,'Cash Forecast_8A import-export'!O$107:O$112,0)),"")</f>
        <v/>
      </c>
      <c r="H145" s="1341"/>
      <c r="I145" s="1342">
        <f t="shared" si="12"/>
        <v>0</v>
      </c>
      <c r="J145" s="1343"/>
      <c r="L145" s="973"/>
      <c r="M145" s="1341"/>
      <c r="N145" s="1341"/>
      <c r="O145" s="1342">
        <f t="shared" si="13"/>
        <v>0</v>
      </c>
      <c r="P145" s="1351"/>
      <c r="R145" s="329"/>
      <c r="S145" s="351"/>
      <c r="T145" s="351"/>
      <c r="U145" s="351"/>
      <c r="V145" s="351"/>
      <c r="W145" s="351"/>
    </row>
    <row r="146" spans="2:23" ht="17.25" customHeight="1" x14ac:dyDescent="0.2">
      <c r="B146" s="756" t="s">
        <v>3007</v>
      </c>
      <c r="C146" s="972" t="str">
        <f>IFERROR(INDEX('Cash Forecast_8A import-export'!A$107:A$112,MATCH('Cash Forecast_8A'!B146,'Cash Forecast_8A import-export'!O$107:O$112,0)),"")</f>
        <v/>
      </c>
      <c r="D146" s="1350" t="str">
        <f>IFERROR(INDEX('Cash Forecast_8A import-export'!B$107:B$112,MATCH('Cash Forecast_8A'!B146,'Cash Forecast_8A import-export'!O$107:O$112,0)),"")</f>
        <v/>
      </c>
      <c r="E146" s="1326" t="str">
        <f>IFERROR(INDEX('Cash Forecast_8A import-export'!C$107:C$112,MATCH('Cash Forecast_8A'!B146,'Cash Forecast_8A import-export'!O$107:O$112,0)),"")</f>
        <v/>
      </c>
      <c r="F146" s="1341"/>
      <c r="G146" s="1326" t="str">
        <f>IFERROR(INDEX('Cash Forecast_8A import-export'!E$107:E$112,MATCH('Cash Forecast_8A'!B146,'Cash Forecast_8A import-export'!O$107:O$112,0)),"")</f>
        <v/>
      </c>
      <c r="H146" s="1341"/>
      <c r="I146" s="1342">
        <f t="shared" si="12"/>
        <v>0</v>
      </c>
      <c r="J146" s="1343"/>
      <c r="L146" s="973"/>
      <c r="M146" s="1341"/>
      <c r="N146" s="1341"/>
      <c r="O146" s="1342">
        <f t="shared" si="13"/>
        <v>0</v>
      </c>
      <c r="P146" s="1351"/>
      <c r="R146" s="329"/>
      <c r="S146" s="351"/>
      <c r="T146" s="351"/>
      <c r="U146" s="351"/>
      <c r="V146" s="351"/>
      <c r="W146" s="351"/>
    </row>
    <row r="147" spans="2:23" ht="17.25" customHeight="1" x14ac:dyDescent="0.2">
      <c r="B147" s="756" t="s">
        <v>3008</v>
      </c>
      <c r="C147" s="972" t="str">
        <f>IFERROR(INDEX('Cash Forecast_8A import-export'!A$107:A$112,MATCH('Cash Forecast_8A'!B147,'Cash Forecast_8A import-export'!O$107:O$112,0)),"")</f>
        <v/>
      </c>
      <c r="D147" s="1350" t="str">
        <f>IFERROR(INDEX('Cash Forecast_8A import-export'!B$107:B$112,MATCH('Cash Forecast_8A'!B147,'Cash Forecast_8A import-export'!O$107:O$112,0)),"")</f>
        <v/>
      </c>
      <c r="E147" s="1326" t="str">
        <f>IFERROR(INDEX('Cash Forecast_8A import-export'!C$107:C$112,MATCH('Cash Forecast_8A'!B147,'Cash Forecast_8A import-export'!O$107:O$112,0)),"")</f>
        <v/>
      </c>
      <c r="F147" s="1341"/>
      <c r="G147" s="1326" t="str">
        <f>IFERROR(INDEX('Cash Forecast_8A import-export'!E$107:E$112,MATCH('Cash Forecast_8A'!B147,'Cash Forecast_8A import-export'!O$107:O$112,0)),"")</f>
        <v/>
      </c>
      <c r="H147" s="1341"/>
      <c r="I147" s="1342">
        <f t="shared" si="12"/>
        <v>0</v>
      </c>
      <c r="J147" s="1343"/>
      <c r="L147" s="973"/>
      <c r="M147" s="1341"/>
      <c r="N147" s="1341"/>
      <c r="O147" s="1342">
        <f t="shared" si="13"/>
        <v>0</v>
      </c>
      <c r="P147" s="1351"/>
      <c r="R147" s="329"/>
      <c r="S147" s="351"/>
      <c r="T147" s="351"/>
      <c r="U147" s="351"/>
      <c r="V147" s="351"/>
      <c r="W147" s="351"/>
    </row>
    <row r="148" spans="2:23" ht="17.25" customHeight="1" x14ac:dyDescent="0.2">
      <c r="B148" s="756" t="s">
        <v>3009</v>
      </c>
      <c r="C148" s="972" t="str">
        <f>IFERROR(INDEX('Cash Forecast_8A import-export'!A$107:A$112,MATCH('Cash Forecast_8A'!B148,'Cash Forecast_8A import-export'!O$107:O$112,0)),"")</f>
        <v/>
      </c>
      <c r="D148" s="1350" t="str">
        <f>IFERROR(INDEX('Cash Forecast_8A import-export'!B$107:B$112,MATCH('Cash Forecast_8A'!B148,'Cash Forecast_8A import-export'!O$107:O$112,0)),"")</f>
        <v/>
      </c>
      <c r="E148" s="1326" t="str">
        <f>IFERROR(INDEX('Cash Forecast_8A import-export'!C$107:C$112,MATCH('Cash Forecast_8A'!B148,'Cash Forecast_8A import-export'!O$107:O$112,0)),"")</f>
        <v/>
      </c>
      <c r="F148" s="1341"/>
      <c r="G148" s="1326" t="str">
        <f>IFERROR(INDEX('Cash Forecast_8A import-export'!E$107:E$112,MATCH('Cash Forecast_8A'!B148,'Cash Forecast_8A import-export'!O$107:O$112,0)),"")</f>
        <v/>
      </c>
      <c r="H148" s="1341"/>
      <c r="I148" s="1342">
        <f t="shared" si="12"/>
        <v>0</v>
      </c>
      <c r="J148" s="1343"/>
      <c r="L148" s="973"/>
      <c r="M148" s="1341"/>
      <c r="N148" s="1341"/>
      <c r="O148" s="1342">
        <f t="shared" si="13"/>
        <v>0</v>
      </c>
      <c r="P148" s="1351"/>
      <c r="R148" s="329"/>
      <c r="S148" s="351"/>
      <c r="T148" s="351"/>
      <c r="U148" s="351"/>
      <c r="V148" s="351"/>
      <c r="W148" s="351"/>
    </row>
    <row r="149" spans="2:23" ht="17.25" customHeight="1" x14ac:dyDescent="0.2">
      <c r="B149" s="756" t="s">
        <v>3010</v>
      </c>
      <c r="C149" s="972" t="str">
        <f>IFERROR(INDEX('Cash Forecast_8A import-export'!A$107:A$112,MATCH('Cash Forecast_8A'!B149,'Cash Forecast_8A import-export'!O$107:O$112,0)),"")</f>
        <v/>
      </c>
      <c r="D149" s="1350" t="str">
        <f>IFERROR(INDEX('Cash Forecast_8A import-export'!B$107:B$112,MATCH('Cash Forecast_8A'!B149,'Cash Forecast_8A import-export'!O$107:O$112,0)),"")</f>
        <v/>
      </c>
      <c r="E149" s="1326" t="str">
        <f>IFERROR(INDEX('Cash Forecast_8A import-export'!C$107:C$112,MATCH('Cash Forecast_8A'!B149,'Cash Forecast_8A import-export'!O$107:O$112,0)),"")</f>
        <v/>
      </c>
      <c r="F149" s="1341"/>
      <c r="G149" s="1326" t="str">
        <f>IFERROR(INDEX('Cash Forecast_8A import-export'!E$107:E$112,MATCH('Cash Forecast_8A'!B149,'Cash Forecast_8A import-export'!O$107:O$112,0)),"")</f>
        <v/>
      </c>
      <c r="H149" s="1341"/>
      <c r="I149" s="1342">
        <f t="shared" si="12"/>
        <v>0</v>
      </c>
      <c r="J149" s="1343"/>
      <c r="L149" s="973"/>
      <c r="M149" s="1341"/>
      <c r="N149" s="1341"/>
      <c r="O149" s="1342">
        <f t="shared" si="13"/>
        <v>0</v>
      </c>
      <c r="P149" s="1351"/>
      <c r="R149" s="329"/>
      <c r="S149" s="351"/>
      <c r="T149" s="351"/>
      <c r="U149" s="351"/>
      <c r="V149" s="351"/>
      <c r="W149" s="351"/>
    </row>
    <row r="150" spans="2:23" ht="17.25" customHeight="1" x14ac:dyDescent="0.2">
      <c r="B150" s="756" t="s">
        <v>3011</v>
      </c>
      <c r="C150" s="972" t="str">
        <f>IFERROR(INDEX('Cash Forecast_8A import-export'!A$107:A$112,MATCH('Cash Forecast_8A'!B150,'Cash Forecast_8A import-export'!O$107:O$112,0)),"")</f>
        <v/>
      </c>
      <c r="D150" s="1350" t="str">
        <f>IFERROR(INDEX('Cash Forecast_8A import-export'!B$107:B$112,MATCH('Cash Forecast_8A'!B150,'Cash Forecast_8A import-export'!O$107:O$112,0)),"")</f>
        <v/>
      </c>
      <c r="E150" s="1326" t="str">
        <f>IFERROR(INDEX('Cash Forecast_8A import-export'!C$107:C$112,MATCH('Cash Forecast_8A'!B150,'Cash Forecast_8A import-export'!O$107:O$112,0)),"")</f>
        <v/>
      </c>
      <c r="F150" s="1341"/>
      <c r="G150" s="1326" t="str">
        <f>IFERROR(INDEX('Cash Forecast_8A import-export'!E$107:E$112,MATCH('Cash Forecast_8A'!B150,'Cash Forecast_8A import-export'!O$107:O$112,0)),"")</f>
        <v/>
      </c>
      <c r="H150" s="1341"/>
      <c r="I150" s="1342">
        <f t="shared" si="12"/>
        <v>0</v>
      </c>
      <c r="J150" s="1343"/>
      <c r="L150" s="973"/>
      <c r="M150" s="1341"/>
      <c r="N150" s="1341"/>
      <c r="O150" s="1342">
        <f t="shared" si="13"/>
        <v>0</v>
      </c>
      <c r="P150" s="1351"/>
      <c r="R150" s="329"/>
      <c r="S150" s="351"/>
      <c r="T150" s="351"/>
      <c r="U150" s="351"/>
      <c r="V150" s="351"/>
      <c r="W150" s="351"/>
    </row>
    <row r="151" spans="2:23" ht="17.25" customHeight="1" x14ac:dyDescent="0.2">
      <c r="B151" s="756" t="s">
        <v>3012</v>
      </c>
      <c r="C151" s="972" t="str">
        <f>IFERROR(INDEX('Cash Forecast_8A import-export'!A$107:A$112,MATCH('Cash Forecast_8A'!B151,'Cash Forecast_8A import-export'!O$107:O$112,0)),"")</f>
        <v/>
      </c>
      <c r="D151" s="1350" t="str">
        <f>IFERROR(INDEX('Cash Forecast_8A import-export'!B$107:B$112,MATCH('Cash Forecast_8A'!B151,'Cash Forecast_8A import-export'!O$107:O$112,0)),"")</f>
        <v/>
      </c>
      <c r="E151" s="1326" t="str">
        <f>IFERROR(INDEX('Cash Forecast_8A import-export'!C$107:C$112,MATCH('Cash Forecast_8A'!B151,'Cash Forecast_8A import-export'!O$107:O$112,0)),"")</f>
        <v/>
      </c>
      <c r="F151" s="1341"/>
      <c r="G151" s="1326" t="str">
        <f>IFERROR(INDEX('Cash Forecast_8A import-export'!E$107:E$112,MATCH('Cash Forecast_8A'!B151,'Cash Forecast_8A import-export'!O$107:O$112,0)),"")</f>
        <v/>
      </c>
      <c r="H151" s="1341"/>
      <c r="I151" s="1342">
        <f t="shared" si="12"/>
        <v>0</v>
      </c>
      <c r="J151" s="1343"/>
      <c r="L151" s="973"/>
      <c r="M151" s="1341"/>
      <c r="N151" s="1341"/>
      <c r="O151" s="1342">
        <f t="shared" si="13"/>
        <v>0</v>
      </c>
      <c r="P151" s="1351"/>
      <c r="R151" s="329"/>
      <c r="S151" s="351"/>
      <c r="T151" s="351"/>
      <c r="U151" s="351"/>
      <c r="V151" s="351"/>
      <c r="W151" s="351"/>
    </row>
    <row r="152" spans="2:23" ht="17.25" customHeight="1" x14ac:dyDescent="0.2">
      <c r="B152" s="756" t="s">
        <v>3013</v>
      </c>
      <c r="C152" s="972" t="str">
        <f>IFERROR(INDEX('Cash Forecast_8A import-export'!A$107:A$112,MATCH('Cash Forecast_8A'!B152,'Cash Forecast_8A import-export'!O$107:O$112,0)),"")</f>
        <v/>
      </c>
      <c r="D152" s="1350" t="str">
        <f>IFERROR(INDEX('Cash Forecast_8A import-export'!B$107:B$112,MATCH('Cash Forecast_8A'!B152,'Cash Forecast_8A import-export'!O$107:O$112,0)),"")</f>
        <v/>
      </c>
      <c r="E152" s="1326" t="str">
        <f>IFERROR(INDEX('Cash Forecast_8A import-export'!C$107:C$112,MATCH('Cash Forecast_8A'!B152,'Cash Forecast_8A import-export'!O$107:O$112,0)),"")</f>
        <v/>
      </c>
      <c r="F152" s="1341"/>
      <c r="G152" s="1326" t="str">
        <f>IFERROR(INDEX('Cash Forecast_8A import-export'!E$107:E$112,MATCH('Cash Forecast_8A'!B152,'Cash Forecast_8A import-export'!O$107:O$112,0)),"")</f>
        <v/>
      </c>
      <c r="H152" s="1341"/>
      <c r="I152" s="1342">
        <f t="shared" si="12"/>
        <v>0</v>
      </c>
      <c r="J152" s="1343"/>
      <c r="L152" s="973"/>
      <c r="M152" s="1341"/>
      <c r="N152" s="1341"/>
      <c r="O152" s="1342">
        <f t="shared" si="13"/>
        <v>0</v>
      </c>
      <c r="P152" s="1351"/>
      <c r="R152" s="329"/>
      <c r="S152" s="351"/>
      <c r="T152" s="351"/>
      <c r="U152" s="351"/>
      <c r="V152" s="351"/>
      <c r="W152" s="351"/>
    </row>
    <row r="153" spans="2:23" ht="17.25" customHeight="1" x14ac:dyDescent="0.2">
      <c r="B153" s="756" t="s">
        <v>3014</v>
      </c>
      <c r="C153" s="972" t="str">
        <f>IFERROR(INDEX('Cash Forecast_8A import-export'!A$107:A$112,MATCH('Cash Forecast_8A'!B153,'Cash Forecast_8A import-export'!O$107:O$112,0)),"")</f>
        <v/>
      </c>
      <c r="D153" s="1350" t="str">
        <f>IFERROR(INDEX('Cash Forecast_8A import-export'!B$107:B$112,MATCH('Cash Forecast_8A'!B153,'Cash Forecast_8A import-export'!O$107:O$112,0)),"")</f>
        <v/>
      </c>
      <c r="E153" s="1326" t="str">
        <f>IFERROR(INDEX('Cash Forecast_8A import-export'!C$107:C$112,MATCH('Cash Forecast_8A'!B153,'Cash Forecast_8A import-export'!O$107:O$112,0)),"")</f>
        <v/>
      </c>
      <c r="F153" s="1341"/>
      <c r="G153" s="1326" t="str">
        <f>IFERROR(INDEX('Cash Forecast_8A import-export'!E$107:E$112,MATCH('Cash Forecast_8A'!B153,'Cash Forecast_8A import-export'!O$107:O$112,0)),"")</f>
        <v/>
      </c>
      <c r="H153" s="1341"/>
      <c r="I153" s="1342">
        <f t="shared" si="12"/>
        <v>0</v>
      </c>
      <c r="J153" s="1343"/>
      <c r="L153" s="973"/>
      <c r="M153" s="1341"/>
      <c r="N153" s="1341"/>
      <c r="O153" s="1342">
        <f t="shared" si="13"/>
        <v>0</v>
      </c>
      <c r="P153" s="1351"/>
      <c r="R153" s="329"/>
      <c r="S153" s="351"/>
      <c r="T153" s="351"/>
      <c r="U153" s="351"/>
      <c r="V153" s="351"/>
      <c r="W153" s="351"/>
    </row>
    <row r="154" spans="2:23" ht="17.25" customHeight="1" x14ac:dyDescent="0.2">
      <c r="B154" s="756" t="s">
        <v>3015</v>
      </c>
      <c r="C154" s="972" t="str">
        <f>IFERROR(INDEX('Cash Forecast_8A import-export'!A$107:A$112,MATCH('Cash Forecast_8A'!B154,'Cash Forecast_8A import-export'!O$107:O$112,0)),"")</f>
        <v/>
      </c>
      <c r="D154" s="1350" t="str">
        <f>IFERROR(INDEX('Cash Forecast_8A import-export'!B$107:B$112,MATCH('Cash Forecast_8A'!B154,'Cash Forecast_8A import-export'!O$107:O$112,0)),"")</f>
        <v/>
      </c>
      <c r="E154" s="1326" t="str">
        <f>IFERROR(INDEX('Cash Forecast_8A import-export'!C$107:C$112,MATCH('Cash Forecast_8A'!B154,'Cash Forecast_8A import-export'!O$107:O$112,0)),"")</f>
        <v/>
      </c>
      <c r="F154" s="1341"/>
      <c r="G154" s="1326" t="str">
        <f>IFERROR(INDEX('Cash Forecast_8A import-export'!E$107:E$112,MATCH('Cash Forecast_8A'!B154,'Cash Forecast_8A import-export'!O$107:O$112,0)),"")</f>
        <v/>
      </c>
      <c r="H154" s="1341"/>
      <c r="I154" s="1342">
        <f t="shared" si="12"/>
        <v>0</v>
      </c>
      <c r="J154" s="1343"/>
      <c r="L154" s="973"/>
      <c r="M154" s="1341"/>
      <c r="N154" s="1341"/>
      <c r="O154" s="1342">
        <f t="shared" si="13"/>
        <v>0</v>
      </c>
      <c r="P154" s="1351"/>
      <c r="R154" s="329"/>
      <c r="S154" s="351"/>
      <c r="T154" s="351"/>
      <c r="U154" s="351"/>
      <c r="V154" s="351"/>
      <c r="W154" s="351"/>
    </row>
    <row r="155" spans="2:23" ht="17.25" customHeight="1" x14ac:dyDescent="0.2">
      <c r="B155" s="756" t="s">
        <v>3016</v>
      </c>
      <c r="C155" s="972" t="str">
        <f>IFERROR(INDEX('Cash Forecast_8A import-export'!A$107:A$112,MATCH('Cash Forecast_8A'!B155,'Cash Forecast_8A import-export'!O$107:O$112,0)),"")</f>
        <v/>
      </c>
      <c r="D155" s="1350" t="str">
        <f>IFERROR(INDEX('Cash Forecast_8A import-export'!B$107:B$112,MATCH('Cash Forecast_8A'!B155,'Cash Forecast_8A import-export'!O$107:O$112,0)),"")</f>
        <v/>
      </c>
      <c r="E155" s="1326" t="str">
        <f>IFERROR(INDEX('Cash Forecast_8A import-export'!C$107:C$112,MATCH('Cash Forecast_8A'!B155,'Cash Forecast_8A import-export'!O$107:O$112,0)),"")</f>
        <v/>
      </c>
      <c r="F155" s="1341"/>
      <c r="G155" s="1326" t="str">
        <f>IFERROR(INDEX('Cash Forecast_8A import-export'!E$107:E$112,MATCH('Cash Forecast_8A'!B155,'Cash Forecast_8A import-export'!O$107:O$112,0)),"")</f>
        <v/>
      </c>
      <c r="H155" s="1341"/>
      <c r="I155" s="1342">
        <f t="shared" si="12"/>
        <v>0</v>
      </c>
      <c r="J155" s="1343"/>
      <c r="L155" s="973"/>
      <c r="M155" s="1341"/>
      <c r="N155" s="1341"/>
      <c r="O155" s="1342">
        <f t="shared" si="13"/>
        <v>0</v>
      </c>
      <c r="P155" s="1351"/>
      <c r="R155" s="329"/>
      <c r="S155" s="351"/>
      <c r="T155" s="351"/>
      <c r="U155" s="351"/>
      <c r="V155" s="351"/>
      <c r="W155" s="351"/>
    </row>
    <row r="156" spans="2:23" ht="17.25" customHeight="1" x14ac:dyDescent="0.2">
      <c r="B156" s="756" t="s">
        <v>3017</v>
      </c>
      <c r="C156" s="972" t="str">
        <f>IFERROR(INDEX('Cash Forecast_8A import-export'!A$107:A$112,MATCH('Cash Forecast_8A'!B156,'Cash Forecast_8A import-export'!O$107:O$112,0)),"")</f>
        <v/>
      </c>
      <c r="D156" s="1350" t="str">
        <f>IFERROR(INDEX('Cash Forecast_8A import-export'!B$107:B$112,MATCH('Cash Forecast_8A'!B156,'Cash Forecast_8A import-export'!O$107:O$112,0)),"")</f>
        <v/>
      </c>
      <c r="E156" s="1326" t="str">
        <f>IFERROR(INDEX('Cash Forecast_8A import-export'!C$107:C$112,MATCH('Cash Forecast_8A'!B156,'Cash Forecast_8A import-export'!O$107:O$112,0)),"")</f>
        <v/>
      </c>
      <c r="F156" s="1341"/>
      <c r="G156" s="1326" t="str">
        <f>IFERROR(INDEX('Cash Forecast_8A import-export'!E$107:E$112,MATCH('Cash Forecast_8A'!B156,'Cash Forecast_8A import-export'!O$107:O$112,0)),"")</f>
        <v/>
      </c>
      <c r="H156" s="1341"/>
      <c r="I156" s="1342">
        <f t="shared" si="12"/>
        <v>0</v>
      </c>
      <c r="J156" s="1343"/>
      <c r="L156" s="973"/>
      <c r="M156" s="1341"/>
      <c r="N156" s="1341"/>
      <c r="O156" s="1342">
        <f t="shared" si="13"/>
        <v>0</v>
      </c>
      <c r="P156" s="1351"/>
      <c r="R156" s="329"/>
      <c r="S156" s="351"/>
      <c r="T156" s="351"/>
      <c r="U156" s="351"/>
      <c r="V156" s="351"/>
      <c r="W156" s="351"/>
    </row>
    <row r="157" spans="2:23" ht="17.25" customHeight="1" x14ac:dyDescent="0.2">
      <c r="B157" s="756" t="s">
        <v>3018</v>
      </c>
      <c r="C157" s="972" t="str">
        <f>IFERROR(INDEX('Cash Forecast_8A import-export'!A$107:A$112,MATCH('Cash Forecast_8A'!B157,'Cash Forecast_8A import-export'!O$107:O$112,0)),"")</f>
        <v/>
      </c>
      <c r="D157" s="1350" t="str">
        <f>IFERROR(INDEX('Cash Forecast_8A import-export'!B$107:B$112,MATCH('Cash Forecast_8A'!B157,'Cash Forecast_8A import-export'!O$107:O$112,0)),"")</f>
        <v/>
      </c>
      <c r="E157" s="1326" t="str">
        <f>IFERROR(INDEX('Cash Forecast_8A import-export'!C$107:C$112,MATCH('Cash Forecast_8A'!B157,'Cash Forecast_8A import-export'!O$107:O$112,0)),"")</f>
        <v/>
      </c>
      <c r="F157" s="1341"/>
      <c r="G157" s="1326" t="str">
        <f>IFERROR(INDEX('Cash Forecast_8A import-export'!E$107:E$112,MATCH('Cash Forecast_8A'!B157,'Cash Forecast_8A import-export'!O$107:O$112,0)),"")</f>
        <v/>
      </c>
      <c r="H157" s="1341"/>
      <c r="I157" s="1342">
        <f t="shared" si="12"/>
        <v>0</v>
      </c>
      <c r="J157" s="1343"/>
      <c r="L157" s="973"/>
      <c r="M157" s="1341"/>
      <c r="N157" s="1341"/>
      <c r="O157" s="1342">
        <f t="shared" si="13"/>
        <v>0</v>
      </c>
      <c r="P157" s="1351"/>
      <c r="R157" s="329"/>
      <c r="S157" s="351"/>
      <c r="T157" s="351"/>
      <c r="U157" s="351"/>
      <c r="V157" s="351"/>
      <c r="W157" s="351"/>
    </row>
    <row r="158" spans="2:23" ht="17.25" customHeight="1" x14ac:dyDescent="0.2">
      <c r="B158" s="756" t="s">
        <v>3019</v>
      </c>
      <c r="C158" s="972" t="str">
        <f>IFERROR(INDEX('Cash Forecast_8A import-export'!A$107:A$112,MATCH('Cash Forecast_8A'!B158,'Cash Forecast_8A import-export'!O$107:O$112,0)),"")</f>
        <v/>
      </c>
      <c r="D158" s="1350" t="str">
        <f>IFERROR(INDEX('Cash Forecast_8A import-export'!B$107:B$112,MATCH('Cash Forecast_8A'!B158,'Cash Forecast_8A import-export'!O$107:O$112,0)),"")</f>
        <v/>
      </c>
      <c r="E158" s="1326" t="str">
        <f>IFERROR(INDEX('Cash Forecast_8A import-export'!C$107:C$112,MATCH('Cash Forecast_8A'!B158,'Cash Forecast_8A import-export'!O$107:O$112,0)),"")</f>
        <v/>
      </c>
      <c r="F158" s="1341"/>
      <c r="G158" s="1326" t="str">
        <f>IFERROR(INDEX('Cash Forecast_8A import-export'!E$107:E$112,MATCH('Cash Forecast_8A'!B158,'Cash Forecast_8A import-export'!O$107:O$112,0)),"")</f>
        <v/>
      </c>
      <c r="H158" s="1341"/>
      <c r="I158" s="1342">
        <f t="shared" si="12"/>
        <v>0</v>
      </c>
      <c r="J158" s="1343"/>
      <c r="L158" s="973"/>
      <c r="M158" s="1341"/>
      <c r="N158" s="1341"/>
      <c r="O158" s="1342">
        <f t="shared" si="13"/>
        <v>0</v>
      </c>
      <c r="P158" s="1351"/>
      <c r="R158" s="329"/>
      <c r="S158" s="351"/>
      <c r="T158" s="351"/>
      <c r="U158" s="351"/>
      <c r="V158" s="351"/>
      <c r="W158" s="351"/>
    </row>
    <row r="159" spans="2:23" ht="17.25" customHeight="1" x14ac:dyDescent="0.2">
      <c r="B159" s="756" t="s">
        <v>3020</v>
      </c>
      <c r="C159" s="972" t="str">
        <f>IFERROR(INDEX('Cash Forecast_8A import-export'!A$107:A$112,MATCH('Cash Forecast_8A'!B159,'Cash Forecast_8A import-export'!O$107:O$112,0)),"")</f>
        <v/>
      </c>
      <c r="D159" s="1350" t="str">
        <f>IFERROR(INDEX('Cash Forecast_8A import-export'!B$107:B$112,MATCH('Cash Forecast_8A'!B159,'Cash Forecast_8A import-export'!O$107:O$112,0)),"")</f>
        <v/>
      </c>
      <c r="E159" s="1326" t="str">
        <f>IFERROR(INDEX('Cash Forecast_8A import-export'!C$107:C$112,MATCH('Cash Forecast_8A'!B159,'Cash Forecast_8A import-export'!O$107:O$112,0)),"")</f>
        <v/>
      </c>
      <c r="F159" s="1341"/>
      <c r="G159" s="1326" t="str">
        <f>IFERROR(INDEX('Cash Forecast_8A import-export'!E$107:E$112,MATCH('Cash Forecast_8A'!B159,'Cash Forecast_8A import-export'!O$107:O$112,0)),"")</f>
        <v/>
      </c>
      <c r="H159" s="1341"/>
      <c r="I159" s="1342">
        <f t="shared" si="12"/>
        <v>0</v>
      </c>
      <c r="J159" s="1343"/>
      <c r="L159" s="973"/>
      <c r="M159" s="1341"/>
      <c r="N159" s="1341"/>
      <c r="O159" s="1342">
        <f t="shared" si="13"/>
        <v>0</v>
      </c>
      <c r="P159" s="1351"/>
      <c r="R159" s="329"/>
      <c r="S159" s="351"/>
      <c r="T159" s="351"/>
      <c r="U159" s="351"/>
      <c r="V159" s="351"/>
      <c r="W159" s="351"/>
    </row>
    <row r="160" spans="2:23" ht="17.25" customHeight="1" x14ac:dyDescent="0.2">
      <c r="B160" s="756" t="s">
        <v>3021</v>
      </c>
      <c r="C160" s="972" t="str">
        <f>IFERROR(INDEX('Cash Forecast_8A import-export'!A$107:A$112,MATCH('Cash Forecast_8A'!B160,'Cash Forecast_8A import-export'!O$107:O$112,0)),"")</f>
        <v/>
      </c>
      <c r="D160" s="1350" t="str">
        <f>IFERROR(INDEX('Cash Forecast_8A import-export'!B$107:B$112,MATCH('Cash Forecast_8A'!B160,'Cash Forecast_8A import-export'!O$107:O$112,0)),"")</f>
        <v/>
      </c>
      <c r="E160" s="1326" t="str">
        <f>IFERROR(INDEX('Cash Forecast_8A import-export'!C$107:C$112,MATCH('Cash Forecast_8A'!B160,'Cash Forecast_8A import-export'!O$107:O$112,0)),"")</f>
        <v/>
      </c>
      <c r="F160" s="1341"/>
      <c r="G160" s="1326" t="str">
        <f>IFERROR(INDEX('Cash Forecast_8A import-export'!E$107:E$112,MATCH('Cash Forecast_8A'!B160,'Cash Forecast_8A import-export'!O$107:O$112,0)),"")</f>
        <v/>
      </c>
      <c r="H160" s="1341"/>
      <c r="I160" s="1342">
        <f t="shared" si="12"/>
        <v>0</v>
      </c>
      <c r="J160" s="1343"/>
      <c r="L160" s="973"/>
      <c r="M160" s="1341"/>
      <c r="N160" s="1341"/>
      <c r="O160" s="1342">
        <f t="shared" si="13"/>
        <v>0</v>
      </c>
      <c r="P160" s="1351"/>
      <c r="R160" s="329"/>
      <c r="S160" s="351"/>
      <c r="T160" s="351"/>
      <c r="U160" s="351"/>
      <c r="V160" s="351"/>
      <c r="W160" s="351"/>
    </row>
    <row r="161" spans="2:23" ht="17.25" customHeight="1" x14ac:dyDescent="0.2">
      <c r="B161" s="756" t="s">
        <v>3022</v>
      </c>
      <c r="C161" s="972" t="str">
        <f>IFERROR(INDEX('Cash Forecast_8A import-export'!A$107:A$112,MATCH('Cash Forecast_8A'!B161,'Cash Forecast_8A import-export'!O$107:O$112,0)),"")</f>
        <v/>
      </c>
      <c r="D161" s="1350" t="str">
        <f>IFERROR(INDEX('Cash Forecast_8A import-export'!B$107:B$112,MATCH('Cash Forecast_8A'!B161,'Cash Forecast_8A import-export'!O$107:O$112,0)),"")</f>
        <v/>
      </c>
      <c r="E161" s="1326" t="str">
        <f>IFERROR(INDEX('Cash Forecast_8A import-export'!C$107:C$112,MATCH('Cash Forecast_8A'!B161,'Cash Forecast_8A import-export'!O$107:O$112,0)),"")</f>
        <v/>
      </c>
      <c r="F161" s="1341"/>
      <c r="G161" s="1326" t="str">
        <f>IFERROR(INDEX('Cash Forecast_8A import-export'!E$107:E$112,MATCH('Cash Forecast_8A'!B161,'Cash Forecast_8A import-export'!O$107:O$112,0)),"")</f>
        <v/>
      </c>
      <c r="H161" s="1341"/>
      <c r="I161" s="1342">
        <f t="shared" si="12"/>
        <v>0</v>
      </c>
      <c r="J161" s="1343"/>
      <c r="L161" s="973"/>
      <c r="M161" s="1341"/>
      <c r="N161" s="1341"/>
      <c r="O161" s="1342">
        <f t="shared" si="13"/>
        <v>0</v>
      </c>
      <c r="P161" s="1351"/>
      <c r="R161" s="329"/>
      <c r="S161" s="351"/>
      <c r="T161" s="351"/>
      <c r="U161" s="351"/>
      <c r="V161" s="351"/>
      <c r="W161" s="351"/>
    </row>
    <row r="162" spans="2:23" ht="17.25" customHeight="1" x14ac:dyDescent="0.2">
      <c r="B162" s="756" t="s">
        <v>3023</v>
      </c>
      <c r="C162" s="972" t="str">
        <f>IFERROR(INDEX('Cash Forecast_8A import-export'!A$107:A$112,MATCH('Cash Forecast_8A'!B162,'Cash Forecast_8A import-export'!O$107:O$112,0)),"")</f>
        <v/>
      </c>
      <c r="D162" s="1350" t="str">
        <f>IFERROR(INDEX('Cash Forecast_8A import-export'!B$107:B$112,MATCH('Cash Forecast_8A'!B162,'Cash Forecast_8A import-export'!O$107:O$112,0)),"")</f>
        <v/>
      </c>
      <c r="E162" s="1326" t="str">
        <f>IFERROR(INDEX('Cash Forecast_8A import-export'!C$107:C$112,MATCH('Cash Forecast_8A'!B162,'Cash Forecast_8A import-export'!O$107:O$112,0)),"")</f>
        <v/>
      </c>
      <c r="F162" s="1341"/>
      <c r="G162" s="1326" t="str">
        <f>IFERROR(INDEX('Cash Forecast_8A import-export'!E$107:E$112,MATCH('Cash Forecast_8A'!B162,'Cash Forecast_8A import-export'!O$107:O$112,0)),"")</f>
        <v/>
      </c>
      <c r="H162" s="1341"/>
      <c r="I162" s="1342">
        <f t="shared" si="12"/>
        <v>0</v>
      </c>
      <c r="J162" s="1343"/>
      <c r="L162" s="973"/>
      <c r="M162" s="1341"/>
      <c r="N162" s="1341"/>
      <c r="O162" s="1342">
        <f t="shared" si="13"/>
        <v>0</v>
      </c>
      <c r="P162" s="1351"/>
      <c r="R162" s="329"/>
      <c r="S162" s="351"/>
      <c r="T162" s="351"/>
      <c r="U162" s="351"/>
      <c r="V162" s="351"/>
      <c r="W162" s="351"/>
    </row>
    <row r="163" spans="2:23" ht="17.25" customHeight="1" x14ac:dyDescent="0.2">
      <c r="B163" s="756" t="s">
        <v>3024</v>
      </c>
      <c r="C163" s="972" t="str">
        <f>IFERROR(INDEX('Cash Forecast_8A import-export'!A$107:A$112,MATCH('Cash Forecast_8A'!B163,'Cash Forecast_8A import-export'!O$107:O$112,0)),"")</f>
        <v/>
      </c>
      <c r="D163" s="1350" t="str">
        <f>IFERROR(INDEX('Cash Forecast_8A import-export'!B$107:B$112,MATCH('Cash Forecast_8A'!B163,'Cash Forecast_8A import-export'!O$107:O$112,0)),"")</f>
        <v/>
      </c>
      <c r="E163" s="1326" t="str">
        <f>IFERROR(INDEX('Cash Forecast_8A import-export'!C$107:C$112,MATCH('Cash Forecast_8A'!B163,'Cash Forecast_8A import-export'!O$107:O$112,0)),"")</f>
        <v/>
      </c>
      <c r="F163" s="1341"/>
      <c r="G163" s="1326" t="str">
        <f>IFERROR(INDEX('Cash Forecast_8A import-export'!E$107:E$112,MATCH('Cash Forecast_8A'!B163,'Cash Forecast_8A import-export'!O$107:O$112,0)),"")</f>
        <v/>
      </c>
      <c r="H163" s="1341"/>
      <c r="I163" s="1342">
        <f t="shared" si="12"/>
        <v>0</v>
      </c>
      <c r="J163" s="1343"/>
      <c r="L163" s="973"/>
      <c r="M163" s="1341"/>
      <c r="N163" s="1341"/>
      <c r="O163" s="1342">
        <f t="shared" si="13"/>
        <v>0</v>
      </c>
      <c r="P163" s="1351"/>
      <c r="R163" s="329"/>
      <c r="S163" s="351"/>
      <c r="T163" s="351"/>
      <c r="U163" s="351"/>
      <c r="V163" s="351"/>
      <c r="W163" s="351"/>
    </row>
    <row r="164" spans="2:23" ht="17.25" customHeight="1" x14ac:dyDescent="0.2">
      <c r="B164" s="756" t="s">
        <v>3025</v>
      </c>
      <c r="C164" s="972" t="str">
        <f>IFERROR(INDEX('Cash Forecast_8A import-export'!A$107:A$112,MATCH('Cash Forecast_8A'!B164,'Cash Forecast_8A import-export'!O$107:O$112,0)),"")</f>
        <v/>
      </c>
      <c r="D164" s="1350" t="str">
        <f>IFERROR(INDEX('Cash Forecast_8A import-export'!B$107:B$112,MATCH('Cash Forecast_8A'!B164,'Cash Forecast_8A import-export'!O$107:O$112,0)),"")</f>
        <v/>
      </c>
      <c r="E164" s="1326" t="str">
        <f>IFERROR(INDEX('Cash Forecast_8A import-export'!C$107:C$112,MATCH('Cash Forecast_8A'!B164,'Cash Forecast_8A import-export'!O$107:O$112,0)),"")</f>
        <v/>
      </c>
      <c r="F164" s="1341"/>
      <c r="G164" s="1326" t="str">
        <f>IFERROR(INDEX('Cash Forecast_8A import-export'!E$107:E$112,MATCH('Cash Forecast_8A'!B164,'Cash Forecast_8A import-export'!O$107:O$112,0)),"")</f>
        <v/>
      </c>
      <c r="H164" s="1341"/>
      <c r="I164" s="1342">
        <f t="shared" si="12"/>
        <v>0</v>
      </c>
      <c r="J164" s="1343"/>
      <c r="L164" s="973"/>
      <c r="M164" s="1341"/>
      <c r="N164" s="1341"/>
      <c r="O164" s="1342">
        <f t="shared" si="13"/>
        <v>0</v>
      </c>
      <c r="P164" s="1351"/>
      <c r="R164" s="329"/>
      <c r="S164" s="351"/>
      <c r="T164" s="351"/>
      <c r="U164" s="351"/>
      <c r="V164" s="351"/>
      <c r="W164" s="351"/>
    </row>
    <row r="165" spans="2:23" ht="17.25" customHeight="1" x14ac:dyDescent="0.2">
      <c r="B165" s="756" t="s">
        <v>3026</v>
      </c>
      <c r="C165" s="972" t="str">
        <f>IFERROR(INDEX('Cash Forecast_8A import-export'!A$107:A$112,MATCH('Cash Forecast_8A'!B165,'Cash Forecast_8A import-export'!O$107:O$112,0)),"")</f>
        <v/>
      </c>
      <c r="D165" s="1350" t="str">
        <f>IFERROR(INDEX('Cash Forecast_8A import-export'!B$107:B$112,MATCH('Cash Forecast_8A'!B165,'Cash Forecast_8A import-export'!O$107:O$112,0)),"")</f>
        <v/>
      </c>
      <c r="E165" s="1326" t="str">
        <f>IFERROR(INDEX('Cash Forecast_8A import-export'!C$107:C$112,MATCH('Cash Forecast_8A'!B165,'Cash Forecast_8A import-export'!O$107:O$112,0)),"")</f>
        <v/>
      </c>
      <c r="F165" s="1341"/>
      <c r="G165" s="1326" t="str">
        <f>IFERROR(INDEX('Cash Forecast_8A import-export'!E$107:E$112,MATCH('Cash Forecast_8A'!B165,'Cash Forecast_8A import-export'!O$107:O$112,0)),"")</f>
        <v/>
      </c>
      <c r="H165" s="1341"/>
      <c r="I165" s="1342">
        <f t="shared" si="12"/>
        <v>0</v>
      </c>
      <c r="J165" s="1343"/>
      <c r="L165" s="973"/>
      <c r="M165" s="1341"/>
      <c r="N165" s="1341"/>
      <c r="O165" s="1342">
        <f t="shared" si="13"/>
        <v>0</v>
      </c>
      <c r="P165" s="1351"/>
      <c r="R165" s="329"/>
      <c r="S165" s="351"/>
      <c r="T165" s="351"/>
      <c r="U165" s="351"/>
      <c r="V165" s="351"/>
      <c r="W165" s="351"/>
    </row>
    <row r="166" spans="2:23" ht="17.25" customHeight="1" x14ac:dyDescent="0.2">
      <c r="B166" s="756" t="s">
        <v>3027</v>
      </c>
      <c r="C166" s="972" t="str">
        <f>IFERROR(INDEX('Cash Forecast_8A import-export'!A$107:A$112,MATCH('Cash Forecast_8A'!B166,'Cash Forecast_8A import-export'!O$107:O$112,0)),"")</f>
        <v/>
      </c>
      <c r="D166" s="1350" t="str">
        <f>IFERROR(INDEX('Cash Forecast_8A import-export'!B$107:B$112,MATCH('Cash Forecast_8A'!B166,'Cash Forecast_8A import-export'!O$107:O$112,0)),"")</f>
        <v/>
      </c>
      <c r="E166" s="1326" t="str">
        <f>IFERROR(INDEX('Cash Forecast_8A import-export'!C$107:C$112,MATCH('Cash Forecast_8A'!B166,'Cash Forecast_8A import-export'!O$107:O$112,0)),"")</f>
        <v/>
      </c>
      <c r="F166" s="1341"/>
      <c r="G166" s="1326" t="str">
        <f>IFERROR(INDEX('Cash Forecast_8A import-export'!E$107:E$112,MATCH('Cash Forecast_8A'!B166,'Cash Forecast_8A import-export'!O$107:O$112,0)),"")</f>
        <v/>
      </c>
      <c r="H166" s="1341"/>
      <c r="I166" s="1342">
        <f t="shared" si="12"/>
        <v>0</v>
      </c>
      <c r="J166" s="1343"/>
      <c r="L166" s="973"/>
      <c r="M166" s="1341"/>
      <c r="N166" s="1341"/>
      <c r="O166" s="1342">
        <f t="shared" si="13"/>
        <v>0</v>
      </c>
      <c r="P166" s="1351"/>
      <c r="R166" s="329"/>
      <c r="S166" s="351"/>
      <c r="T166" s="351"/>
      <c r="U166" s="351"/>
      <c r="V166" s="351"/>
      <c r="W166" s="351"/>
    </row>
    <row r="167" spans="2:23" ht="17.25" customHeight="1" x14ac:dyDescent="0.2">
      <c r="B167" s="756" t="s">
        <v>3028</v>
      </c>
      <c r="C167" s="972" t="str">
        <f>IFERROR(INDEX('Cash Forecast_8A import-export'!A$107:A$112,MATCH('Cash Forecast_8A'!B167,'Cash Forecast_8A import-export'!O$107:O$112,0)),"")</f>
        <v/>
      </c>
      <c r="D167" s="1350" t="str">
        <f>IFERROR(INDEX('Cash Forecast_8A import-export'!B$107:B$112,MATCH('Cash Forecast_8A'!B167,'Cash Forecast_8A import-export'!O$107:O$112,0)),"")</f>
        <v/>
      </c>
      <c r="E167" s="1326" t="str">
        <f>IFERROR(INDEX('Cash Forecast_8A import-export'!C$107:C$112,MATCH('Cash Forecast_8A'!B167,'Cash Forecast_8A import-export'!O$107:O$112,0)),"")</f>
        <v/>
      </c>
      <c r="F167" s="1341"/>
      <c r="G167" s="1326" t="str">
        <f>IFERROR(INDEX('Cash Forecast_8A import-export'!E$107:E$112,MATCH('Cash Forecast_8A'!B167,'Cash Forecast_8A import-export'!O$107:O$112,0)),"")</f>
        <v/>
      </c>
      <c r="H167" s="1341"/>
      <c r="I167" s="1342">
        <f t="shared" si="12"/>
        <v>0</v>
      </c>
      <c r="J167" s="1343"/>
      <c r="L167" s="973"/>
      <c r="M167" s="1341"/>
      <c r="N167" s="1341"/>
      <c r="O167" s="1342">
        <f t="shared" si="13"/>
        <v>0</v>
      </c>
      <c r="P167" s="1351"/>
      <c r="R167" s="329"/>
      <c r="S167" s="351"/>
      <c r="T167" s="351"/>
      <c r="U167" s="351"/>
      <c r="V167" s="351"/>
      <c r="W167" s="351"/>
    </row>
    <row r="168" spans="2:23" ht="17.25" customHeight="1" x14ac:dyDescent="0.2">
      <c r="B168" s="756" t="s">
        <v>3029</v>
      </c>
      <c r="C168" s="972" t="str">
        <f>IFERROR(INDEX('Cash Forecast_8A import-export'!A$107:A$112,MATCH('Cash Forecast_8A'!B168,'Cash Forecast_8A import-export'!O$107:O$112,0)),"")</f>
        <v/>
      </c>
      <c r="D168" s="1350" t="str">
        <f>IFERROR(INDEX('Cash Forecast_8A import-export'!B$107:B$112,MATCH('Cash Forecast_8A'!B168,'Cash Forecast_8A import-export'!O$107:O$112,0)),"")</f>
        <v/>
      </c>
      <c r="E168" s="1326" t="str">
        <f>IFERROR(INDEX('Cash Forecast_8A import-export'!C$107:C$112,MATCH('Cash Forecast_8A'!B168,'Cash Forecast_8A import-export'!O$107:O$112,0)),"")</f>
        <v/>
      </c>
      <c r="F168" s="1341"/>
      <c r="G168" s="1326" t="str">
        <f>IFERROR(INDEX('Cash Forecast_8A import-export'!E$107:E$112,MATCH('Cash Forecast_8A'!B168,'Cash Forecast_8A import-export'!O$107:O$112,0)),"")</f>
        <v/>
      </c>
      <c r="H168" s="1341"/>
      <c r="I168" s="1342">
        <f t="shared" si="12"/>
        <v>0</v>
      </c>
      <c r="J168" s="1343"/>
      <c r="L168" s="973"/>
      <c r="M168" s="1341"/>
      <c r="N168" s="1341"/>
      <c r="O168" s="1342">
        <f t="shared" si="13"/>
        <v>0</v>
      </c>
      <c r="P168" s="1351"/>
      <c r="R168" s="329"/>
      <c r="S168" s="351"/>
      <c r="T168" s="351"/>
      <c r="U168" s="351"/>
      <c r="V168" s="351"/>
      <c r="W168" s="351"/>
    </row>
    <row r="169" spans="2:23" ht="17.25" customHeight="1" x14ac:dyDescent="0.2">
      <c r="B169" s="756" t="s">
        <v>3030</v>
      </c>
      <c r="C169" s="972" t="str">
        <f>IFERROR(INDEX('Cash Forecast_8A import-export'!A$107:A$112,MATCH('Cash Forecast_8A'!B169,'Cash Forecast_8A import-export'!O$107:O$112,0)),"")</f>
        <v/>
      </c>
      <c r="D169" s="1350" t="str">
        <f>IFERROR(INDEX('Cash Forecast_8A import-export'!B$107:B$112,MATCH('Cash Forecast_8A'!B169,'Cash Forecast_8A import-export'!O$107:O$112,0)),"")</f>
        <v/>
      </c>
      <c r="E169" s="1326" t="str">
        <f>IFERROR(INDEX('Cash Forecast_8A import-export'!C$107:C$112,MATCH('Cash Forecast_8A'!B169,'Cash Forecast_8A import-export'!O$107:O$112,0)),"")</f>
        <v/>
      </c>
      <c r="F169" s="1341"/>
      <c r="G169" s="1326" t="str">
        <f>IFERROR(INDEX('Cash Forecast_8A import-export'!E$107:E$112,MATCH('Cash Forecast_8A'!B169,'Cash Forecast_8A import-export'!O$107:O$112,0)),"")</f>
        <v/>
      </c>
      <c r="H169" s="1341"/>
      <c r="I169" s="1342">
        <f t="shared" si="12"/>
        <v>0</v>
      </c>
      <c r="J169" s="1343"/>
      <c r="L169" s="973"/>
      <c r="M169" s="1341"/>
      <c r="N169" s="1341"/>
      <c r="O169" s="1342">
        <f t="shared" si="13"/>
        <v>0</v>
      </c>
      <c r="P169" s="1351"/>
      <c r="R169" s="329"/>
      <c r="S169" s="351"/>
      <c r="T169" s="351"/>
      <c r="U169" s="351"/>
      <c r="V169" s="351"/>
      <c r="W169" s="351"/>
    </row>
    <row r="170" spans="2:23" ht="17.25" customHeight="1" x14ac:dyDescent="0.2">
      <c r="B170" s="756" t="s">
        <v>3031</v>
      </c>
      <c r="C170" s="972" t="str">
        <f>IFERROR(INDEX('Cash Forecast_8A import-export'!A$107:A$112,MATCH('Cash Forecast_8A'!B170,'Cash Forecast_8A import-export'!O$107:O$112,0)),"")</f>
        <v/>
      </c>
      <c r="D170" s="1350" t="str">
        <f>IFERROR(INDEX('Cash Forecast_8A import-export'!B$107:B$112,MATCH('Cash Forecast_8A'!B170,'Cash Forecast_8A import-export'!O$107:O$112,0)),"")</f>
        <v/>
      </c>
      <c r="E170" s="1326" t="str">
        <f>IFERROR(INDEX('Cash Forecast_8A import-export'!C$107:C$112,MATCH('Cash Forecast_8A'!B170,'Cash Forecast_8A import-export'!O$107:O$112,0)),"")</f>
        <v/>
      </c>
      <c r="F170" s="1341"/>
      <c r="G170" s="1326" t="str">
        <f>IFERROR(INDEX('Cash Forecast_8A import-export'!E$107:E$112,MATCH('Cash Forecast_8A'!B170,'Cash Forecast_8A import-export'!O$107:O$112,0)),"")</f>
        <v/>
      </c>
      <c r="H170" s="1341"/>
      <c r="I170" s="1342">
        <f t="shared" si="12"/>
        <v>0</v>
      </c>
      <c r="J170" s="1343"/>
      <c r="L170" s="973"/>
      <c r="M170" s="1341"/>
      <c r="N170" s="1341"/>
      <c r="O170" s="1342">
        <f t="shared" si="13"/>
        <v>0</v>
      </c>
      <c r="P170" s="1351"/>
      <c r="R170" s="329"/>
      <c r="S170" s="351"/>
      <c r="T170" s="351"/>
      <c r="U170" s="351"/>
      <c r="V170" s="351"/>
      <c r="W170" s="351"/>
    </row>
    <row r="171" spans="2:23" ht="17.25" customHeight="1" x14ac:dyDescent="0.2">
      <c r="B171" s="756" t="s">
        <v>3032</v>
      </c>
      <c r="C171" s="972" t="str">
        <f>IFERROR(INDEX('Cash Forecast_8A import-export'!A$107:A$112,MATCH('Cash Forecast_8A'!B171,'Cash Forecast_8A import-export'!O$107:O$112,0)),"")</f>
        <v/>
      </c>
      <c r="D171" s="1350" t="str">
        <f>IFERROR(INDEX('Cash Forecast_8A import-export'!B$107:B$112,MATCH('Cash Forecast_8A'!B171,'Cash Forecast_8A import-export'!O$107:O$112,0)),"")</f>
        <v/>
      </c>
      <c r="E171" s="1326" t="str">
        <f>IFERROR(INDEX('Cash Forecast_8A import-export'!C$107:C$112,MATCH('Cash Forecast_8A'!B171,'Cash Forecast_8A import-export'!O$107:O$112,0)),"")</f>
        <v/>
      </c>
      <c r="F171" s="1341"/>
      <c r="G171" s="1326" t="str">
        <f>IFERROR(INDEX('Cash Forecast_8A import-export'!E$107:E$112,MATCH('Cash Forecast_8A'!B171,'Cash Forecast_8A import-export'!O$107:O$112,0)),"")</f>
        <v/>
      </c>
      <c r="H171" s="1341"/>
      <c r="I171" s="1342">
        <f t="shared" si="12"/>
        <v>0</v>
      </c>
      <c r="J171" s="1343"/>
      <c r="L171" s="973"/>
      <c r="M171" s="1341"/>
      <c r="N171" s="1341"/>
      <c r="O171" s="1342">
        <f t="shared" si="13"/>
        <v>0</v>
      </c>
      <c r="P171" s="1351"/>
      <c r="R171" s="329"/>
      <c r="S171" s="351"/>
      <c r="T171" s="351"/>
      <c r="U171" s="351"/>
      <c r="V171" s="351"/>
      <c r="W171" s="351"/>
    </row>
    <row r="172" spans="2:23" ht="17.25" customHeight="1" x14ac:dyDescent="0.2">
      <c r="B172" s="756" t="s">
        <v>3033</v>
      </c>
      <c r="C172" s="972" t="str">
        <f>IFERROR(INDEX('Cash Forecast_8A import-export'!A$107:A$112,MATCH('Cash Forecast_8A'!B172,'Cash Forecast_8A import-export'!O$107:O$112,0)),"")</f>
        <v/>
      </c>
      <c r="D172" s="1350" t="str">
        <f>IFERROR(INDEX('Cash Forecast_8A import-export'!B$107:B$112,MATCH('Cash Forecast_8A'!B172,'Cash Forecast_8A import-export'!O$107:O$112,0)),"")</f>
        <v/>
      </c>
      <c r="E172" s="1326" t="str">
        <f>IFERROR(INDEX('Cash Forecast_8A import-export'!C$107:C$112,MATCH('Cash Forecast_8A'!B172,'Cash Forecast_8A import-export'!O$107:O$112,0)),"")</f>
        <v/>
      </c>
      <c r="F172" s="1341"/>
      <c r="G172" s="1326" t="str">
        <f>IFERROR(INDEX('Cash Forecast_8A import-export'!E$107:E$112,MATCH('Cash Forecast_8A'!B172,'Cash Forecast_8A import-export'!O$107:O$112,0)),"")</f>
        <v/>
      </c>
      <c r="H172" s="1341"/>
      <c r="I172" s="1342">
        <f t="shared" si="12"/>
        <v>0</v>
      </c>
      <c r="J172" s="1343"/>
      <c r="L172" s="973"/>
      <c r="M172" s="1341"/>
      <c r="N172" s="1341"/>
      <c r="O172" s="1342">
        <f t="shared" si="13"/>
        <v>0</v>
      </c>
      <c r="P172" s="1351"/>
      <c r="R172" s="329"/>
      <c r="S172" s="351"/>
      <c r="T172" s="351"/>
      <c r="U172" s="351"/>
      <c r="V172" s="351"/>
      <c r="W172" s="351"/>
    </row>
    <row r="173" spans="2:23" ht="17.25" customHeight="1" x14ac:dyDescent="0.2">
      <c r="B173" s="756" t="s">
        <v>3034</v>
      </c>
      <c r="C173" s="972" t="str">
        <f>IFERROR(INDEX('Cash Forecast_8A import-export'!A$107:A$112,MATCH('Cash Forecast_8A'!B173,'Cash Forecast_8A import-export'!O$107:O$112,0)),"")</f>
        <v/>
      </c>
      <c r="D173" s="1350" t="str">
        <f>IFERROR(INDEX('Cash Forecast_8A import-export'!B$107:B$112,MATCH('Cash Forecast_8A'!B173,'Cash Forecast_8A import-export'!O$107:O$112,0)),"")</f>
        <v/>
      </c>
      <c r="E173" s="1326" t="str">
        <f>IFERROR(INDEX('Cash Forecast_8A import-export'!C$107:C$112,MATCH('Cash Forecast_8A'!B173,'Cash Forecast_8A import-export'!O$107:O$112,0)),"")</f>
        <v/>
      </c>
      <c r="F173" s="1341"/>
      <c r="G173" s="1326" t="str">
        <f>IFERROR(INDEX('Cash Forecast_8A import-export'!E$107:E$112,MATCH('Cash Forecast_8A'!B173,'Cash Forecast_8A import-export'!O$107:O$112,0)),"")</f>
        <v/>
      </c>
      <c r="H173" s="1341"/>
      <c r="I173" s="1342">
        <f t="shared" si="12"/>
        <v>0</v>
      </c>
      <c r="J173" s="1343"/>
      <c r="L173" s="973"/>
      <c r="M173" s="1341"/>
      <c r="N173" s="1341"/>
      <c r="O173" s="1342">
        <f t="shared" si="13"/>
        <v>0</v>
      </c>
      <c r="P173" s="1351"/>
      <c r="R173" s="329"/>
      <c r="S173" s="351"/>
      <c r="T173" s="351"/>
      <c r="U173" s="351"/>
      <c r="V173" s="351"/>
      <c r="W173" s="351"/>
    </row>
    <row r="174" spans="2:23" ht="17.25" customHeight="1" x14ac:dyDescent="0.2">
      <c r="B174" s="756" t="s">
        <v>3035</v>
      </c>
      <c r="C174" s="972" t="str">
        <f>IFERROR(INDEX('Cash Forecast_8A import-export'!A$107:A$112,MATCH('Cash Forecast_8A'!B174,'Cash Forecast_8A import-export'!O$107:O$112,0)),"")</f>
        <v/>
      </c>
      <c r="D174" s="1350" t="str">
        <f>IFERROR(INDEX('Cash Forecast_8A import-export'!B$107:B$112,MATCH('Cash Forecast_8A'!B174,'Cash Forecast_8A import-export'!O$107:O$112,0)),"")</f>
        <v/>
      </c>
      <c r="E174" s="1326" t="str">
        <f>IFERROR(INDEX('Cash Forecast_8A import-export'!C$107:C$112,MATCH('Cash Forecast_8A'!B174,'Cash Forecast_8A import-export'!O$107:O$112,0)),"")</f>
        <v/>
      </c>
      <c r="F174" s="1341"/>
      <c r="G174" s="1326" t="str">
        <f>IFERROR(INDEX('Cash Forecast_8A import-export'!E$107:E$112,MATCH('Cash Forecast_8A'!B174,'Cash Forecast_8A import-export'!O$107:O$112,0)),"")</f>
        <v/>
      </c>
      <c r="H174" s="1341"/>
      <c r="I174" s="1342">
        <f t="shared" si="12"/>
        <v>0</v>
      </c>
      <c r="J174" s="1343"/>
      <c r="L174" s="973"/>
      <c r="M174" s="1341"/>
      <c r="N174" s="1341"/>
      <c r="O174" s="1342">
        <f t="shared" si="13"/>
        <v>0</v>
      </c>
      <c r="P174" s="1351"/>
      <c r="R174" s="329"/>
      <c r="S174" s="351"/>
      <c r="T174" s="351"/>
      <c r="U174" s="351"/>
      <c r="V174" s="351"/>
      <c r="W174" s="351"/>
    </row>
    <row r="175" spans="2:23" ht="17.25" customHeight="1" x14ac:dyDescent="0.2">
      <c r="B175" s="756" t="s">
        <v>3036</v>
      </c>
      <c r="C175" s="972" t="str">
        <f>IFERROR(INDEX('Cash Forecast_8A import-export'!A$107:A$112,MATCH('Cash Forecast_8A'!B175,'Cash Forecast_8A import-export'!O$107:O$112,0)),"")</f>
        <v/>
      </c>
      <c r="D175" s="1350" t="str">
        <f>IFERROR(INDEX('Cash Forecast_8A import-export'!B$107:B$112,MATCH('Cash Forecast_8A'!B175,'Cash Forecast_8A import-export'!O$107:O$112,0)),"")</f>
        <v/>
      </c>
      <c r="E175" s="1326" t="str">
        <f>IFERROR(INDEX('Cash Forecast_8A import-export'!C$107:C$112,MATCH('Cash Forecast_8A'!B175,'Cash Forecast_8A import-export'!O$107:O$112,0)),"")</f>
        <v/>
      </c>
      <c r="F175" s="1341"/>
      <c r="G175" s="1326" t="str">
        <f>IFERROR(INDEX('Cash Forecast_8A import-export'!E$107:E$112,MATCH('Cash Forecast_8A'!B175,'Cash Forecast_8A import-export'!O$107:O$112,0)),"")</f>
        <v/>
      </c>
      <c r="H175" s="1341"/>
      <c r="I175" s="1342">
        <f t="shared" si="12"/>
        <v>0</v>
      </c>
      <c r="J175" s="1343"/>
      <c r="L175" s="973"/>
      <c r="M175" s="1341"/>
      <c r="N175" s="1341"/>
      <c r="O175" s="1342">
        <f t="shared" si="13"/>
        <v>0</v>
      </c>
      <c r="P175" s="1351"/>
      <c r="R175" s="329"/>
      <c r="S175" s="351"/>
      <c r="T175" s="351"/>
      <c r="U175" s="351"/>
      <c r="V175" s="351"/>
      <c r="W175" s="351"/>
    </row>
    <row r="176" spans="2:23" ht="17.25" customHeight="1" x14ac:dyDescent="0.2">
      <c r="B176" s="756" t="s">
        <v>3037</v>
      </c>
      <c r="C176" s="972" t="str">
        <f>IFERROR(INDEX('Cash Forecast_8A import-export'!A$107:A$112,MATCH('Cash Forecast_8A'!B176,'Cash Forecast_8A import-export'!O$107:O$112,0)),"")</f>
        <v/>
      </c>
      <c r="D176" s="1350" t="str">
        <f>IFERROR(INDEX('Cash Forecast_8A import-export'!B$107:B$112,MATCH('Cash Forecast_8A'!B176,'Cash Forecast_8A import-export'!O$107:O$112,0)),"")</f>
        <v/>
      </c>
      <c r="E176" s="1326" t="str">
        <f>IFERROR(INDEX('Cash Forecast_8A import-export'!C$107:C$112,MATCH('Cash Forecast_8A'!B176,'Cash Forecast_8A import-export'!O$107:O$112,0)),"")</f>
        <v/>
      </c>
      <c r="F176" s="1341"/>
      <c r="G176" s="1326" t="str">
        <f>IFERROR(INDEX('Cash Forecast_8A import-export'!E$107:E$112,MATCH('Cash Forecast_8A'!B176,'Cash Forecast_8A import-export'!O$107:O$112,0)),"")</f>
        <v/>
      </c>
      <c r="H176" s="1341"/>
      <c r="I176" s="1342">
        <f t="shared" si="12"/>
        <v>0</v>
      </c>
      <c r="J176" s="1343"/>
      <c r="L176" s="973"/>
      <c r="M176" s="1341"/>
      <c r="N176" s="1341"/>
      <c r="O176" s="1342">
        <f t="shared" si="13"/>
        <v>0</v>
      </c>
      <c r="P176" s="1351"/>
      <c r="R176" s="329"/>
      <c r="S176" s="351"/>
      <c r="T176" s="351"/>
      <c r="U176" s="351"/>
      <c r="V176" s="351"/>
      <c r="W176" s="351"/>
    </row>
    <row r="177" spans="2:23" ht="17.25" customHeight="1" x14ac:dyDescent="0.2">
      <c r="B177" s="756" t="s">
        <v>3038</v>
      </c>
      <c r="C177" s="972" t="str">
        <f>IFERROR(INDEX('Cash Forecast_8A import-export'!A$107:A$112,MATCH('Cash Forecast_8A'!B177,'Cash Forecast_8A import-export'!O$107:O$112,0)),"")</f>
        <v/>
      </c>
      <c r="D177" s="1350" t="str">
        <f>IFERROR(INDEX('Cash Forecast_8A import-export'!B$107:B$112,MATCH('Cash Forecast_8A'!B177,'Cash Forecast_8A import-export'!O$107:O$112,0)),"")</f>
        <v/>
      </c>
      <c r="E177" s="1326" t="str">
        <f>IFERROR(INDEX('Cash Forecast_8A import-export'!C$107:C$112,MATCH('Cash Forecast_8A'!B177,'Cash Forecast_8A import-export'!O$107:O$112,0)),"")</f>
        <v/>
      </c>
      <c r="F177" s="1341"/>
      <c r="G177" s="1326" t="str">
        <f>IFERROR(INDEX('Cash Forecast_8A import-export'!E$107:E$112,MATCH('Cash Forecast_8A'!B177,'Cash Forecast_8A import-export'!O$107:O$112,0)),"")</f>
        <v/>
      </c>
      <c r="H177" s="1341"/>
      <c r="I177" s="1342">
        <f t="shared" si="12"/>
        <v>0</v>
      </c>
      <c r="J177" s="1343"/>
      <c r="L177" s="973"/>
      <c r="M177" s="1341"/>
      <c r="N177" s="1341"/>
      <c r="O177" s="1342">
        <f t="shared" si="13"/>
        <v>0</v>
      </c>
      <c r="P177" s="1351"/>
      <c r="R177" s="329"/>
      <c r="S177" s="351"/>
      <c r="T177" s="351"/>
      <c r="U177" s="351"/>
      <c r="V177" s="351"/>
      <c r="W177" s="351"/>
    </row>
    <row r="178" spans="2:23" ht="17.25" customHeight="1" x14ac:dyDescent="0.2">
      <c r="B178" s="756" t="s">
        <v>3039</v>
      </c>
      <c r="C178" s="972" t="str">
        <f>IFERROR(INDEX('Cash Forecast_8A import-export'!A$107:A$112,MATCH('Cash Forecast_8A'!B178,'Cash Forecast_8A import-export'!O$107:O$112,0)),"")</f>
        <v/>
      </c>
      <c r="D178" s="1350" t="str">
        <f>IFERROR(INDEX('Cash Forecast_8A import-export'!B$107:B$112,MATCH('Cash Forecast_8A'!B178,'Cash Forecast_8A import-export'!O$107:O$112,0)),"")</f>
        <v/>
      </c>
      <c r="E178" s="1326" t="str">
        <f>IFERROR(INDEX('Cash Forecast_8A import-export'!C$107:C$112,MATCH('Cash Forecast_8A'!B178,'Cash Forecast_8A import-export'!O$107:O$112,0)),"")</f>
        <v/>
      </c>
      <c r="F178" s="1341"/>
      <c r="G178" s="1326" t="str">
        <f>IFERROR(INDEX('Cash Forecast_8A import-export'!E$107:E$112,MATCH('Cash Forecast_8A'!B178,'Cash Forecast_8A import-export'!O$107:O$112,0)),"")</f>
        <v/>
      </c>
      <c r="H178" s="1341"/>
      <c r="I178" s="1342">
        <f t="shared" si="12"/>
        <v>0</v>
      </c>
      <c r="J178" s="1343"/>
      <c r="L178" s="973"/>
      <c r="M178" s="1341"/>
      <c r="N178" s="1341"/>
      <c r="O178" s="1342">
        <f t="shared" si="13"/>
        <v>0</v>
      </c>
      <c r="P178" s="1351"/>
      <c r="R178" s="329"/>
      <c r="S178" s="351"/>
      <c r="T178" s="351"/>
      <c r="U178" s="351"/>
      <c r="V178" s="351"/>
      <c r="W178" s="351"/>
    </row>
    <row r="179" spans="2:23" ht="17.25" customHeight="1" x14ac:dyDescent="0.2">
      <c r="B179" s="756" t="s">
        <v>3040</v>
      </c>
      <c r="C179" s="972" t="str">
        <f>IFERROR(INDEX('Cash Forecast_8A import-export'!A$107:A$112,MATCH('Cash Forecast_8A'!B179,'Cash Forecast_8A import-export'!O$107:O$112,0)),"")</f>
        <v/>
      </c>
      <c r="D179" s="1350" t="str">
        <f>IFERROR(INDEX('Cash Forecast_8A import-export'!B$107:B$112,MATCH('Cash Forecast_8A'!B179,'Cash Forecast_8A import-export'!O$107:O$112,0)),"")</f>
        <v/>
      </c>
      <c r="E179" s="1326" t="str">
        <f>IFERROR(INDEX('Cash Forecast_8A import-export'!C$107:C$112,MATCH('Cash Forecast_8A'!B179,'Cash Forecast_8A import-export'!O$107:O$112,0)),"")</f>
        <v/>
      </c>
      <c r="F179" s="1341"/>
      <c r="G179" s="1326" t="str">
        <f>IFERROR(INDEX('Cash Forecast_8A import-export'!E$107:E$112,MATCH('Cash Forecast_8A'!B179,'Cash Forecast_8A import-export'!O$107:O$112,0)),"")</f>
        <v/>
      </c>
      <c r="H179" s="1341"/>
      <c r="I179" s="1342">
        <f t="shared" si="12"/>
        <v>0</v>
      </c>
      <c r="J179" s="1343"/>
      <c r="L179" s="973"/>
      <c r="M179" s="1341"/>
      <c r="N179" s="1341"/>
      <c r="O179" s="1342">
        <f t="shared" si="13"/>
        <v>0</v>
      </c>
      <c r="P179" s="1351"/>
      <c r="R179" s="329"/>
      <c r="S179" s="351"/>
      <c r="T179" s="351"/>
      <c r="U179" s="351"/>
      <c r="V179" s="351"/>
      <c r="W179" s="351"/>
    </row>
    <row r="180" spans="2:23" ht="17.25" customHeight="1" x14ac:dyDescent="0.2">
      <c r="B180" s="756" t="s">
        <v>3041</v>
      </c>
      <c r="C180" s="972" t="str">
        <f>IFERROR(INDEX('Cash Forecast_8A import-export'!A$107:A$112,MATCH('Cash Forecast_8A'!B180,'Cash Forecast_8A import-export'!O$107:O$112,0)),"")</f>
        <v/>
      </c>
      <c r="D180" s="1350" t="str">
        <f>IFERROR(INDEX('Cash Forecast_8A import-export'!B$107:B$112,MATCH('Cash Forecast_8A'!B180,'Cash Forecast_8A import-export'!O$107:O$112,0)),"")</f>
        <v/>
      </c>
      <c r="E180" s="1326" t="str">
        <f>IFERROR(INDEX('Cash Forecast_8A import-export'!C$107:C$112,MATCH('Cash Forecast_8A'!B180,'Cash Forecast_8A import-export'!O$107:O$112,0)),"")</f>
        <v/>
      </c>
      <c r="F180" s="1341"/>
      <c r="G180" s="1326" t="str">
        <f>IFERROR(INDEX('Cash Forecast_8A import-export'!E$107:E$112,MATCH('Cash Forecast_8A'!B180,'Cash Forecast_8A import-export'!O$107:O$112,0)),"")</f>
        <v/>
      </c>
      <c r="H180" s="1341"/>
      <c r="I180" s="1342">
        <f t="shared" si="12"/>
        <v>0</v>
      </c>
      <c r="J180" s="1343"/>
      <c r="L180" s="973"/>
      <c r="M180" s="1341"/>
      <c r="N180" s="1341"/>
      <c r="O180" s="1342">
        <f t="shared" si="13"/>
        <v>0</v>
      </c>
      <c r="P180" s="1351"/>
      <c r="R180" s="329"/>
      <c r="S180" s="351"/>
      <c r="T180" s="351"/>
      <c r="U180" s="351"/>
      <c r="V180" s="351"/>
      <c r="W180" s="351"/>
    </row>
    <row r="181" spans="2:23" ht="17.25" customHeight="1" x14ac:dyDescent="0.2">
      <c r="B181" s="756" t="s">
        <v>3042</v>
      </c>
      <c r="C181" s="972" t="str">
        <f>IFERROR(INDEX('Cash Forecast_8A import-export'!A$107:A$112,MATCH('Cash Forecast_8A'!B181,'Cash Forecast_8A import-export'!O$107:O$112,0)),"")</f>
        <v/>
      </c>
      <c r="D181" s="1350" t="str">
        <f>IFERROR(INDEX('Cash Forecast_8A import-export'!B$107:B$112,MATCH('Cash Forecast_8A'!B181,'Cash Forecast_8A import-export'!O$107:O$112,0)),"")</f>
        <v/>
      </c>
      <c r="E181" s="1326" t="str">
        <f>IFERROR(INDEX('Cash Forecast_8A import-export'!C$107:C$112,MATCH('Cash Forecast_8A'!B181,'Cash Forecast_8A import-export'!O$107:O$112,0)),"")</f>
        <v/>
      </c>
      <c r="F181" s="1341"/>
      <c r="G181" s="1326" t="str">
        <f>IFERROR(INDEX('Cash Forecast_8A import-export'!E$107:E$112,MATCH('Cash Forecast_8A'!B181,'Cash Forecast_8A import-export'!O$107:O$112,0)),"")</f>
        <v/>
      </c>
      <c r="H181" s="1341"/>
      <c r="I181" s="1342">
        <f t="shared" si="12"/>
        <v>0</v>
      </c>
      <c r="J181" s="1343"/>
      <c r="L181" s="973"/>
      <c r="M181" s="1341"/>
      <c r="N181" s="1341"/>
      <c r="O181" s="1342">
        <f t="shared" si="13"/>
        <v>0</v>
      </c>
      <c r="P181" s="1351"/>
      <c r="R181" s="329"/>
      <c r="S181" s="351"/>
      <c r="T181" s="351"/>
      <c r="U181" s="351"/>
      <c r="V181" s="351"/>
      <c r="W181" s="351"/>
    </row>
    <row r="182" spans="2:23" ht="17.25" customHeight="1" x14ac:dyDescent="0.2">
      <c r="B182" s="756" t="s">
        <v>3043</v>
      </c>
      <c r="C182" s="972" t="str">
        <f>IFERROR(INDEX('Cash Forecast_8A import-export'!A$107:A$112,MATCH('Cash Forecast_8A'!B182,'Cash Forecast_8A import-export'!O$107:O$112,0)),"")</f>
        <v/>
      </c>
      <c r="D182" s="1350" t="str">
        <f>IFERROR(INDEX('Cash Forecast_8A import-export'!B$107:B$112,MATCH('Cash Forecast_8A'!B182,'Cash Forecast_8A import-export'!O$107:O$112,0)),"")</f>
        <v/>
      </c>
      <c r="E182" s="1326" t="str">
        <f>IFERROR(INDEX('Cash Forecast_8A import-export'!C$107:C$112,MATCH('Cash Forecast_8A'!B182,'Cash Forecast_8A import-export'!O$107:O$112,0)),"")</f>
        <v/>
      </c>
      <c r="F182" s="1341"/>
      <c r="G182" s="1326" t="str">
        <f>IFERROR(INDEX('Cash Forecast_8A import-export'!E$107:E$112,MATCH('Cash Forecast_8A'!B182,'Cash Forecast_8A import-export'!O$107:O$112,0)),"")</f>
        <v/>
      </c>
      <c r="H182" s="1341"/>
      <c r="I182" s="1342">
        <f t="shared" si="12"/>
        <v>0</v>
      </c>
      <c r="J182" s="1343"/>
      <c r="L182" s="973"/>
      <c r="M182" s="1341"/>
      <c r="N182" s="1341"/>
      <c r="O182" s="1342">
        <f t="shared" si="13"/>
        <v>0</v>
      </c>
      <c r="P182" s="1351"/>
      <c r="R182" s="329"/>
      <c r="S182" s="351"/>
      <c r="T182" s="351"/>
      <c r="U182" s="351"/>
      <c r="V182" s="351"/>
      <c r="W182" s="351"/>
    </row>
    <row r="183" spans="2:23" ht="17.25" customHeight="1" x14ac:dyDescent="0.2">
      <c r="B183" s="756" t="s">
        <v>3044</v>
      </c>
      <c r="C183" s="972" t="str">
        <f>IFERROR(INDEX('Cash Forecast_8A import-export'!A$107:A$112,MATCH('Cash Forecast_8A'!B183,'Cash Forecast_8A import-export'!O$107:O$112,0)),"")</f>
        <v/>
      </c>
      <c r="D183" s="1350" t="str">
        <f>IFERROR(INDEX('Cash Forecast_8A import-export'!B$107:B$112,MATCH('Cash Forecast_8A'!B183,'Cash Forecast_8A import-export'!O$107:O$112,0)),"")</f>
        <v/>
      </c>
      <c r="E183" s="1326" t="str">
        <f>IFERROR(INDEX('Cash Forecast_8A import-export'!C$107:C$112,MATCH('Cash Forecast_8A'!B183,'Cash Forecast_8A import-export'!O$107:O$112,0)),"")</f>
        <v/>
      </c>
      <c r="F183" s="1341"/>
      <c r="G183" s="1326" t="str">
        <f>IFERROR(INDEX('Cash Forecast_8A import-export'!E$107:E$112,MATCH('Cash Forecast_8A'!B183,'Cash Forecast_8A import-export'!O$107:O$112,0)),"")</f>
        <v/>
      </c>
      <c r="H183" s="1341"/>
      <c r="I183" s="1342">
        <f t="shared" si="12"/>
        <v>0</v>
      </c>
      <c r="J183" s="1343"/>
      <c r="L183" s="973"/>
      <c r="M183" s="1341"/>
      <c r="N183" s="1341"/>
      <c r="O183" s="1342">
        <f t="shared" si="13"/>
        <v>0</v>
      </c>
      <c r="P183" s="1351"/>
      <c r="R183" s="329"/>
      <c r="S183" s="351"/>
      <c r="T183" s="351"/>
      <c r="U183" s="351"/>
      <c r="V183" s="351"/>
      <c r="W183" s="351"/>
    </row>
    <row r="184" spans="2:23" ht="17.25" customHeight="1" x14ac:dyDescent="0.2">
      <c r="B184" s="756" t="s">
        <v>3045</v>
      </c>
      <c r="C184" s="972" t="str">
        <f>IFERROR(INDEX('Cash Forecast_8A import-export'!A$107:A$112,MATCH('Cash Forecast_8A'!B184,'Cash Forecast_8A import-export'!O$107:O$112,0)),"")</f>
        <v/>
      </c>
      <c r="D184" s="1350" t="str">
        <f>IFERROR(INDEX('Cash Forecast_8A import-export'!B$107:B$112,MATCH('Cash Forecast_8A'!B184,'Cash Forecast_8A import-export'!O$107:O$112,0)),"")</f>
        <v/>
      </c>
      <c r="E184" s="1326" t="str">
        <f>IFERROR(INDEX('Cash Forecast_8A import-export'!C$107:C$112,MATCH('Cash Forecast_8A'!B184,'Cash Forecast_8A import-export'!O$107:O$112,0)),"")</f>
        <v/>
      </c>
      <c r="F184" s="1341"/>
      <c r="G184" s="1326" t="str">
        <f>IFERROR(INDEX('Cash Forecast_8A import-export'!E$107:E$112,MATCH('Cash Forecast_8A'!B184,'Cash Forecast_8A import-export'!O$107:O$112,0)),"")</f>
        <v/>
      </c>
      <c r="H184" s="1341"/>
      <c r="I184" s="1342">
        <f t="shared" si="12"/>
        <v>0</v>
      </c>
      <c r="J184" s="1343"/>
      <c r="L184" s="973"/>
      <c r="M184" s="1341"/>
      <c r="N184" s="1341"/>
      <c r="O184" s="1342">
        <f t="shared" si="13"/>
        <v>0</v>
      </c>
      <c r="P184" s="1351"/>
      <c r="R184" s="329"/>
      <c r="S184" s="351"/>
      <c r="T184" s="351"/>
      <c r="U184" s="351"/>
      <c r="V184" s="351"/>
      <c r="W184" s="351"/>
    </row>
    <row r="185" spans="2:23" ht="17.25" customHeight="1" x14ac:dyDescent="0.2">
      <c r="B185" s="756" t="s">
        <v>3046</v>
      </c>
      <c r="C185" s="972" t="str">
        <f>IFERROR(INDEX('Cash Forecast_8A import-export'!A$107:A$112,MATCH('Cash Forecast_8A'!B185,'Cash Forecast_8A import-export'!O$107:O$112,0)),"")</f>
        <v/>
      </c>
      <c r="D185" s="1350" t="str">
        <f>IFERROR(INDEX('Cash Forecast_8A import-export'!B$107:B$112,MATCH('Cash Forecast_8A'!B185,'Cash Forecast_8A import-export'!O$107:O$112,0)),"")</f>
        <v/>
      </c>
      <c r="E185" s="1326" t="str">
        <f>IFERROR(INDEX('Cash Forecast_8A import-export'!C$107:C$112,MATCH('Cash Forecast_8A'!B185,'Cash Forecast_8A import-export'!O$107:O$112,0)),"")</f>
        <v/>
      </c>
      <c r="F185" s="1341"/>
      <c r="G185" s="1326" t="str">
        <f>IFERROR(INDEX('Cash Forecast_8A import-export'!E$107:E$112,MATCH('Cash Forecast_8A'!B185,'Cash Forecast_8A import-export'!O$107:O$112,0)),"")</f>
        <v/>
      </c>
      <c r="H185" s="1341"/>
      <c r="I185" s="1342">
        <f t="shared" si="12"/>
        <v>0</v>
      </c>
      <c r="J185" s="1343"/>
      <c r="L185" s="973"/>
      <c r="M185" s="1341"/>
      <c r="N185" s="1341"/>
      <c r="O185" s="1342">
        <f t="shared" si="13"/>
        <v>0</v>
      </c>
      <c r="P185" s="1351"/>
      <c r="R185" s="329"/>
      <c r="S185" s="351"/>
      <c r="T185" s="351"/>
      <c r="U185" s="351"/>
      <c r="V185" s="351"/>
      <c r="W185" s="351"/>
    </row>
    <row r="186" spans="2:23" ht="17.25" customHeight="1" x14ac:dyDescent="0.2">
      <c r="B186" s="756" t="s">
        <v>3047</v>
      </c>
      <c r="C186" s="972" t="str">
        <f>IFERROR(INDEX('Cash Forecast_8A import-export'!A$107:A$112,MATCH('Cash Forecast_8A'!B186,'Cash Forecast_8A import-export'!O$107:O$112,0)),"")</f>
        <v/>
      </c>
      <c r="D186" s="1350" t="str">
        <f>IFERROR(INDEX('Cash Forecast_8A import-export'!B$107:B$112,MATCH('Cash Forecast_8A'!B186,'Cash Forecast_8A import-export'!O$107:O$112,0)),"")</f>
        <v/>
      </c>
      <c r="E186" s="1326" t="str">
        <f>IFERROR(INDEX('Cash Forecast_8A import-export'!C$107:C$112,MATCH('Cash Forecast_8A'!B186,'Cash Forecast_8A import-export'!O$107:O$112,0)),"")</f>
        <v/>
      </c>
      <c r="F186" s="1341"/>
      <c r="G186" s="1326" t="str">
        <f>IFERROR(INDEX('Cash Forecast_8A import-export'!E$107:E$112,MATCH('Cash Forecast_8A'!B186,'Cash Forecast_8A import-export'!O$107:O$112,0)),"")</f>
        <v/>
      </c>
      <c r="H186" s="1341"/>
      <c r="I186" s="1342">
        <f t="shared" si="12"/>
        <v>0</v>
      </c>
      <c r="J186" s="1343"/>
      <c r="L186" s="973"/>
      <c r="M186" s="1341"/>
      <c r="N186" s="1341"/>
      <c r="O186" s="1342">
        <f t="shared" si="13"/>
        <v>0</v>
      </c>
      <c r="P186" s="1351"/>
      <c r="R186" s="329"/>
      <c r="S186" s="351"/>
      <c r="T186" s="351"/>
      <c r="U186" s="351"/>
      <c r="V186" s="351"/>
      <c r="W186" s="351"/>
    </row>
    <row r="187" spans="2:23" ht="17.25" customHeight="1" x14ac:dyDescent="0.2">
      <c r="B187" s="756" t="s">
        <v>3048</v>
      </c>
      <c r="C187" s="972" t="str">
        <f>IFERROR(INDEX('Cash Forecast_8A import-export'!A$107:A$112,MATCH('Cash Forecast_8A'!B187,'Cash Forecast_8A import-export'!O$107:O$112,0)),"")</f>
        <v/>
      </c>
      <c r="D187" s="1350" t="str">
        <f>IFERROR(INDEX('Cash Forecast_8A import-export'!B$107:B$112,MATCH('Cash Forecast_8A'!B187,'Cash Forecast_8A import-export'!O$107:O$112,0)),"")</f>
        <v/>
      </c>
      <c r="E187" s="1326" t="str">
        <f>IFERROR(INDEX('Cash Forecast_8A import-export'!C$107:C$112,MATCH('Cash Forecast_8A'!B187,'Cash Forecast_8A import-export'!O$107:O$112,0)),"")</f>
        <v/>
      </c>
      <c r="F187" s="1341"/>
      <c r="G187" s="1326" t="str">
        <f>IFERROR(INDEX('Cash Forecast_8A import-export'!E$107:E$112,MATCH('Cash Forecast_8A'!B187,'Cash Forecast_8A import-export'!O$107:O$112,0)),"")</f>
        <v/>
      </c>
      <c r="H187" s="1341"/>
      <c r="I187" s="1342">
        <f t="shared" si="12"/>
        <v>0</v>
      </c>
      <c r="J187" s="1343"/>
      <c r="L187" s="973"/>
      <c r="M187" s="1341"/>
      <c r="N187" s="1341"/>
      <c r="O187" s="1342">
        <f t="shared" si="13"/>
        <v>0</v>
      </c>
      <c r="P187" s="1351"/>
      <c r="R187" s="329"/>
      <c r="S187" s="351"/>
      <c r="T187" s="351"/>
      <c r="U187" s="351"/>
      <c r="V187" s="351"/>
      <c r="W187" s="351"/>
    </row>
    <row r="188" spans="2:23" ht="17.25" customHeight="1" x14ac:dyDescent="0.2">
      <c r="B188" s="756" t="s">
        <v>3049</v>
      </c>
      <c r="C188" s="972" t="str">
        <f>IFERROR(INDEX('Cash Forecast_8A import-export'!A$107:A$112,MATCH('Cash Forecast_8A'!B188,'Cash Forecast_8A import-export'!O$107:O$112,0)),"")</f>
        <v/>
      </c>
      <c r="D188" s="1350" t="str">
        <f>IFERROR(INDEX('Cash Forecast_8A import-export'!B$107:B$112,MATCH('Cash Forecast_8A'!B188,'Cash Forecast_8A import-export'!O$107:O$112,0)),"")</f>
        <v/>
      </c>
      <c r="E188" s="1326" t="str">
        <f>IFERROR(INDEX('Cash Forecast_8A import-export'!C$107:C$112,MATCH('Cash Forecast_8A'!B188,'Cash Forecast_8A import-export'!O$107:O$112,0)),"")</f>
        <v/>
      </c>
      <c r="F188" s="1341"/>
      <c r="G188" s="1326" t="str">
        <f>IFERROR(INDEX('Cash Forecast_8A import-export'!E$107:E$112,MATCH('Cash Forecast_8A'!B188,'Cash Forecast_8A import-export'!O$107:O$112,0)),"")</f>
        <v/>
      </c>
      <c r="H188" s="1341"/>
      <c r="I188" s="1342">
        <f t="shared" si="12"/>
        <v>0</v>
      </c>
      <c r="J188" s="1343"/>
      <c r="L188" s="973"/>
      <c r="M188" s="1341"/>
      <c r="N188" s="1341"/>
      <c r="O188" s="1342">
        <f t="shared" si="13"/>
        <v>0</v>
      </c>
      <c r="P188" s="1351"/>
      <c r="R188" s="329"/>
      <c r="S188" s="351"/>
      <c r="T188" s="351"/>
      <c r="U188" s="351"/>
      <c r="V188" s="351"/>
      <c r="W188" s="351"/>
    </row>
    <row r="189" spans="2:23" ht="17.25" customHeight="1" x14ac:dyDescent="0.2">
      <c r="B189" s="756" t="s">
        <v>3050</v>
      </c>
      <c r="C189" s="972" t="str">
        <f>IFERROR(INDEX('Cash Forecast_8A import-export'!A$107:A$112,MATCH('Cash Forecast_8A'!B189,'Cash Forecast_8A import-export'!O$107:O$112,0)),"")</f>
        <v/>
      </c>
      <c r="D189" s="1350" t="str">
        <f>IFERROR(INDEX('Cash Forecast_8A import-export'!B$107:B$112,MATCH('Cash Forecast_8A'!B189,'Cash Forecast_8A import-export'!O$107:O$112,0)),"")</f>
        <v/>
      </c>
      <c r="E189" s="1326" t="str">
        <f>IFERROR(INDEX('Cash Forecast_8A import-export'!C$107:C$112,MATCH('Cash Forecast_8A'!B189,'Cash Forecast_8A import-export'!O$107:O$112,0)),"")</f>
        <v/>
      </c>
      <c r="F189" s="1341"/>
      <c r="G189" s="1326" t="str">
        <f>IFERROR(INDEX('Cash Forecast_8A import-export'!E$107:E$112,MATCH('Cash Forecast_8A'!B189,'Cash Forecast_8A import-export'!O$107:O$112,0)),"")</f>
        <v/>
      </c>
      <c r="H189" s="1341"/>
      <c r="I189" s="1342">
        <f t="shared" si="12"/>
        <v>0</v>
      </c>
      <c r="J189" s="1343"/>
      <c r="L189" s="973"/>
      <c r="M189" s="1341"/>
      <c r="N189" s="1341"/>
      <c r="O189" s="1342">
        <f t="shared" si="13"/>
        <v>0</v>
      </c>
      <c r="P189" s="1351"/>
      <c r="R189" s="329"/>
      <c r="S189" s="351"/>
      <c r="T189" s="351"/>
      <c r="U189" s="351"/>
      <c r="V189" s="351"/>
      <c r="W189" s="351"/>
    </row>
    <row r="190" spans="2:23" ht="17.25" customHeight="1" x14ac:dyDescent="0.2">
      <c r="B190" s="756" t="s">
        <v>3051</v>
      </c>
      <c r="C190" s="972" t="str">
        <f>IFERROR(INDEX('Cash Forecast_8A import-export'!A$107:A$112,MATCH('Cash Forecast_8A'!B190,'Cash Forecast_8A import-export'!O$107:O$112,0)),"")</f>
        <v/>
      </c>
      <c r="D190" s="1350" t="str">
        <f>IFERROR(INDEX('Cash Forecast_8A import-export'!B$107:B$112,MATCH('Cash Forecast_8A'!B190,'Cash Forecast_8A import-export'!O$107:O$112,0)),"")</f>
        <v/>
      </c>
      <c r="E190" s="1326" t="str">
        <f>IFERROR(INDEX('Cash Forecast_8A import-export'!C$107:C$112,MATCH('Cash Forecast_8A'!B190,'Cash Forecast_8A import-export'!O$107:O$112,0)),"")</f>
        <v/>
      </c>
      <c r="F190" s="1341"/>
      <c r="G190" s="1326" t="str">
        <f>IFERROR(INDEX('Cash Forecast_8A import-export'!E$107:E$112,MATCH('Cash Forecast_8A'!B190,'Cash Forecast_8A import-export'!O$107:O$112,0)),"")</f>
        <v/>
      </c>
      <c r="H190" s="1341"/>
      <c r="I190" s="1342">
        <f t="shared" si="12"/>
        <v>0</v>
      </c>
      <c r="J190" s="1343"/>
      <c r="L190" s="973"/>
      <c r="M190" s="1341"/>
      <c r="N190" s="1341"/>
      <c r="O190" s="1342">
        <f t="shared" si="13"/>
        <v>0</v>
      </c>
      <c r="P190" s="1351"/>
      <c r="R190" s="329"/>
      <c r="S190" s="351"/>
      <c r="T190" s="351"/>
      <c r="U190" s="351"/>
      <c r="V190" s="351"/>
      <c r="W190" s="351"/>
    </row>
    <row r="191" spans="2:23" ht="27.75" customHeight="1" thickBot="1" x14ac:dyDescent="0.25">
      <c r="C191" s="1331" t="s">
        <v>2449</v>
      </c>
      <c r="D191" s="1337"/>
      <c r="E191" s="1347">
        <f>ROUND(SUM(E141:E190),2)</f>
        <v>15630126.92</v>
      </c>
      <c r="F191" s="1347">
        <f>ROUND(SUM(F141:F190),2)</f>
        <v>18218160.699999999</v>
      </c>
      <c r="G191" s="1347">
        <f>ROUND(SUM(G141:G190),2)</f>
        <v>0</v>
      </c>
      <c r="H191" s="1347">
        <f>ROUND(SUM(H141:H190),2)</f>
        <v>0</v>
      </c>
      <c r="I191" s="1347">
        <f>ROUND(SUM(I141:I190),2)</f>
        <v>18218160.699999999</v>
      </c>
      <c r="J191" s="1348"/>
      <c r="L191" s="1349">
        <f>ROUND(SUM(L141:L190),2)</f>
        <v>0</v>
      </c>
      <c r="M191" s="1347">
        <f>ROUND(SUM(M141:M190),2)</f>
        <v>0</v>
      </c>
      <c r="N191" s="1347">
        <f>ROUND(SUM(N140:N141),2)</f>
        <v>0</v>
      </c>
      <c r="O191" s="1347">
        <f>ROUND(SUM(O141:O190),2)</f>
        <v>0</v>
      </c>
      <c r="P191" s="1348"/>
      <c r="Q191" s="422"/>
      <c r="R191" s="329"/>
      <c r="S191" s="351"/>
      <c r="T191" s="351"/>
      <c r="U191" s="351"/>
      <c r="V191" s="351"/>
      <c r="W191" s="351"/>
    </row>
    <row r="192" spans="2:23" ht="30" customHeight="1" x14ac:dyDescent="0.2">
      <c r="R192" s="329"/>
      <c r="S192" s="351"/>
      <c r="T192" s="351"/>
      <c r="U192" s="351"/>
      <c r="V192" s="351"/>
      <c r="W192" s="351"/>
    </row>
    <row r="193" spans="1:21" ht="66.599999999999994" customHeight="1" x14ac:dyDescent="0.2">
      <c r="C193" s="302" t="s">
        <v>2666</v>
      </c>
      <c r="E193" s="46" t="str">
        <f>IF(AND(ROUND(E22,0)=ROUND(E137,0),ROUND(E137,0)=ROUND(E191,0)),"OK","WARNING - Sum of the three tables not matching")</f>
        <v>OK</v>
      </c>
      <c r="F193" s="46" t="str">
        <f>IF(AND(ROUND(F22,0)=ROUND(F137,0),ROUND(F137,0)=ROUND(F191,0)),"OK","WARNING - Sum of the three tables not matching")</f>
        <v>OK</v>
      </c>
      <c r="G193" s="46" t="str">
        <f>IF(AND(ROUND(G22,0)=ROUND(G137,0),ROUND(G137,0)=ROUND(G191,0)),"OK","WARNING - Sum of the three tables not matching")</f>
        <v>OK</v>
      </c>
      <c r="H193" s="46" t="str">
        <f>IF(AND(ROUND(H22,0)=ROUND(H137,0),ROUND(H137,0)=ROUND(H191,0)),"OK","WARNING - Sum of the three tables not matching")</f>
        <v>OK</v>
      </c>
      <c r="I193" s="46" t="str">
        <f>IF(AND(ROUND(I22,0)=ROUND(I137,0),ROUND(I137,0)=ROUND(I191,0)),"OK","WARNING - Sum of the three tables not matching")</f>
        <v>OK</v>
      </c>
      <c r="J193" s="334"/>
      <c r="K193" s="334"/>
      <c r="L193" s="46" t="str">
        <f>IF(AND(ROUND(L22,0)=ROUND(L137,0),ROUND(L137,0)=ROUND(L191,0)),"OK","WARNING - Sum of the three tables not matching")</f>
        <v>OK</v>
      </c>
      <c r="M193" s="46" t="str">
        <f>IF(AND(ROUND(M22,0)=ROUND(M137,0),ROUND(M137,0)=ROUND(M191,0)),"OK","WARNING - Sum of the three tables not matching")</f>
        <v>OK</v>
      </c>
      <c r="N193" s="46" t="str">
        <f>IF(AND(ROUND(N22,0)=ROUND(N137,0),ROUND(N137,0)=ROUND(N191,0)),"OK","WARNING - Sum of the three tables not matching")</f>
        <v>OK</v>
      </c>
      <c r="O193" s="46" t="str">
        <f>IF(AND(ROUND(O22,0)=ROUND(O137,0),ROUND(O137,0)=ROUND(O191,0)),"OK","WARNING - Sum of the three tables not matching")</f>
        <v>OK</v>
      </c>
    </row>
    <row r="197" spans="1:21" ht="15" thickBot="1" x14ac:dyDescent="0.25"/>
    <row r="198" spans="1:21" s="328" customFormat="1" ht="18" x14ac:dyDescent="0.25">
      <c r="A198" s="756"/>
      <c r="B198" s="756"/>
      <c r="C198" s="553" t="s">
        <v>3052</v>
      </c>
      <c r="D198" s="554"/>
      <c r="E198" s="554"/>
      <c r="F198" s="555"/>
      <c r="G198" s="555"/>
      <c r="H198" s="555"/>
      <c r="I198" s="555"/>
      <c r="J198" s="555"/>
      <c r="K198" s="555"/>
      <c r="L198" s="555"/>
      <c r="M198" s="556"/>
      <c r="Q198" s="326"/>
      <c r="R198" s="327"/>
      <c r="S198" s="326"/>
      <c r="T198" s="326"/>
      <c r="U198" s="326"/>
    </row>
    <row r="199" spans="1:21" s="328" customFormat="1" ht="21.75" customHeight="1" x14ac:dyDescent="0.2">
      <c r="A199" s="756"/>
      <c r="B199" s="756"/>
      <c r="C199" s="976"/>
      <c r="D199" s="1355" t="s">
        <v>3053</v>
      </c>
      <c r="E199" s="1356" t="str">
        <f>'Cash Forecast_8A import-export'!C121</f>
        <v/>
      </c>
      <c r="F199" s="1356" t="str">
        <f>'Cash Forecast_8A import-export'!D121</f>
        <v/>
      </c>
      <c r="G199" s="1356" t="str">
        <f>'Cash Forecast_8A import-export'!E121</f>
        <v/>
      </c>
      <c r="H199" s="1356" t="str">
        <f>'Cash Forecast_8A import-export'!F121</f>
        <v/>
      </c>
      <c r="I199" s="1357" t="s">
        <v>947</v>
      </c>
      <c r="J199" s="1356" t="str">
        <f>'Cash Forecast_8A import-export'!H121</f>
        <v/>
      </c>
      <c r="K199" s="1356" t="str">
        <f>'Cash Forecast_8A import-export'!I121</f>
        <v/>
      </c>
      <c r="L199" s="1357" t="s">
        <v>947</v>
      </c>
      <c r="M199" s="1358"/>
      <c r="Q199" s="326"/>
      <c r="R199" s="327"/>
      <c r="S199" s="326"/>
      <c r="T199" s="326"/>
      <c r="U199" s="326"/>
    </row>
    <row r="200" spans="1:21" s="328" customFormat="1" ht="24.75" customHeight="1" x14ac:dyDescent="0.2">
      <c r="A200" s="756"/>
      <c r="B200" s="756"/>
      <c r="C200" s="976"/>
      <c r="D200" s="1359" t="s">
        <v>3054</v>
      </c>
      <c r="E200" s="1342">
        <f>INDEX('Cash Forecast_8A import-export'!C$122:C$125,MATCH('Cash Forecast_8A'!$D200,'Cash Forecast_8A import-export'!$B$122:$B$125,0))</f>
        <v>11853739.9001719</v>
      </c>
      <c r="F200" s="1342">
        <f>INDEX('Cash Forecast_8A import-export'!D$122:D$125,MATCH('Cash Forecast_8A'!$D200,'Cash Forecast_8A import-export'!$B$122:$B$125,0))</f>
        <v>1281214.8905080999</v>
      </c>
      <c r="G200" s="1342">
        <f>INDEX('Cash Forecast_8A import-export'!E$122:E$125,MATCH('Cash Forecast_8A'!$D200,'Cash Forecast_8A import-export'!$B$122:$B$125,0))</f>
        <v>1196212.7447736899</v>
      </c>
      <c r="H200" s="1342">
        <f>INDEX('Cash Forecast_8A import-export'!F$122:F$125,MATCH('Cash Forecast_8A'!$D200,'Cash Forecast_8A import-export'!$B$122:$B$125,0))</f>
        <v>1298959.38738459</v>
      </c>
      <c r="I200" s="1342">
        <f>SUM(E200:H200)</f>
        <v>15630126.92283828</v>
      </c>
      <c r="J200" s="1342">
        <f>INDEX('Cash Forecast_8A import-export'!H$122:H$125,MATCH('Cash Forecast_8A'!$D200,'Cash Forecast_8A import-export'!$B$122:$B$125,0))</f>
        <v>0</v>
      </c>
      <c r="K200" s="1342">
        <f>INDEX('Cash Forecast_8A import-export'!I$122:I$125,MATCH('Cash Forecast_8A'!$D200,'Cash Forecast_8A import-export'!$B$122:$B$125,0))</f>
        <v>0</v>
      </c>
      <c r="L200" s="1342">
        <f>SUM(J200:K200)</f>
        <v>0</v>
      </c>
      <c r="M200" s="1360">
        <f>I200+L200</f>
        <v>15630126.92283828</v>
      </c>
      <c r="N200" s="339" t="s">
        <v>371</v>
      </c>
      <c r="Q200" s="326"/>
      <c r="R200" s="327"/>
      <c r="S200" s="326"/>
      <c r="T200" s="326"/>
      <c r="U200" s="326"/>
    </row>
    <row r="201" spans="1:21" s="328" customFormat="1" ht="21.75" customHeight="1" x14ac:dyDescent="0.2">
      <c r="A201" s="756"/>
      <c r="B201" s="756"/>
      <c r="C201" s="1818" t="s">
        <v>1085</v>
      </c>
      <c r="D201" s="1361" t="s">
        <v>3055</v>
      </c>
      <c r="E201" s="1341"/>
      <c r="F201" s="1341"/>
      <c r="G201" s="1341"/>
      <c r="H201" s="1341"/>
      <c r="I201" s="1342">
        <f>SUM(E201:H201)</f>
        <v>0</v>
      </c>
      <c r="J201" s="1341"/>
      <c r="K201" s="1341"/>
      <c r="L201" s="1342">
        <f>SUM(J201:K201)</f>
        <v>0</v>
      </c>
      <c r="M201" s="1360">
        <f>I201+L201</f>
        <v>0</v>
      </c>
      <c r="N201" s="339"/>
      <c r="Q201" s="326"/>
      <c r="R201" s="327"/>
      <c r="S201" s="326"/>
      <c r="T201" s="326"/>
      <c r="U201" s="326"/>
    </row>
    <row r="202" spans="1:21" s="328" customFormat="1" ht="27" customHeight="1" x14ac:dyDescent="0.2">
      <c r="A202" s="756"/>
      <c r="B202" s="756"/>
      <c r="C202" s="1819"/>
      <c r="D202" s="1361" t="s">
        <v>3056</v>
      </c>
      <c r="E202" s="1341">
        <v>14441773.677308217</v>
      </c>
      <c r="F202" s="1341">
        <v>1281214.8905081009</v>
      </c>
      <c r="G202" s="1341">
        <v>1196212.7447736876</v>
      </c>
      <c r="H202" s="1341">
        <v>1298959.387384593</v>
      </c>
      <c r="I202" s="1342">
        <f>SUM(E202:H202)</f>
        <v>18218160.699974597</v>
      </c>
      <c r="J202" s="1341"/>
      <c r="K202" s="1341"/>
      <c r="L202" s="1342">
        <f>SUM(J202:K202)</f>
        <v>0</v>
      </c>
      <c r="M202" s="1360">
        <f t="shared" ref="M202:M203" si="14">I202+L202</f>
        <v>18218160.699974597</v>
      </c>
      <c r="N202" s="339"/>
      <c r="Q202" s="326"/>
      <c r="R202" s="327"/>
      <c r="S202" s="326"/>
      <c r="T202" s="326"/>
      <c r="U202" s="326"/>
    </row>
    <row r="203" spans="1:21" s="328" customFormat="1" ht="21.75" customHeight="1" x14ac:dyDescent="0.2">
      <c r="A203" s="756"/>
      <c r="B203" s="756"/>
      <c r="C203" s="1819"/>
      <c r="D203" s="1359" t="s">
        <v>3057</v>
      </c>
      <c r="E203" s="1362"/>
      <c r="F203" s="1362"/>
      <c r="G203" s="1362"/>
      <c r="H203" s="1362"/>
      <c r="I203" s="1342">
        <f>SUM(E203:H203)</f>
        <v>0</v>
      </c>
      <c r="J203" s="1362"/>
      <c r="K203" s="1362"/>
      <c r="L203" s="1342">
        <f>SUM(J203:K203)</f>
        <v>0</v>
      </c>
      <c r="M203" s="1360">
        <f t="shared" si="14"/>
        <v>0</v>
      </c>
      <c r="N203" s="339" t="s">
        <v>371</v>
      </c>
      <c r="Q203" s="326"/>
      <c r="R203" s="327"/>
      <c r="S203" s="326"/>
      <c r="T203" s="326"/>
      <c r="U203" s="326"/>
    </row>
    <row r="204" spans="1:21" s="328" customFormat="1" ht="30" customHeight="1" x14ac:dyDescent="0.2">
      <c r="A204" s="756"/>
      <c r="B204" s="756"/>
      <c r="C204" s="1820"/>
      <c r="D204" s="1363" t="s">
        <v>947</v>
      </c>
      <c r="E204" s="1364">
        <f>ROUND(SUM(E201:E203),2)</f>
        <v>14441773.68</v>
      </c>
      <c r="F204" s="1364">
        <f>ROUND(SUM(F201:F203),2)</f>
        <v>1281214.8899999999</v>
      </c>
      <c r="G204" s="1364">
        <f>ROUND(SUM(G201:G203),2)</f>
        <v>1196212.74</v>
      </c>
      <c r="H204" s="1364">
        <f>ROUND(SUM(H201:H203),2)</f>
        <v>1298959.3899999999</v>
      </c>
      <c r="I204" s="1364">
        <f>ROUND(SUM(E204:H204),2)</f>
        <v>18218160.699999999</v>
      </c>
      <c r="J204" s="1364">
        <f>ROUND(SUM(J201:J203),2)</f>
        <v>0</v>
      </c>
      <c r="K204" s="1364">
        <f>ROUND(SUM(K201:K203),2)</f>
        <v>0</v>
      </c>
      <c r="L204" s="1364">
        <f>ROUND(SUM(J204:K204),2)</f>
        <v>0</v>
      </c>
      <c r="M204" s="1360">
        <f>I204+L204</f>
        <v>18218160.699999999</v>
      </c>
      <c r="N204" s="339"/>
      <c r="Q204" s="326"/>
      <c r="R204" s="327"/>
      <c r="S204" s="326"/>
      <c r="T204" s="326"/>
      <c r="U204" s="326"/>
    </row>
    <row r="205" spans="1:21" s="328" customFormat="1" ht="26.45" customHeight="1" x14ac:dyDescent="0.2">
      <c r="A205" s="756"/>
      <c r="B205" s="756"/>
      <c r="C205" s="1807" t="s">
        <v>3058</v>
      </c>
      <c r="D205" s="1361" t="s">
        <v>3055</v>
      </c>
      <c r="E205" s="1341"/>
      <c r="F205" s="1341"/>
      <c r="G205" s="1341"/>
      <c r="H205" s="1341"/>
      <c r="I205" s="1364">
        <f>SUM(E205:H205)</f>
        <v>0</v>
      </c>
      <c r="J205" s="1341"/>
      <c r="K205" s="1341"/>
      <c r="L205" s="1364">
        <f>SUM(J205:K205)</f>
        <v>0</v>
      </c>
      <c r="M205" s="1360">
        <f>I205+L205</f>
        <v>0</v>
      </c>
      <c r="N205" s="339" t="s">
        <v>122</v>
      </c>
      <c r="Q205" s="326"/>
      <c r="R205" s="327"/>
      <c r="S205" s="326"/>
      <c r="T205" s="326"/>
      <c r="U205" s="326"/>
    </row>
    <row r="206" spans="1:21" s="328" customFormat="1" ht="26.45" customHeight="1" x14ac:dyDescent="0.2">
      <c r="A206" s="756"/>
      <c r="B206" s="756"/>
      <c r="C206" s="1808"/>
      <c r="D206" s="1361" t="s">
        <v>3056</v>
      </c>
      <c r="E206" s="1362"/>
      <c r="F206" s="1362"/>
      <c r="G206" s="1362"/>
      <c r="H206" s="1362"/>
      <c r="I206" s="1364">
        <f t="shared" ref="I206:I207" si="15">SUM(E206:H206)</f>
        <v>0</v>
      </c>
      <c r="J206" s="1362"/>
      <c r="K206" s="1362"/>
      <c r="L206" s="1364">
        <f t="shared" ref="L206:L207" si="16">SUM(J206:K206)</f>
        <v>0</v>
      </c>
      <c r="M206" s="1360">
        <f t="shared" ref="M206:M207" si="17">I206+L206</f>
        <v>0</v>
      </c>
      <c r="N206" s="339"/>
      <c r="Q206" s="326"/>
      <c r="R206" s="327"/>
      <c r="S206" s="326"/>
      <c r="T206" s="326"/>
      <c r="U206" s="326"/>
    </row>
    <row r="207" spans="1:21" s="328" customFormat="1" ht="26.45" customHeight="1" x14ac:dyDescent="0.2">
      <c r="A207" s="756"/>
      <c r="B207" s="756"/>
      <c r="C207" s="1808"/>
      <c r="D207" s="1359" t="s">
        <v>3057</v>
      </c>
      <c r="E207" s="1362"/>
      <c r="F207" s="1362"/>
      <c r="G207" s="1362"/>
      <c r="H207" s="1362"/>
      <c r="I207" s="1364">
        <f t="shared" si="15"/>
        <v>0</v>
      </c>
      <c r="J207" s="1362"/>
      <c r="K207" s="1362"/>
      <c r="L207" s="1364">
        <f t="shared" si="16"/>
        <v>0</v>
      </c>
      <c r="M207" s="1360">
        <f t="shared" si="17"/>
        <v>0</v>
      </c>
      <c r="N207" s="339" t="s">
        <v>371</v>
      </c>
      <c r="Q207" s="326"/>
      <c r="R207" s="327"/>
      <c r="S207" s="326"/>
      <c r="T207" s="326"/>
      <c r="U207" s="326"/>
    </row>
    <row r="208" spans="1:21" s="328" customFormat="1" ht="36" customHeight="1" thickBot="1" x14ac:dyDescent="0.25">
      <c r="A208" s="756"/>
      <c r="B208" s="756"/>
      <c r="C208" s="1809"/>
      <c r="D208" s="1365" t="s">
        <v>947</v>
      </c>
      <c r="E208" s="1347">
        <f>ROUND(SUM(E205:E207),2)</f>
        <v>0</v>
      </c>
      <c r="F208" s="1347">
        <f>ROUND(SUM(F205:F207),2)</f>
        <v>0</v>
      </c>
      <c r="G208" s="1347">
        <f>ROUND(SUM(G205:G207),2)</f>
        <v>0</v>
      </c>
      <c r="H208" s="1347">
        <f>ROUND(SUM(H205:H207),2)</f>
        <v>0</v>
      </c>
      <c r="I208" s="1347">
        <f>ROUND(SUM(E208:H208),2)</f>
        <v>0</v>
      </c>
      <c r="J208" s="1347">
        <f>ROUND(SUM(J205:J207),2)</f>
        <v>0</v>
      </c>
      <c r="K208" s="1347">
        <f>ROUND(SUM(K205:K207),2)</f>
        <v>0</v>
      </c>
      <c r="L208" s="1347">
        <f>ROUND(SUM(J208:K208),2)</f>
        <v>0</v>
      </c>
      <c r="M208" s="1366">
        <f>I208+L208</f>
        <v>0</v>
      </c>
      <c r="Q208" s="326"/>
      <c r="R208" s="327"/>
      <c r="S208" s="326"/>
      <c r="T208" s="326"/>
      <c r="U208" s="326"/>
    </row>
    <row r="209" spans="1:21" s="328" customFormat="1" x14ac:dyDescent="0.2">
      <c r="A209" s="756"/>
      <c r="B209" s="756"/>
      <c r="C209" s="326"/>
      <c r="Q209" s="326"/>
      <c r="R209" s="327"/>
      <c r="S209" s="326"/>
      <c r="T209" s="326"/>
      <c r="U209" s="326"/>
    </row>
    <row r="211" spans="1:21" s="328" customFormat="1" ht="62.25" customHeight="1" x14ac:dyDescent="0.2">
      <c r="A211" s="756"/>
      <c r="B211" s="756"/>
      <c r="C211" s="335" t="s">
        <v>3059</v>
      </c>
      <c r="I211" s="46" t="str">
        <f>IF(AND(ROUND(F22,0)=ROUND(F137,0),ROUND(F137,0)=ROUND(F191,0),ROUND(F191,0)=ROUND(I204,0)),"OK","WARNING - Sum of the three tables not matching")</f>
        <v>OK</v>
      </c>
      <c r="J211" s="334"/>
      <c r="K211" s="334"/>
      <c r="L211" s="46" t="str">
        <f>IF(AND(ROUND(H22,0)=ROUND(H137,0),ROUND(H137,0)=ROUND(H191,0),ROUND(H191,0)=ROUND(L204,0)),"OK","WARNING - Sum of the three tables not matching")</f>
        <v>OK</v>
      </c>
      <c r="Q211" s="326"/>
      <c r="R211" s="327"/>
      <c r="S211" s="326"/>
      <c r="T211" s="326"/>
      <c r="U211" s="326"/>
    </row>
    <row r="213" spans="1:21" s="328" customFormat="1" ht="62.25" customHeight="1" x14ac:dyDescent="0.2">
      <c r="A213" s="756"/>
      <c r="B213" s="756"/>
      <c r="C213" s="333" t="s">
        <v>3060</v>
      </c>
      <c r="I213" s="46" t="str">
        <f>IF(AND(ROUND(L22,0)=ROUND(L137,0),ROUND(L137,0)=ROUND(L191,0),ROUND(L191,0)=ROUND(I208,0)),"OK","WARNING - Sum of the three tables not matching")</f>
        <v>OK</v>
      </c>
      <c r="L213" s="46" t="str">
        <f>IF(AND(ROUND(M22,0)=ROUND(M137,0),ROUND(M137,0)=ROUND(M191,0),ROUND(M191,0)=ROUND(L208,0)),"OK","WARNING - Sum of the three tables not matching")</f>
        <v>OK</v>
      </c>
      <c r="Q213" s="326"/>
      <c r="R213" s="327"/>
      <c r="S213" s="326"/>
      <c r="T213" s="326"/>
      <c r="U213" s="326"/>
    </row>
    <row r="220" spans="1:21" s="328" customFormat="1" x14ac:dyDescent="0.2">
      <c r="A220" s="756"/>
      <c r="B220" s="756"/>
      <c r="E220" s="332" t="s">
        <v>3061</v>
      </c>
      <c r="Q220" s="326"/>
      <c r="R220" s="327"/>
      <c r="S220" s="326"/>
      <c r="T220" s="326"/>
      <c r="U220" s="326"/>
    </row>
    <row r="238" spans="13:15" x14ac:dyDescent="0.2">
      <c r="M238" s="331"/>
      <c r="N238" s="329"/>
      <c r="O238" s="329"/>
    </row>
    <row r="239" spans="13:15" x14ac:dyDescent="0.2">
      <c r="M239" s="331"/>
      <c r="N239" s="329"/>
      <c r="O239" s="329"/>
    </row>
    <row r="240" spans="13:15" x14ac:dyDescent="0.2">
      <c r="M240" s="331"/>
      <c r="N240" s="329"/>
      <c r="O240" s="329"/>
    </row>
    <row r="241" spans="4:15" x14ac:dyDescent="0.2">
      <c r="M241" s="331"/>
      <c r="N241" s="329"/>
      <c r="O241" s="329"/>
    </row>
    <row r="242" spans="4:15" x14ac:dyDescent="0.2">
      <c r="M242" s="331"/>
      <c r="N242" s="329"/>
      <c r="O242" s="329"/>
    </row>
    <row r="243" spans="4:15" x14ac:dyDescent="0.2">
      <c r="M243" s="331"/>
      <c r="N243" s="329"/>
      <c r="O243" s="329"/>
    </row>
    <row r="244" spans="4:15" x14ac:dyDescent="0.2">
      <c r="M244" s="331"/>
      <c r="N244" s="329"/>
      <c r="O244" s="329"/>
    </row>
    <row r="245" spans="4:15" x14ac:dyDescent="0.2">
      <c r="D245" s="330"/>
      <c r="E245" s="330"/>
      <c r="F245" s="330"/>
      <c r="G245" s="330"/>
      <c r="H245" s="330"/>
      <c r="I245" s="330"/>
      <c r="J245" s="330"/>
      <c r="K245" s="330"/>
      <c r="L245" s="330"/>
      <c r="M245" s="330"/>
      <c r="N245" s="329"/>
      <c r="O245" s="329"/>
    </row>
  </sheetData>
  <sheetProtection algorithmName="SHA-512" hashValue="UA0YVllIU2YseE1E1ZmuWirZ0j1s21iM6/af5+p83nbSsV6+wAFJ+500VLAINaA5Z5SnMPc4DMBW+WwU4Q+UKQ==" saltValue="u05I1FyR0g0nriAfQumKPA==" spinCount="100000" sheet="1" formatColumns="0" formatRows="0"/>
  <mergeCells count="6">
    <mergeCell ref="C205:C208"/>
    <mergeCell ref="M4:O4"/>
    <mergeCell ref="C1:P1"/>
    <mergeCell ref="E3:G3"/>
    <mergeCell ref="E4:G4"/>
    <mergeCell ref="C201:C204"/>
  </mergeCells>
  <conditionalFormatting sqref="J22 L27:P120">
    <cfRule type="expression" dxfId="91" priority="37">
      <formula>ISERROR(J22)</formula>
    </cfRule>
  </conditionalFormatting>
  <conditionalFormatting sqref="P22">
    <cfRule type="expression" dxfId="90" priority="35">
      <formula>ISERROR(P22)</formula>
    </cfRule>
  </conditionalFormatting>
  <conditionalFormatting sqref="P9:P21">
    <cfRule type="expression" dxfId="89" priority="36">
      <formula>ISERROR(P9)</formula>
    </cfRule>
  </conditionalFormatting>
  <conditionalFormatting sqref="L9:L21">
    <cfRule type="expression" dxfId="88" priority="34">
      <formula>ISERROR(L9)</formula>
    </cfRule>
  </conditionalFormatting>
  <conditionalFormatting sqref="P191">
    <cfRule type="expression" dxfId="87" priority="31">
      <formula>ISERROR(P191)</formula>
    </cfRule>
  </conditionalFormatting>
  <conditionalFormatting sqref="E193:I193">
    <cfRule type="expression" dxfId="86" priority="29">
      <formula>E193="WARNING - Sum of the three tables not matching"</formula>
    </cfRule>
  </conditionalFormatting>
  <conditionalFormatting sqref="L193:O193">
    <cfRule type="expression" dxfId="85" priority="28">
      <formula>L193="WARNING - Sum of the three tables not matching"</formula>
    </cfRule>
  </conditionalFormatting>
  <conditionalFormatting sqref="E203:H203 J203:K203">
    <cfRule type="expression" dxfId="84" priority="27">
      <formula>ISERROR(E203)</formula>
    </cfRule>
  </conditionalFormatting>
  <conditionalFormatting sqref="E207:H207 J207:K207">
    <cfRule type="expression" dxfId="83" priority="26">
      <formula>ISERROR(E207)</formula>
    </cfRule>
  </conditionalFormatting>
  <conditionalFormatting sqref="L211">
    <cfRule type="expression" dxfId="82" priority="24">
      <formula>L211="WARNING - Sum of the three tables not matching"</formula>
    </cfRule>
  </conditionalFormatting>
  <conditionalFormatting sqref="I211">
    <cfRule type="expression" dxfId="81" priority="25">
      <formula>I211="WARNING - Sum of the three tables not matching"</formula>
    </cfRule>
  </conditionalFormatting>
  <conditionalFormatting sqref="M9:M21 M191 J207:K208 H141:H191 H137 H9:H22 J199:K205 M27:M120 H27:H120">
    <cfRule type="expression" dxfId="80" priority="22">
      <formula>($I$4)="N/A"</formula>
    </cfRule>
  </conditionalFormatting>
  <conditionalFormatting sqref="L213">
    <cfRule type="expression" dxfId="79" priority="21">
      <formula>L213="WARNING - Sum of the three tables not matching"</formula>
    </cfRule>
  </conditionalFormatting>
  <conditionalFormatting sqref="I213">
    <cfRule type="expression" dxfId="78" priority="20">
      <formula>I213="WARNING - Sum of the three tables not matching"</formula>
    </cfRule>
  </conditionalFormatting>
  <conditionalFormatting sqref="H121:H136">
    <cfRule type="expression" dxfId="77" priority="18">
      <formula>($I$4)="N/A"</formula>
    </cfRule>
  </conditionalFormatting>
  <conditionalFormatting sqref="O121:O136">
    <cfRule type="expression" dxfId="76" priority="16">
      <formula>ISERROR(O121)</formula>
    </cfRule>
  </conditionalFormatting>
  <conditionalFormatting sqref="P121:P136">
    <cfRule type="expression" dxfId="75" priority="14">
      <formula>ISERROR(P121)</formula>
    </cfRule>
  </conditionalFormatting>
  <conditionalFormatting sqref="L121:M136">
    <cfRule type="expression" dxfId="74" priority="13">
      <formula>ISERROR(L121)</formula>
    </cfRule>
  </conditionalFormatting>
  <conditionalFormatting sqref="M121:M136">
    <cfRule type="expression" dxfId="73" priority="11">
      <formula>($I$4)="N/A"</formula>
    </cfRule>
  </conditionalFormatting>
  <conditionalFormatting sqref="L141:P190">
    <cfRule type="expression" dxfId="72" priority="10">
      <formula>ISERROR(L141)</formula>
    </cfRule>
  </conditionalFormatting>
  <conditionalFormatting sqref="M141:M190">
    <cfRule type="expression" dxfId="71" priority="8">
      <formula>($I$4)="N/A"</formula>
    </cfRule>
  </conditionalFormatting>
  <conditionalFormatting sqref="J137">
    <cfRule type="expression" dxfId="70" priority="7">
      <formula>ISERROR(J137)</formula>
    </cfRule>
  </conditionalFormatting>
  <conditionalFormatting sqref="P137">
    <cfRule type="expression" dxfId="69" priority="6">
      <formula>ISERROR(P137)</formula>
    </cfRule>
  </conditionalFormatting>
  <conditionalFormatting sqref="M137">
    <cfRule type="expression" dxfId="68" priority="4">
      <formula>($I$4)="N/A"</formula>
    </cfRule>
  </conditionalFormatting>
  <conditionalFormatting sqref="E206:H206 J206:K206">
    <cfRule type="expression" dxfId="67" priority="3">
      <formula>ISERROR(E206)</formula>
    </cfRule>
  </conditionalFormatting>
  <conditionalFormatting sqref="J206:K206">
    <cfRule type="expression" dxfId="66" priority="2">
      <formula>($I$4)="N/A"</formula>
    </cfRule>
  </conditionalFormatting>
  <dataValidations count="3">
    <dataValidation type="list" allowBlank="1" showInputMessage="1" showErrorMessage="1" sqref="P4" xr:uid="{00000000-0002-0000-2100-000000000000}">
      <formula1>"Select,Yes,No"</formula1>
    </dataValidation>
    <dataValidation type="list" allowBlank="1" showInputMessage="1" showErrorMessage="1" sqref="C121:C136" xr:uid="{00000000-0002-0000-2100-000001000000}">
      <formula1>Module_List</formula1>
    </dataValidation>
    <dataValidation type="list" allowBlank="1" showInputMessage="1" showErrorMessage="1" sqref="D121" xr:uid="{00000000-0002-0000-2100-000002000000}">
      <formula1>OFFSET(Modulestart,MATCH(R121,Modulecolumn,0)-1,3,COUNTIF(Modulecolumn,R121),1)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1C4A10D-6D3C-495D-9535-E9A47CE307E2}">
            <xm:f>CoverSheet!$D$14="EUR"</xm:f>
            <x14:dxf>
              <numFmt numFmtId="190" formatCode="[$EUR]\ #,##0.00;[Red]\-[$EUR]\ #,##0.00"/>
            </x14:dxf>
          </x14:cfRule>
          <xm:sqref>E200:M208 E9:O191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theme="0"/>
  </sheetPr>
  <dimension ref="A1:W220"/>
  <sheetViews>
    <sheetView showGridLines="0" topLeftCell="A7" zoomScale="55" zoomScaleNormal="55" workbookViewId="0">
      <selection activeCell="B18" sqref="B18"/>
    </sheetView>
  </sheetViews>
  <sheetFormatPr baseColWidth="10" defaultColWidth="8.85546875" defaultRowHeight="16.5" customHeight="1" x14ac:dyDescent="0.2"/>
  <cols>
    <col min="1" max="1" width="57.85546875" style="328" customWidth="1"/>
    <col min="2" max="2" width="53.5703125" style="328" customWidth="1"/>
    <col min="3" max="3" width="31.5703125" style="328" customWidth="1"/>
    <col min="4" max="4" width="34.42578125" style="328" bestFit="1" customWidth="1"/>
    <col min="5" max="5" width="41.140625" style="328" bestFit="1" customWidth="1"/>
    <col min="6" max="6" width="35.42578125" style="328" bestFit="1" customWidth="1"/>
    <col min="7" max="7" width="19" style="328" customWidth="1"/>
    <col min="8" max="8" width="63.85546875" style="328" customWidth="1"/>
    <col min="9" max="9" width="14.85546875" style="328" customWidth="1"/>
    <col min="10" max="10" width="40.140625" style="328" bestFit="1" customWidth="1"/>
    <col min="11" max="11" width="42.42578125" style="328" bestFit="1" customWidth="1"/>
    <col min="12" max="12" width="14.85546875" style="328" hidden="1" customWidth="1"/>
    <col min="13" max="13" width="25.42578125" style="328" customWidth="1"/>
    <col min="14" max="14" width="65.42578125" style="328" customWidth="1"/>
    <col min="15" max="15" width="11.42578125" style="326" customWidth="1"/>
    <col min="16" max="16" width="12.85546875" style="327" bestFit="1" customWidth="1"/>
    <col min="17" max="17" width="26" style="326" bestFit="1" customWidth="1"/>
    <col min="18" max="21" width="8.85546875" style="326" customWidth="1"/>
    <col min="22" max="16384" width="8.85546875" style="326"/>
  </cols>
  <sheetData>
    <row r="1" spans="1:21" s="328" customFormat="1" ht="16.5" customHeight="1" x14ac:dyDescent="0.35">
      <c r="A1" s="1822"/>
      <c r="B1" s="1822"/>
      <c r="C1" s="1822"/>
      <c r="D1" s="1822"/>
      <c r="E1" s="1822"/>
      <c r="F1" s="1822"/>
      <c r="G1" s="1822"/>
      <c r="H1" s="1822"/>
      <c r="I1" s="1822"/>
      <c r="P1" s="327"/>
    </row>
    <row r="2" spans="1:21" s="328" customFormat="1" ht="16.5" customHeight="1" thickBot="1" x14ac:dyDescent="0.25">
      <c r="P2" s="327"/>
    </row>
    <row r="3" spans="1:21" s="372" customFormat="1" ht="21" thickBot="1" x14ac:dyDescent="0.25">
      <c r="A3" s="387" t="s">
        <v>3062</v>
      </c>
      <c r="B3" s="325"/>
      <c r="C3" s="1823"/>
      <c r="D3" s="1824"/>
      <c r="E3" s="1824"/>
      <c r="F3" s="1824"/>
      <c r="G3" s="386"/>
      <c r="H3" s="385"/>
      <c r="I3" s="384"/>
      <c r="J3" s="383"/>
      <c r="K3" s="382"/>
      <c r="L3" s="382"/>
      <c r="M3" s="381"/>
      <c r="N3" s="380"/>
      <c r="P3" s="373"/>
    </row>
    <row r="4" spans="1:21" s="372" customFormat="1" ht="16.5" customHeight="1" thickBot="1" x14ac:dyDescent="0.25">
      <c r="A4" s="379"/>
      <c r="B4" s="378"/>
      <c r="C4" s="1825"/>
      <c r="D4" s="1826"/>
      <c r="E4" s="1826"/>
      <c r="F4" s="1826"/>
      <c r="G4" s="375"/>
      <c r="H4" s="377"/>
      <c r="I4" s="376"/>
      <c r="J4" s="375"/>
      <c r="K4" s="1827" t="s">
        <v>2945</v>
      </c>
      <c r="L4" s="1828"/>
      <c r="M4" s="1829"/>
      <c r="N4" s="374" t="s">
        <v>1140</v>
      </c>
      <c r="P4" s="373"/>
    </row>
    <row r="5" spans="1:21" s="328" customFormat="1" ht="16.5" customHeight="1" x14ac:dyDescent="0.2">
      <c r="P5" s="327"/>
    </row>
    <row r="6" spans="1:21" ht="16.5" customHeight="1" x14ac:dyDescent="0.2">
      <c r="A6" s="350" t="s">
        <v>3063</v>
      </c>
      <c r="B6" s="350"/>
      <c r="C6" s="313"/>
      <c r="D6" s="313"/>
      <c r="E6" s="313"/>
      <c r="F6" s="312"/>
      <c r="G6" s="278"/>
      <c r="H6" s="278"/>
      <c r="I6" s="355"/>
      <c r="J6" s="278"/>
      <c r="K6" s="278"/>
      <c r="L6" s="278"/>
      <c r="M6" s="278"/>
      <c r="N6" s="278"/>
      <c r="P6" s="371"/>
      <c r="Q6" s="365"/>
    </row>
    <row r="7" spans="1:21" s="365" customFormat="1" ht="16.5" customHeight="1" thickBot="1" x14ac:dyDescent="0.25">
      <c r="A7" s="328"/>
      <c r="B7" s="328"/>
      <c r="C7" s="370"/>
      <c r="D7" s="368"/>
      <c r="E7" s="368"/>
      <c r="F7" s="369"/>
      <c r="G7" s="368"/>
      <c r="H7" s="368"/>
      <c r="I7" s="328"/>
      <c r="J7" s="328"/>
      <c r="K7" s="328" t="s">
        <v>3064</v>
      </c>
      <c r="L7" s="328"/>
      <c r="M7" s="367"/>
      <c r="N7" s="367"/>
      <c r="P7" s="327"/>
      <c r="Q7" s="326"/>
    </row>
    <row r="8" spans="1:21" s="365" customFormat="1" ht="90" x14ac:dyDescent="0.2">
      <c r="A8" s="820" t="s">
        <v>2667</v>
      </c>
      <c r="B8" s="860"/>
      <c r="C8" s="821" t="s">
        <v>3065</v>
      </c>
      <c r="D8" s="821" t="s">
        <v>3066</v>
      </c>
      <c r="E8" s="821" t="s">
        <v>3067</v>
      </c>
      <c r="F8" s="821" t="s">
        <v>3068</v>
      </c>
      <c r="G8" s="821" t="s">
        <v>3069</v>
      </c>
      <c r="H8" s="821" t="s">
        <v>160</v>
      </c>
      <c r="I8" s="861">
        <v>-1</v>
      </c>
      <c r="J8" s="862" t="s">
        <v>2946</v>
      </c>
      <c r="K8" s="862" t="s">
        <v>2947</v>
      </c>
      <c r="L8" s="862"/>
      <c r="M8" s="862" t="s">
        <v>2948</v>
      </c>
      <c r="N8" s="862" t="s">
        <v>160</v>
      </c>
      <c r="O8" s="863"/>
      <c r="P8" s="864" t="s">
        <v>122</v>
      </c>
      <c r="Q8" s="865" t="s">
        <v>2673</v>
      </c>
      <c r="R8" s="866" t="s">
        <v>2673</v>
      </c>
      <c r="S8" s="427"/>
      <c r="T8" s="366"/>
      <c r="U8" s="366"/>
    </row>
    <row r="9" spans="1:21" ht="16.5" hidden="1" customHeight="1" x14ac:dyDescent="0.2">
      <c r="A9" s="867" t="s">
        <v>2674</v>
      </c>
      <c r="B9" s="868"/>
      <c r="C9" s="837" t="s">
        <v>3070</v>
      </c>
      <c r="D9" s="869" t="str">
        <f>IFERROR(INDEX('Cash Forecast_8A'!F$9:F$21,MATCH('Cash Forecast_8A import-export'!O9,'Cash Forecast_8A'!B$9:B$21,0)),"")</f>
        <v/>
      </c>
      <c r="E9" s="837" t="s">
        <v>3071</v>
      </c>
      <c r="F9" s="869" t="str">
        <f>IFERROR(INDEX('Cash Forecast_8A'!H$9:H$21,MATCH('Cash Forecast_8A import-export'!O9,'Cash Forecast_8A'!B$9:B$21,0)),"")</f>
        <v/>
      </c>
      <c r="G9" s="870" t="str">
        <f>IFERROR(D9+F9,"")</f>
        <v/>
      </c>
      <c r="H9" s="871" t="str">
        <f>IFERROR(INDEX('Cash Forecast_8A'!J$9:J$21,MATCH('Cash Forecast_8A import-export'!O9,'Cash Forecast_8A'!B$9:B$21,0)),"")</f>
        <v/>
      </c>
      <c r="I9" s="872">
        <f>I8+1</f>
        <v>0</v>
      </c>
      <c r="J9" s="869" t="str">
        <f>IFERROR(INDEX('Cash Forecast_8A'!L$9:L$21,MATCH('Cash Forecast_8A import-export'!O9,'Cash Forecast_8A'!B$9:B$21,0)),"")</f>
        <v/>
      </c>
      <c r="K9" s="838" t="str">
        <f>IFERROR(INDEX('Cash Forecast_8A'!M$9:M$21,MATCH('Cash Forecast_8A import-export'!O9,'Cash Forecast_8A'!B$9:B$21,0)),"")</f>
        <v/>
      </c>
      <c r="L9" s="838"/>
      <c r="M9" s="870" t="str">
        <f>IFERROR(J9+K9,"")</f>
        <v/>
      </c>
      <c r="N9" s="873" t="str">
        <f>IFERROR(INDEX('Cash Forecast_8A'!N$9:N$21,MATCH('Cash Forecast_8A import-export'!O9,'Cash Forecast_8A'!B$9:B$21,0)),"")</f>
        <v/>
      </c>
      <c r="O9" s="874" t="str">
        <f>"Costgrp"&amp;I9</f>
        <v>Costgrp0</v>
      </c>
      <c r="P9" s="864" t="s">
        <v>371</v>
      </c>
      <c r="Q9" s="865" t="s">
        <v>2677</v>
      </c>
      <c r="R9" s="875" t="s">
        <v>2677</v>
      </c>
      <c r="S9" s="428"/>
      <c r="T9" s="351"/>
      <c r="U9" s="351"/>
    </row>
    <row r="10" spans="1:21" ht="16.5" customHeight="1" x14ac:dyDescent="0.2">
      <c r="A10" s="867" t="s">
        <v>3072</v>
      </c>
      <c r="B10" s="868"/>
      <c r="C10" s="837">
        <v>2786691.79352033</v>
      </c>
      <c r="D10" s="869">
        <f>IFERROR(INDEX('Cash Forecast_8A'!F$9:F$21,MATCH('Cash Forecast_8A import-export'!O10,'Cash Forecast_8A'!B$9:B$21,0)),"")</f>
        <v>3416264.3912486434</v>
      </c>
      <c r="E10" s="837">
        <v>0</v>
      </c>
      <c r="F10" s="869">
        <f>IFERROR(INDEX('Cash Forecast_8A'!H$9:H$21,MATCH('Cash Forecast_8A import-export'!O10,'Cash Forecast_8A'!B$9:B$21,0)),"")</f>
        <v>0</v>
      </c>
      <c r="G10" s="870">
        <f t="shared" ref="G10:G22" si="0">IFERROR(D10+F10,"")</f>
        <v>3416264.3912486434</v>
      </c>
      <c r="H10" s="871" t="str">
        <f>IFERROR(INDEX('Cash Forecast_8A'!J$9:J$21,MATCH('Cash Forecast_8A import-export'!O10,'Cash Forecast_8A'!B$9:B$21,0)),"")</f>
        <v>Cette augmentation de  629572.59 s'explique par:
* les engagements de USD  35, 181.08 sur les act 120, 129, 210, 211, 212, 255, 265, 
* le budget  de USD 229,185.75 des périodes antérieures ramené dans cette période sur LB 102, 210, 211, 212, 252, 264, 267;
* les dépassements attendus de USD 457,359.46 sur LB 264, 266 et 267;
* les économies de USD -92,153.69 sur LB 266</v>
      </c>
      <c r="I10" s="872">
        <f t="shared" ref="I10:I22" si="1">I9+1</f>
        <v>1</v>
      </c>
      <c r="J10" s="869">
        <f>IFERROR(INDEX('Cash Forecast_8A'!L$9:L$21,MATCH('Cash Forecast_8A import-export'!O10,'Cash Forecast_8A'!B$9:B$21,0)),"")</f>
        <v>0</v>
      </c>
      <c r="K10" s="838">
        <f>IFERROR(INDEX('Cash Forecast_8A'!M$9:M$21,MATCH('Cash Forecast_8A import-export'!O10,'Cash Forecast_8A'!B$9:B$21,0)),"")</f>
        <v>0</v>
      </c>
      <c r="L10" s="838"/>
      <c r="M10" s="870">
        <f t="shared" ref="M10:M22" si="2">IFERROR(J10+K10,"")</f>
        <v>0</v>
      </c>
      <c r="N10" s="873">
        <f>IFERROR(INDEX('Cash Forecast_8A'!N$9:N$21,MATCH('Cash Forecast_8A import-export'!O10,'Cash Forecast_8A'!B$9:B$21,0)),"")</f>
        <v>0</v>
      </c>
      <c r="O10" s="874" t="str">
        <f t="shared" ref="O10:O22" si="3">"Costgrp"&amp;I10</f>
        <v>Costgrp1</v>
      </c>
      <c r="P10" s="864" t="s">
        <v>3073</v>
      </c>
      <c r="Q10" s="865">
        <v>1</v>
      </c>
      <c r="R10" s="875">
        <v>1</v>
      </c>
      <c r="S10" s="428"/>
      <c r="T10" s="351"/>
      <c r="U10" s="351"/>
    </row>
    <row r="11" spans="1:21" ht="16.5" customHeight="1" x14ac:dyDescent="0.2">
      <c r="A11" s="867" t="s">
        <v>3074</v>
      </c>
      <c r="B11" s="868"/>
      <c r="C11" s="837">
        <v>638864.16087374405</v>
      </c>
      <c r="D11" s="869">
        <f>IFERROR(INDEX('Cash Forecast_8A'!F$9:F$21,MATCH('Cash Forecast_8A import-export'!O11,'Cash Forecast_8A'!B$9:B$21,0)),"")</f>
        <v>1466080.4695256727</v>
      </c>
      <c r="E11" s="837">
        <v>0</v>
      </c>
      <c r="F11" s="869">
        <f>IFERROR(INDEX('Cash Forecast_8A'!H$9:H$21,MATCH('Cash Forecast_8A import-export'!O11,'Cash Forecast_8A'!B$9:B$21,0)),"")</f>
        <v>0</v>
      </c>
      <c r="G11" s="870">
        <f t="shared" si="0"/>
        <v>1466080.4695256727</v>
      </c>
      <c r="H11" s="871" t="str">
        <f>IFERROR(INDEX('Cash Forecast_8A'!J$9:J$21,MATCH('Cash Forecast_8A import-export'!O11,'Cash Forecast_8A'!B$9:B$21,0)),"")</f>
        <v>Augmentation du budget de USD 827,216.31  résultant : 
* des engagements de USD  15,353.87 sur LB 25, 195, 284, 285 et 286
* du budget  de USD 368,207.24 des périodes antérieures ramené dans cette période sur LB 1, 14, 15, 16, 17, 19, 34, 36, 38, 39, 41, 81,  101, 130, 134, 149,  162, 172,  177, 181, 182, 183, 187, 188, 189, 190, 197, 198, 201, 206, 209, 217, 219, 236, 253 ;
* des dépassements attendus de USD 213,726.18 sur LB  1, 2, 34, 36, 41, 57 , 263 ;
* les économies de USD  -9,705.05 sur LB 59,  169, 170, 171, 173, 174, 175, 176, 196,  20e7;
* des reprogrammations de USD 239,634.07 sur LB 304, 305, 309, 310, 311 et 312</v>
      </c>
      <c r="I11" s="872">
        <f t="shared" si="1"/>
        <v>2</v>
      </c>
      <c r="J11" s="869">
        <f>IFERROR(INDEX('Cash Forecast_8A'!L$9:L$21,MATCH('Cash Forecast_8A import-export'!O11,'Cash Forecast_8A'!B$9:B$21,0)),"")</f>
        <v>0</v>
      </c>
      <c r="K11" s="838">
        <f>IFERROR(INDEX('Cash Forecast_8A'!M$9:M$21,MATCH('Cash Forecast_8A import-export'!O11,'Cash Forecast_8A'!B$9:B$21,0)),"")</f>
        <v>0</v>
      </c>
      <c r="L11" s="838"/>
      <c r="M11" s="870">
        <f t="shared" si="2"/>
        <v>0</v>
      </c>
      <c r="N11" s="873">
        <f>IFERROR(INDEX('Cash Forecast_8A'!N$9:N$21,MATCH('Cash Forecast_8A import-export'!O11,'Cash Forecast_8A'!B$9:B$21,0)),"")</f>
        <v>0</v>
      </c>
      <c r="O11" s="874" t="str">
        <f t="shared" si="3"/>
        <v>Costgrp2</v>
      </c>
      <c r="P11" s="864" t="s">
        <v>3075</v>
      </c>
      <c r="Q11" s="865">
        <v>2</v>
      </c>
      <c r="R11" s="875">
        <v>2</v>
      </c>
      <c r="S11" s="428"/>
      <c r="T11" s="351"/>
      <c r="U11" s="351"/>
    </row>
    <row r="12" spans="1:21" ht="16.5" customHeight="1" x14ac:dyDescent="0.2">
      <c r="A12" s="867" t="s">
        <v>3076</v>
      </c>
      <c r="B12" s="868"/>
      <c r="C12" s="837">
        <v>62522.010635138497</v>
      </c>
      <c r="D12" s="869">
        <f>IFERROR(INDEX('Cash Forecast_8A'!F$9:F$21,MATCH('Cash Forecast_8A import-export'!O12,'Cash Forecast_8A'!B$9:B$21,0)),"")</f>
        <v>136887.5</v>
      </c>
      <c r="E12" s="837">
        <v>0</v>
      </c>
      <c r="F12" s="869">
        <f>IFERROR(INDEX('Cash Forecast_8A'!H$9:H$21,MATCH('Cash Forecast_8A import-export'!O12,'Cash Forecast_8A'!B$9:B$21,0)),"")</f>
        <v>0</v>
      </c>
      <c r="G12" s="870">
        <f t="shared" si="0"/>
        <v>136887.5</v>
      </c>
      <c r="H12" s="871" t="str">
        <f>IFERROR(INDEX('Cash Forecast_8A'!J$9:J$21,MATCH('Cash Forecast_8A import-export'!O12,'Cash Forecast_8A'!B$9:B$21,0)),"")</f>
        <v>Augmentation du budget de USD 74365.48 s'expliquant par : 
* du budget  de USD 29,877.98 des périodes antérieures ramené dans cette période sur LB 51, 275 et 287;
* les dépassements attendus de USD 44,487.50 sur LB 275</v>
      </c>
      <c r="I12" s="872">
        <f t="shared" si="1"/>
        <v>3</v>
      </c>
      <c r="J12" s="869">
        <f>IFERROR(INDEX('Cash Forecast_8A'!L$9:L$21,MATCH('Cash Forecast_8A import-export'!O12,'Cash Forecast_8A'!B$9:B$21,0)),"")</f>
        <v>0</v>
      </c>
      <c r="K12" s="838">
        <f>IFERROR(INDEX('Cash Forecast_8A'!M$9:M$21,MATCH('Cash Forecast_8A import-export'!O12,'Cash Forecast_8A'!B$9:B$21,0)),"")</f>
        <v>0</v>
      </c>
      <c r="L12" s="838"/>
      <c r="M12" s="870">
        <f t="shared" si="2"/>
        <v>0</v>
      </c>
      <c r="N12" s="873">
        <f>IFERROR(INDEX('Cash Forecast_8A'!N$9:N$21,MATCH('Cash Forecast_8A import-export'!O12,'Cash Forecast_8A'!B$9:B$21,0)),"")</f>
        <v>0</v>
      </c>
      <c r="O12" s="874" t="str">
        <f t="shared" si="3"/>
        <v>Costgrp3</v>
      </c>
      <c r="P12" s="864" t="s">
        <v>3077</v>
      </c>
      <c r="Q12" s="865">
        <v>3</v>
      </c>
      <c r="R12" s="875">
        <v>3</v>
      </c>
      <c r="S12" s="428"/>
      <c r="T12" s="351"/>
      <c r="U12" s="351"/>
    </row>
    <row r="13" spans="1:21" ht="16.5" customHeight="1" x14ac:dyDescent="0.2">
      <c r="A13" s="867" t="s">
        <v>3078</v>
      </c>
      <c r="B13" s="868"/>
      <c r="C13" s="837">
        <v>5330016.76</v>
      </c>
      <c r="D13" s="869">
        <f>IFERROR(INDEX('Cash Forecast_8A'!F$9:F$21,MATCH('Cash Forecast_8A import-export'!O13,'Cash Forecast_8A'!B$9:B$21,0)),"")</f>
        <v>4502212.5496763084</v>
      </c>
      <c r="E13" s="837">
        <v>0</v>
      </c>
      <c r="F13" s="869">
        <f>IFERROR(INDEX('Cash Forecast_8A'!H$9:H$21,MATCH('Cash Forecast_8A import-export'!O13,'Cash Forecast_8A'!B$9:B$21,0)),"")</f>
        <v>0</v>
      </c>
      <c r="G13" s="870">
        <f t="shared" si="0"/>
        <v>4502212.5496763084</v>
      </c>
      <c r="H13" s="871" t="str">
        <f>IFERROR(INDEX('Cash Forecast_8A'!J$9:J$21,MATCH('Cash Forecast_8A import-export'!O13,'Cash Forecast_8A'!B$9:B$21,0)),"")</f>
        <v>Cette diminution du budget de USD 827,804.21 s'explique par :
*  les engagements de USD  1,649,575.65 sur LB 21, 27, 52, 230, 
* les dépassements attendus de USD 400,000 sur LB 230
* les économies de USD -386,354.43 sur LB 21, 27, 52 et 61
* les sorties de fonds pour les périodes antérieures de USD -2,491,025.43 sur LB  220 et 230</v>
      </c>
      <c r="I13" s="872">
        <f t="shared" si="1"/>
        <v>4</v>
      </c>
      <c r="J13" s="869">
        <f>IFERROR(INDEX('Cash Forecast_8A'!L$9:L$21,MATCH('Cash Forecast_8A import-export'!O13,'Cash Forecast_8A'!B$9:B$21,0)),"")</f>
        <v>0</v>
      </c>
      <c r="K13" s="838">
        <f>IFERROR(INDEX('Cash Forecast_8A'!M$9:M$21,MATCH('Cash Forecast_8A import-export'!O13,'Cash Forecast_8A'!B$9:B$21,0)),"")</f>
        <v>0</v>
      </c>
      <c r="L13" s="838"/>
      <c r="M13" s="870">
        <f t="shared" si="2"/>
        <v>0</v>
      </c>
      <c r="N13" s="873">
        <f>IFERROR(INDEX('Cash Forecast_8A'!N$9:N$21,MATCH('Cash Forecast_8A import-export'!O13,'Cash Forecast_8A'!B$9:B$21,0)),"")</f>
        <v>0</v>
      </c>
      <c r="O13" s="874" t="str">
        <f t="shared" si="3"/>
        <v>Costgrp4</v>
      </c>
      <c r="P13" s="864" t="s">
        <v>3079</v>
      </c>
      <c r="Q13" s="865">
        <v>4</v>
      </c>
      <c r="R13" s="875">
        <v>4</v>
      </c>
      <c r="S13" s="428"/>
      <c r="T13" s="351"/>
      <c r="U13" s="351"/>
    </row>
    <row r="14" spans="1:21" ht="16.5" customHeight="1" x14ac:dyDescent="0.2">
      <c r="A14" s="867" t="s">
        <v>3080</v>
      </c>
      <c r="B14" s="868"/>
      <c r="C14" s="837">
        <v>2239790.5925460798</v>
      </c>
      <c r="D14" s="869">
        <f>IFERROR(INDEX('Cash Forecast_8A'!F$9:F$21,MATCH('Cash Forecast_8A import-export'!O14,'Cash Forecast_8A'!B$9:B$21,0)),"")</f>
        <v>2690346.251566608</v>
      </c>
      <c r="E14" s="837">
        <v>0</v>
      </c>
      <c r="F14" s="869">
        <f>IFERROR(INDEX('Cash Forecast_8A'!H$9:H$21,MATCH('Cash Forecast_8A import-export'!O14,'Cash Forecast_8A'!B$9:B$21,0)),"")</f>
        <v>0</v>
      </c>
      <c r="G14" s="870">
        <f t="shared" si="0"/>
        <v>2690346.251566608</v>
      </c>
      <c r="H14" s="871" t="str">
        <f>IFERROR(INDEX('Cash Forecast_8A'!J$9:J$21,MATCH('Cash Forecast_8A import-export'!O14,'Cash Forecast_8A'!B$9:B$21,0)),"")</f>
        <v xml:space="preserve">Cette augmentation de USD 450,555.66 s'explique par:
* les engagements de USD  1,357, 809.89 sur LB 5, 12, 28, 84, 89, 90, 97, 98, 99, 109, 110, 111 , 116, 123, 124, 143, 144, 154, 163, 238, 239
* le budget  de USD 125,697.98 des périodes antérieures ramené dans cette période sur LB 4, 5, 12, 98, 239, 246 et 247 
* les dépassements attendus de USD  360,283.87 sur LB 83, 97, 98, 123, 153 et 238 ;
* les économies de USD -890,432.68 sur LB 6, 28,  90, 99, 109, 110, 111, 116, 124, 154, 155 
*  les sorties de fonds pour les périodes antérieures de USD -502,803.4 sur LB, 83, 84, 163, </v>
      </c>
      <c r="I14" s="872">
        <f t="shared" si="1"/>
        <v>5</v>
      </c>
      <c r="J14" s="869">
        <f>IFERROR(INDEX('Cash Forecast_8A'!L$9:L$21,MATCH('Cash Forecast_8A import-export'!O14,'Cash Forecast_8A'!B$9:B$21,0)),"")</f>
        <v>0</v>
      </c>
      <c r="K14" s="838">
        <f>IFERROR(INDEX('Cash Forecast_8A'!M$9:M$21,MATCH('Cash Forecast_8A import-export'!O14,'Cash Forecast_8A'!B$9:B$21,0)),"")</f>
        <v>0</v>
      </c>
      <c r="L14" s="838"/>
      <c r="M14" s="870">
        <f t="shared" si="2"/>
        <v>0</v>
      </c>
      <c r="N14" s="873">
        <f>IFERROR(INDEX('Cash Forecast_8A'!N$9:N$21,MATCH('Cash Forecast_8A import-export'!O14,'Cash Forecast_8A'!B$9:B$21,0)),"")</f>
        <v>0</v>
      </c>
      <c r="O14" s="874" t="str">
        <f t="shared" si="3"/>
        <v>Costgrp5</v>
      </c>
      <c r="P14" s="864" t="s">
        <v>3081</v>
      </c>
      <c r="Q14" s="865">
        <v>5</v>
      </c>
      <c r="R14" s="875">
        <v>5</v>
      </c>
      <c r="S14" s="428"/>
      <c r="T14" s="351"/>
      <c r="U14" s="351"/>
    </row>
    <row r="15" spans="1:21" ht="16.5" customHeight="1" x14ac:dyDescent="0.2">
      <c r="A15" s="867" t="s">
        <v>3082</v>
      </c>
      <c r="B15" s="868"/>
      <c r="C15" s="837">
        <v>218104.04</v>
      </c>
      <c r="D15" s="869">
        <f>IFERROR(INDEX('Cash Forecast_8A'!F$9:F$21,MATCH('Cash Forecast_8A import-export'!O15,'Cash Forecast_8A'!B$9:B$21,0)),"")</f>
        <v>625350.93000000005</v>
      </c>
      <c r="E15" s="837">
        <v>0</v>
      </c>
      <c r="F15" s="869">
        <f>IFERROR(INDEX('Cash Forecast_8A'!H$9:H$21,MATCH('Cash Forecast_8A import-export'!O15,'Cash Forecast_8A'!B$9:B$21,0)),"")</f>
        <v>0</v>
      </c>
      <c r="G15" s="870">
        <f t="shared" si="0"/>
        <v>625350.93000000005</v>
      </c>
      <c r="H15" s="871" t="str">
        <f>IFERROR(INDEX('Cash Forecast_8A'!J$9:J$21,MATCH('Cash Forecast_8A import-export'!O15,'Cash Forecast_8A'!B$9:B$21,0)),"")</f>
        <v xml:space="preserve">Cette augmentation de USD 407,246.89 provient:
* des engagements de USD  127, 230.29 sur LB 7, 8,  237 et 288
* les dépassements attendus de USD 10,846.13 sur LB  237;
* les économies de USD -124,458.17 sur LB 7 et 8;
* des reprogrammations de USD 393,628.64 sur LB 295, 298, 300, 301, 303, 307 et 308 </v>
      </c>
      <c r="I15" s="872">
        <f t="shared" si="1"/>
        <v>6</v>
      </c>
      <c r="J15" s="869">
        <f>IFERROR(INDEX('Cash Forecast_8A'!L$9:L$21,MATCH('Cash Forecast_8A import-export'!O15,'Cash Forecast_8A'!B$9:B$21,0)),"")</f>
        <v>0</v>
      </c>
      <c r="K15" s="838">
        <f>IFERROR(INDEX('Cash Forecast_8A'!M$9:M$21,MATCH('Cash Forecast_8A import-export'!O15,'Cash Forecast_8A'!B$9:B$21,0)),"")</f>
        <v>0</v>
      </c>
      <c r="L15" s="838"/>
      <c r="M15" s="870">
        <f t="shared" si="2"/>
        <v>0</v>
      </c>
      <c r="N15" s="873">
        <f>IFERROR(INDEX('Cash Forecast_8A'!N$9:N$21,MATCH('Cash Forecast_8A import-export'!O15,'Cash Forecast_8A'!B$9:B$21,0)),"")</f>
        <v>0</v>
      </c>
      <c r="O15" s="874" t="str">
        <f t="shared" si="3"/>
        <v>Costgrp6</v>
      </c>
      <c r="P15" s="864" t="s">
        <v>3083</v>
      </c>
      <c r="Q15" s="865">
        <v>6</v>
      </c>
      <c r="R15" s="875">
        <v>6</v>
      </c>
      <c r="S15" s="428"/>
      <c r="T15" s="351"/>
      <c r="U15" s="351"/>
    </row>
    <row r="16" spans="1:21" ht="16.5" customHeight="1" x14ac:dyDescent="0.2">
      <c r="A16" s="867" t="s">
        <v>3084</v>
      </c>
      <c r="B16" s="868"/>
      <c r="C16" s="837">
        <v>2088453.0408290001</v>
      </c>
      <c r="D16" s="869">
        <f>IFERROR(INDEX('Cash Forecast_8A'!F$9:F$21,MATCH('Cash Forecast_8A import-export'!O16,'Cash Forecast_8A'!B$9:B$21,0)),"")</f>
        <v>2106051.289388591</v>
      </c>
      <c r="E16" s="837">
        <v>0</v>
      </c>
      <c r="F16" s="869">
        <f>IFERROR(INDEX('Cash Forecast_8A'!H$9:H$21,MATCH('Cash Forecast_8A import-export'!O16,'Cash Forecast_8A'!B$9:B$21,0)),"")</f>
        <v>0</v>
      </c>
      <c r="G16" s="870">
        <f t="shared" si="0"/>
        <v>2106051.289388591</v>
      </c>
      <c r="H16" s="871" t="str">
        <f>IFERROR(INDEX('Cash Forecast_8A'!J$9:J$21,MATCH('Cash Forecast_8A import-export'!O16,'Cash Forecast_8A'!B$9:B$21,0)),"")</f>
        <v>Il y a une augmentation de USD 9,188.84 s'expliquant par:
* les engagements de USD  332,281.03 sur LB  9, 10, 30, 53, 54, 55,  103, 118, 157,  165, 232,  241 et 244;
*   le budget  de USD 191,116.15 des périodes antérieures ramené dans cette période sur LB 11, 30, 31, 32,  78, 79, 86, 87, 119,  127, 147,  159, 161,  166, 224, 233,  240, 241,  242,  248, 250;
* les dépassements attendus de USD 330,616.97 sur LB 86, 87, 159, 160, 161, 233, 240,  241, 242, 243, 244, 245;
* les économies de USD -499,277.27 sur LB 9, 10, 29,33,  53, 54, 55, 56, 62,  6", 64, 65, 85, 91,  92, 93, 103, 104, 105, 112, 113, 114, 117, 118,  156, 157, 158, 164, 165, 167, 225, 226, 227, 228,  229, 231,   234;
*  les sorties de fonds pour les périodes antérieuresde USD 345,138.63 sur LB  222, 223 et 232
* les reprogrammations de USD 8,000 sur LB 306</v>
      </c>
      <c r="I16" s="872">
        <f t="shared" si="1"/>
        <v>7</v>
      </c>
      <c r="J16" s="869">
        <f>IFERROR(INDEX('Cash Forecast_8A'!L$9:L$21,MATCH('Cash Forecast_8A import-export'!O16,'Cash Forecast_8A'!B$9:B$21,0)),"")</f>
        <v>0</v>
      </c>
      <c r="K16" s="838">
        <f>IFERROR(INDEX('Cash Forecast_8A'!M$9:M$21,MATCH('Cash Forecast_8A import-export'!O16,'Cash Forecast_8A'!B$9:B$21,0)),"")</f>
        <v>0</v>
      </c>
      <c r="L16" s="838"/>
      <c r="M16" s="870">
        <f t="shared" si="2"/>
        <v>0</v>
      </c>
      <c r="N16" s="873">
        <f>IFERROR(INDEX('Cash Forecast_8A'!N$9:N$21,MATCH('Cash Forecast_8A import-export'!O16,'Cash Forecast_8A'!B$9:B$21,0)),"")</f>
        <v>0</v>
      </c>
      <c r="O16" s="874" t="str">
        <f t="shared" si="3"/>
        <v>Costgrp7</v>
      </c>
      <c r="P16" s="864" t="s">
        <v>3085</v>
      </c>
      <c r="Q16" s="865">
        <v>7</v>
      </c>
      <c r="R16" s="875">
        <v>7</v>
      </c>
      <c r="S16" s="428"/>
      <c r="T16" s="351"/>
      <c r="U16" s="351"/>
    </row>
    <row r="17" spans="1:21" ht="16.5" customHeight="1" x14ac:dyDescent="0.2">
      <c r="A17" s="867" t="s">
        <v>3086</v>
      </c>
      <c r="B17" s="868"/>
      <c r="C17" s="837">
        <v>0</v>
      </c>
      <c r="D17" s="869">
        <f>IFERROR(INDEX('Cash Forecast_8A'!F$9:F$21,MATCH('Cash Forecast_8A import-export'!O17,'Cash Forecast_8A'!B$9:B$21,0)),"")</f>
        <v>0</v>
      </c>
      <c r="E17" s="837">
        <v>0</v>
      </c>
      <c r="F17" s="869">
        <f>IFERROR(INDEX('Cash Forecast_8A'!H$9:H$21,MATCH('Cash Forecast_8A import-export'!O17,'Cash Forecast_8A'!B$9:B$21,0)),"")</f>
        <v>0</v>
      </c>
      <c r="G17" s="870">
        <f t="shared" si="0"/>
        <v>0</v>
      </c>
      <c r="H17" s="871">
        <f>IFERROR(INDEX('Cash Forecast_8A'!J$9:J$21,MATCH('Cash Forecast_8A import-export'!O17,'Cash Forecast_8A'!B$9:B$21,0)),"")</f>
        <v>0</v>
      </c>
      <c r="I17" s="872">
        <f t="shared" si="1"/>
        <v>8</v>
      </c>
      <c r="J17" s="869">
        <f>IFERROR(INDEX('Cash Forecast_8A'!L$9:L$21,MATCH('Cash Forecast_8A import-export'!O17,'Cash Forecast_8A'!B$9:B$21,0)),"")</f>
        <v>0</v>
      </c>
      <c r="K17" s="838">
        <f>IFERROR(INDEX('Cash Forecast_8A'!M$9:M$21,MATCH('Cash Forecast_8A import-export'!O17,'Cash Forecast_8A'!B$9:B$21,0)),"")</f>
        <v>0</v>
      </c>
      <c r="L17" s="838"/>
      <c r="M17" s="870">
        <f t="shared" si="2"/>
        <v>0</v>
      </c>
      <c r="N17" s="873">
        <f>IFERROR(INDEX('Cash Forecast_8A'!N$9:N$21,MATCH('Cash Forecast_8A import-export'!O17,'Cash Forecast_8A'!B$9:B$21,0)),"")</f>
        <v>0</v>
      </c>
      <c r="O17" s="874" t="str">
        <f t="shared" si="3"/>
        <v>Costgrp8</v>
      </c>
      <c r="P17" s="864" t="s">
        <v>3087</v>
      </c>
      <c r="Q17" s="865">
        <v>8</v>
      </c>
      <c r="R17" s="875">
        <v>8</v>
      </c>
      <c r="S17" s="428"/>
      <c r="T17" s="351"/>
      <c r="U17" s="351"/>
    </row>
    <row r="18" spans="1:21" ht="16.5" customHeight="1" x14ac:dyDescent="0.2">
      <c r="A18" s="867" t="s">
        <v>3088</v>
      </c>
      <c r="B18" s="868"/>
      <c r="C18" s="837">
        <v>22764.758186967301</v>
      </c>
      <c r="D18" s="869">
        <f>IFERROR(INDEX('Cash Forecast_8A'!F$9:F$21,MATCH('Cash Forecast_8A import-export'!O18,'Cash Forecast_8A'!B$9:B$21,0)),"")</f>
        <v>117369.15818696731</v>
      </c>
      <c r="E18" s="837">
        <v>0</v>
      </c>
      <c r="F18" s="869">
        <f>IFERROR(INDEX('Cash Forecast_8A'!H$9:H$21,MATCH('Cash Forecast_8A import-export'!O18,'Cash Forecast_8A'!B$9:B$21,0)),"")</f>
        <v>0</v>
      </c>
      <c r="G18" s="870">
        <f t="shared" si="0"/>
        <v>117369.15818696731</v>
      </c>
      <c r="H18" s="871" t="str">
        <f>IFERROR(INDEX('Cash Forecast_8A'!J$9:J$21,MATCH('Cash Forecast_8A import-export'!O18,'Cash Forecast_8A'!B$9:B$21,0)),"")</f>
        <v>Cette augmentation du budget de USD 94,604.4 s'explique par:
* les engagements de USD  3,521.12  sur LB 178 et 271
* les dépassements attendus de USD 1,697.39 sur LB 178;
*  les sorties de fonds pour les périodes antérieures de USD -15,614.11 sur LB 178
* des reprogrammations de USD 105,000 sur LB 296 et 297</v>
      </c>
      <c r="I18" s="872">
        <f t="shared" si="1"/>
        <v>9</v>
      </c>
      <c r="J18" s="869">
        <f>IFERROR(INDEX('Cash Forecast_8A'!L$9:L$21,MATCH('Cash Forecast_8A import-export'!O18,'Cash Forecast_8A'!B$9:B$21,0)),"")</f>
        <v>0</v>
      </c>
      <c r="K18" s="838">
        <f>IFERROR(INDEX('Cash Forecast_8A'!M$9:M$21,MATCH('Cash Forecast_8A import-export'!O18,'Cash Forecast_8A'!B$9:B$21,0)),"")</f>
        <v>0</v>
      </c>
      <c r="L18" s="838"/>
      <c r="M18" s="870">
        <f t="shared" si="2"/>
        <v>0</v>
      </c>
      <c r="N18" s="873">
        <f>IFERROR(INDEX('Cash Forecast_8A'!N$9:N$21,MATCH('Cash Forecast_8A import-export'!O18,'Cash Forecast_8A'!B$9:B$21,0)),"")</f>
        <v>0</v>
      </c>
      <c r="O18" s="874" t="str">
        <f t="shared" si="3"/>
        <v>Costgrp9</v>
      </c>
      <c r="P18" s="864" t="s">
        <v>3089</v>
      </c>
      <c r="Q18" s="865">
        <v>9</v>
      </c>
      <c r="R18" s="875">
        <v>9</v>
      </c>
      <c r="S18" s="428"/>
      <c r="T18" s="351"/>
      <c r="U18" s="351"/>
    </row>
    <row r="19" spans="1:21" ht="16.5" customHeight="1" x14ac:dyDescent="0.2">
      <c r="A19" s="867" t="s">
        <v>3090</v>
      </c>
      <c r="B19" s="868"/>
      <c r="C19" s="837">
        <v>81543.204950600004</v>
      </c>
      <c r="D19" s="869">
        <f>IFERROR(INDEX('Cash Forecast_8A'!F$9:F$21,MATCH('Cash Forecast_8A import-export'!O19,'Cash Forecast_8A'!B$9:B$21,0)),"")</f>
        <v>204175.50958474632</v>
      </c>
      <c r="E19" s="837">
        <v>0</v>
      </c>
      <c r="F19" s="869">
        <f>IFERROR(INDEX('Cash Forecast_8A'!H$9:H$21,MATCH('Cash Forecast_8A import-export'!O19,'Cash Forecast_8A'!B$9:B$21,0)),"")</f>
        <v>0</v>
      </c>
      <c r="G19" s="870">
        <f t="shared" si="0"/>
        <v>204175.50958474632</v>
      </c>
      <c r="H19" s="871" t="str">
        <f>IFERROR(INDEX('Cash Forecast_8A'!J$9:J$21,MATCH('Cash Forecast_8A import-export'!O19,'Cash Forecast_8A'!B$9:B$21,0)),"")</f>
        <v>Cette augmentation de USD 122,632.30 comprend:
* les engagements de USD  22, 690.86 sur LB 22, 23, 43,  132, 140 et 152
* le budget  de USD 99,941.44 des périodes antérieures ramené dans cette période sur LB 18, 22, 23,  43,  133, 152,  199 et 200</v>
      </c>
      <c r="I19" s="872">
        <f t="shared" si="1"/>
        <v>10</v>
      </c>
      <c r="J19" s="869">
        <f>IFERROR(INDEX('Cash Forecast_8A'!L$9:L$21,MATCH('Cash Forecast_8A import-export'!O19,'Cash Forecast_8A'!B$9:B$21,0)),"")</f>
        <v>0</v>
      </c>
      <c r="K19" s="838">
        <f>IFERROR(INDEX('Cash Forecast_8A'!M$9:M$21,MATCH('Cash Forecast_8A import-export'!O19,'Cash Forecast_8A'!B$9:B$21,0)),"")</f>
        <v>0</v>
      </c>
      <c r="L19" s="838"/>
      <c r="M19" s="870">
        <f t="shared" si="2"/>
        <v>0</v>
      </c>
      <c r="N19" s="873">
        <f>IFERROR(INDEX('Cash Forecast_8A'!N$9:N$21,MATCH('Cash Forecast_8A import-export'!O19,'Cash Forecast_8A'!B$9:B$21,0)),"")</f>
        <v>0</v>
      </c>
      <c r="O19" s="874" t="str">
        <f t="shared" si="3"/>
        <v>Costgrp10</v>
      </c>
      <c r="P19" s="864" t="s">
        <v>3091</v>
      </c>
      <c r="Q19" s="865">
        <v>10</v>
      </c>
      <c r="R19" s="875">
        <v>10</v>
      </c>
      <c r="S19" s="428"/>
      <c r="T19" s="351"/>
      <c r="U19" s="351"/>
    </row>
    <row r="20" spans="1:21" ht="16.5" customHeight="1" x14ac:dyDescent="0.2">
      <c r="A20" s="867" t="s">
        <v>3092</v>
      </c>
      <c r="B20" s="868"/>
      <c r="C20" s="837">
        <v>1312554.7119124399</v>
      </c>
      <c r="D20" s="869">
        <f>IFERROR(INDEX('Cash Forecast_8A'!F$9:F$21,MATCH('Cash Forecast_8A import-export'!O20,'Cash Forecast_8A'!B$9:B$21,0)),"")</f>
        <v>1588755.6286723858</v>
      </c>
      <c r="E20" s="837">
        <v>0</v>
      </c>
      <c r="F20" s="869">
        <f>IFERROR(INDEX('Cash Forecast_8A'!H$9:H$21,MATCH('Cash Forecast_8A import-export'!O20,'Cash Forecast_8A'!B$9:B$21,0)),"")</f>
        <v>0</v>
      </c>
      <c r="G20" s="870">
        <f t="shared" si="0"/>
        <v>1588755.6286723858</v>
      </c>
      <c r="H20" s="871" t="str">
        <f>IFERROR(INDEX('Cash Forecast_8A'!J$9:J$21,MATCH('Cash Forecast_8A import-export'!O20,'Cash Forecast_8A'!B$9:B$21,0)),"")</f>
        <v>Cette augmentation du budget de USD  274,325.34 s'explique par:
* les engagements de USD  325,111.48 sur LB 26, 131,  258, 259, 273 et 282
* le budget  de USD 146,252.88 des périodes antérieures ramené dans cette période sur LB 26,  69, 100,  128, 259, 273;
* les dépassements attendus de USD 143,641.85 sur LB 69, 282
*  les économies de USD -145,959.94 sur LB  179, 254 et 282
*  les sorties de fonds pour les périodes antérieures de USD -234,820.71 sur LB 282
*les reprogrammations de USD 41,975.36 sur LB  277 et 282</v>
      </c>
      <c r="I20" s="872">
        <f t="shared" si="1"/>
        <v>11</v>
      </c>
      <c r="J20" s="869">
        <f>IFERROR(INDEX('Cash Forecast_8A'!L$9:L$21,MATCH('Cash Forecast_8A import-export'!O20,'Cash Forecast_8A'!B$9:B$21,0)),"")</f>
        <v>0</v>
      </c>
      <c r="K20" s="838">
        <f>IFERROR(INDEX('Cash Forecast_8A'!M$9:M$21,MATCH('Cash Forecast_8A import-export'!O20,'Cash Forecast_8A'!B$9:B$21,0)),"")</f>
        <v>0</v>
      </c>
      <c r="L20" s="838"/>
      <c r="M20" s="870">
        <f t="shared" si="2"/>
        <v>0</v>
      </c>
      <c r="N20" s="873">
        <f>IFERROR(INDEX('Cash Forecast_8A'!N$9:N$21,MATCH('Cash Forecast_8A import-export'!O20,'Cash Forecast_8A'!B$9:B$21,0)),"")</f>
        <v>0</v>
      </c>
      <c r="O20" s="874" t="str">
        <f t="shared" si="3"/>
        <v>Costgrp11</v>
      </c>
      <c r="P20" s="864" t="s">
        <v>3093</v>
      </c>
      <c r="Q20" s="865">
        <v>11</v>
      </c>
      <c r="R20" s="875">
        <v>11</v>
      </c>
      <c r="S20" s="428"/>
      <c r="T20" s="351"/>
      <c r="U20" s="351"/>
    </row>
    <row r="21" spans="1:21" ht="16.5" customHeight="1" x14ac:dyDescent="0.2">
      <c r="A21" s="867" t="s">
        <v>3094</v>
      </c>
      <c r="B21" s="868"/>
      <c r="C21" s="837">
        <v>848821.84938394604</v>
      </c>
      <c r="D21" s="869">
        <f>IFERROR(INDEX('Cash Forecast_8A'!F$9:F$21,MATCH('Cash Forecast_8A import-export'!O21,'Cash Forecast_8A'!B$9:B$21,0)),"")</f>
        <v>1364667.022124676</v>
      </c>
      <c r="E21" s="837">
        <v>0</v>
      </c>
      <c r="F21" s="869">
        <f>IFERROR(INDEX('Cash Forecast_8A'!H$9:H$21,MATCH('Cash Forecast_8A import-export'!O21,'Cash Forecast_8A'!B$9:B$21,0)),"")</f>
        <v>0</v>
      </c>
      <c r="G21" s="870">
        <f t="shared" si="0"/>
        <v>1364667.022124676</v>
      </c>
      <c r="H21" s="871" t="str">
        <f>IFERROR(INDEX('Cash Forecast_8A'!J$9:J$21,MATCH('Cash Forecast_8A import-export'!O21,'Cash Forecast_8A'!B$9:B$21,0)),"")</f>
        <v xml:space="preserve">Cette augmentation  de USD 515,845.17 s'explique par:
* les engagements de USD  74.09 sur LB 47
* le budget  de USD 515,771.08 des périodes antérieures ramené dans cette période sur LB 13, 44, et 218
</v>
      </c>
      <c r="I21" s="872">
        <f t="shared" si="1"/>
        <v>12</v>
      </c>
      <c r="J21" s="869">
        <f>IFERROR(INDEX('Cash Forecast_8A'!L$9:L$21,MATCH('Cash Forecast_8A import-export'!O21,'Cash Forecast_8A'!B$9:B$21,0)),"")</f>
        <v>0</v>
      </c>
      <c r="K21" s="838">
        <f>IFERROR(INDEX('Cash Forecast_8A'!M$9:M$21,MATCH('Cash Forecast_8A import-export'!O21,'Cash Forecast_8A'!B$9:B$21,0)),"")</f>
        <v>0</v>
      </c>
      <c r="L21" s="838"/>
      <c r="M21" s="870">
        <f t="shared" si="2"/>
        <v>0</v>
      </c>
      <c r="N21" s="873">
        <f>IFERROR(INDEX('Cash Forecast_8A'!N$9:N$21,MATCH('Cash Forecast_8A import-export'!O21,'Cash Forecast_8A'!B$9:B$21,0)),"")</f>
        <v>0</v>
      </c>
      <c r="O21" s="874" t="str">
        <f t="shared" si="3"/>
        <v>Costgrp12</v>
      </c>
      <c r="P21" s="864" t="s">
        <v>3095</v>
      </c>
      <c r="Q21" s="865">
        <v>12</v>
      </c>
      <c r="R21" s="875">
        <v>12</v>
      </c>
      <c r="S21" s="428"/>
      <c r="T21" s="351"/>
      <c r="U21" s="351"/>
    </row>
    <row r="22" spans="1:21" ht="16.5" customHeight="1" x14ac:dyDescent="0.2">
      <c r="A22" s="867" t="s">
        <v>3096</v>
      </c>
      <c r="B22" s="868"/>
      <c r="C22" s="837">
        <v>0</v>
      </c>
      <c r="D22" s="869">
        <f>IFERROR(INDEX('Cash Forecast_8A'!F$9:F$21,MATCH('Cash Forecast_8A import-export'!O22,'Cash Forecast_8A'!B$9:B$21,0)),"")</f>
        <v>0</v>
      </c>
      <c r="E22" s="837">
        <v>0</v>
      </c>
      <c r="F22" s="869">
        <f>IFERROR(INDEX('Cash Forecast_8A'!H$9:H$21,MATCH('Cash Forecast_8A import-export'!O22,'Cash Forecast_8A'!B$9:B$21,0)),"")</f>
        <v>0</v>
      </c>
      <c r="G22" s="870">
        <f t="shared" si="0"/>
        <v>0</v>
      </c>
      <c r="H22" s="871">
        <f>IFERROR(INDEX('Cash Forecast_8A'!J$9:J$21,MATCH('Cash Forecast_8A import-export'!O22,'Cash Forecast_8A'!B$9:B$21,0)),"")</f>
        <v>0</v>
      </c>
      <c r="I22" s="872">
        <f t="shared" si="1"/>
        <v>13</v>
      </c>
      <c r="J22" s="869">
        <f>IFERROR(INDEX('Cash Forecast_8A'!L$9:L$21,MATCH('Cash Forecast_8A import-export'!O22,'Cash Forecast_8A'!B$9:B$21,0)),"")</f>
        <v>0</v>
      </c>
      <c r="K22" s="838">
        <f>IFERROR(INDEX('Cash Forecast_8A'!M$9:M$21,MATCH('Cash Forecast_8A import-export'!O22,'Cash Forecast_8A'!B$9:B$21,0)),"")</f>
        <v>0</v>
      </c>
      <c r="L22" s="838"/>
      <c r="M22" s="870">
        <f t="shared" si="2"/>
        <v>0</v>
      </c>
      <c r="N22" s="873">
        <f>IFERROR(INDEX('Cash Forecast_8A'!N$9:N$21,MATCH('Cash Forecast_8A import-export'!O22,'Cash Forecast_8A'!B$9:B$21,0)),"")</f>
        <v>0</v>
      </c>
      <c r="O22" s="874" t="str">
        <f t="shared" si="3"/>
        <v>Costgrp13</v>
      </c>
      <c r="P22" s="864" t="s">
        <v>3097</v>
      </c>
      <c r="Q22" s="865">
        <v>13</v>
      </c>
      <c r="R22" s="875">
        <v>13</v>
      </c>
      <c r="S22" s="428"/>
      <c r="T22" s="351"/>
      <c r="U22" s="351"/>
    </row>
    <row r="23" spans="1:21" ht="16.5" customHeight="1" x14ac:dyDescent="0.2">
      <c r="A23" s="363"/>
      <c r="B23" s="362"/>
      <c r="C23" s="338"/>
      <c r="D23" s="338"/>
      <c r="E23" s="338"/>
      <c r="F23" s="338"/>
      <c r="G23" s="338"/>
      <c r="H23" s="361"/>
      <c r="J23" s="338"/>
      <c r="K23" s="338"/>
      <c r="L23" s="338"/>
      <c r="M23" s="338"/>
      <c r="N23" s="361"/>
      <c r="P23" s="425"/>
      <c r="Q23" s="725"/>
      <c r="R23" s="428"/>
      <c r="S23" s="429"/>
      <c r="T23" s="351"/>
      <c r="U23" s="351"/>
    </row>
    <row r="24" spans="1:21" ht="16.5" customHeight="1" x14ac:dyDescent="0.2">
      <c r="A24" s="360" t="s">
        <v>2449</v>
      </c>
      <c r="B24" s="359"/>
      <c r="C24" s="336">
        <f>ROUND(SUM(C9:C23),2)</f>
        <v>15630126.92</v>
      </c>
      <c r="D24" s="336">
        <f>ROUND(SUM(D9:D23),2)</f>
        <v>18218160.699999999</v>
      </c>
      <c r="E24" s="336">
        <f>ROUND(SUM(E9:E23),2)</f>
        <v>0</v>
      </c>
      <c r="F24" s="336">
        <f>ROUND(SUM(F9:F23),2)</f>
        <v>0</v>
      </c>
      <c r="G24" s="336">
        <f>ROUND(SUM(G9:G23),2)</f>
        <v>18218160.699999999</v>
      </c>
      <c r="H24" s="340"/>
      <c r="I24" s="355"/>
      <c r="J24" s="336">
        <f>ROUND(SUM(J9:J23),2)</f>
        <v>0</v>
      </c>
      <c r="K24" s="336">
        <f>ROUND(SUM(K9:K23),2)</f>
        <v>0</v>
      </c>
      <c r="L24" s="336">
        <f>ROUND(SUM(L9:L23),2)</f>
        <v>0</v>
      </c>
      <c r="M24" s="336">
        <f>ROUND(SUM(M9:M23),2)</f>
        <v>0</v>
      </c>
      <c r="N24" s="340"/>
      <c r="P24" s="425"/>
      <c r="Q24" s="428"/>
      <c r="R24" s="428"/>
      <c r="S24" s="428"/>
      <c r="T24" s="351"/>
      <c r="U24" s="351"/>
    </row>
    <row r="25" spans="1:21" ht="16.5" customHeight="1" x14ac:dyDescent="0.2">
      <c r="P25" s="425"/>
      <c r="Q25" s="428"/>
      <c r="R25" s="428"/>
      <c r="S25" s="428"/>
      <c r="T25" s="351"/>
      <c r="U25" s="351"/>
    </row>
    <row r="26" spans="1:21" ht="16.5" customHeight="1" x14ac:dyDescent="0.2">
      <c r="P26" s="425"/>
      <c r="Q26" s="428"/>
      <c r="R26" s="428"/>
      <c r="S26" s="428"/>
      <c r="T26" s="351"/>
      <c r="U26" s="351"/>
    </row>
    <row r="27" spans="1:21" ht="16.5" customHeight="1" x14ac:dyDescent="0.2">
      <c r="A27" s="350" t="s">
        <v>3098</v>
      </c>
      <c r="B27" s="350"/>
      <c r="C27" s="313"/>
      <c r="D27" s="313"/>
      <c r="E27" s="313"/>
      <c r="F27" s="312"/>
      <c r="G27" s="278"/>
      <c r="H27" s="278"/>
      <c r="I27" s="355"/>
      <c r="J27" s="278"/>
      <c r="K27" s="278"/>
      <c r="L27" s="278"/>
      <c r="M27" s="278"/>
      <c r="N27" s="278"/>
      <c r="P27" s="425"/>
      <c r="Q27" s="428"/>
      <c r="R27" s="428"/>
      <c r="S27" s="428"/>
      <c r="T27" s="351"/>
      <c r="U27" s="351"/>
    </row>
    <row r="28" spans="1:21" ht="90" x14ac:dyDescent="0.2">
      <c r="A28" s="820" t="s">
        <v>2778</v>
      </c>
      <c r="B28" s="880" t="s">
        <v>2779</v>
      </c>
      <c r="C28" s="821" t="s">
        <v>3065</v>
      </c>
      <c r="D28" s="821" t="s">
        <v>3066</v>
      </c>
      <c r="E28" s="821" t="s">
        <v>3067</v>
      </c>
      <c r="F28" s="821" t="s">
        <v>3068</v>
      </c>
      <c r="G28" s="821" t="s">
        <v>3069</v>
      </c>
      <c r="H28" s="821" t="s">
        <v>160</v>
      </c>
      <c r="I28" s="881">
        <v>-1</v>
      </c>
      <c r="J28" s="862" t="s">
        <v>2946</v>
      </c>
      <c r="K28" s="862" t="s">
        <v>2947</v>
      </c>
      <c r="L28" s="862"/>
      <c r="M28" s="862" t="s">
        <v>2948</v>
      </c>
      <c r="N28" s="862"/>
      <c r="O28" s="874"/>
      <c r="P28" s="864" t="s">
        <v>122</v>
      </c>
      <c r="Q28" s="428"/>
      <c r="R28" s="428"/>
      <c r="S28" s="428"/>
      <c r="T28" s="351"/>
      <c r="U28" s="351"/>
    </row>
    <row r="29" spans="1:21" ht="16.5" hidden="1" customHeight="1" x14ac:dyDescent="0.2">
      <c r="A29" s="867" t="s">
        <v>596</v>
      </c>
      <c r="B29" s="867" t="s">
        <v>769</v>
      </c>
      <c r="C29" s="837" t="s">
        <v>3070</v>
      </c>
      <c r="D29" s="869" t="str">
        <f>IFERROR(INDEX('Cash Forecast_8A'!F$27:F$120,MATCH('Cash Forecast_8A import-export'!O29,'Cash Forecast_8A'!B$27:B$120,0)),"")</f>
        <v/>
      </c>
      <c r="E29" s="837" t="s">
        <v>3071</v>
      </c>
      <c r="F29" s="869" t="str">
        <f>IFERROR(INDEX('Cash Forecast_8A'!H$27:H$120,MATCH('Cash Forecast_8A import-export'!O29,'Cash Forecast_8A'!B$27:B$120,0)),"")</f>
        <v/>
      </c>
      <c r="G29" s="870" t="str">
        <f>IFERROR(D29+F29,"")</f>
        <v/>
      </c>
      <c r="H29" s="871" t="s">
        <v>3099</v>
      </c>
      <c r="I29" s="877">
        <f>I28+1</f>
        <v>0</v>
      </c>
      <c r="J29" s="869" t="str">
        <f>IFERROR(INDEX('Cash Forecast_8A'!L$27:L$120,MATCH('Cash Forecast_8A import-export'!O29,'Cash Forecast_8A'!B$27:B$120,0)),"")</f>
        <v/>
      </c>
      <c r="K29" s="869" t="str">
        <f>IFERROR(INDEX('Cash Forecast_8A'!M$27:M$120,MATCH('Cash Forecast_8A import-export'!O29,'Cash Forecast_8A'!B$27:B$120,0)),"")</f>
        <v/>
      </c>
      <c r="L29" s="869"/>
      <c r="M29" s="870" t="str">
        <f>IFERROR(J29+K29,"")</f>
        <v/>
      </c>
      <c r="N29" s="879"/>
      <c r="O29" s="874" t="str">
        <f>"Int"&amp;I29</f>
        <v>Int0</v>
      </c>
      <c r="P29" s="864" t="s">
        <v>371</v>
      </c>
      <c r="Q29" s="428"/>
      <c r="R29" s="428"/>
      <c r="S29" s="428"/>
      <c r="T29" s="351"/>
      <c r="U29" s="351"/>
    </row>
    <row r="30" spans="1:21" ht="16.5" customHeight="1" x14ac:dyDescent="0.2">
      <c r="A30" s="867" t="s">
        <v>776</v>
      </c>
      <c r="B30" s="867" t="s">
        <v>782</v>
      </c>
      <c r="C30" s="837">
        <v>1083.6147002595601</v>
      </c>
      <c r="D30" s="869">
        <f>IFERROR(INDEX('Cash Forecast_8A'!F$27:F$120,MATCH('Cash Forecast_8A import-export'!O30,'Cash Forecast_8A'!B$27:B$120,0)),"")</f>
        <v>1083.6147002595599</v>
      </c>
      <c r="E30" s="837">
        <v>0</v>
      </c>
      <c r="F30" s="869">
        <f>IFERROR(INDEX('Cash Forecast_8A'!H$27:H$120,MATCH('Cash Forecast_8A import-export'!O30,'Cash Forecast_8A'!B$27:B$120,0)),"")</f>
        <v>0</v>
      </c>
      <c r="G30" s="870">
        <f t="shared" ref="G30:G74" si="4">IFERROR(D30+F30,"")</f>
        <v>1083.6147002595599</v>
      </c>
      <c r="H30" s="871"/>
      <c r="I30" s="877">
        <f t="shared" ref="I30:I74" si="5">I29+1</f>
        <v>1</v>
      </c>
      <c r="J30" s="869">
        <f>IFERROR(INDEX('Cash Forecast_8A'!L$27:L$120,MATCH('Cash Forecast_8A import-export'!O30,'Cash Forecast_8A'!B$27:B$120,0)),"")</f>
        <v>0</v>
      </c>
      <c r="K30" s="869">
        <f>IFERROR(INDEX('Cash Forecast_8A'!M$27:M$120,MATCH('Cash Forecast_8A import-export'!O30,'Cash Forecast_8A'!B$27:B$120,0)),"")</f>
        <v>0</v>
      </c>
      <c r="L30" s="869"/>
      <c r="M30" s="870">
        <f t="shared" ref="M30:M74" si="6">IFERROR(J30+K30,"")</f>
        <v>0</v>
      </c>
      <c r="N30" s="879"/>
      <c r="O30" s="874" t="str">
        <f t="shared" ref="O30:O74" si="7">"Int"&amp;I30</f>
        <v>Int1</v>
      </c>
      <c r="P30" s="864" t="s">
        <v>3100</v>
      </c>
      <c r="Q30" s="428"/>
      <c r="R30" s="428"/>
      <c r="S30" s="428"/>
      <c r="T30" s="351"/>
      <c r="U30" s="351"/>
    </row>
    <row r="31" spans="1:21" ht="16.5" customHeight="1" x14ac:dyDescent="0.2">
      <c r="A31" s="867" t="s">
        <v>390</v>
      </c>
      <c r="B31" s="867" t="s">
        <v>2781</v>
      </c>
      <c r="C31" s="837">
        <v>437677.27371243801</v>
      </c>
      <c r="D31" s="869">
        <f>IFERROR(INDEX('Cash Forecast_8A'!F$27:F$120,MATCH('Cash Forecast_8A import-export'!O31,'Cash Forecast_8A'!B$27:B$120,0)),"")</f>
        <v>885112.10450924339</v>
      </c>
      <c r="E31" s="837">
        <v>0</v>
      </c>
      <c r="F31" s="869">
        <f>IFERROR(INDEX('Cash Forecast_8A'!H$27:H$120,MATCH('Cash Forecast_8A import-export'!O31,'Cash Forecast_8A'!B$27:B$120,0)),"")</f>
        <v>0</v>
      </c>
      <c r="G31" s="870">
        <f t="shared" si="4"/>
        <v>885112.10450924339</v>
      </c>
      <c r="H31" s="871"/>
      <c r="I31" s="877">
        <f t="shared" si="5"/>
        <v>2</v>
      </c>
      <c r="J31" s="869">
        <f>IFERROR(INDEX('Cash Forecast_8A'!L$27:L$120,MATCH('Cash Forecast_8A import-export'!O31,'Cash Forecast_8A'!B$27:B$120,0)),"")</f>
        <v>0</v>
      </c>
      <c r="K31" s="869">
        <f>IFERROR(INDEX('Cash Forecast_8A'!M$27:M$120,MATCH('Cash Forecast_8A import-export'!O31,'Cash Forecast_8A'!B$27:B$120,0)),"")</f>
        <v>0</v>
      </c>
      <c r="L31" s="869"/>
      <c r="M31" s="870">
        <f t="shared" si="6"/>
        <v>0</v>
      </c>
      <c r="N31" s="879"/>
      <c r="O31" s="874" t="str">
        <f t="shared" si="7"/>
        <v>Int2</v>
      </c>
      <c r="P31" s="864" t="s">
        <v>3101</v>
      </c>
      <c r="Q31" s="428"/>
      <c r="R31" s="428"/>
      <c r="S31" s="428"/>
      <c r="T31" s="351"/>
      <c r="U31" s="351"/>
    </row>
    <row r="32" spans="1:21" ht="16.5" customHeight="1" x14ac:dyDescent="0.2">
      <c r="A32" s="867" t="s">
        <v>390</v>
      </c>
      <c r="B32" s="867" t="s">
        <v>2783</v>
      </c>
      <c r="C32" s="837">
        <v>45110.868282326497</v>
      </c>
      <c r="D32" s="869">
        <f>IFERROR(INDEX('Cash Forecast_8A'!F$27:F$120,MATCH('Cash Forecast_8A import-export'!O32,'Cash Forecast_8A'!B$27:B$120,0)),"")</f>
        <v>108507.0919985857</v>
      </c>
      <c r="E32" s="837">
        <v>0</v>
      </c>
      <c r="F32" s="869">
        <f>IFERROR(INDEX('Cash Forecast_8A'!H$27:H$120,MATCH('Cash Forecast_8A import-export'!O32,'Cash Forecast_8A'!B$27:B$120,0)),"")</f>
        <v>0</v>
      </c>
      <c r="G32" s="870">
        <f t="shared" si="4"/>
        <v>108507.0919985857</v>
      </c>
      <c r="H32" s="871"/>
      <c r="I32" s="877">
        <f t="shared" si="5"/>
        <v>3</v>
      </c>
      <c r="J32" s="869">
        <f>IFERROR(INDEX('Cash Forecast_8A'!L$27:L$120,MATCH('Cash Forecast_8A import-export'!O32,'Cash Forecast_8A'!B$27:B$120,0)),"")</f>
        <v>0</v>
      </c>
      <c r="K32" s="869">
        <f>IFERROR(INDEX('Cash Forecast_8A'!M$27:M$120,MATCH('Cash Forecast_8A import-export'!O32,'Cash Forecast_8A'!B$27:B$120,0)),"")</f>
        <v>0</v>
      </c>
      <c r="L32" s="869"/>
      <c r="M32" s="870">
        <f t="shared" si="6"/>
        <v>0</v>
      </c>
      <c r="N32" s="879"/>
      <c r="O32" s="874" t="str">
        <f t="shared" si="7"/>
        <v>Int3</v>
      </c>
      <c r="P32" s="864" t="s">
        <v>3102</v>
      </c>
      <c r="Q32" s="428"/>
      <c r="R32" s="428"/>
      <c r="S32" s="428"/>
      <c r="T32" s="351"/>
      <c r="U32" s="351"/>
    </row>
    <row r="33" spans="1:21" ht="16.5" customHeight="1" x14ac:dyDescent="0.2">
      <c r="A33" s="867" t="s">
        <v>390</v>
      </c>
      <c r="B33" s="867" t="s">
        <v>2785</v>
      </c>
      <c r="C33" s="837">
        <v>12086.9212520861</v>
      </c>
      <c r="D33" s="869">
        <f>IFERROR(INDEX('Cash Forecast_8A'!F$27:F$120,MATCH('Cash Forecast_8A import-export'!O33,'Cash Forecast_8A'!B$27:B$120,0)),"")</f>
        <v>15901.740728592513</v>
      </c>
      <c r="E33" s="837">
        <v>0</v>
      </c>
      <c r="F33" s="869">
        <f>IFERROR(INDEX('Cash Forecast_8A'!H$27:H$120,MATCH('Cash Forecast_8A import-export'!O33,'Cash Forecast_8A'!B$27:B$120,0)),"")</f>
        <v>0</v>
      </c>
      <c r="G33" s="870">
        <f t="shared" si="4"/>
        <v>15901.740728592513</v>
      </c>
      <c r="H33" s="871"/>
      <c r="I33" s="877">
        <f t="shared" si="5"/>
        <v>4</v>
      </c>
      <c r="J33" s="869">
        <f>IFERROR(INDEX('Cash Forecast_8A'!L$27:L$120,MATCH('Cash Forecast_8A import-export'!O33,'Cash Forecast_8A'!B$27:B$120,0)),"")</f>
        <v>0</v>
      </c>
      <c r="K33" s="869">
        <f>IFERROR(INDEX('Cash Forecast_8A'!M$27:M$120,MATCH('Cash Forecast_8A import-export'!O33,'Cash Forecast_8A'!B$27:B$120,0)),"")</f>
        <v>0</v>
      </c>
      <c r="L33" s="869"/>
      <c r="M33" s="870">
        <f t="shared" si="6"/>
        <v>0</v>
      </c>
      <c r="N33" s="879"/>
      <c r="O33" s="874" t="str">
        <f t="shared" si="7"/>
        <v>Int4</v>
      </c>
      <c r="P33" s="864" t="s">
        <v>3103</v>
      </c>
      <c r="Q33" s="428"/>
      <c r="R33" s="428"/>
      <c r="S33" s="428"/>
      <c r="T33" s="351"/>
      <c r="U33" s="351"/>
    </row>
    <row r="34" spans="1:21" ht="16.5" customHeight="1" x14ac:dyDescent="0.2">
      <c r="A34" s="867" t="s">
        <v>390</v>
      </c>
      <c r="B34" s="867" t="s">
        <v>2787</v>
      </c>
      <c r="C34" s="837">
        <v>6342.4190506292398</v>
      </c>
      <c r="D34" s="869">
        <f>IFERROR(INDEX('Cash Forecast_8A'!F$27:F$120,MATCH('Cash Forecast_8A import-export'!O34,'Cash Forecast_8A'!B$27:B$120,0)),"")</f>
        <v>6342.4190506292425</v>
      </c>
      <c r="E34" s="837">
        <v>0</v>
      </c>
      <c r="F34" s="869">
        <f>IFERROR(INDEX('Cash Forecast_8A'!H$27:H$120,MATCH('Cash Forecast_8A import-export'!O34,'Cash Forecast_8A'!B$27:B$120,0)),"")</f>
        <v>0</v>
      </c>
      <c r="G34" s="870">
        <f t="shared" si="4"/>
        <v>6342.4190506292425</v>
      </c>
      <c r="H34" s="871"/>
      <c r="I34" s="877">
        <f t="shared" si="5"/>
        <v>5</v>
      </c>
      <c r="J34" s="869">
        <f>IFERROR(INDEX('Cash Forecast_8A'!L$27:L$120,MATCH('Cash Forecast_8A import-export'!O34,'Cash Forecast_8A'!B$27:B$120,0)),"")</f>
        <v>0</v>
      </c>
      <c r="K34" s="869">
        <f>IFERROR(INDEX('Cash Forecast_8A'!M$27:M$120,MATCH('Cash Forecast_8A import-export'!O34,'Cash Forecast_8A'!B$27:B$120,0)),"")</f>
        <v>0</v>
      </c>
      <c r="L34" s="869"/>
      <c r="M34" s="870">
        <f t="shared" si="6"/>
        <v>0</v>
      </c>
      <c r="N34" s="879"/>
      <c r="O34" s="874" t="str">
        <f t="shared" si="7"/>
        <v>Int5</v>
      </c>
      <c r="P34" s="864" t="s">
        <v>3104</v>
      </c>
      <c r="Q34" s="428"/>
      <c r="R34" s="428"/>
      <c r="S34" s="428"/>
      <c r="T34" s="351"/>
      <c r="U34" s="351"/>
    </row>
    <row r="35" spans="1:21" ht="16.5" customHeight="1" x14ac:dyDescent="0.2">
      <c r="A35" s="867" t="s">
        <v>390</v>
      </c>
      <c r="B35" s="867" t="s">
        <v>2789</v>
      </c>
      <c r="C35" s="837">
        <v>362592.288397895</v>
      </c>
      <c r="D35" s="869">
        <f>IFERROR(INDEX('Cash Forecast_8A'!F$27:F$120,MATCH('Cash Forecast_8A import-export'!O35,'Cash Forecast_8A'!B$27:B$120,0)),"")</f>
        <v>479635.90019165393</v>
      </c>
      <c r="E35" s="837">
        <v>0</v>
      </c>
      <c r="F35" s="869">
        <f>IFERROR(INDEX('Cash Forecast_8A'!H$27:H$120,MATCH('Cash Forecast_8A import-export'!O35,'Cash Forecast_8A'!B$27:B$120,0)),"")</f>
        <v>0</v>
      </c>
      <c r="G35" s="870">
        <f t="shared" si="4"/>
        <v>479635.90019165393</v>
      </c>
      <c r="H35" s="871"/>
      <c r="I35" s="877">
        <f t="shared" si="5"/>
        <v>6</v>
      </c>
      <c r="J35" s="869">
        <f>IFERROR(INDEX('Cash Forecast_8A'!L$27:L$120,MATCH('Cash Forecast_8A import-export'!O35,'Cash Forecast_8A'!B$27:B$120,0)),"")</f>
        <v>0</v>
      </c>
      <c r="K35" s="869">
        <f>IFERROR(INDEX('Cash Forecast_8A'!M$27:M$120,MATCH('Cash Forecast_8A import-export'!O35,'Cash Forecast_8A'!B$27:B$120,0)),"")</f>
        <v>0</v>
      </c>
      <c r="L35" s="869"/>
      <c r="M35" s="870">
        <f t="shared" si="6"/>
        <v>0</v>
      </c>
      <c r="N35" s="879"/>
      <c r="O35" s="874" t="str">
        <f t="shared" si="7"/>
        <v>Int6</v>
      </c>
      <c r="P35" s="864" t="s">
        <v>3105</v>
      </c>
      <c r="Q35" s="428"/>
      <c r="R35" s="428"/>
      <c r="S35" s="428"/>
      <c r="T35" s="351"/>
      <c r="U35" s="351"/>
    </row>
    <row r="36" spans="1:21" ht="16.5" customHeight="1" x14ac:dyDescent="0.2">
      <c r="A36" s="867" t="s">
        <v>390</v>
      </c>
      <c r="B36" s="867" t="s">
        <v>2791</v>
      </c>
      <c r="C36" s="837">
        <v>22513.615614632101</v>
      </c>
      <c r="D36" s="869">
        <f>IFERROR(INDEX('Cash Forecast_8A'!F$27:F$120,MATCH('Cash Forecast_8A import-export'!O36,'Cash Forecast_8A'!B$27:B$120,0)),"")</f>
        <v>46128.052997691782</v>
      </c>
      <c r="E36" s="837">
        <v>0</v>
      </c>
      <c r="F36" s="869">
        <f>IFERROR(INDEX('Cash Forecast_8A'!H$27:H$120,MATCH('Cash Forecast_8A import-export'!O36,'Cash Forecast_8A'!B$27:B$120,0)),"")</f>
        <v>0</v>
      </c>
      <c r="G36" s="870">
        <f t="shared" si="4"/>
        <v>46128.052997691782</v>
      </c>
      <c r="H36" s="871"/>
      <c r="I36" s="877">
        <f t="shared" si="5"/>
        <v>7</v>
      </c>
      <c r="J36" s="869">
        <f>IFERROR(INDEX('Cash Forecast_8A'!L$27:L$120,MATCH('Cash Forecast_8A import-export'!O36,'Cash Forecast_8A'!B$27:B$120,0)),"")</f>
        <v>0</v>
      </c>
      <c r="K36" s="869">
        <f>IFERROR(INDEX('Cash Forecast_8A'!M$27:M$120,MATCH('Cash Forecast_8A import-export'!O36,'Cash Forecast_8A'!B$27:B$120,0)),"")</f>
        <v>0</v>
      </c>
      <c r="L36" s="869"/>
      <c r="M36" s="870">
        <f t="shared" si="6"/>
        <v>0</v>
      </c>
      <c r="N36" s="879"/>
      <c r="O36" s="874" t="str">
        <f t="shared" si="7"/>
        <v>Int7</v>
      </c>
      <c r="P36" s="864" t="s">
        <v>3106</v>
      </c>
      <c r="Q36" s="428"/>
      <c r="R36" s="428"/>
      <c r="S36" s="428"/>
      <c r="T36" s="351"/>
      <c r="U36" s="351"/>
    </row>
    <row r="37" spans="1:21" ht="16.5" customHeight="1" x14ac:dyDescent="0.2">
      <c r="A37" s="867" t="s">
        <v>453</v>
      </c>
      <c r="B37" s="867" t="s">
        <v>2793</v>
      </c>
      <c r="C37" s="837">
        <v>175424.26289473299</v>
      </c>
      <c r="D37" s="869">
        <f>IFERROR(INDEX('Cash Forecast_8A'!F$27:F$120,MATCH('Cash Forecast_8A import-export'!O37,'Cash Forecast_8A'!B$27:B$120,0)),"")</f>
        <v>222547.66911017071</v>
      </c>
      <c r="E37" s="837">
        <v>0</v>
      </c>
      <c r="F37" s="869">
        <f>IFERROR(INDEX('Cash Forecast_8A'!H$27:H$120,MATCH('Cash Forecast_8A import-export'!O37,'Cash Forecast_8A'!B$27:B$120,0)),"")</f>
        <v>0</v>
      </c>
      <c r="G37" s="870">
        <f t="shared" si="4"/>
        <v>222547.66911017071</v>
      </c>
      <c r="H37" s="871"/>
      <c r="I37" s="877">
        <f t="shared" si="5"/>
        <v>8</v>
      </c>
      <c r="J37" s="869">
        <f>IFERROR(INDEX('Cash Forecast_8A'!L$27:L$120,MATCH('Cash Forecast_8A import-export'!O37,'Cash Forecast_8A'!B$27:B$120,0)),"")</f>
        <v>0</v>
      </c>
      <c r="K37" s="869">
        <f>IFERROR(INDEX('Cash Forecast_8A'!M$27:M$120,MATCH('Cash Forecast_8A import-export'!O37,'Cash Forecast_8A'!B$27:B$120,0)),"")</f>
        <v>0</v>
      </c>
      <c r="L37" s="869"/>
      <c r="M37" s="870">
        <f t="shared" si="6"/>
        <v>0</v>
      </c>
      <c r="N37" s="879"/>
      <c r="O37" s="874" t="str">
        <f t="shared" si="7"/>
        <v>Int8</v>
      </c>
      <c r="P37" s="864" t="s">
        <v>3107</v>
      </c>
      <c r="Q37" s="428"/>
      <c r="R37" s="428"/>
      <c r="S37" s="428"/>
      <c r="T37" s="351"/>
      <c r="U37" s="351"/>
    </row>
    <row r="38" spans="1:21" ht="16.5" customHeight="1" x14ac:dyDescent="0.2">
      <c r="A38" s="867" t="s">
        <v>453</v>
      </c>
      <c r="B38" s="867" t="s">
        <v>2795</v>
      </c>
      <c r="C38" s="837">
        <v>0</v>
      </c>
      <c r="D38" s="869">
        <f>IFERROR(INDEX('Cash Forecast_8A'!F$27:F$120,MATCH('Cash Forecast_8A import-export'!O38,'Cash Forecast_8A'!B$27:B$120,0)),"")</f>
        <v>208041.74704600681</v>
      </c>
      <c r="E38" s="837">
        <v>0</v>
      </c>
      <c r="F38" s="869">
        <f>IFERROR(INDEX('Cash Forecast_8A'!H$27:H$120,MATCH('Cash Forecast_8A import-export'!O38,'Cash Forecast_8A'!B$27:B$120,0)),"")</f>
        <v>0</v>
      </c>
      <c r="G38" s="870">
        <f t="shared" si="4"/>
        <v>208041.74704600681</v>
      </c>
      <c r="H38" s="871"/>
      <c r="I38" s="877">
        <f t="shared" si="5"/>
        <v>9</v>
      </c>
      <c r="J38" s="869">
        <f>IFERROR(INDEX('Cash Forecast_8A'!L$27:L$120,MATCH('Cash Forecast_8A import-export'!O38,'Cash Forecast_8A'!B$27:B$120,0)),"")</f>
        <v>0</v>
      </c>
      <c r="K38" s="869">
        <f>IFERROR(INDEX('Cash Forecast_8A'!M$27:M$120,MATCH('Cash Forecast_8A import-export'!O38,'Cash Forecast_8A'!B$27:B$120,0)),"")</f>
        <v>0</v>
      </c>
      <c r="L38" s="869"/>
      <c r="M38" s="870">
        <f t="shared" si="6"/>
        <v>0</v>
      </c>
      <c r="N38" s="879"/>
      <c r="O38" s="874" t="str">
        <f t="shared" si="7"/>
        <v>Int9</v>
      </c>
      <c r="P38" s="864" t="s">
        <v>3108</v>
      </c>
      <c r="Q38" s="428"/>
      <c r="R38" s="428"/>
      <c r="S38" s="428"/>
      <c r="T38" s="351"/>
      <c r="U38" s="351"/>
    </row>
    <row r="39" spans="1:21" ht="16.5" customHeight="1" x14ac:dyDescent="0.2">
      <c r="A39" s="867" t="s">
        <v>453</v>
      </c>
      <c r="B39" s="867" t="s">
        <v>2797</v>
      </c>
      <c r="C39" s="837">
        <v>109644.974816555</v>
      </c>
      <c r="D39" s="869">
        <f>IFERROR(INDEX('Cash Forecast_8A'!F$27:F$120,MATCH('Cash Forecast_8A import-export'!O39,'Cash Forecast_8A'!B$27:B$120,0)),"")</f>
        <v>214103.35410192754</v>
      </c>
      <c r="E39" s="837">
        <v>0</v>
      </c>
      <c r="F39" s="869">
        <f>IFERROR(INDEX('Cash Forecast_8A'!H$27:H$120,MATCH('Cash Forecast_8A import-export'!O39,'Cash Forecast_8A'!B$27:B$120,0)),"")</f>
        <v>0</v>
      </c>
      <c r="G39" s="870">
        <f t="shared" si="4"/>
        <v>214103.35410192754</v>
      </c>
      <c r="H39" s="871"/>
      <c r="I39" s="877">
        <f t="shared" si="5"/>
        <v>10</v>
      </c>
      <c r="J39" s="869">
        <f>IFERROR(INDEX('Cash Forecast_8A'!L$27:L$120,MATCH('Cash Forecast_8A import-export'!O39,'Cash Forecast_8A'!B$27:B$120,0)),"")</f>
        <v>0</v>
      </c>
      <c r="K39" s="869">
        <f>IFERROR(INDEX('Cash Forecast_8A'!M$27:M$120,MATCH('Cash Forecast_8A import-export'!O39,'Cash Forecast_8A'!B$27:B$120,0)),"")</f>
        <v>0</v>
      </c>
      <c r="L39" s="869"/>
      <c r="M39" s="870">
        <f t="shared" si="6"/>
        <v>0</v>
      </c>
      <c r="N39" s="879"/>
      <c r="O39" s="874" t="str">
        <f t="shared" si="7"/>
        <v>Int10</v>
      </c>
      <c r="P39" s="864" t="s">
        <v>3109</v>
      </c>
      <c r="Q39" s="428"/>
      <c r="R39" s="428"/>
      <c r="S39" s="428"/>
      <c r="T39" s="351"/>
      <c r="U39" s="351"/>
    </row>
    <row r="40" spans="1:21" ht="16.5" customHeight="1" x14ac:dyDescent="0.2">
      <c r="A40" s="867" t="s">
        <v>440</v>
      </c>
      <c r="B40" s="867" t="s">
        <v>2799</v>
      </c>
      <c r="C40" s="837">
        <v>301302.22809957899</v>
      </c>
      <c r="D40" s="869">
        <f>IFERROR(INDEX('Cash Forecast_8A'!F$27:F$120,MATCH('Cash Forecast_8A import-export'!O40,'Cash Forecast_8A'!B$27:B$120,0)),"")</f>
        <v>232917.29944206934</v>
      </c>
      <c r="E40" s="837">
        <v>0</v>
      </c>
      <c r="F40" s="869">
        <f>IFERROR(INDEX('Cash Forecast_8A'!H$27:H$120,MATCH('Cash Forecast_8A import-export'!O40,'Cash Forecast_8A'!B$27:B$120,0)),"")</f>
        <v>0</v>
      </c>
      <c r="G40" s="870">
        <f t="shared" si="4"/>
        <v>232917.29944206934</v>
      </c>
      <c r="H40" s="871"/>
      <c r="I40" s="877">
        <f t="shared" si="5"/>
        <v>11</v>
      </c>
      <c r="J40" s="869">
        <f>IFERROR(INDEX('Cash Forecast_8A'!L$27:L$120,MATCH('Cash Forecast_8A import-export'!O40,'Cash Forecast_8A'!B$27:B$120,0)),"")</f>
        <v>0</v>
      </c>
      <c r="K40" s="869">
        <f>IFERROR(INDEX('Cash Forecast_8A'!M$27:M$120,MATCH('Cash Forecast_8A import-export'!O40,'Cash Forecast_8A'!B$27:B$120,0)),"")</f>
        <v>0</v>
      </c>
      <c r="L40" s="869"/>
      <c r="M40" s="870">
        <f t="shared" si="6"/>
        <v>0</v>
      </c>
      <c r="N40" s="879"/>
      <c r="O40" s="874" t="str">
        <f t="shared" si="7"/>
        <v>Int11</v>
      </c>
      <c r="P40" s="864" t="s">
        <v>3110</v>
      </c>
      <c r="Q40" s="428"/>
      <c r="R40" s="428"/>
      <c r="S40" s="428"/>
      <c r="T40" s="351"/>
      <c r="U40" s="351"/>
    </row>
    <row r="41" spans="1:21" ht="16.5" customHeight="1" x14ac:dyDescent="0.2">
      <c r="A41" s="867" t="s">
        <v>427</v>
      </c>
      <c r="B41" s="867" t="s">
        <v>2801</v>
      </c>
      <c r="C41" s="837">
        <v>167902.992750537</v>
      </c>
      <c r="D41" s="869">
        <f>IFERROR(INDEX('Cash Forecast_8A'!F$27:F$120,MATCH('Cash Forecast_8A import-export'!O41,'Cash Forecast_8A'!B$27:B$120,0)),"")</f>
        <v>166960.73583784216</v>
      </c>
      <c r="E41" s="837">
        <v>0</v>
      </c>
      <c r="F41" s="869">
        <f>IFERROR(INDEX('Cash Forecast_8A'!H$27:H$120,MATCH('Cash Forecast_8A import-export'!O41,'Cash Forecast_8A'!B$27:B$120,0)),"")</f>
        <v>0</v>
      </c>
      <c r="G41" s="870">
        <f t="shared" si="4"/>
        <v>166960.73583784216</v>
      </c>
      <c r="H41" s="871"/>
      <c r="I41" s="877">
        <f t="shared" si="5"/>
        <v>12</v>
      </c>
      <c r="J41" s="869">
        <f>IFERROR(INDEX('Cash Forecast_8A'!L$27:L$120,MATCH('Cash Forecast_8A import-export'!O41,'Cash Forecast_8A'!B$27:B$120,0)),"")</f>
        <v>0</v>
      </c>
      <c r="K41" s="869">
        <f>IFERROR(INDEX('Cash Forecast_8A'!M$27:M$120,MATCH('Cash Forecast_8A import-export'!O41,'Cash Forecast_8A'!B$27:B$120,0)),"")</f>
        <v>0</v>
      </c>
      <c r="L41" s="869"/>
      <c r="M41" s="870">
        <f t="shared" si="6"/>
        <v>0</v>
      </c>
      <c r="N41" s="879"/>
      <c r="O41" s="874" t="str">
        <f t="shared" si="7"/>
        <v>Int12</v>
      </c>
      <c r="P41" s="864" t="s">
        <v>3111</v>
      </c>
      <c r="Q41" s="428"/>
      <c r="R41" s="428"/>
      <c r="S41" s="428"/>
      <c r="T41" s="351"/>
      <c r="U41" s="351"/>
    </row>
    <row r="42" spans="1:21" ht="16.5" customHeight="1" x14ac:dyDescent="0.2">
      <c r="A42" s="867" t="s">
        <v>2803</v>
      </c>
      <c r="B42" s="867" t="s">
        <v>2804</v>
      </c>
      <c r="C42" s="837">
        <v>2327968.9340959201</v>
      </c>
      <c r="D42" s="869">
        <f>IFERROR(INDEX('Cash Forecast_8A'!F$27:F$120,MATCH('Cash Forecast_8A import-export'!O42,'Cash Forecast_8A'!B$27:B$120,0)),"")</f>
        <v>3094052.24992313</v>
      </c>
      <c r="E42" s="837">
        <v>0</v>
      </c>
      <c r="F42" s="869">
        <f>IFERROR(INDEX('Cash Forecast_8A'!H$27:H$120,MATCH('Cash Forecast_8A import-export'!O42,'Cash Forecast_8A'!B$27:B$120,0)),"")</f>
        <v>0</v>
      </c>
      <c r="G42" s="870">
        <f t="shared" si="4"/>
        <v>3094052.24992313</v>
      </c>
      <c r="H42" s="871"/>
      <c r="I42" s="877">
        <f t="shared" si="5"/>
        <v>13</v>
      </c>
      <c r="J42" s="869">
        <f>IFERROR(INDEX('Cash Forecast_8A'!L$27:L$120,MATCH('Cash Forecast_8A import-export'!O42,'Cash Forecast_8A'!B$27:B$120,0)),"")</f>
        <v>0</v>
      </c>
      <c r="K42" s="869">
        <f>IFERROR(INDEX('Cash Forecast_8A'!M$27:M$120,MATCH('Cash Forecast_8A import-export'!O42,'Cash Forecast_8A'!B$27:B$120,0)),"")</f>
        <v>0</v>
      </c>
      <c r="L42" s="869"/>
      <c r="M42" s="870">
        <f t="shared" si="6"/>
        <v>0</v>
      </c>
      <c r="N42" s="879"/>
      <c r="O42" s="874" t="str">
        <f t="shared" si="7"/>
        <v>Int13</v>
      </c>
      <c r="P42" s="864" t="s">
        <v>3112</v>
      </c>
      <c r="Q42" s="428"/>
      <c r="R42" s="428"/>
      <c r="S42" s="428"/>
      <c r="T42" s="351"/>
      <c r="U42" s="351"/>
    </row>
    <row r="43" spans="1:21" ht="16.5" customHeight="1" x14ac:dyDescent="0.2">
      <c r="A43" s="867" t="s">
        <v>2803</v>
      </c>
      <c r="B43" s="867" t="s">
        <v>2806</v>
      </c>
      <c r="C43" s="837">
        <v>211360.39700642799</v>
      </c>
      <c r="D43" s="869">
        <f>IFERROR(INDEX('Cash Forecast_8A'!F$27:F$120,MATCH('Cash Forecast_8A import-export'!O43,'Cash Forecast_8A'!B$27:B$120,0)),"")</f>
        <v>267372.80784991774</v>
      </c>
      <c r="E43" s="837">
        <v>0</v>
      </c>
      <c r="F43" s="869">
        <f>IFERROR(INDEX('Cash Forecast_8A'!H$27:H$120,MATCH('Cash Forecast_8A import-export'!O43,'Cash Forecast_8A'!B$27:B$120,0)),"")</f>
        <v>0</v>
      </c>
      <c r="G43" s="870">
        <f t="shared" si="4"/>
        <v>267372.80784991774</v>
      </c>
      <c r="H43" s="871"/>
      <c r="I43" s="877">
        <f t="shared" si="5"/>
        <v>14</v>
      </c>
      <c r="J43" s="869">
        <f>IFERROR(INDEX('Cash Forecast_8A'!L$27:L$120,MATCH('Cash Forecast_8A import-export'!O43,'Cash Forecast_8A'!B$27:B$120,0)),"")</f>
        <v>0</v>
      </c>
      <c r="K43" s="869">
        <f>IFERROR(INDEX('Cash Forecast_8A'!M$27:M$120,MATCH('Cash Forecast_8A import-export'!O43,'Cash Forecast_8A'!B$27:B$120,0)),"")</f>
        <v>0</v>
      </c>
      <c r="L43" s="869"/>
      <c r="M43" s="870">
        <f t="shared" si="6"/>
        <v>0</v>
      </c>
      <c r="N43" s="879"/>
      <c r="O43" s="874" t="str">
        <f t="shared" si="7"/>
        <v>Int14</v>
      </c>
      <c r="P43" s="864" t="s">
        <v>3113</v>
      </c>
      <c r="Q43" s="428"/>
      <c r="R43" s="428"/>
      <c r="S43" s="428"/>
      <c r="T43" s="351"/>
      <c r="U43" s="351"/>
    </row>
    <row r="44" spans="1:21" ht="16.5" customHeight="1" x14ac:dyDescent="0.2">
      <c r="A44" s="867" t="s">
        <v>478</v>
      </c>
      <c r="B44" s="867" t="s">
        <v>2808</v>
      </c>
      <c r="C44" s="837">
        <v>187.03166347522099</v>
      </c>
      <c r="D44" s="869">
        <f>IFERROR(INDEX('Cash Forecast_8A'!F$27:F$120,MATCH('Cash Forecast_8A import-export'!O44,'Cash Forecast_8A'!B$27:B$120,0)),"")</f>
        <v>187.03166347522071</v>
      </c>
      <c r="E44" s="837">
        <v>0</v>
      </c>
      <c r="F44" s="869">
        <f>IFERROR(INDEX('Cash Forecast_8A'!H$27:H$120,MATCH('Cash Forecast_8A import-export'!O44,'Cash Forecast_8A'!B$27:B$120,0)),"")</f>
        <v>0</v>
      </c>
      <c r="G44" s="870">
        <f t="shared" si="4"/>
        <v>187.03166347522071</v>
      </c>
      <c r="H44" s="871"/>
      <c r="I44" s="877">
        <f t="shared" si="5"/>
        <v>15</v>
      </c>
      <c r="J44" s="869">
        <f>IFERROR(INDEX('Cash Forecast_8A'!L$27:L$120,MATCH('Cash Forecast_8A import-export'!O44,'Cash Forecast_8A'!B$27:B$120,0)),"")</f>
        <v>0</v>
      </c>
      <c r="K44" s="869">
        <f>IFERROR(INDEX('Cash Forecast_8A'!M$27:M$120,MATCH('Cash Forecast_8A import-export'!O44,'Cash Forecast_8A'!B$27:B$120,0)),"")</f>
        <v>0</v>
      </c>
      <c r="L44" s="869"/>
      <c r="M44" s="870">
        <f t="shared" si="6"/>
        <v>0</v>
      </c>
      <c r="N44" s="879"/>
      <c r="O44" s="874" t="str">
        <f t="shared" si="7"/>
        <v>Int15</v>
      </c>
      <c r="P44" s="864" t="s">
        <v>3114</v>
      </c>
      <c r="Q44" s="428"/>
      <c r="R44" s="428"/>
      <c r="S44" s="428"/>
      <c r="T44" s="351"/>
      <c r="U44" s="351"/>
    </row>
    <row r="45" spans="1:21" ht="16.5" customHeight="1" x14ac:dyDescent="0.2">
      <c r="A45" s="867" t="s">
        <v>478</v>
      </c>
      <c r="B45" s="867" t="s">
        <v>2810</v>
      </c>
      <c r="C45" s="837">
        <v>214224.12</v>
      </c>
      <c r="D45" s="869">
        <f>IFERROR(INDEX('Cash Forecast_8A'!F$27:F$120,MATCH('Cash Forecast_8A import-export'!O45,'Cash Forecast_8A'!B$27:B$120,0)),"")</f>
        <v>213637.91999999998</v>
      </c>
      <c r="E45" s="837">
        <v>0</v>
      </c>
      <c r="F45" s="869">
        <f>IFERROR(INDEX('Cash Forecast_8A'!H$27:H$120,MATCH('Cash Forecast_8A import-export'!O45,'Cash Forecast_8A'!B$27:B$120,0)),"")</f>
        <v>0</v>
      </c>
      <c r="G45" s="870">
        <f t="shared" si="4"/>
        <v>213637.91999999998</v>
      </c>
      <c r="H45" s="871"/>
      <c r="I45" s="877">
        <f t="shared" si="5"/>
        <v>16</v>
      </c>
      <c r="J45" s="869">
        <f>IFERROR(INDEX('Cash Forecast_8A'!L$27:L$120,MATCH('Cash Forecast_8A import-export'!O45,'Cash Forecast_8A'!B$27:B$120,0)),"")</f>
        <v>0</v>
      </c>
      <c r="K45" s="869">
        <f>IFERROR(INDEX('Cash Forecast_8A'!M$27:M$120,MATCH('Cash Forecast_8A import-export'!O45,'Cash Forecast_8A'!B$27:B$120,0)),"")</f>
        <v>0</v>
      </c>
      <c r="L45" s="869"/>
      <c r="M45" s="870">
        <f t="shared" si="6"/>
        <v>0</v>
      </c>
      <c r="N45" s="879"/>
      <c r="O45" s="874" t="str">
        <f t="shared" si="7"/>
        <v>Int16</v>
      </c>
      <c r="P45" s="864" t="s">
        <v>3115</v>
      </c>
      <c r="Q45" s="428"/>
      <c r="R45" s="428"/>
      <c r="S45" s="428"/>
      <c r="T45" s="351"/>
      <c r="U45" s="351"/>
    </row>
    <row r="46" spans="1:21" ht="16.5" customHeight="1" x14ac:dyDescent="0.2">
      <c r="A46" s="867" t="s">
        <v>478</v>
      </c>
      <c r="B46" s="867" t="s">
        <v>2812</v>
      </c>
      <c r="C46" s="837">
        <v>14639.026747600299</v>
      </c>
      <c r="D46" s="869">
        <f>IFERROR(INDEX('Cash Forecast_8A'!F$27:F$120,MATCH('Cash Forecast_8A import-export'!O46,'Cash Forecast_8A'!B$27:B$120,0)),"")</f>
        <v>18982.214341061161</v>
      </c>
      <c r="E46" s="837">
        <v>0</v>
      </c>
      <c r="F46" s="869">
        <f>IFERROR(INDEX('Cash Forecast_8A'!H$27:H$120,MATCH('Cash Forecast_8A import-export'!O46,'Cash Forecast_8A'!B$27:B$120,0)),"")</f>
        <v>0</v>
      </c>
      <c r="G46" s="870">
        <f t="shared" si="4"/>
        <v>18982.214341061161</v>
      </c>
      <c r="H46" s="871"/>
      <c r="I46" s="877">
        <f t="shared" si="5"/>
        <v>17</v>
      </c>
      <c r="J46" s="869">
        <f>IFERROR(INDEX('Cash Forecast_8A'!L$27:L$120,MATCH('Cash Forecast_8A import-export'!O46,'Cash Forecast_8A'!B$27:B$120,0)),"")</f>
        <v>0</v>
      </c>
      <c r="K46" s="869">
        <f>IFERROR(INDEX('Cash Forecast_8A'!M$27:M$120,MATCH('Cash Forecast_8A import-export'!O46,'Cash Forecast_8A'!B$27:B$120,0)),"")</f>
        <v>0</v>
      </c>
      <c r="L46" s="869"/>
      <c r="M46" s="870">
        <f t="shared" si="6"/>
        <v>0</v>
      </c>
      <c r="N46" s="879"/>
      <c r="O46" s="874" t="str">
        <f t="shared" si="7"/>
        <v>Int17</v>
      </c>
      <c r="P46" s="864" t="s">
        <v>3116</v>
      </c>
      <c r="Q46" s="428"/>
      <c r="R46" s="428"/>
      <c r="S46" s="428"/>
      <c r="T46" s="351"/>
      <c r="U46" s="351"/>
    </row>
    <row r="47" spans="1:21" ht="16.5" customHeight="1" x14ac:dyDescent="0.2">
      <c r="A47" s="867" t="s">
        <v>2814</v>
      </c>
      <c r="B47" s="867" t="s">
        <v>2815</v>
      </c>
      <c r="C47" s="837">
        <v>265038.12827325001</v>
      </c>
      <c r="D47" s="869">
        <f>IFERROR(INDEX('Cash Forecast_8A'!F$27:F$120,MATCH('Cash Forecast_8A import-export'!O47,'Cash Forecast_8A'!B$27:B$120,0)),"")</f>
        <v>670516.45879173791</v>
      </c>
      <c r="E47" s="837">
        <v>0</v>
      </c>
      <c r="F47" s="869">
        <f>IFERROR(INDEX('Cash Forecast_8A'!H$27:H$120,MATCH('Cash Forecast_8A import-export'!O47,'Cash Forecast_8A'!B$27:B$120,0)),"")</f>
        <v>0</v>
      </c>
      <c r="G47" s="870">
        <f t="shared" si="4"/>
        <v>670516.45879173791</v>
      </c>
      <c r="H47" s="871"/>
      <c r="I47" s="877">
        <f t="shared" si="5"/>
        <v>18</v>
      </c>
      <c r="J47" s="869">
        <f>IFERROR(INDEX('Cash Forecast_8A'!L$27:L$120,MATCH('Cash Forecast_8A import-export'!O47,'Cash Forecast_8A'!B$27:B$120,0)),"")</f>
        <v>0</v>
      </c>
      <c r="K47" s="869">
        <f>IFERROR(INDEX('Cash Forecast_8A'!M$27:M$120,MATCH('Cash Forecast_8A import-export'!O47,'Cash Forecast_8A'!B$27:B$120,0)),"")</f>
        <v>0</v>
      </c>
      <c r="L47" s="869"/>
      <c r="M47" s="870">
        <f t="shared" si="6"/>
        <v>0</v>
      </c>
      <c r="N47" s="879"/>
      <c r="O47" s="874" t="str">
        <f t="shared" si="7"/>
        <v>Int18</v>
      </c>
      <c r="P47" s="864" t="s">
        <v>3117</v>
      </c>
      <c r="Q47" s="428"/>
      <c r="R47" s="428"/>
      <c r="S47" s="428"/>
      <c r="T47" s="351"/>
      <c r="U47" s="351"/>
    </row>
    <row r="48" spans="1:21" ht="16.5" customHeight="1" x14ac:dyDescent="0.2">
      <c r="A48" s="867" t="s">
        <v>478</v>
      </c>
      <c r="B48" s="867" t="s">
        <v>2817</v>
      </c>
      <c r="C48" s="837">
        <v>0</v>
      </c>
      <c r="D48" s="869">
        <f>IFERROR(INDEX('Cash Forecast_8A'!F$27:F$120,MATCH('Cash Forecast_8A import-export'!O48,'Cash Forecast_8A'!B$27:B$120,0)),"")</f>
        <v>0</v>
      </c>
      <c r="E48" s="837">
        <v>0</v>
      </c>
      <c r="F48" s="869">
        <f>IFERROR(INDEX('Cash Forecast_8A'!H$27:H$120,MATCH('Cash Forecast_8A import-export'!O48,'Cash Forecast_8A'!B$27:B$120,0)),"")</f>
        <v>0</v>
      </c>
      <c r="G48" s="870">
        <f t="shared" si="4"/>
        <v>0</v>
      </c>
      <c r="H48" s="871"/>
      <c r="I48" s="877">
        <f t="shared" si="5"/>
        <v>19</v>
      </c>
      <c r="J48" s="869">
        <f>IFERROR(INDEX('Cash Forecast_8A'!L$27:L$120,MATCH('Cash Forecast_8A import-export'!O48,'Cash Forecast_8A'!B$27:B$120,0)),"")</f>
        <v>0</v>
      </c>
      <c r="K48" s="869">
        <f>IFERROR(INDEX('Cash Forecast_8A'!M$27:M$120,MATCH('Cash Forecast_8A import-export'!O48,'Cash Forecast_8A'!B$27:B$120,0)),"")</f>
        <v>0</v>
      </c>
      <c r="L48" s="869"/>
      <c r="M48" s="870">
        <f t="shared" si="6"/>
        <v>0</v>
      </c>
      <c r="N48" s="879"/>
      <c r="O48" s="874" t="str">
        <f t="shared" si="7"/>
        <v>Int19</v>
      </c>
      <c r="P48" s="864" t="s">
        <v>3118</v>
      </c>
      <c r="Q48" s="428"/>
      <c r="R48" s="428"/>
      <c r="S48" s="428"/>
      <c r="T48" s="351"/>
      <c r="U48" s="351"/>
    </row>
    <row r="49" spans="1:21" ht="16.5" customHeight="1" x14ac:dyDescent="0.2">
      <c r="A49" s="867" t="s">
        <v>519</v>
      </c>
      <c r="B49" s="867" t="s">
        <v>2819</v>
      </c>
      <c r="C49" s="837">
        <v>7876.3709281002502</v>
      </c>
      <c r="D49" s="869">
        <f>IFERROR(INDEX('Cash Forecast_8A'!F$27:F$120,MATCH('Cash Forecast_8A import-export'!O49,'Cash Forecast_8A'!B$27:B$120,0)),"")</f>
        <v>7876.370928100232</v>
      </c>
      <c r="E49" s="837">
        <v>0</v>
      </c>
      <c r="F49" s="869">
        <f>IFERROR(INDEX('Cash Forecast_8A'!H$27:H$120,MATCH('Cash Forecast_8A import-export'!O49,'Cash Forecast_8A'!B$27:B$120,0)),"")</f>
        <v>0</v>
      </c>
      <c r="G49" s="870">
        <f t="shared" si="4"/>
        <v>7876.370928100232</v>
      </c>
      <c r="H49" s="871"/>
      <c r="I49" s="877">
        <f t="shared" si="5"/>
        <v>20</v>
      </c>
      <c r="J49" s="869">
        <f>IFERROR(INDEX('Cash Forecast_8A'!L$27:L$120,MATCH('Cash Forecast_8A import-export'!O49,'Cash Forecast_8A'!B$27:B$120,0)),"")</f>
        <v>0</v>
      </c>
      <c r="K49" s="869">
        <f>IFERROR(INDEX('Cash Forecast_8A'!M$27:M$120,MATCH('Cash Forecast_8A import-export'!O49,'Cash Forecast_8A'!B$27:B$120,0)),"")</f>
        <v>0</v>
      </c>
      <c r="L49" s="869"/>
      <c r="M49" s="870">
        <f t="shared" si="6"/>
        <v>0</v>
      </c>
      <c r="N49" s="879"/>
      <c r="O49" s="874" t="str">
        <f t="shared" si="7"/>
        <v>Int20</v>
      </c>
      <c r="P49" s="864" t="s">
        <v>3119</v>
      </c>
      <c r="Q49" s="428"/>
      <c r="R49" s="428"/>
      <c r="S49" s="428"/>
      <c r="T49" s="351"/>
      <c r="U49" s="351"/>
    </row>
    <row r="50" spans="1:21" ht="16.5" customHeight="1" x14ac:dyDescent="0.2">
      <c r="A50" s="867" t="s">
        <v>519</v>
      </c>
      <c r="B50" s="867" t="s">
        <v>2821</v>
      </c>
      <c r="C50" s="837">
        <v>67306.273184410107</v>
      </c>
      <c r="D50" s="869">
        <f>IFERROR(INDEX('Cash Forecast_8A'!F$27:F$120,MATCH('Cash Forecast_8A import-export'!O50,'Cash Forecast_8A'!B$27:B$120,0)),"")</f>
        <v>203764.49013957015</v>
      </c>
      <c r="E50" s="837">
        <v>0</v>
      </c>
      <c r="F50" s="869">
        <f>IFERROR(INDEX('Cash Forecast_8A'!H$27:H$120,MATCH('Cash Forecast_8A import-export'!O50,'Cash Forecast_8A'!B$27:B$120,0)),"")</f>
        <v>0</v>
      </c>
      <c r="G50" s="870">
        <f t="shared" si="4"/>
        <v>203764.49013957015</v>
      </c>
      <c r="H50" s="871"/>
      <c r="I50" s="877">
        <f t="shared" si="5"/>
        <v>21</v>
      </c>
      <c r="J50" s="869">
        <f>IFERROR(INDEX('Cash Forecast_8A'!L$27:L$120,MATCH('Cash Forecast_8A import-export'!O50,'Cash Forecast_8A'!B$27:B$120,0)),"")</f>
        <v>0</v>
      </c>
      <c r="K50" s="869">
        <f>IFERROR(INDEX('Cash Forecast_8A'!M$27:M$120,MATCH('Cash Forecast_8A import-export'!O50,'Cash Forecast_8A'!B$27:B$120,0)),"")</f>
        <v>0</v>
      </c>
      <c r="L50" s="869"/>
      <c r="M50" s="870">
        <f t="shared" si="6"/>
        <v>0</v>
      </c>
      <c r="N50" s="879"/>
      <c r="O50" s="874" t="str">
        <f t="shared" si="7"/>
        <v>Int21</v>
      </c>
      <c r="P50" s="864" t="s">
        <v>3120</v>
      </c>
      <c r="Q50" s="428"/>
      <c r="R50" s="428"/>
      <c r="S50" s="428"/>
      <c r="T50" s="351"/>
      <c r="U50" s="351"/>
    </row>
    <row r="51" spans="1:21" ht="16.5" customHeight="1" x14ac:dyDescent="0.2">
      <c r="A51" s="867" t="s">
        <v>519</v>
      </c>
      <c r="B51" s="867" t="s">
        <v>2823</v>
      </c>
      <c r="C51" s="837">
        <v>43430.582246878599</v>
      </c>
      <c r="D51" s="869">
        <f>IFERROR(INDEX('Cash Forecast_8A'!F$27:F$120,MATCH('Cash Forecast_8A import-export'!O51,'Cash Forecast_8A'!B$27:B$120,0)),"")</f>
        <v>265604.32999232726</v>
      </c>
      <c r="E51" s="837">
        <v>0</v>
      </c>
      <c r="F51" s="869">
        <f>IFERROR(INDEX('Cash Forecast_8A'!H$27:H$120,MATCH('Cash Forecast_8A import-export'!O51,'Cash Forecast_8A'!B$27:B$120,0)),"")</f>
        <v>0</v>
      </c>
      <c r="G51" s="870">
        <f t="shared" si="4"/>
        <v>265604.32999232726</v>
      </c>
      <c r="H51" s="871"/>
      <c r="I51" s="877">
        <f t="shared" si="5"/>
        <v>22</v>
      </c>
      <c r="J51" s="869">
        <f>IFERROR(INDEX('Cash Forecast_8A'!L$27:L$120,MATCH('Cash Forecast_8A import-export'!O51,'Cash Forecast_8A'!B$27:B$120,0)),"")</f>
        <v>0</v>
      </c>
      <c r="K51" s="869">
        <f>IFERROR(INDEX('Cash Forecast_8A'!M$27:M$120,MATCH('Cash Forecast_8A import-export'!O51,'Cash Forecast_8A'!B$27:B$120,0)),"")</f>
        <v>0</v>
      </c>
      <c r="L51" s="869"/>
      <c r="M51" s="870">
        <f t="shared" si="6"/>
        <v>0</v>
      </c>
      <c r="N51" s="879"/>
      <c r="O51" s="874" t="str">
        <f t="shared" si="7"/>
        <v>Int22</v>
      </c>
      <c r="P51" s="864" t="s">
        <v>3121</v>
      </c>
      <c r="Q51" s="428"/>
      <c r="R51" s="428"/>
      <c r="S51" s="428"/>
      <c r="T51" s="351"/>
      <c r="U51" s="351"/>
    </row>
    <row r="52" spans="1:21" ht="16.5" customHeight="1" x14ac:dyDescent="0.2">
      <c r="A52" s="867" t="s">
        <v>534</v>
      </c>
      <c r="B52" s="867" t="s">
        <v>2825</v>
      </c>
      <c r="C52" s="837">
        <v>18711.3489827991</v>
      </c>
      <c r="D52" s="869">
        <f>IFERROR(INDEX('Cash Forecast_8A'!F$27:F$120,MATCH('Cash Forecast_8A import-export'!O52,'Cash Forecast_8A'!B$27:B$120,0)),"")</f>
        <v>18711.348982799111</v>
      </c>
      <c r="E52" s="837">
        <v>0</v>
      </c>
      <c r="F52" s="869">
        <f>IFERROR(INDEX('Cash Forecast_8A'!H$27:H$120,MATCH('Cash Forecast_8A import-export'!O52,'Cash Forecast_8A'!B$27:B$120,0)),"")</f>
        <v>0</v>
      </c>
      <c r="G52" s="870">
        <f t="shared" si="4"/>
        <v>18711.348982799111</v>
      </c>
      <c r="H52" s="871"/>
      <c r="I52" s="877">
        <f t="shared" si="5"/>
        <v>23</v>
      </c>
      <c r="J52" s="869">
        <f>IFERROR(INDEX('Cash Forecast_8A'!L$27:L$120,MATCH('Cash Forecast_8A import-export'!O52,'Cash Forecast_8A'!B$27:B$120,0)),"")</f>
        <v>0</v>
      </c>
      <c r="K52" s="869">
        <f>IFERROR(INDEX('Cash Forecast_8A'!M$27:M$120,MATCH('Cash Forecast_8A import-export'!O52,'Cash Forecast_8A'!B$27:B$120,0)),"")</f>
        <v>0</v>
      </c>
      <c r="L52" s="869"/>
      <c r="M52" s="870">
        <f t="shared" si="6"/>
        <v>0</v>
      </c>
      <c r="N52" s="879"/>
      <c r="O52" s="874" t="str">
        <f t="shared" si="7"/>
        <v>Int23</v>
      </c>
      <c r="P52" s="864" t="s">
        <v>3122</v>
      </c>
      <c r="Q52" s="428"/>
      <c r="R52" s="428"/>
      <c r="S52" s="428"/>
      <c r="T52" s="351"/>
      <c r="U52" s="351"/>
    </row>
    <row r="53" spans="1:21" ht="16.5" customHeight="1" x14ac:dyDescent="0.2">
      <c r="A53" s="867" t="s">
        <v>534</v>
      </c>
      <c r="B53" s="867" t="s">
        <v>2827</v>
      </c>
      <c r="C53" s="837">
        <v>1019085.02319913</v>
      </c>
      <c r="D53" s="869">
        <f>IFERROR(INDEX('Cash Forecast_8A'!F$27:F$120,MATCH('Cash Forecast_8A import-export'!O53,'Cash Forecast_8A'!B$27:B$120,0)),"")</f>
        <v>444380.79698008706</v>
      </c>
      <c r="E53" s="837">
        <v>0</v>
      </c>
      <c r="F53" s="869">
        <f>IFERROR(INDEX('Cash Forecast_8A'!H$27:H$120,MATCH('Cash Forecast_8A import-export'!O53,'Cash Forecast_8A'!B$27:B$120,0)),"")</f>
        <v>0</v>
      </c>
      <c r="G53" s="870">
        <f t="shared" si="4"/>
        <v>444380.79698008706</v>
      </c>
      <c r="H53" s="871"/>
      <c r="I53" s="877">
        <f t="shared" si="5"/>
        <v>24</v>
      </c>
      <c r="J53" s="869">
        <f>IFERROR(INDEX('Cash Forecast_8A'!L$27:L$120,MATCH('Cash Forecast_8A import-export'!O53,'Cash Forecast_8A'!B$27:B$120,0)),"")</f>
        <v>0</v>
      </c>
      <c r="K53" s="869">
        <f>IFERROR(INDEX('Cash Forecast_8A'!M$27:M$120,MATCH('Cash Forecast_8A import-export'!O53,'Cash Forecast_8A'!B$27:B$120,0)),"")</f>
        <v>0</v>
      </c>
      <c r="L53" s="869"/>
      <c r="M53" s="870">
        <f t="shared" si="6"/>
        <v>0</v>
      </c>
      <c r="N53" s="879"/>
      <c r="O53" s="874" t="str">
        <f t="shared" si="7"/>
        <v>Int24</v>
      </c>
      <c r="P53" s="864" t="s">
        <v>3123</v>
      </c>
      <c r="Q53" s="428"/>
      <c r="R53" s="428"/>
      <c r="S53" s="428"/>
      <c r="T53" s="351"/>
      <c r="U53" s="351"/>
    </row>
    <row r="54" spans="1:21" ht="16.5" customHeight="1" x14ac:dyDescent="0.2">
      <c r="A54" s="867" t="s">
        <v>534</v>
      </c>
      <c r="B54" s="867" t="s">
        <v>2829</v>
      </c>
      <c r="C54" s="837">
        <v>41731.439912908601</v>
      </c>
      <c r="D54" s="869">
        <f>IFERROR(INDEX('Cash Forecast_8A'!F$27:F$120,MATCH('Cash Forecast_8A import-export'!O54,'Cash Forecast_8A'!B$27:B$120,0)),"")</f>
        <v>46863.995586291436</v>
      </c>
      <c r="E54" s="837">
        <v>0</v>
      </c>
      <c r="F54" s="869">
        <f>IFERROR(INDEX('Cash Forecast_8A'!H$27:H$120,MATCH('Cash Forecast_8A import-export'!O54,'Cash Forecast_8A'!B$27:B$120,0)),"")</f>
        <v>0</v>
      </c>
      <c r="G54" s="870">
        <f t="shared" si="4"/>
        <v>46863.995586291436</v>
      </c>
      <c r="H54" s="871"/>
      <c r="I54" s="877">
        <f t="shared" si="5"/>
        <v>25</v>
      </c>
      <c r="J54" s="869">
        <f>IFERROR(INDEX('Cash Forecast_8A'!L$27:L$120,MATCH('Cash Forecast_8A import-export'!O54,'Cash Forecast_8A'!B$27:B$120,0)),"")</f>
        <v>0</v>
      </c>
      <c r="K54" s="869">
        <f>IFERROR(INDEX('Cash Forecast_8A'!M$27:M$120,MATCH('Cash Forecast_8A import-export'!O54,'Cash Forecast_8A'!B$27:B$120,0)),"")</f>
        <v>0</v>
      </c>
      <c r="L54" s="869"/>
      <c r="M54" s="870">
        <f t="shared" si="6"/>
        <v>0</v>
      </c>
      <c r="N54" s="879"/>
      <c r="O54" s="874" t="str">
        <f t="shared" si="7"/>
        <v>Int25</v>
      </c>
      <c r="P54" s="864" t="s">
        <v>3124</v>
      </c>
      <c r="Q54" s="428"/>
      <c r="R54" s="428"/>
      <c r="S54" s="428"/>
      <c r="T54" s="351"/>
      <c r="U54" s="351"/>
    </row>
    <row r="55" spans="1:21" ht="16.5" customHeight="1" x14ac:dyDescent="0.2">
      <c r="A55" s="867" t="s">
        <v>776</v>
      </c>
      <c r="B55" s="867" t="s">
        <v>2831</v>
      </c>
      <c r="C55" s="837">
        <v>13628.062159122001</v>
      </c>
      <c r="D55" s="869">
        <f>IFERROR(INDEX('Cash Forecast_8A'!F$27:F$120,MATCH('Cash Forecast_8A import-export'!O55,'Cash Forecast_8A'!B$27:B$120,0)),"")</f>
        <v>23883.776902845428</v>
      </c>
      <c r="E55" s="837">
        <v>0</v>
      </c>
      <c r="F55" s="869">
        <f>IFERROR(INDEX('Cash Forecast_8A'!H$27:H$120,MATCH('Cash Forecast_8A import-export'!O55,'Cash Forecast_8A'!B$27:B$120,0)),"")</f>
        <v>0</v>
      </c>
      <c r="G55" s="870">
        <f t="shared" si="4"/>
        <v>23883.776902845428</v>
      </c>
      <c r="H55" s="871"/>
      <c r="I55" s="877">
        <f t="shared" si="5"/>
        <v>26</v>
      </c>
      <c r="J55" s="869">
        <f>IFERROR(INDEX('Cash Forecast_8A'!L$27:L$120,MATCH('Cash Forecast_8A import-export'!O55,'Cash Forecast_8A'!B$27:B$120,0)),"")</f>
        <v>0</v>
      </c>
      <c r="K55" s="869">
        <f>IFERROR(INDEX('Cash Forecast_8A'!M$27:M$120,MATCH('Cash Forecast_8A import-export'!O55,'Cash Forecast_8A'!B$27:B$120,0)),"")</f>
        <v>0</v>
      </c>
      <c r="L55" s="869"/>
      <c r="M55" s="870">
        <f t="shared" si="6"/>
        <v>0</v>
      </c>
      <c r="N55" s="879"/>
      <c r="O55" s="874" t="str">
        <f t="shared" si="7"/>
        <v>Int26</v>
      </c>
      <c r="P55" s="864" t="s">
        <v>3125</v>
      </c>
      <c r="Q55" s="428"/>
      <c r="R55" s="428"/>
      <c r="S55" s="428"/>
      <c r="T55" s="351"/>
      <c r="U55" s="351"/>
    </row>
    <row r="56" spans="1:21" ht="16.5" customHeight="1" x14ac:dyDescent="0.2">
      <c r="A56" s="867" t="s">
        <v>2814</v>
      </c>
      <c r="B56" s="867" t="s">
        <v>2833</v>
      </c>
      <c r="C56" s="837">
        <v>109135.77368898899</v>
      </c>
      <c r="D56" s="869">
        <f>IFERROR(INDEX('Cash Forecast_8A'!F$27:F$120,MATCH('Cash Forecast_8A import-export'!O56,'Cash Forecast_8A'!B$27:B$120,0)),"")</f>
        <v>126627.78077919547</v>
      </c>
      <c r="E56" s="837">
        <v>0</v>
      </c>
      <c r="F56" s="869">
        <f>IFERROR(INDEX('Cash Forecast_8A'!H$27:H$120,MATCH('Cash Forecast_8A import-export'!O56,'Cash Forecast_8A'!B$27:B$120,0)),"")</f>
        <v>0</v>
      </c>
      <c r="G56" s="870">
        <f t="shared" si="4"/>
        <v>126627.78077919547</v>
      </c>
      <c r="H56" s="871"/>
      <c r="I56" s="877">
        <f t="shared" si="5"/>
        <v>27</v>
      </c>
      <c r="J56" s="869">
        <f>IFERROR(INDEX('Cash Forecast_8A'!L$27:L$120,MATCH('Cash Forecast_8A import-export'!O56,'Cash Forecast_8A'!B$27:B$120,0)),"")</f>
        <v>0</v>
      </c>
      <c r="K56" s="869">
        <f>IFERROR(INDEX('Cash Forecast_8A'!M$27:M$120,MATCH('Cash Forecast_8A import-export'!O56,'Cash Forecast_8A'!B$27:B$120,0)),"")</f>
        <v>0</v>
      </c>
      <c r="L56" s="869"/>
      <c r="M56" s="870">
        <f t="shared" si="6"/>
        <v>0</v>
      </c>
      <c r="N56" s="879"/>
      <c r="O56" s="874" t="str">
        <f t="shared" si="7"/>
        <v>Int27</v>
      </c>
      <c r="P56" s="864" t="s">
        <v>3126</v>
      </c>
      <c r="Q56" s="428"/>
      <c r="R56" s="428"/>
      <c r="S56" s="428"/>
      <c r="T56" s="351"/>
      <c r="U56" s="351"/>
    </row>
    <row r="57" spans="1:21" ht="16.5" customHeight="1" x14ac:dyDescent="0.2">
      <c r="A57" s="867" t="s">
        <v>2835</v>
      </c>
      <c r="B57" s="867" t="s">
        <v>2836</v>
      </c>
      <c r="C57" s="837">
        <v>2698.25</v>
      </c>
      <c r="D57" s="869">
        <f>IFERROR(INDEX('Cash Forecast_8A'!F$27:F$120,MATCH('Cash Forecast_8A import-export'!O57,'Cash Forecast_8A'!B$27:B$120,0)),"")</f>
        <v>142604.774</v>
      </c>
      <c r="E57" s="837">
        <v>0</v>
      </c>
      <c r="F57" s="869">
        <f>IFERROR(INDEX('Cash Forecast_8A'!H$27:H$120,MATCH('Cash Forecast_8A import-export'!O57,'Cash Forecast_8A'!B$27:B$120,0)),"")</f>
        <v>0</v>
      </c>
      <c r="G57" s="870">
        <f t="shared" si="4"/>
        <v>142604.774</v>
      </c>
      <c r="H57" s="871"/>
      <c r="I57" s="877">
        <f t="shared" si="5"/>
        <v>28</v>
      </c>
      <c r="J57" s="869">
        <f>IFERROR(INDEX('Cash Forecast_8A'!L$27:L$120,MATCH('Cash Forecast_8A import-export'!O57,'Cash Forecast_8A'!B$27:B$120,0)),"")</f>
        <v>0</v>
      </c>
      <c r="K57" s="869">
        <f>IFERROR(INDEX('Cash Forecast_8A'!M$27:M$120,MATCH('Cash Forecast_8A import-export'!O57,'Cash Forecast_8A'!B$27:B$120,0)),"")</f>
        <v>0</v>
      </c>
      <c r="L57" s="869"/>
      <c r="M57" s="870">
        <f t="shared" si="6"/>
        <v>0</v>
      </c>
      <c r="N57" s="879"/>
      <c r="O57" s="874" t="str">
        <f t="shared" si="7"/>
        <v>Int28</v>
      </c>
      <c r="P57" s="864" t="s">
        <v>3127</v>
      </c>
      <c r="Q57" s="428"/>
      <c r="R57" s="428"/>
      <c r="S57" s="428"/>
      <c r="T57" s="351"/>
      <c r="U57" s="351"/>
    </row>
    <row r="58" spans="1:21" ht="16.5" customHeight="1" x14ac:dyDescent="0.2">
      <c r="A58" s="867" t="s">
        <v>510</v>
      </c>
      <c r="B58" s="867" t="s">
        <v>2838</v>
      </c>
      <c r="C58" s="837">
        <v>234282.49155221201</v>
      </c>
      <c r="D58" s="869">
        <f>IFERROR(INDEX('Cash Forecast_8A'!F$27:F$120,MATCH('Cash Forecast_8A import-export'!O58,'Cash Forecast_8A'!B$27:B$120,0)),"")</f>
        <v>69812.726604423951</v>
      </c>
      <c r="E58" s="837">
        <v>0</v>
      </c>
      <c r="F58" s="869">
        <f>IFERROR(INDEX('Cash Forecast_8A'!H$27:H$120,MATCH('Cash Forecast_8A import-export'!O58,'Cash Forecast_8A'!B$27:B$120,0)),"")</f>
        <v>0</v>
      </c>
      <c r="G58" s="870">
        <f t="shared" si="4"/>
        <v>69812.726604423951</v>
      </c>
      <c r="H58" s="871"/>
      <c r="I58" s="877">
        <f t="shared" si="5"/>
        <v>29</v>
      </c>
      <c r="J58" s="869">
        <f>IFERROR(INDEX('Cash Forecast_8A'!L$27:L$120,MATCH('Cash Forecast_8A import-export'!O58,'Cash Forecast_8A'!B$27:B$120,0)),"")</f>
        <v>0</v>
      </c>
      <c r="K58" s="869">
        <f>IFERROR(INDEX('Cash Forecast_8A'!M$27:M$120,MATCH('Cash Forecast_8A import-export'!O58,'Cash Forecast_8A'!B$27:B$120,0)),"")</f>
        <v>0</v>
      </c>
      <c r="L58" s="869"/>
      <c r="M58" s="870">
        <f t="shared" si="6"/>
        <v>0</v>
      </c>
      <c r="N58" s="879"/>
      <c r="O58" s="874" t="str">
        <f t="shared" si="7"/>
        <v>Int29</v>
      </c>
      <c r="P58" s="864" t="s">
        <v>3128</v>
      </c>
      <c r="Q58" s="428"/>
      <c r="R58" s="428"/>
      <c r="S58" s="428"/>
      <c r="T58" s="351"/>
      <c r="U58" s="351"/>
    </row>
    <row r="59" spans="1:21" ht="16.5" customHeight="1" x14ac:dyDescent="0.2">
      <c r="A59" s="867" t="s">
        <v>2840</v>
      </c>
      <c r="B59" s="867" t="s">
        <v>2841</v>
      </c>
      <c r="C59" s="837">
        <v>20509.3129564829</v>
      </c>
      <c r="D59" s="869">
        <f>IFERROR(INDEX('Cash Forecast_8A'!F$27:F$120,MATCH('Cash Forecast_8A import-export'!O59,'Cash Forecast_8A'!B$27:B$120,0)),"")</f>
        <v>20509.312956482878</v>
      </c>
      <c r="E59" s="837">
        <v>0</v>
      </c>
      <c r="F59" s="869">
        <f>IFERROR(INDEX('Cash Forecast_8A'!H$27:H$120,MATCH('Cash Forecast_8A import-export'!O59,'Cash Forecast_8A'!B$27:B$120,0)),"")</f>
        <v>0</v>
      </c>
      <c r="G59" s="870">
        <f t="shared" si="4"/>
        <v>20509.312956482878</v>
      </c>
      <c r="H59" s="871"/>
      <c r="I59" s="877">
        <f t="shared" si="5"/>
        <v>30</v>
      </c>
      <c r="J59" s="869">
        <f>IFERROR(INDEX('Cash Forecast_8A'!L$27:L$120,MATCH('Cash Forecast_8A import-export'!O59,'Cash Forecast_8A'!B$27:B$120,0)),"")</f>
        <v>0</v>
      </c>
      <c r="K59" s="869">
        <f>IFERROR(INDEX('Cash Forecast_8A'!M$27:M$120,MATCH('Cash Forecast_8A import-export'!O59,'Cash Forecast_8A'!B$27:B$120,0)),"")</f>
        <v>0</v>
      </c>
      <c r="L59" s="869"/>
      <c r="M59" s="870">
        <f t="shared" si="6"/>
        <v>0</v>
      </c>
      <c r="N59" s="879"/>
      <c r="O59" s="874" t="str">
        <f t="shared" si="7"/>
        <v>Int30</v>
      </c>
      <c r="P59" s="864" t="s">
        <v>3129</v>
      </c>
      <c r="Q59" s="428"/>
      <c r="R59" s="428"/>
      <c r="S59" s="428"/>
      <c r="T59" s="351"/>
      <c r="U59" s="351"/>
    </row>
    <row r="60" spans="1:21" ht="16.5" customHeight="1" x14ac:dyDescent="0.2">
      <c r="A60" s="867" t="s">
        <v>453</v>
      </c>
      <c r="B60" s="867" t="s">
        <v>2843</v>
      </c>
      <c r="C60" s="837">
        <v>87968.118556357804</v>
      </c>
      <c r="D60" s="869">
        <f>IFERROR(INDEX('Cash Forecast_8A'!F$27:F$120,MATCH('Cash Forecast_8A import-export'!O60,'Cash Forecast_8A'!B$27:B$120,0)),"")</f>
        <v>182153.06368887951</v>
      </c>
      <c r="E60" s="837">
        <v>0</v>
      </c>
      <c r="F60" s="869">
        <f>IFERROR(INDEX('Cash Forecast_8A'!H$27:H$120,MATCH('Cash Forecast_8A import-export'!O60,'Cash Forecast_8A'!B$27:B$120,0)),"")</f>
        <v>0</v>
      </c>
      <c r="G60" s="870">
        <f t="shared" si="4"/>
        <v>182153.06368887951</v>
      </c>
      <c r="H60" s="871"/>
      <c r="I60" s="877">
        <f t="shared" si="5"/>
        <v>31</v>
      </c>
      <c r="J60" s="869">
        <f>IFERROR(INDEX('Cash Forecast_8A'!L$27:L$120,MATCH('Cash Forecast_8A import-export'!O60,'Cash Forecast_8A'!B$27:B$120,0)),"")</f>
        <v>0</v>
      </c>
      <c r="K60" s="869">
        <f>IFERROR(INDEX('Cash Forecast_8A'!M$27:M$120,MATCH('Cash Forecast_8A import-export'!O60,'Cash Forecast_8A'!B$27:B$120,0)),"")</f>
        <v>0</v>
      </c>
      <c r="L60" s="869"/>
      <c r="M60" s="870">
        <f t="shared" si="6"/>
        <v>0</v>
      </c>
      <c r="N60" s="879"/>
      <c r="O60" s="874" t="str">
        <f t="shared" si="7"/>
        <v>Int31</v>
      </c>
      <c r="P60" s="864" t="s">
        <v>3130</v>
      </c>
      <c r="Q60" s="428"/>
      <c r="R60" s="428"/>
      <c r="S60" s="428"/>
      <c r="T60" s="351"/>
      <c r="U60" s="351"/>
    </row>
    <row r="61" spans="1:21" ht="16.5" customHeight="1" x14ac:dyDescent="0.2">
      <c r="A61" s="867" t="s">
        <v>461</v>
      </c>
      <c r="B61" s="867" t="s">
        <v>2845</v>
      </c>
      <c r="C61" s="837">
        <v>1116356.44788491</v>
      </c>
      <c r="D61" s="869">
        <f>IFERROR(INDEX('Cash Forecast_8A'!F$27:F$120,MATCH('Cash Forecast_8A import-export'!O61,'Cash Forecast_8A'!B$27:B$120,0)),"")</f>
        <v>1163151.0785252268</v>
      </c>
      <c r="E61" s="837">
        <v>0</v>
      </c>
      <c r="F61" s="869">
        <f>IFERROR(INDEX('Cash Forecast_8A'!H$27:H$120,MATCH('Cash Forecast_8A import-export'!O61,'Cash Forecast_8A'!B$27:B$120,0)),"")</f>
        <v>0</v>
      </c>
      <c r="G61" s="870">
        <f t="shared" si="4"/>
        <v>1163151.0785252268</v>
      </c>
      <c r="H61" s="871"/>
      <c r="I61" s="877">
        <f t="shared" si="5"/>
        <v>32</v>
      </c>
      <c r="J61" s="869">
        <f>IFERROR(INDEX('Cash Forecast_8A'!L$27:L$120,MATCH('Cash Forecast_8A import-export'!O61,'Cash Forecast_8A'!B$27:B$120,0)),"")</f>
        <v>0</v>
      </c>
      <c r="K61" s="869">
        <f>IFERROR(INDEX('Cash Forecast_8A'!M$27:M$120,MATCH('Cash Forecast_8A import-export'!O61,'Cash Forecast_8A'!B$27:B$120,0)),"")</f>
        <v>0</v>
      </c>
      <c r="L61" s="869"/>
      <c r="M61" s="870">
        <f t="shared" si="6"/>
        <v>0</v>
      </c>
      <c r="N61" s="879"/>
      <c r="O61" s="874" t="str">
        <f t="shared" si="7"/>
        <v>Int32</v>
      </c>
      <c r="P61" s="864" t="s">
        <v>3131</v>
      </c>
      <c r="Q61" s="428"/>
      <c r="R61" s="428"/>
      <c r="S61" s="428"/>
      <c r="T61" s="351"/>
      <c r="U61" s="351"/>
    </row>
    <row r="62" spans="1:21" ht="16.5" customHeight="1" x14ac:dyDescent="0.2">
      <c r="A62" s="867" t="s">
        <v>461</v>
      </c>
      <c r="B62" s="867" t="s">
        <v>2847</v>
      </c>
      <c r="C62" s="837">
        <v>771437.91566624295</v>
      </c>
      <c r="D62" s="869">
        <f>IFERROR(INDEX('Cash Forecast_8A'!F$27:F$120,MATCH('Cash Forecast_8A import-export'!O62,'Cash Forecast_8A'!B$27:B$120,0)),"")</f>
        <v>836543.82386127487</v>
      </c>
      <c r="E62" s="837">
        <v>0</v>
      </c>
      <c r="F62" s="869">
        <f>IFERROR(INDEX('Cash Forecast_8A'!H$27:H$120,MATCH('Cash Forecast_8A import-export'!O62,'Cash Forecast_8A'!B$27:B$120,0)),"")</f>
        <v>0</v>
      </c>
      <c r="G62" s="870">
        <f t="shared" si="4"/>
        <v>836543.82386127487</v>
      </c>
      <c r="H62" s="871"/>
      <c r="I62" s="877">
        <f t="shared" si="5"/>
        <v>33</v>
      </c>
      <c r="J62" s="869">
        <f>IFERROR(INDEX('Cash Forecast_8A'!L$27:L$120,MATCH('Cash Forecast_8A import-export'!O62,'Cash Forecast_8A'!B$27:B$120,0)),"")</f>
        <v>0</v>
      </c>
      <c r="K62" s="869">
        <f>IFERROR(INDEX('Cash Forecast_8A'!M$27:M$120,MATCH('Cash Forecast_8A import-export'!O62,'Cash Forecast_8A'!B$27:B$120,0)),"")</f>
        <v>0</v>
      </c>
      <c r="L62" s="869"/>
      <c r="M62" s="870">
        <f t="shared" si="6"/>
        <v>0</v>
      </c>
      <c r="N62" s="879"/>
      <c r="O62" s="874" t="str">
        <f t="shared" si="7"/>
        <v>Int33</v>
      </c>
      <c r="P62" s="864" t="s">
        <v>3132</v>
      </c>
      <c r="Q62" s="428"/>
      <c r="R62" s="428"/>
      <c r="S62" s="428"/>
      <c r="T62" s="351"/>
      <c r="U62" s="351"/>
    </row>
    <row r="63" spans="1:21" ht="16.5" customHeight="1" x14ac:dyDescent="0.2">
      <c r="A63" s="867" t="s">
        <v>461</v>
      </c>
      <c r="B63" s="867" t="s">
        <v>2849</v>
      </c>
      <c r="C63" s="837">
        <v>405801.43647309998</v>
      </c>
      <c r="D63" s="869">
        <f>IFERROR(INDEX('Cash Forecast_8A'!F$27:F$120,MATCH('Cash Forecast_8A import-export'!O63,'Cash Forecast_8A'!B$27:B$120,0)),"")</f>
        <v>927714.6733570518</v>
      </c>
      <c r="E63" s="837">
        <v>0</v>
      </c>
      <c r="F63" s="869">
        <f>IFERROR(INDEX('Cash Forecast_8A'!H$27:H$120,MATCH('Cash Forecast_8A import-export'!O63,'Cash Forecast_8A'!B$27:B$120,0)),"")</f>
        <v>0</v>
      </c>
      <c r="G63" s="870">
        <f t="shared" si="4"/>
        <v>927714.6733570518</v>
      </c>
      <c r="H63" s="871"/>
      <c r="I63" s="877">
        <f t="shared" si="5"/>
        <v>34</v>
      </c>
      <c r="J63" s="869">
        <f>IFERROR(INDEX('Cash Forecast_8A'!L$27:L$120,MATCH('Cash Forecast_8A import-export'!O63,'Cash Forecast_8A'!B$27:B$120,0)),"")</f>
        <v>0</v>
      </c>
      <c r="K63" s="869">
        <f>IFERROR(INDEX('Cash Forecast_8A'!M$27:M$120,MATCH('Cash Forecast_8A import-export'!O63,'Cash Forecast_8A'!B$27:B$120,0)),"")</f>
        <v>0</v>
      </c>
      <c r="L63" s="869"/>
      <c r="M63" s="870">
        <f t="shared" si="6"/>
        <v>0</v>
      </c>
      <c r="N63" s="879"/>
      <c r="O63" s="874" t="str">
        <f t="shared" si="7"/>
        <v>Int34</v>
      </c>
      <c r="P63" s="864" t="s">
        <v>3133</v>
      </c>
      <c r="Q63" s="428"/>
      <c r="R63" s="428"/>
      <c r="S63" s="428"/>
      <c r="T63" s="351"/>
      <c r="U63" s="351"/>
    </row>
    <row r="64" spans="1:21" ht="16.5" customHeight="1" x14ac:dyDescent="0.2">
      <c r="A64" s="867" t="s">
        <v>461</v>
      </c>
      <c r="B64" s="867" t="s">
        <v>2851</v>
      </c>
      <c r="C64" s="837">
        <v>97629.2</v>
      </c>
      <c r="D64" s="869">
        <f>IFERROR(INDEX('Cash Forecast_8A'!F$27:F$120,MATCH('Cash Forecast_8A import-export'!O64,'Cash Forecast_8A'!B$27:B$120,0)),"")</f>
        <v>20447.783150437081</v>
      </c>
      <c r="E64" s="837">
        <v>0</v>
      </c>
      <c r="F64" s="869">
        <f>IFERROR(INDEX('Cash Forecast_8A'!H$27:H$120,MATCH('Cash Forecast_8A import-export'!O64,'Cash Forecast_8A'!B$27:B$120,0)),"")</f>
        <v>0</v>
      </c>
      <c r="G64" s="870">
        <f t="shared" si="4"/>
        <v>20447.783150437081</v>
      </c>
      <c r="H64" s="871"/>
      <c r="I64" s="877">
        <f t="shared" si="5"/>
        <v>35</v>
      </c>
      <c r="J64" s="869">
        <f>IFERROR(INDEX('Cash Forecast_8A'!L$27:L$120,MATCH('Cash Forecast_8A import-export'!O64,'Cash Forecast_8A'!B$27:B$120,0)),"")</f>
        <v>0</v>
      </c>
      <c r="K64" s="869">
        <f>IFERROR(INDEX('Cash Forecast_8A'!M$27:M$120,MATCH('Cash Forecast_8A import-export'!O64,'Cash Forecast_8A'!B$27:B$120,0)),"")</f>
        <v>0</v>
      </c>
      <c r="L64" s="869"/>
      <c r="M64" s="870">
        <f t="shared" si="6"/>
        <v>0</v>
      </c>
      <c r="N64" s="879"/>
      <c r="O64" s="874" t="str">
        <f t="shared" si="7"/>
        <v>Int35</v>
      </c>
      <c r="P64" s="864" t="s">
        <v>3134</v>
      </c>
      <c r="Q64" s="428"/>
      <c r="R64" s="428"/>
      <c r="S64" s="428"/>
      <c r="T64" s="351"/>
      <c r="U64" s="351"/>
    </row>
    <row r="65" spans="1:21" ht="16.5" customHeight="1" x14ac:dyDescent="0.2">
      <c r="A65" s="867" t="s">
        <v>461</v>
      </c>
      <c r="B65" s="867" t="s">
        <v>2853</v>
      </c>
      <c r="C65" s="837">
        <v>6021994.21</v>
      </c>
      <c r="D65" s="869">
        <f>IFERROR(INDEX('Cash Forecast_8A'!F$27:F$120,MATCH('Cash Forecast_8A import-export'!O65,'Cash Forecast_8A'!B$27:B$120,0)),"")</f>
        <v>4940133.5542941289</v>
      </c>
      <c r="E65" s="837">
        <v>0</v>
      </c>
      <c r="F65" s="869">
        <f>IFERROR(INDEX('Cash Forecast_8A'!H$27:H$120,MATCH('Cash Forecast_8A import-export'!O65,'Cash Forecast_8A'!B$27:B$120,0)),"")</f>
        <v>0</v>
      </c>
      <c r="G65" s="870">
        <f t="shared" si="4"/>
        <v>4940133.5542941289</v>
      </c>
      <c r="H65" s="871"/>
      <c r="I65" s="877">
        <f t="shared" si="5"/>
        <v>36</v>
      </c>
      <c r="J65" s="869">
        <f>IFERROR(INDEX('Cash Forecast_8A'!L$27:L$120,MATCH('Cash Forecast_8A import-export'!O65,'Cash Forecast_8A'!B$27:B$120,0)),"")</f>
        <v>0</v>
      </c>
      <c r="K65" s="869">
        <f>IFERROR(INDEX('Cash Forecast_8A'!M$27:M$120,MATCH('Cash Forecast_8A import-export'!O65,'Cash Forecast_8A'!B$27:B$120,0)),"")</f>
        <v>0</v>
      </c>
      <c r="L65" s="869"/>
      <c r="M65" s="870">
        <f t="shared" si="6"/>
        <v>0</v>
      </c>
      <c r="N65" s="879"/>
      <c r="O65" s="874" t="str">
        <f t="shared" si="7"/>
        <v>Int36</v>
      </c>
      <c r="P65" s="864" t="s">
        <v>3135</v>
      </c>
      <c r="Q65" s="428"/>
      <c r="R65" s="428"/>
      <c r="S65" s="428"/>
      <c r="T65" s="351"/>
      <c r="U65" s="351"/>
    </row>
    <row r="66" spans="1:21" ht="16.5" customHeight="1" x14ac:dyDescent="0.2">
      <c r="A66" s="867" t="s">
        <v>461</v>
      </c>
      <c r="B66" s="867" t="s">
        <v>2855</v>
      </c>
      <c r="C66" s="837">
        <v>702096.66134983895</v>
      </c>
      <c r="D66" s="869">
        <f>IFERROR(INDEX('Cash Forecast_8A'!F$27:F$120,MATCH('Cash Forecast_8A import-export'!O66,'Cash Forecast_8A'!B$27:B$120,0)),"")</f>
        <v>1502999.048309936</v>
      </c>
      <c r="E66" s="837">
        <v>0</v>
      </c>
      <c r="F66" s="869">
        <f>IFERROR(INDEX('Cash Forecast_8A'!H$27:H$120,MATCH('Cash Forecast_8A import-export'!O66,'Cash Forecast_8A'!B$27:B$120,0)),"")</f>
        <v>0</v>
      </c>
      <c r="G66" s="870">
        <f t="shared" si="4"/>
        <v>1502999.048309936</v>
      </c>
      <c r="H66" s="871"/>
      <c r="I66" s="877">
        <f t="shared" si="5"/>
        <v>37</v>
      </c>
      <c r="J66" s="869">
        <f>IFERROR(INDEX('Cash Forecast_8A'!L$27:L$120,MATCH('Cash Forecast_8A import-export'!O66,'Cash Forecast_8A'!B$27:B$120,0)),"")</f>
        <v>0</v>
      </c>
      <c r="K66" s="869">
        <f>IFERROR(INDEX('Cash Forecast_8A'!M$27:M$120,MATCH('Cash Forecast_8A import-export'!O66,'Cash Forecast_8A'!B$27:B$120,0)),"")</f>
        <v>0</v>
      </c>
      <c r="L66" s="869"/>
      <c r="M66" s="870">
        <f t="shared" si="6"/>
        <v>0</v>
      </c>
      <c r="N66" s="879"/>
      <c r="O66" s="874" t="str">
        <f t="shared" si="7"/>
        <v>Int37</v>
      </c>
      <c r="P66" s="864" t="s">
        <v>3136</v>
      </c>
      <c r="Q66" s="428"/>
      <c r="R66" s="428"/>
      <c r="S66" s="428"/>
      <c r="T66" s="351"/>
      <c r="U66" s="351"/>
    </row>
    <row r="67" spans="1:21" ht="16.5" customHeight="1" x14ac:dyDescent="0.2">
      <c r="A67" s="867" t="s">
        <v>461</v>
      </c>
      <c r="B67" s="867" t="s">
        <v>2857</v>
      </c>
      <c r="C67" s="837">
        <v>13712</v>
      </c>
      <c r="D67" s="869">
        <f>IFERROR(INDEX('Cash Forecast_8A'!F$27:F$120,MATCH('Cash Forecast_8A import-export'!O67,'Cash Forecast_8A'!B$27:B$120,0)),"")</f>
        <v>19275.059025000002</v>
      </c>
      <c r="E67" s="837">
        <v>0</v>
      </c>
      <c r="F67" s="869">
        <f>IFERROR(INDEX('Cash Forecast_8A'!H$27:H$120,MATCH('Cash Forecast_8A import-export'!O67,'Cash Forecast_8A'!B$27:B$120,0)),"")</f>
        <v>0</v>
      </c>
      <c r="G67" s="870">
        <f t="shared" si="4"/>
        <v>19275.059025000002</v>
      </c>
      <c r="H67" s="871"/>
      <c r="I67" s="877">
        <f t="shared" si="5"/>
        <v>38</v>
      </c>
      <c r="J67" s="869">
        <f>IFERROR(INDEX('Cash Forecast_8A'!L$27:L$120,MATCH('Cash Forecast_8A import-export'!O67,'Cash Forecast_8A'!B$27:B$120,0)),"")</f>
        <v>0</v>
      </c>
      <c r="K67" s="869">
        <f>IFERROR(INDEX('Cash Forecast_8A'!M$27:M$120,MATCH('Cash Forecast_8A import-export'!O67,'Cash Forecast_8A'!B$27:B$120,0)),"")</f>
        <v>0</v>
      </c>
      <c r="L67" s="869"/>
      <c r="M67" s="870">
        <f t="shared" si="6"/>
        <v>0</v>
      </c>
      <c r="N67" s="879"/>
      <c r="O67" s="874" t="str">
        <f t="shared" si="7"/>
        <v>Int38</v>
      </c>
      <c r="P67" s="864" t="s">
        <v>3137</v>
      </c>
      <c r="Q67" s="428"/>
      <c r="R67" s="428"/>
      <c r="S67" s="428"/>
      <c r="T67" s="351"/>
      <c r="U67" s="351"/>
    </row>
    <row r="68" spans="1:21" ht="16.5" customHeight="1" x14ac:dyDescent="0.2">
      <c r="A68" s="867" t="s">
        <v>534</v>
      </c>
      <c r="B68" s="867" t="s">
        <v>2859</v>
      </c>
      <c r="C68" s="837">
        <v>1009.38650881783</v>
      </c>
      <c r="D68" s="869">
        <f>IFERROR(INDEX('Cash Forecast_8A'!F$27:F$120,MATCH('Cash Forecast_8A import-export'!O68,'Cash Forecast_8A'!B$27:B$120,0)),"")</f>
        <v>1009.3865088178318</v>
      </c>
      <c r="E68" s="837">
        <v>0</v>
      </c>
      <c r="F68" s="869">
        <f>IFERROR(INDEX('Cash Forecast_8A'!H$27:H$120,MATCH('Cash Forecast_8A import-export'!O68,'Cash Forecast_8A'!B$27:B$120,0)),"")</f>
        <v>0</v>
      </c>
      <c r="G68" s="870">
        <f t="shared" si="4"/>
        <v>1009.3865088178318</v>
      </c>
      <c r="H68" s="871"/>
      <c r="I68" s="877">
        <f t="shared" si="5"/>
        <v>39</v>
      </c>
      <c r="J68" s="869">
        <f>IFERROR(INDEX('Cash Forecast_8A'!L$27:L$120,MATCH('Cash Forecast_8A import-export'!O68,'Cash Forecast_8A'!B$27:B$120,0)),"")</f>
        <v>0</v>
      </c>
      <c r="K68" s="869">
        <f>IFERROR(INDEX('Cash Forecast_8A'!M$27:M$120,MATCH('Cash Forecast_8A import-export'!O68,'Cash Forecast_8A'!B$27:B$120,0)),"")</f>
        <v>0</v>
      </c>
      <c r="L68" s="869"/>
      <c r="M68" s="870">
        <f t="shared" si="6"/>
        <v>0</v>
      </c>
      <c r="N68" s="879"/>
      <c r="O68" s="874" t="str">
        <f t="shared" si="7"/>
        <v>Int39</v>
      </c>
      <c r="P68" s="864" t="s">
        <v>3138</v>
      </c>
      <c r="Q68" s="428"/>
      <c r="R68" s="428"/>
      <c r="S68" s="428"/>
      <c r="T68" s="351"/>
      <c r="U68" s="351"/>
    </row>
    <row r="69" spans="1:21" ht="16.5" customHeight="1" x14ac:dyDescent="0.2">
      <c r="A69" s="867" t="s">
        <v>2814</v>
      </c>
      <c r="B69" s="867" t="s">
        <v>2861</v>
      </c>
      <c r="C69" s="837">
        <v>1851.6134684046899</v>
      </c>
      <c r="D69" s="869">
        <f>IFERROR(INDEX('Cash Forecast_8A'!F$27:F$120,MATCH('Cash Forecast_8A import-export'!O69,'Cash Forecast_8A'!B$27:B$120,0)),"")</f>
        <v>3703.2269368093703</v>
      </c>
      <c r="E69" s="837">
        <v>0</v>
      </c>
      <c r="F69" s="869">
        <f>IFERROR(INDEX('Cash Forecast_8A'!H$27:H$120,MATCH('Cash Forecast_8A import-export'!O69,'Cash Forecast_8A'!B$27:B$120,0)),"")</f>
        <v>0</v>
      </c>
      <c r="G69" s="870">
        <f t="shared" si="4"/>
        <v>3703.2269368093703</v>
      </c>
      <c r="H69" s="871"/>
      <c r="I69" s="877">
        <f t="shared" si="5"/>
        <v>40</v>
      </c>
      <c r="J69" s="869">
        <f>IFERROR(INDEX('Cash Forecast_8A'!L$27:L$120,MATCH('Cash Forecast_8A import-export'!O69,'Cash Forecast_8A'!B$27:B$120,0)),"")</f>
        <v>0</v>
      </c>
      <c r="K69" s="869">
        <f>IFERROR(INDEX('Cash Forecast_8A'!M$27:M$120,MATCH('Cash Forecast_8A import-export'!O69,'Cash Forecast_8A'!B$27:B$120,0)),"")</f>
        <v>0</v>
      </c>
      <c r="L69" s="869"/>
      <c r="M69" s="870">
        <f t="shared" si="6"/>
        <v>0</v>
      </c>
      <c r="N69" s="879"/>
      <c r="O69" s="874" t="str">
        <f t="shared" si="7"/>
        <v>Int40</v>
      </c>
      <c r="P69" s="864" t="s">
        <v>3139</v>
      </c>
      <c r="Q69" s="428"/>
      <c r="R69" s="428"/>
      <c r="S69" s="428"/>
      <c r="T69" s="351"/>
      <c r="U69" s="351"/>
    </row>
    <row r="70" spans="1:21" ht="16.5" customHeight="1" x14ac:dyDescent="0.2">
      <c r="A70" s="867" t="s">
        <v>440</v>
      </c>
      <c r="B70" s="867" t="s">
        <v>2863</v>
      </c>
      <c r="C70" s="837">
        <v>0</v>
      </c>
      <c r="D70" s="869">
        <f>IFERROR(INDEX('Cash Forecast_8A'!F$27:F$120,MATCH('Cash Forecast_8A import-export'!O70,'Cash Forecast_8A'!B$27:B$120,0)),"")</f>
        <v>178124.4814727176</v>
      </c>
      <c r="E70" s="837">
        <v>0</v>
      </c>
      <c r="F70" s="869">
        <f>IFERROR(INDEX('Cash Forecast_8A'!H$27:H$120,MATCH('Cash Forecast_8A import-export'!O70,'Cash Forecast_8A'!B$27:B$120,0)),"")</f>
        <v>0</v>
      </c>
      <c r="G70" s="870">
        <f t="shared" si="4"/>
        <v>178124.4814727176</v>
      </c>
      <c r="H70" s="871"/>
      <c r="I70" s="877">
        <f t="shared" si="5"/>
        <v>41</v>
      </c>
      <c r="J70" s="869">
        <f>IFERROR(INDEX('Cash Forecast_8A'!L$27:L$120,MATCH('Cash Forecast_8A import-export'!O70,'Cash Forecast_8A'!B$27:B$120,0)),"")</f>
        <v>0</v>
      </c>
      <c r="K70" s="869">
        <f>IFERROR(INDEX('Cash Forecast_8A'!M$27:M$120,MATCH('Cash Forecast_8A import-export'!O70,'Cash Forecast_8A'!B$27:B$120,0)),"")</f>
        <v>0</v>
      </c>
      <c r="L70" s="869"/>
      <c r="M70" s="870">
        <f t="shared" si="6"/>
        <v>0</v>
      </c>
      <c r="N70" s="879"/>
      <c r="O70" s="874" t="str">
        <f t="shared" si="7"/>
        <v>Int41</v>
      </c>
      <c r="P70" s="864" t="s">
        <v>3140</v>
      </c>
      <c r="Q70" s="428"/>
      <c r="R70" s="428"/>
      <c r="S70" s="428"/>
      <c r="T70" s="351"/>
      <c r="U70" s="351"/>
    </row>
    <row r="71" spans="1:21" ht="16.5" customHeight="1" x14ac:dyDescent="0.2">
      <c r="A71" s="867" t="s">
        <v>2865</v>
      </c>
      <c r="B71" s="867" t="s">
        <v>2866</v>
      </c>
      <c r="C71" s="837">
        <v>11235.4601408</v>
      </c>
      <c r="D71" s="869">
        <f>IFERROR(INDEX('Cash Forecast_8A'!F$27:F$120,MATCH('Cash Forecast_8A import-export'!O71,'Cash Forecast_8A'!B$27:B$120,0)),"")</f>
        <v>7724.8327948000006</v>
      </c>
      <c r="E71" s="837">
        <v>0</v>
      </c>
      <c r="F71" s="869">
        <f>IFERROR(INDEX('Cash Forecast_8A'!H$27:H$120,MATCH('Cash Forecast_8A import-export'!O71,'Cash Forecast_8A'!B$27:B$120,0)),"")</f>
        <v>0</v>
      </c>
      <c r="G71" s="870">
        <f t="shared" si="4"/>
        <v>7724.8327948000006</v>
      </c>
      <c r="H71" s="871"/>
      <c r="I71" s="877">
        <f t="shared" si="5"/>
        <v>42</v>
      </c>
      <c r="J71" s="869">
        <f>IFERROR(INDEX('Cash Forecast_8A'!L$27:L$120,MATCH('Cash Forecast_8A import-export'!O71,'Cash Forecast_8A'!B$27:B$120,0)),"")</f>
        <v>0</v>
      </c>
      <c r="K71" s="869">
        <f>IFERROR(INDEX('Cash Forecast_8A'!M$27:M$120,MATCH('Cash Forecast_8A import-export'!O71,'Cash Forecast_8A'!B$27:B$120,0)),"")</f>
        <v>0</v>
      </c>
      <c r="L71" s="869"/>
      <c r="M71" s="870">
        <f t="shared" si="6"/>
        <v>0</v>
      </c>
      <c r="N71" s="879"/>
      <c r="O71" s="874" t="str">
        <f t="shared" si="7"/>
        <v>Int42</v>
      </c>
      <c r="P71" s="864" t="s">
        <v>3141</v>
      </c>
      <c r="Q71" s="428"/>
      <c r="R71" s="428"/>
      <c r="S71" s="428"/>
      <c r="T71" s="351"/>
      <c r="U71" s="351"/>
    </row>
    <row r="72" spans="1:21" ht="16.5" customHeight="1" x14ac:dyDescent="0.2">
      <c r="A72" s="867" t="s">
        <v>776</v>
      </c>
      <c r="B72" s="867" t="s">
        <v>2868</v>
      </c>
      <c r="C72" s="837">
        <v>511.34365100000002</v>
      </c>
      <c r="D72" s="869">
        <f>IFERROR(INDEX('Cash Forecast_8A'!F$27:F$120,MATCH('Cash Forecast_8A import-export'!O72,'Cash Forecast_8A'!B$27:B$120,0)),"")</f>
        <v>725.38050000000044</v>
      </c>
      <c r="E72" s="837">
        <v>0</v>
      </c>
      <c r="F72" s="869">
        <f>IFERROR(INDEX('Cash Forecast_8A'!H$27:H$120,MATCH('Cash Forecast_8A import-export'!O72,'Cash Forecast_8A'!B$27:B$120,0)),"")</f>
        <v>0</v>
      </c>
      <c r="G72" s="870">
        <f t="shared" si="4"/>
        <v>725.38050000000044</v>
      </c>
      <c r="H72" s="871"/>
      <c r="I72" s="877">
        <f t="shared" si="5"/>
        <v>43</v>
      </c>
      <c r="J72" s="869">
        <f>IFERROR(INDEX('Cash Forecast_8A'!L$27:L$120,MATCH('Cash Forecast_8A import-export'!O72,'Cash Forecast_8A'!B$27:B$120,0)),"")</f>
        <v>0</v>
      </c>
      <c r="K72" s="869">
        <f>IFERROR(INDEX('Cash Forecast_8A'!M$27:M$120,MATCH('Cash Forecast_8A import-export'!O72,'Cash Forecast_8A'!B$27:B$120,0)),"")</f>
        <v>0</v>
      </c>
      <c r="L72" s="869"/>
      <c r="M72" s="870">
        <f t="shared" si="6"/>
        <v>0</v>
      </c>
      <c r="N72" s="879"/>
      <c r="O72" s="874" t="str">
        <f t="shared" si="7"/>
        <v>Int43</v>
      </c>
      <c r="P72" s="864" t="s">
        <v>3142</v>
      </c>
      <c r="Q72" s="428"/>
      <c r="R72" s="428"/>
      <c r="S72" s="428"/>
      <c r="T72" s="351"/>
      <c r="U72" s="351"/>
    </row>
    <row r="73" spans="1:21" ht="16.5" customHeight="1" x14ac:dyDescent="0.2">
      <c r="A73" s="867" t="s">
        <v>2870</v>
      </c>
      <c r="B73" s="867" t="s">
        <v>2871</v>
      </c>
      <c r="C73" s="837">
        <v>122949.97656048</v>
      </c>
      <c r="D73" s="869">
        <f>IFERROR(INDEX('Cash Forecast_8A'!F$27:F$120,MATCH('Cash Forecast_8A import-export'!O73,'Cash Forecast_8A'!B$27:B$120,0)),"")</f>
        <v>179517.31956047998</v>
      </c>
      <c r="E73" s="837">
        <v>0</v>
      </c>
      <c r="F73" s="869">
        <f>IFERROR(INDEX('Cash Forecast_8A'!H$27:H$120,MATCH('Cash Forecast_8A import-export'!O73,'Cash Forecast_8A'!B$27:B$120,0)),"")</f>
        <v>0</v>
      </c>
      <c r="G73" s="870">
        <f t="shared" si="4"/>
        <v>179517.31956047998</v>
      </c>
      <c r="H73" s="871"/>
      <c r="I73" s="877">
        <f t="shared" si="5"/>
        <v>44</v>
      </c>
      <c r="J73" s="869">
        <f>IFERROR(INDEX('Cash Forecast_8A'!L$27:L$120,MATCH('Cash Forecast_8A import-export'!O73,'Cash Forecast_8A'!B$27:B$120,0)),"")</f>
        <v>0</v>
      </c>
      <c r="K73" s="869">
        <f>IFERROR(INDEX('Cash Forecast_8A'!M$27:M$120,MATCH('Cash Forecast_8A import-export'!O73,'Cash Forecast_8A'!B$27:B$120,0)),"")</f>
        <v>0</v>
      </c>
      <c r="L73" s="869"/>
      <c r="M73" s="870">
        <f t="shared" si="6"/>
        <v>0</v>
      </c>
      <c r="N73" s="879"/>
      <c r="O73" s="874" t="str">
        <f t="shared" si="7"/>
        <v>Int44</v>
      </c>
      <c r="P73" s="864" t="s">
        <v>3143</v>
      </c>
      <c r="Q73" s="428"/>
      <c r="R73" s="428"/>
      <c r="S73" s="428"/>
      <c r="T73" s="351"/>
      <c r="U73" s="351"/>
    </row>
    <row r="74" spans="1:21" ht="16.5" customHeight="1" x14ac:dyDescent="0.2">
      <c r="A74" s="867" t="s">
        <v>2835</v>
      </c>
      <c r="B74" s="867" t="s">
        <v>2873</v>
      </c>
      <c r="C74" s="837">
        <v>22079.126408920001</v>
      </c>
      <c r="D74" s="869">
        <f>IFERROR(INDEX('Cash Forecast_8A'!F$27:F$120,MATCH('Cash Forecast_8A import-export'!O74,'Cash Forecast_8A'!B$27:B$120,0)),"")</f>
        <v>32267.871852920005</v>
      </c>
      <c r="E74" s="837">
        <v>0</v>
      </c>
      <c r="F74" s="869">
        <f>IFERROR(INDEX('Cash Forecast_8A'!H$27:H$120,MATCH('Cash Forecast_8A import-export'!O74,'Cash Forecast_8A'!B$27:B$120,0)),"")</f>
        <v>0</v>
      </c>
      <c r="G74" s="870">
        <f t="shared" si="4"/>
        <v>32267.871852920005</v>
      </c>
      <c r="H74" s="871"/>
      <c r="I74" s="877">
        <f t="shared" si="5"/>
        <v>45</v>
      </c>
      <c r="J74" s="869">
        <f>IFERROR(INDEX('Cash Forecast_8A'!L$27:L$120,MATCH('Cash Forecast_8A import-export'!O74,'Cash Forecast_8A'!B$27:B$120,0)),"")</f>
        <v>0</v>
      </c>
      <c r="K74" s="869">
        <f>IFERROR(INDEX('Cash Forecast_8A'!M$27:M$120,MATCH('Cash Forecast_8A import-export'!O74,'Cash Forecast_8A'!B$27:B$120,0)),"")</f>
        <v>0</v>
      </c>
      <c r="L74" s="869"/>
      <c r="M74" s="870">
        <f t="shared" si="6"/>
        <v>0</v>
      </c>
      <c r="N74" s="879"/>
      <c r="O74" s="874" t="str">
        <f t="shared" si="7"/>
        <v>Int45</v>
      </c>
      <c r="P74" s="864" t="s">
        <v>3144</v>
      </c>
      <c r="Q74" s="428"/>
      <c r="R74" s="428"/>
      <c r="S74" s="428"/>
      <c r="T74" s="351"/>
      <c r="U74" s="351"/>
    </row>
    <row r="75" spans="1:21" ht="16.5" customHeight="1" x14ac:dyDescent="0.2">
      <c r="A75" s="882" t="s">
        <v>353</v>
      </c>
      <c r="B75" s="882" t="s">
        <v>2944</v>
      </c>
      <c r="C75" s="852"/>
      <c r="D75" s="883" t="s">
        <v>3145</v>
      </c>
      <c r="E75" s="852"/>
      <c r="F75" s="883" t="s">
        <v>3146</v>
      </c>
      <c r="G75" s="883"/>
      <c r="H75" s="884" t="s">
        <v>584</v>
      </c>
      <c r="I75" s="877">
        <v>-1</v>
      </c>
      <c r="J75" s="885" t="s">
        <v>3147</v>
      </c>
      <c r="K75" s="885" t="s">
        <v>3148</v>
      </c>
      <c r="L75" s="885"/>
      <c r="M75" s="885"/>
      <c r="N75" s="886" t="s">
        <v>1249</v>
      </c>
      <c r="O75" s="874"/>
      <c r="P75" s="864"/>
      <c r="Q75" s="875"/>
      <c r="R75" s="875" t="s">
        <v>122</v>
      </c>
      <c r="S75" s="428"/>
      <c r="T75" s="351"/>
      <c r="U75" s="351"/>
    </row>
    <row r="76" spans="1:21" ht="16.5" hidden="1" customHeight="1" x14ac:dyDescent="0.2">
      <c r="A76" s="887" t="str">
        <f>IFERROR(IF(INDEX('Cash Forecast_8A'!C$121:C$136,MATCH('Cash Forecast_8A import-export'!O76,'Cash Forecast_8A'!B$121:B$136,0))=0,"",INDEX('Cash Forecast_8A'!C$121:C$136,MATCH('Cash Forecast_8A import-export'!O76,'Cash Forecast_8A'!B$121:B$136,0))),"")</f>
        <v/>
      </c>
      <c r="B76" s="887" t="str">
        <f>IFERROR(IF(INDEX('Cash Forecast_8A'!D$121:D$136,MATCH('Cash Forecast_8A import-export'!O76,'Cash Forecast_8A'!B$121:B$136,0))=0,"",INDEX('Cash Forecast_8A'!D$121:D$136,MATCH('Cash Forecast_8A import-export'!O76,'Cash Forecast_8A'!B$121:B$136,0))),"")</f>
        <v/>
      </c>
      <c r="C76" s="837" t="s">
        <v>3070</v>
      </c>
      <c r="D76" s="869" t="str">
        <f>IFERROR(INDEX('Cash Forecast_8A'!F$121:F$136,MATCH('Cash Forecast_8A import-export'!O76,'Cash Forecast_8A'!B$121:B$136,0)),"")</f>
        <v/>
      </c>
      <c r="E76" s="837" t="s">
        <v>3071</v>
      </c>
      <c r="F76" s="869" t="str">
        <f>IFERROR(INDEX('Cash Forecast_8A'!H$121:H$136,MATCH('Cash Forecast_8A import-export'!O76,'Cash Forecast_8A'!B$121:B$136,0)),"")</f>
        <v/>
      </c>
      <c r="G76" s="870" t="str">
        <f>IFERROR(D76+F76,"")</f>
        <v/>
      </c>
      <c r="H76" s="871" t="s">
        <v>3099</v>
      </c>
      <c r="I76" s="877">
        <f>I75+1</f>
        <v>0</v>
      </c>
      <c r="J76" s="869" t="str">
        <f>IFERROR(INDEX('Cash Forecast_8A'!L$121:L$136,MATCH('Cash Forecast_8A import-export'!O76,'Cash Forecast_8A'!B$121:B$136,0)),"")</f>
        <v/>
      </c>
      <c r="K76" s="869" t="str">
        <f>IFERROR(INDEX('Cash Forecast_8A'!M$121:M$136,MATCH('Cash Forecast_8A import-export'!O76,'Cash Forecast_8A'!B$121:B$136,0)),"")</f>
        <v/>
      </c>
      <c r="L76" s="877"/>
      <c r="M76" s="870" t="str">
        <f>IFERROR(J76+K76,"")</f>
        <v/>
      </c>
      <c r="N76" s="879" t="s">
        <v>3149</v>
      </c>
      <c r="O76" s="877" t="str">
        <f>"Intcustom"&amp;I76</f>
        <v>Intcustom0</v>
      </c>
      <c r="P76" s="864" t="str">
        <f>IFERROR(IF(VLOOKUP(A76,'Reference Records'!$B$13:$D$48,3,FALSE)=0,"",VLOOKUP(A76,'Reference Records'!$B$13:$D$48,3,FALSE)),"")</f>
        <v/>
      </c>
      <c r="Q76" s="875"/>
      <c r="R76" s="875" t="s">
        <v>371</v>
      </c>
      <c r="S76" s="428"/>
      <c r="T76" s="351"/>
      <c r="U76" s="351"/>
    </row>
    <row r="77" spans="1:21" ht="16.5" customHeight="1" x14ac:dyDescent="0.2">
      <c r="A77" s="887" t="str">
        <f>IFERROR(IF(INDEX('Cash Forecast_8A'!C$121:C$136,MATCH('Cash Forecast_8A import-export'!O77,'Cash Forecast_8A'!B$121:B$136,0))=0,"",INDEX('Cash Forecast_8A'!C$121:C$136,MATCH('Cash Forecast_8A import-export'!O77,'Cash Forecast_8A'!B$121:B$136,0))),"")</f>
        <v/>
      </c>
      <c r="B77" s="887" t="str">
        <f>IFERROR(IF(INDEX('Cash Forecast_8A'!D$121:D$136,MATCH('Cash Forecast_8A import-export'!O77,'Cash Forecast_8A'!B$121:B$136,0))=0,"",INDEX('Cash Forecast_8A'!D$121:D$136,MATCH('Cash Forecast_8A import-export'!O77,'Cash Forecast_8A'!B$121:B$136,0))),"")</f>
        <v/>
      </c>
      <c r="C77" s="837">
        <v>0</v>
      </c>
      <c r="D77" s="869">
        <f>IFERROR(INDEX('Cash Forecast_8A'!F$121:F$136,MATCH('Cash Forecast_8A import-export'!O77,'Cash Forecast_8A'!B$121:B$136,0)),"")</f>
        <v>0</v>
      </c>
      <c r="E77" s="837">
        <v>0</v>
      </c>
      <c r="F77" s="869">
        <f>IFERROR(INDEX('Cash Forecast_8A'!H$121:H$136,MATCH('Cash Forecast_8A import-export'!O77,'Cash Forecast_8A'!B$121:B$136,0)),"")</f>
        <v>0</v>
      </c>
      <c r="G77" s="870">
        <f t="shared" ref="G77:G101" si="8">IFERROR(D77+F77,"")</f>
        <v>0</v>
      </c>
      <c r="H77" s="871"/>
      <c r="I77" s="877">
        <f t="shared" ref="I77:I101" si="9">I76+1</f>
        <v>1</v>
      </c>
      <c r="J77" s="869">
        <f>IFERROR(INDEX('Cash Forecast_8A'!L$121:L$136,MATCH('Cash Forecast_8A import-export'!O77,'Cash Forecast_8A'!B$121:B$136,0)),"")</f>
        <v>0</v>
      </c>
      <c r="K77" s="869">
        <f>IFERROR(INDEX('Cash Forecast_8A'!M$121:M$136,MATCH('Cash Forecast_8A import-export'!O77,'Cash Forecast_8A'!B$121:B$136,0)),"")</f>
        <v>0</v>
      </c>
      <c r="L77" s="877"/>
      <c r="M77" s="870">
        <f t="shared" ref="M77:M101" si="10">IFERROR(J77+K77,"")</f>
        <v>0</v>
      </c>
      <c r="N77" s="879"/>
      <c r="O77" s="877" t="str">
        <f t="shared" ref="O77:O101" si="11">"Intcustom"&amp;I77</f>
        <v>Intcustom1</v>
      </c>
      <c r="P77" s="864" t="str">
        <f>IFERROR(IF(VLOOKUP(A77,'Reference Records'!$B$13:$D$48,3,FALSE)=0,"",VLOOKUP(A77,'Reference Records'!$B$13:$D$48,3,FALSE)),"")</f>
        <v/>
      </c>
      <c r="Q77" s="875"/>
      <c r="R77" s="875" t="s">
        <v>3150</v>
      </c>
      <c r="S77" s="428"/>
      <c r="T77" s="351"/>
      <c r="U77" s="351"/>
    </row>
    <row r="78" spans="1:21" ht="16.5" customHeight="1" x14ac:dyDescent="0.2">
      <c r="A78" s="887" t="str">
        <f>IFERROR(IF(INDEX('Cash Forecast_8A'!C$121:C$136,MATCH('Cash Forecast_8A import-export'!O78,'Cash Forecast_8A'!B$121:B$136,0))=0,"",INDEX('Cash Forecast_8A'!C$121:C$136,MATCH('Cash Forecast_8A import-export'!O78,'Cash Forecast_8A'!B$121:B$136,0))),"")</f>
        <v/>
      </c>
      <c r="B78" s="887" t="str">
        <f>IFERROR(IF(INDEX('Cash Forecast_8A'!D$121:D$136,MATCH('Cash Forecast_8A import-export'!O78,'Cash Forecast_8A'!B$121:B$136,0))=0,"",INDEX('Cash Forecast_8A'!D$121:D$136,MATCH('Cash Forecast_8A import-export'!O78,'Cash Forecast_8A'!B$121:B$136,0))),"")</f>
        <v/>
      </c>
      <c r="C78" s="837">
        <v>0</v>
      </c>
      <c r="D78" s="869">
        <f>IFERROR(INDEX('Cash Forecast_8A'!F$121:F$136,MATCH('Cash Forecast_8A import-export'!O78,'Cash Forecast_8A'!B$121:B$136,0)),"")</f>
        <v>0</v>
      </c>
      <c r="E78" s="837">
        <v>0</v>
      </c>
      <c r="F78" s="869">
        <f>IFERROR(INDEX('Cash Forecast_8A'!H$121:H$136,MATCH('Cash Forecast_8A import-export'!O78,'Cash Forecast_8A'!B$121:B$136,0)),"")</f>
        <v>0</v>
      </c>
      <c r="G78" s="870">
        <f t="shared" si="8"/>
        <v>0</v>
      </c>
      <c r="H78" s="871"/>
      <c r="I78" s="877">
        <f t="shared" si="9"/>
        <v>2</v>
      </c>
      <c r="J78" s="869">
        <f>IFERROR(INDEX('Cash Forecast_8A'!L$121:L$136,MATCH('Cash Forecast_8A import-export'!O78,'Cash Forecast_8A'!B$121:B$136,0)),"")</f>
        <v>0</v>
      </c>
      <c r="K78" s="869">
        <f>IFERROR(INDEX('Cash Forecast_8A'!M$121:M$136,MATCH('Cash Forecast_8A import-export'!O78,'Cash Forecast_8A'!B$121:B$136,0)),"")</f>
        <v>0</v>
      </c>
      <c r="L78" s="877"/>
      <c r="M78" s="870">
        <f t="shared" si="10"/>
        <v>0</v>
      </c>
      <c r="N78" s="879"/>
      <c r="O78" s="877" t="str">
        <f t="shared" si="11"/>
        <v>Intcustom2</v>
      </c>
      <c r="P78" s="864" t="str">
        <f>IFERROR(IF(VLOOKUP(A78,'Reference Records'!$B$13:$D$48,3,FALSE)=0,"",VLOOKUP(A78,'Reference Records'!$B$13:$D$48,3,FALSE)),"")</f>
        <v/>
      </c>
      <c r="Q78" s="875"/>
      <c r="R78" s="875" t="s">
        <v>3151</v>
      </c>
      <c r="S78" s="428"/>
      <c r="T78" s="351"/>
      <c r="U78" s="351"/>
    </row>
    <row r="79" spans="1:21" ht="16.5" customHeight="1" x14ac:dyDescent="0.2">
      <c r="A79" s="887" t="str">
        <f>IFERROR(IF(INDEX('Cash Forecast_8A'!C$121:C$136,MATCH('Cash Forecast_8A import-export'!O79,'Cash Forecast_8A'!B$121:B$136,0))=0,"",INDEX('Cash Forecast_8A'!C$121:C$136,MATCH('Cash Forecast_8A import-export'!O79,'Cash Forecast_8A'!B$121:B$136,0))),"")</f>
        <v/>
      </c>
      <c r="B79" s="887" t="str">
        <f>IFERROR(IF(INDEX('Cash Forecast_8A'!D$121:D$136,MATCH('Cash Forecast_8A import-export'!O79,'Cash Forecast_8A'!B$121:B$136,0))=0,"",INDEX('Cash Forecast_8A'!D$121:D$136,MATCH('Cash Forecast_8A import-export'!O79,'Cash Forecast_8A'!B$121:B$136,0))),"")</f>
        <v/>
      </c>
      <c r="C79" s="837">
        <v>0</v>
      </c>
      <c r="D79" s="869">
        <f>IFERROR(INDEX('Cash Forecast_8A'!F$121:F$136,MATCH('Cash Forecast_8A import-export'!O79,'Cash Forecast_8A'!B$121:B$136,0)),"")</f>
        <v>0</v>
      </c>
      <c r="E79" s="837">
        <v>0</v>
      </c>
      <c r="F79" s="869">
        <f>IFERROR(INDEX('Cash Forecast_8A'!H$121:H$136,MATCH('Cash Forecast_8A import-export'!O79,'Cash Forecast_8A'!B$121:B$136,0)),"")</f>
        <v>0</v>
      </c>
      <c r="G79" s="870">
        <f t="shared" si="8"/>
        <v>0</v>
      </c>
      <c r="H79" s="871"/>
      <c r="I79" s="877">
        <f t="shared" si="9"/>
        <v>3</v>
      </c>
      <c r="J79" s="869">
        <f>IFERROR(INDEX('Cash Forecast_8A'!L$121:L$136,MATCH('Cash Forecast_8A import-export'!O79,'Cash Forecast_8A'!B$121:B$136,0)),"")</f>
        <v>0</v>
      </c>
      <c r="K79" s="869">
        <f>IFERROR(INDEX('Cash Forecast_8A'!M$121:M$136,MATCH('Cash Forecast_8A import-export'!O79,'Cash Forecast_8A'!B$121:B$136,0)),"")</f>
        <v>0</v>
      </c>
      <c r="L79" s="877"/>
      <c r="M79" s="870">
        <f t="shared" si="10"/>
        <v>0</v>
      </c>
      <c r="N79" s="879"/>
      <c r="O79" s="877" t="str">
        <f t="shared" si="11"/>
        <v>Intcustom3</v>
      </c>
      <c r="P79" s="864" t="str">
        <f>IFERROR(IF(VLOOKUP(A79,'Reference Records'!$B$13:$D$48,3,FALSE)=0,"",VLOOKUP(A79,'Reference Records'!$B$13:$D$48,3,FALSE)),"")</f>
        <v/>
      </c>
      <c r="Q79" s="875"/>
      <c r="R79" s="875" t="s">
        <v>3152</v>
      </c>
      <c r="S79" s="428"/>
      <c r="T79" s="351"/>
      <c r="U79" s="351"/>
    </row>
    <row r="80" spans="1:21" ht="16.5" customHeight="1" x14ac:dyDescent="0.2">
      <c r="A80" s="887" t="str">
        <f>IFERROR(IF(INDEX('Cash Forecast_8A'!C$121:C$136,MATCH('Cash Forecast_8A import-export'!O80,'Cash Forecast_8A'!B$121:B$136,0))=0,"",INDEX('Cash Forecast_8A'!C$121:C$136,MATCH('Cash Forecast_8A import-export'!O80,'Cash Forecast_8A'!B$121:B$136,0))),"")</f>
        <v/>
      </c>
      <c r="B80" s="887" t="str">
        <f>IFERROR(IF(INDEX('Cash Forecast_8A'!D$121:D$136,MATCH('Cash Forecast_8A import-export'!O80,'Cash Forecast_8A'!B$121:B$136,0))=0,"",INDEX('Cash Forecast_8A'!D$121:D$136,MATCH('Cash Forecast_8A import-export'!O80,'Cash Forecast_8A'!B$121:B$136,0))),"")</f>
        <v/>
      </c>
      <c r="C80" s="837">
        <v>0</v>
      </c>
      <c r="D80" s="869">
        <f>IFERROR(INDEX('Cash Forecast_8A'!F$121:F$136,MATCH('Cash Forecast_8A import-export'!O80,'Cash Forecast_8A'!B$121:B$136,0)),"")</f>
        <v>0</v>
      </c>
      <c r="E80" s="837">
        <v>0</v>
      </c>
      <c r="F80" s="869">
        <f>IFERROR(INDEX('Cash Forecast_8A'!H$121:H$136,MATCH('Cash Forecast_8A import-export'!O80,'Cash Forecast_8A'!B$121:B$136,0)),"")</f>
        <v>0</v>
      </c>
      <c r="G80" s="870">
        <f t="shared" si="8"/>
        <v>0</v>
      </c>
      <c r="H80" s="871"/>
      <c r="I80" s="877">
        <f t="shared" si="9"/>
        <v>4</v>
      </c>
      <c r="J80" s="869">
        <f>IFERROR(INDEX('Cash Forecast_8A'!L$121:L$136,MATCH('Cash Forecast_8A import-export'!O80,'Cash Forecast_8A'!B$121:B$136,0)),"")</f>
        <v>0</v>
      </c>
      <c r="K80" s="869">
        <f>IFERROR(INDEX('Cash Forecast_8A'!M$121:M$136,MATCH('Cash Forecast_8A import-export'!O80,'Cash Forecast_8A'!B$121:B$136,0)),"")</f>
        <v>0</v>
      </c>
      <c r="L80" s="877"/>
      <c r="M80" s="870">
        <f t="shared" si="10"/>
        <v>0</v>
      </c>
      <c r="N80" s="879"/>
      <c r="O80" s="877" t="str">
        <f t="shared" si="11"/>
        <v>Intcustom4</v>
      </c>
      <c r="P80" s="864" t="str">
        <f>IFERROR(IF(VLOOKUP(A80,'Reference Records'!$B$13:$D$48,3,FALSE)=0,"",VLOOKUP(A80,'Reference Records'!$B$13:$D$48,3,FALSE)),"")</f>
        <v/>
      </c>
      <c r="Q80" s="875"/>
      <c r="R80" s="875" t="s">
        <v>3153</v>
      </c>
      <c r="S80" s="428"/>
      <c r="T80" s="351"/>
      <c r="U80" s="351"/>
    </row>
    <row r="81" spans="1:21" ht="16.5" customHeight="1" x14ac:dyDescent="0.2">
      <c r="A81" s="887" t="str">
        <f>IFERROR(IF(INDEX('Cash Forecast_8A'!C$121:C$136,MATCH('Cash Forecast_8A import-export'!O81,'Cash Forecast_8A'!B$121:B$136,0))=0,"",INDEX('Cash Forecast_8A'!C$121:C$136,MATCH('Cash Forecast_8A import-export'!O81,'Cash Forecast_8A'!B$121:B$136,0))),"")</f>
        <v/>
      </c>
      <c r="B81" s="887" t="str">
        <f>IFERROR(IF(INDEX('Cash Forecast_8A'!D$121:D$136,MATCH('Cash Forecast_8A import-export'!O81,'Cash Forecast_8A'!B$121:B$136,0))=0,"",INDEX('Cash Forecast_8A'!D$121:D$136,MATCH('Cash Forecast_8A import-export'!O81,'Cash Forecast_8A'!B$121:B$136,0))),"")</f>
        <v/>
      </c>
      <c r="C81" s="837">
        <v>0</v>
      </c>
      <c r="D81" s="869">
        <f>IFERROR(INDEX('Cash Forecast_8A'!F$121:F$136,MATCH('Cash Forecast_8A import-export'!O81,'Cash Forecast_8A'!B$121:B$136,0)),"")</f>
        <v>0</v>
      </c>
      <c r="E81" s="837">
        <v>0</v>
      </c>
      <c r="F81" s="869">
        <f>IFERROR(INDEX('Cash Forecast_8A'!H$121:H$136,MATCH('Cash Forecast_8A import-export'!O81,'Cash Forecast_8A'!B$121:B$136,0)),"")</f>
        <v>0</v>
      </c>
      <c r="G81" s="870">
        <f t="shared" si="8"/>
        <v>0</v>
      </c>
      <c r="H81" s="871"/>
      <c r="I81" s="877">
        <f t="shared" si="9"/>
        <v>5</v>
      </c>
      <c r="J81" s="869">
        <f>IFERROR(INDEX('Cash Forecast_8A'!L$121:L$136,MATCH('Cash Forecast_8A import-export'!O81,'Cash Forecast_8A'!B$121:B$136,0)),"")</f>
        <v>0</v>
      </c>
      <c r="K81" s="869">
        <f>IFERROR(INDEX('Cash Forecast_8A'!M$121:M$136,MATCH('Cash Forecast_8A import-export'!O81,'Cash Forecast_8A'!B$121:B$136,0)),"")</f>
        <v>0</v>
      </c>
      <c r="L81" s="877"/>
      <c r="M81" s="870">
        <f t="shared" si="10"/>
        <v>0</v>
      </c>
      <c r="N81" s="879"/>
      <c r="O81" s="877" t="str">
        <f t="shared" si="11"/>
        <v>Intcustom5</v>
      </c>
      <c r="P81" s="864" t="str">
        <f>IFERROR(IF(VLOOKUP(A81,'Reference Records'!$B$13:$D$48,3,FALSE)=0,"",VLOOKUP(A81,'Reference Records'!$B$13:$D$48,3,FALSE)),"")</f>
        <v/>
      </c>
      <c r="Q81" s="875"/>
      <c r="R81" s="875" t="s">
        <v>3154</v>
      </c>
      <c r="S81" s="428"/>
      <c r="T81" s="351"/>
      <c r="U81" s="351"/>
    </row>
    <row r="82" spans="1:21" ht="16.5" customHeight="1" x14ac:dyDescent="0.2">
      <c r="A82" s="887" t="str">
        <f>IFERROR(IF(INDEX('Cash Forecast_8A'!C$121:C$136,MATCH('Cash Forecast_8A import-export'!O82,'Cash Forecast_8A'!B$121:B$136,0))=0,"",INDEX('Cash Forecast_8A'!C$121:C$136,MATCH('Cash Forecast_8A import-export'!O82,'Cash Forecast_8A'!B$121:B$136,0))),"")</f>
        <v/>
      </c>
      <c r="B82" s="887" t="str">
        <f>IFERROR(IF(INDEX('Cash Forecast_8A'!D$121:D$136,MATCH('Cash Forecast_8A import-export'!O82,'Cash Forecast_8A'!B$121:B$136,0))=0,"",INDEX('Cash Forecast_8A'!D$121:D$136,MATCH('Cash Forecast_8A import-export'!O82,'Cash Forecast_8A'!B$121:B$136,0))),"")</f>
        <v/>
      </c>
      <c r="C82" s="837">
        <v>0</v>
      </c>
      <c r="D82" s="869">
        <f>IFERROR(INDEX('Cash Forecast_8A'!F$121:F$136,MATCH('Cash Forecast_8A import-export'!O82,'Cash Forecast_8A'!B$121:B$136,0)),"")</f>
        <v>0</v>
      </c>
      <c r="E82" s="837">
        <v>0</v>
      </c>
      <c r="F82" s="869">
        <f>IFERROR(INDEX('Cash Forecast_8A'!H$121:H$136,MATCH('Cash Forecast_8A import-export'!O82,'Cash Forecast_8A'!B$121:B$136,0)),"")</f>
        <v>0</v>
      </c>
      <c r="G82" s="870">
        <f t="shared" si="8"/>
        <v>0</v>
      </c>
      <c r="H82" s="871"/>
      <c r="I82" s="877">
        <f t="shared" si="9"/>
        <v>6</v>
      </c>
      <c r="J82" s="869">
        <f>IFERROR(INDEX('Cash Forecast_8A'!L$121:L$136,MATCH('Cash Forecast_8A import-export'!O82,'Cash Forecast_8A'!B$121:B$136,0)),"")</f>
        <v>0</v>
      </c>
      <c r="K82" s="869">
        <f>IFERROR(INDEX('Cash Forecast_8A'!M$121:M$136,MATCH('Cash Forecast_8A import-export'!O82,'Cash Forecast_8A'!B$121:B$136,0)),"")</f>
        <v>0</v>
      </c>
      <c r="L82" s="877"/>
      <c r="M82" s="870">
        <f t="shared" si="10"/>
        <v>0</v>
      </c>
      <c r="N82" s="879"/>
      <c r="O82" s="877" t="str">
        <f t="shared" si="11"/>
        <v>Intcustom6</v>
      </c>
      <c r="P82" s="864" t="str">
        <f>IFERROR(IF(VLOOKUP(A82,'Reference Records'!$B$13:$D$48,3,FALSE)=0,"",VLOOKUP(A82,'Reference Records'!$B$13:$D$48,3,FALSE)),"")</f>
        <v/>
      </c>
      <c r="Q82" s="875"/>
      <c r="R82" s="875" t="s">
        <v>3155</v>
      </c>
      <c r="S82" s="428"/>
      <c r="T82" s="351"/>
      <c r="U82" s="351"/>
    </row>
    <row r="83" spans="1:21" ht="16.5" customHeight="1" x14ac:dyDescent="0.2">
      <c r="A83" s="887" t="str">
        <f>IFERROR(IF(INDEX('Cash Forecast_8A'!C$121:C$136,MATCH('Cash Forecast_8A import-export'!O83,'Cash Forecast_8A'!B$121:B$136,0))=0,"",INDEX('Cash Forecast_8A'!C$121:C$136,MATCH('Cash Forecast_8A import-export'!O83,'Cash Forecast_8A'!B$121:B$136,0))),"")</f>
        <v/>
      </c>
      <c r="B83" s="887" t="str">
        <f>IFERROR(IF(INDEX('Cash Forecast_8A'!D$121:D$136,MATCH('Cash Forecast_8A import-export'!O83,'Cash Forecast_8A'!B$121:B$136,0))=0,"",INDEX('Cash Forecast_8A'!D$121:D$136,MATCH('Cash Forecast_8A import-export'!O83,'Cash Forecast_8A'!B$121:B$136,0))),"")</f>
        <v/>
      </c>
      <c r="C83" s="837">
        <v>0</v>
      </c>
      <c r="D83" s="869">
        <f>IFERROR(INDEX('Cash Forecast_8A'!F$121:F$136,MATCH('Cash Forecast_8A import-export'!O83,'Cash Forecast_8A'!B$121:B$136,0)),"")</f>
        <v>0</v>
      </c>
      <c r="E83" s="837">
        <v>0</v>
      </c>
      <c r="F83" s="869">
        <f>IFERROR(INDEX('Cash Forecast_8A'!H$121:H$136,MATCH('Cash Forecast_8A import-export'!O83,'Cash Forecast_8A'!B$121:B$136,0)),"")</f>
        <v>0</v>
      </c>
      <c r="G83" s="870">
        <f t="shared" si="8"/>
        <v>0</v>
      </c>
      <c r="H83" s="871"/>
      <c r="I83" s="877">
        <f t="shared" si="9"/>
        <v>7</v>
      </c>
      <c r="J83" s="869">
        <f>IFERROR(INDEX('Cash Forecast_8A'!L$121:L$136,MATCH('Cash Forecast_8A import-export'!O83,'Cash Forecast_8A'!B$121:B$136,0)),"")</f>
        <v>0</v>
      </c>
      <c r="K83" s="869">
        <f>IFERROR(INDEX('Cash Forecast_8A'!M$121:M$136,MATCH('Cash Forecast_8A import-export'!O83,'Cash Forecast_8A'!B$121:B$136,0)),"")</f>
        <v>0</v>
      </c>
      <c r="L83" s="877"/>
      <c r="M83" s="870">
        <f t="shared" si="10"/>
        <v>0</v>
      </c>
      <c r="N83" s="879"/>
      <c r="O83" s="877" t="str">
        <f t="shared" si="11"/>
        <v>Intcustom7</v>
      </c>
      <c r="P83" s="864" t="str">
        <f>IFERROR(IF(VLOOKUP(A83,'Reference Records'!$B$13:$D$48,3,FALSE)=0,"",VLOOKUP(A83,'Reference Records'!$B$13:$D$48,3,FALSE)),"")</f>
        <v/>
      </c>
      <c r="Q83" s="875"/>
      <c r="R83" s="875" t="s">
        <v>3156</v>
      </c>
      <c r="S83" s="428"/>
      <c r="T83" s="351"/>
      <c r="U83" s="351"/>
    </row>
    <row r="84" spans="1:21" ht="16.5" customHeight="1" x14ac:dyDescent="0.2">
      <c r="A84" s="887" t="str">
        <f>IFERROR(IF(INDEX('Cash Forecast_8A'!C$121:C$136,MATCH('Cash Forecast_8A import-export'!O84,'Cash Forecast_8A'!B$121:B$136,0))=0,"",INDEX('Cash Forecast_8A'!C$121:C$136,MATCH('Cash Forecast_8A import-export'!O84,'Cash Forecast_8A'!B$121:B$136,0))),"")</f>
        <v/>
      </c>
      <c r="B84" s="887" t="str">
        <f>IFERROR(IF(INDEX('Cash Forecast_8A'!D$121:D$136,MATCH('Cash Forecast_8A import-export'!O84,'Cash Forecast_8A'!B$121:B$136,0))=0,"",INDEX('Cash Forecast_8A'!D$121:D$136,MATCH('Cash Forecast_8A import-export'!O84,'Cash Forecast_8A'!B$121:B$136,0))),"")</f>
        <v/>
      </c>
      <c r="C84" s="837">
        <v>0</v>
      </c>
      <c r="D84" s="869">
        <f>IFERROR(INDEX('Cash Forecast_8A'!F$121:F$136,MATCH('Cash Forecast_8A import-export'!O84,'Cash Forecast_8A'!B$121:B$136,0)),"")</f>
        <v>0</v>
      </c>
      <c r="E84" s="837">
        <v>0</v>
      </c>
      <c r="F84" s="869">
        <f>IFERROR(INDEX('Cash Forecast_8A'!H$121:H$136,MATCH('Cash Forecast_8A import-export'!O84,'Cash Forecast_8A'!B$121:B$136,0)),"")</f>
        <v>0</v>
      </c>
      <c r="G84" s="870">
        <f t="shared" si="8"/>
        <v>0</v>
      </c>
      <c r="H84" s="871"/>
      <c r="I84" s="877">
        <f t="shared" si="9"/>
        <v>8</v>
      </c>
      <c r="J84" s="869">
        <f>IFERROR(INDEX('Cash Forecast_8A'!L$121:L$136,MATCH('Cash Forecast_8A import-export'!O84,'Cash Forecast_8A'!B$121:B$136,0)),"")</f>
        <v>0</v>
      </c>
      <c r="K84" s="869">
        <f>IFERROR(INDEX('Cash Forecast_8A'!M$121:M$136,MATCH('Cash Forecast_8A import-export'!O84,'Cash Forecast_8A'!B$121:B$136,0)),"")</f>
        <v>0</v>
      </c>
      <c r="L84" s="877"/>
      <c r="M84" s="870">
        <f t="shared" si="10"/>
        <v>0</v>
      </c>
      <c r="N84" s="879"/>
      <c r="O84" s="877" t="str">
        <f t="shared" si="11"/>
        <v>Intcustom8</v>
      </c>
      <c r="P84" s="864" t="str">
        <f>IFERROR(IF(VLOOKUP(A84,'Reference Records'!$B$13:$D$48,3,FALSE)=0,"",VLOOKUP(A84,'Reference Records'!$B$13:$D$48,3,FALSE)),"")</f>
        <v/>
      </c>
      <c r="Q84" s="875"/>
      <c r="R84" s="875" t="s">
        <v>3157</v>
      </c>
      <c r="S84" s="428"/>
      <c r="T84" s="351"/>
      <c r="U84" s="351"/>
    </row>
    <row r="85" spans="1:21" ht="16.5" customHeight="1" x14ac:dyDescent="0.2">
      <c r="A85" s="887" t="str">
        <f>IFERROR(IF(INDEX('Cash Forecast_8A'!C$121:C$136,MATCH('Cash Forecast_8A import-export'!O85,'Cash Forecast_8A'!B$121:B$136,0))=0,"",INDEX('Cash Forecast_8A'!C$121:C$136,MATCH('Cash Forecast_8A import-export'!O85,'Cash Forecast_8A'!B$121:B$136,0))),"")</f>
        <v/>
      </c>
      <c r="B85" s="887" t="str">
        <f>IFERROR(IF(INDEX('Cash Forecast_8A'!D$121:D$136,MATCH('Cash Forecast_8A import-export'!O85,'Cash Forecast_8A'!B$121:B$136,0))=0,"",INDEX('Cash Forecast_8A'!D$121:D$136,MATCH('Cash Forecast_8A import-export'!O85,'Cash Forecast_8A'!B$121:B$136,0))),"")</f>
        <v/>
      </c>
      <c r="C85" s="837">
        <v>0</v>
      </c>
      <c r="D85" s="869">
        <f>IFERROR(INDEX('Cash Forecast_8A'!F$121:F$136,MATCH('Cash Forecast_8A import-export'!O85,'Cash Forecast_8A'!B$121:B$136,0)),"")</f>
        <v>0</v>
      </c>
      <c r="E85" s="837">
        <v>0</v>
      </c>
      <c r="F85" s="869">
        <f>IFERROR(INDEX('Cash Forecast_8A'!H$121:H$136,MATCH('Cash Forecast_8A import-export'!O85,'Cash Forecast_8A'!B$121:B$136,0)),"")</f>
        <v>0</v>
      </c>
      <c r="G85" s="870">
        <f t="shared" si="8"/>
        <v>0</v>
      </c>
      <c r="H85" s="871"/>
      <c r="I85" s="877">
        <f t="shared" si="9"/>
        <v>9</v>
      </c>
      <c r="J85" s="869">
        <f>IFERROR(INDEX('Cash Forecast_8A'!L$121:L$136,MATCH('Cash Forecast_8A import-export'!O85,'Cash Forecast_8A'!B$121:B$136,0)),"")</f>
        <v>0</v>
      </c>
      <c r="K85" s="869">
        <f>IFERROR(INDEX('Cash Forecast_8A'!M$121:M$136,MATCH('Cash Forecast_8A import-export'!O85,'Cash Forecast_8A'!B$121:B$136,0)),"")</f>
        <v>0</v>
      </c>
      <c r="L85" s="877"/>
      <c r="M85" s="870">
        <f t="shared" si="10"/>
        <v>0</v>
      </c>
      <c r="N85" s="879"/>
      <c r="O85" s="877" t="str">
        <f t="shared" si="11"/>
        <v>Intcustom9</v>
      </c>
      <c r="P85" s="864" t="str">
        <f>IFERROR(IF(VLOOKUP(A85,'Reference Records'!$B$13:$D$48,3,FALSE)=0,"",VLOOKUP(A85,'Reference Records'!$B$13:$D$48,3,FALSE)),"")</f>
        <v/>
      </c>
      <c r="Q85" s="875"/>
      <c r="R85" s="875" t="s">
        <v>3158</v>
      </c>
      <c r="S85" s="428"/>
      <c r="T85" s="351"/>
      <c r="U85" s="351"/>
    </row>
    <row r="86" spans="1:21" ht="16.5" customHeight="1" x14ac:dyDescent="0.2">
      <c r="A86" s="887" t="str">
        <f>IFERROR(IF(INDEX('Cash Forecast_8A'!C$121:C$136,MATCH('Cash Forecast_8A import-export'!O86,'Cash Forecast_8A'!B$121:B$136,0))=0,"",INDEX('Cash Forecast_8A'!C$121:C$136,MATCH('Cash Forecast_8A import-export'!O86,'Cash Forecast_8A'!B$121:B$136,0))),"")</f>
        <v/>
      </c>
      <c r="B86" s="887" t="str">
        <f>IFERROR(IF(INDEX('Cash Forecast_8A'!D$121:D$136,MATCH('Cash Forecast_8A import-export'!O86,'Cash Forecast_8A'!B$121:B$136,0))=0,"",INDEX('Cash Forecast_8A'!D$121:D$136,MATCH('Cash Forecast_8A import-export'!O86,'Cash Forecast_8A'!B$121:B$136,0))),"")</f>
        <v/>
      </c>
      <c r="C86" s="837">
        <v>0</v>
      </c>
      <c r="D86" s="869">
        <f>IFERROR(INDEX('Cash Forecast_8A'!F$121:F$136,MATCH('Cash Forecast_8A import-export'!O86,'Cash Forecast_8A'!B$121:B$136,0)),"")</f>
        <v>0</v>
      </c>
      <c r="E86" s="837">
        <v>0</v>
      </c>
      <c r="F86" s="869">
        <f>IFERROR(INDEX('Cash Forecast_8A'!H$121:H$136,MATCH('Cash Forecast_8A import-export'!O86,'Cash Forecast_8A'!B$121:B$136,0)),"")</f>
        <v>0</v>
      </c>
      <c r="G86" s="870">
        <f t="shared" si="8"/>
        <v>0</v>
      </c>
      <c r="H86" s="871"/>
      <c r="I86" s="877">
        <f t="shared" si="9"/>
        <v>10</v>
      </c>
      <c r="J86" s="869">
        <f>IFERROR(INDEX('Cash Forecast_8A'!L$121:L$136,MATCH('Cash Forecast_8A import-export'!O86,'Cash Forecast_8A'!B$121:B$136,0)),"")</f>
        <v>0</v>
      </c>
      <c r="K86" s="869">
        <f>IFERROR(INDEX('Cash Forecast_8A'!M$121:M$136,MATCH('Cash Forecast_8A import-export'!O86,'Cash Forecast_8A'!B$121:B$136,0)),"")</f>
        <v>0</v>
      </c>
      <c r="L86" s="877"/>
      <c r="M86" s="870">
        <f t="shared" si="10"/>
        <v>0</v>
      </c>
      <c r="N86" s="879"/>
      <c r="O86" s="877" t="str">
        <f t="shared" si="11"/>
        <v>Intcustom10</v>
      </c>
      <c r="P86" s="864" t="str">
        <f>IFERROR(IF(VLOOKUP(A86,'Reference Records'!$B$13:$D$48,3,FALSE)=0,"",VLOOKUP(A86,'Reference Records'!$B$13:$D$48,3,FALSE)),"")</f>
        <v/>
      </c>
      <c r="Q86" s="875"/>
      <c r="R86" s="875" t="s">
        <v>3159</v>
      </c>
      <c r="S86" s="428"/>
      <c r="T86" s="351"/>
      <c r="U86" s="351"/>
    </row>
    <row r="87" spans="1:21" ht="16.5" customHeight="1" x14ac:dyDescent="0.2">
      <c r="A87" s="887" t="str">
        <f>IFERROR(IF(INDEX('Cash Forecast_8A'!C$121:C$136,MATCH('Cash Forecast_8A import-export'!O87,'Cash Forecast_8A'!B$121:B$136,0))=0,"",INDEX('Cash Forecast_8A'!C$121:C$136,MATCH('Cash Forecast_8A import-export'!O87,'Cash Forecast_8A'!B$121:B$136,0))),"")</f>
        <v/>
      </c>
      <c r="B87" s="887" t="str">
        <f>IFERROR(IF(INDEX('Cash Forecast_8A'!D$121:D$136,MATCH('Cash Forecast_8A import-export'!O87,'Cash Forecast_8A'!B$121:B$136,0))=0,"",INDEX('Cash Forecast_8A'!D$121:D$136,MATCH('Cash Forecast_8A import-export'!O87,'Cash Forecast_8A'!B$121:B$136,0))),"")</f>
        <v/>
      </c>
      <c r="C87" s="837">
        <v>0</v>
      </c>
      <c r="D87" s="869">
        <f>IFERROR(INDEX('Cash Forecast_8A'!F$121:F$136,MATCH('Cash Forecast_8A import-export'!O87,'Cash Forecast_8A'!B$121:B$136,0)),"")</f>
        <v>0</v>
      </c>
      <c r="E87" s="837">
        <v>0</v>
      </c>
      <c r="F87" s="869">
        <f>IFERROR(INDEX('Cash Forecast_8A'!H$121:H$136,MATCH('Cash Forecast_8A import-export'!O87,'Cash Forecast_8A'!B$121:B$136,0)),"")</f>
        <v>0</v>
      </c>
      <c r="G87" s="870">
        <f t="shared" si="8"/>
        <v>0</v>
      </c>
      <c r="H87" s="871"/>
      <c r="I87" s="877">
        <f t="shared" si="9"/>
        <v>11</v>
      </c>
      <c r="J87" s="869">
        <f>IFERROR(INDEX('Cash Forecast_8A'!L$121:L$136,MATCH('Cash Forecast_8A import-export'!O87,'Cash Forecast_8A'!B$121:B$136,0)),"")</f>
        <v>0</v>
      </c>
      <c r="K87" s="869">
        <f>IFERROR(INDEX('Cash Forecast_8A'!M$121:M$136,MATCH('Cash Forecast_8A import-export'!O87,'Cash Forecast_8A'!B$121:B$136,0)),"")</f>
        <v>0</v>
      </c>
      <c r="L87" s="877"/>
      <c r="M87" s="870">
        <f t="shared" si="10"/>
        <v>0</v>
      </c>
      <c r="N87" s="879"/>
      <c r="O87" s="877" t="str">
        <f t="shared" si="11"/>
        <v>Intcustom11</v>
      </c>
      <c r="P87" s="864" t="str">
        <f>IFERROR(IF(VLOOKUP(A87,'Reference Records'!$B$13:$D$48,3,FALSE)=0,"",VLOOKUP(A87,'Reference Records'!$B$13:$D$48,3,FALSE)),"")</f>
        <v/>
      </c>
      <c r="Q87" s="875"/>
      <c r="R87" s="875" t="s">
        <v>3160</v>
      </c>
      <c r="S87" s="428"/>
      <c r="T87" s="351"/>
      <c r="U87" s="351"/>
    </row>
    <row r="88" spans="1:21" ht="16.5" customHeight="1" x14ac:dyDescent="0.2">
      <c r="A88" s="887" t="str">
        <f>IFERROR(IF(INDEX('Cash Forecast_8A'!C$121:C$136,MATCH('Cash Forecast_8A import-export'!O88,'Cash Forecast_8A'!B$121:B$136,0))=0,"",INDEX('Cash Forecast_8A'!C$121:C$136,MATCH('Cash Forecast_8A import-export'!O88,'Cash Forecast_8A'!B$121:B$136,0))),"")</f>
        <v/>
      </c>
      <c r="B88" s="887" t="str">
        <f>IFERROR(IF(INDEX('Cash Forecast_8A'!D$121:D$136,MATCH('Cash Forecast_8A import-export'!O88,'Cash Forecast_8A'!B$121:B$136,0))=0,"",INDEX('Cash Forecast_8A'!D$121:D$136,MATCH('Cash Forecast_8A import-export'!O88,'Cash Forecast_8A'!B$121:B$136,0))),"")</f>
        <v/>
      </c>
      <c r="C88" s="837">
        <v>0</v>
      </c>
      <c r="D88" s="869">
        <f>IFERROR(INDEX('Cash Forecast_8A'!F$121:F$136,MATCH('Cash Forecast_8A import-export'!O88,'Cash Forecast_8A'!B$121:B$136,0)),"")</f>
        <v>0</v>
      </c>
      <c r="E88" s="837">
        <v>0</v>
      </c>
      <c r="F88" s="869">
        <f>IFERROR(INDEX('Cash Forecast_8A'!H$121:H$136,MATCH('Cash Forecast_8A import-export'!O88,'Cash Forecast_8A'!B$121:B$136,0)),"")</f>
        <v>0</v>
      </c>
      <c r="G88" s="870">
        <f t="shared" si="8"/>
        <v>0</v>
      </c>
      <c r="H88" s="871"/>
      <c r="I88" s="877">
        <f t="shared" si="9"/>
        <v>12</v>
      </c>
      <c r="J88" s="869">
        <f>IFERROR(INDEX('Cash Forecast_8A'!L$121:L$136,MATCH('Cash Forecast_8A import-export'!O88,'Cash Forecast_8A'!B$121:B$136,0)),"")</f>
        <v>0</v>
      </c>
      <c r="K88" s="869">
        <f>IFERROR(INDEX('Cash Forecast_8A'!M$121:M$136,MATCH('Cash Forecast_8A import-export'!O88,'Cash Forecast_8A'!B$121:B$136,0)),"")</f>
        <v>0</v>
      </c>
      <c r="L88" s="877"/>
      <c r="M88" s="870">
        <f t="shared" si="10"/>
        <v>0</v>
      </c>
      <c r="N88" s="879"/>
      <c r="O88" s="877" t="str">
        <f t="shared" si="11"/>
        <v>Intcustom12</v>
      </c>
      <c r="P88" s="864" t="str">
        <f>IFERROR(IF(VLOOKUP(A88,'Reference Records'!$B$13:$D$48,3,FALSE)=0,"",VLOOKUP(A88,'Reference Records'!$B$13:$D$48,3,FALSE)),"")</f>
        <v/>
      </c>
      <c r="Q88" s="875"/>
      <c r="R88" s="875" t="s">
        <v>3161</v>
      </c>
      <c r="S88" s="428"/>
      <c r="T88" s="351"/>
      <c r="U88" s="351"/>
    </row>
    <row r="89" spans="1:21" ht="16.5" customHeight="1" x14ac:dyDescent="0.2">
      <c r="A89" s="887" t="str">
        <f>IFERROR(IF(INDEX('Cash Forecast_8A'!C$121:C$136,MATCH('Cash Forecast_8A import-export'!O89,'Cash Forecast_8A'!B$121:B$136,0))=0,"",INDEX('Cash Forecast_8A'!C$121:C$136,MATCH('Cash Forecast_8A import-export'!O89,'Cash Forecast_8A'!B$121:B$136,0))),"")</f>
        <v/>
      </c>
      <c r="B89" s="887" t="str">
        <f>IFERROR(IF(INDEX('Cash Forecast_8A'!D$121:D$136,MATCH('Cash Forecast_8A import-export'!O89,'Cash Forecast_8A'!B$121:B$136,0))=0,"",INDEX('Cash Forecast_8A'!D$121:D$136,MATCH('Cash Forecast_8A import-export'!O89,'Cash Forecast_8A'!B$121:B$136,0))),"")</f>
        <v/>
      </c>
      <c r="C89" s="837">
        <v>0</v>
      </c>
      <c r="D89" s="869">
        <f>IFERROR(INDEX('Cash Forecast_8A'!F$121:F$136,MATCH('Cash Forecast_8A import-export'!O89,'Cash Forecast_8A'!B$121:B$136,0)),"")</f>
        <v>0</v>
      </c>
      <c r="E89" s="837">
        <v>0</v>
      </c>
      <c r="F89" s="869">
        <f>IFERROR(INDEX('Cash Forecast_8A'!H$121:H$136,MATCH('Cash Forecast_8A import-export'!O89,'Cash Forecast_8A'!B$121:B$136,0)),"")</f>
        <v>0</v>
      </c>
      <c r="G89" s="870">
        <f t="shared" si="8"/>
        <v>0</v>
      </c>
      <c r="H89" s="871"/>
      <c r="I89" s="877">
        <f t="shared" si="9"/>
        <v>13</v>
      </c>
      <c r="J89" s="869">
        <f>IFERROR(INDEX('Cash Forecast_8A'!L$121:L$136,MATCH('Cash Forecast_8A import-export'!O89,'Cash Forecast_8A'!B$121:B$136,0)),"")</f>
        <v>0</v>
      </c>
      <c r="K89" s="869">
        <f>IFERROR(INDEX('Cash Forecast_8A'!M$121:M$136,MATCH('Cash Forecast_8A import-export'!O89,'Cash Forecast_8A'!B$121:B$136,0)),"")</f>
        <v>0</v>
      </c>
      <c r="L89" s="877"/>
      <c r="M89" s="870">
        <f t="shared" si="10"/>
        <v>0</v>
      </c>
      <c r="N89" s="879"/>
      <c r="O89" s="877" t="str">
        <f t="shared" si="11"/>
        <v>Intcustom13</v>
      </c>
      <c r="P89" s="864" t="str">
        <f>IFERROR(IF(VLOOKUP(A89,'Reference Records'!$B$13:$D$48,3,FALSE)=0,"",VLOOKUP(A89,'Reference Records'!$B$13:$D$48,3,FALSE)),"")</f>
        <v/>
      </c>
      <c r="Q89" s="875"/>
      <c r="R89" s="875" t="s">
        <v>3162</v>
      </c>
      <c r="S89" s="428"/>
      <c r="T89" s="351"/>
      <c r="U89" s="351"/>
    </row>
    <row r="90" spans="1:21" ht="16.5" customHeight="1" x14ac:dyDescent="0.2">
      <c r="A90" s="887" t="str">
        <f>IFERROR(IF(INDEX('Cash Forecast_8A'!C$121:C$136,MATCH('Cash Forecast_8A import-export'!O90,'Cash Forecast_8A'!B$121:B$136,0))=0,"",INDEX('Cash Forecast_8A'!C$121:C$136,MATCH('Cash Forecast_8A import-export'!O90,'Cash Forecast_8A'!B$121:B$136,0))),"")</f>
        <v/>
      </c>
      <c r="B90" s="887" t="str">
        <f>IFERROR(IF(INDEX('Cash Forecast_8A'!D$121:D$136,MATCH('Cash Forecast_8A import-export'!O90,'Cash Forecast_8A'!B$121:B$136,0))=0,"",INDEX('Cash Forecast_8A'!D$121:D$136,MATCH('Cash Forecast_8A import-export'!O90,'Cash Forecast_8A'!B$121:B$136,0))),"")</f>
        <v/>
      </c>
      <c r="C90" s="837">
        <v>0</v>
      </c>
      <c r="D90" s="869">
        <f>IFERROR(INDEX('Cash Forecast_8A'!F$121:F$136,MATCH('Cash Forecast_8A import-export'!O90,'Cash Forecast_8A'!B$121:B$136,0)),"")</f>
        <v>0</v>
      </c>
      <c r="E90" s="837">
        <v>0</v>
      </c>
      <c r="F90" s="869">
        <f>IFERROR(INDEX('Cash Forecast_8A'!H$121:H$136,MATCH('Cash Forecast_8A import-export'!O90,'Cash Forecast_8A'!B$121:B$136,0)),"")</f>
        <v>0</v>
      </c>
      <c r="G90" s="870">
        <f t="shared" si="8"/>
        <v>0</v>
      </c>
      <c r="H90" s="871"/>
      <c r="I90" s="877">
        <f t="shared" si="9"/>
        <v>14</v>
      </c>
      <c r="J90" s="869">
        <f>IFERROR(INDEX('Cash Forecast_8A'!L$121:L$136,MATCH('Cash Forecast_8A import-export'!O90,'Cash Forecast_8A'!B$121:B$136,0)),"")</f>
        <v>0</v>
      </c>
      <c r="K90" s="869">
        <f>IFERROR(INDEX('Cash Forecast_8A'!M$121:M$136,MATCH('Cash Forecast_8A import-export'!O90,'Cash Forecast_8A'!B$121:B$136,0)),"")</f>
        <v>0</v>
      </c>
      <c r="L90" s="877"/>
      <c r="M90" s="870">
        <f t="shared" si="10"/>
        <v>0</v>
      </c>
      <c r="N90" s="879"/>
      <c r="O90" s="877" t="str">
        <f t="shared" si="11"/>
        <v>Intcustom14</v>
      </c>
      <c r="P90" s="864" t="str">
        <f>IFERROR(IF(VLOOKUP(A90,'Reference Records'!$B$13:$D$48,3,FALSE)=0,"",VLOOKUP(A90,'Reference Records'!$B$13:$D$48,3,FALSE)),"")</f>
        <v/>
      </c>
      <c r="Q90" s="875"/>
      <c r="R90" s="875" t="s">
        <v>3163</v>
      </c>
      <c r="S90" s="428"/>
      <c r="T90" s="351"/>
      <c r="U90" s="351"/>
    </row>
    <row r="91" spans="1:21" ht="16.5" customHeight="1" x14ac:dyDescent="0.2">
      <c r="A91" s="887" t="str">
        <f>IFERROR(IF(INDEX('Cash Forecast_8A'!C$121:C$136,MATCH('Cash Forecast_8A import-export'!O91,'Cash Forecast_8A'!B$121:B$136,0))=0,"",INDEX('Cash Forecast_8A'!C$121:C$136,MATCH('Cash Forecast_8A import-export'!O91,'Cash Forecast_8A'!B$121:B$136,0))),"")</f>
        <v/>
      </c>
      <c r="B91" s="887" t="str">
        <f>IFERROR(IF(INDEX('Cash Forecast_8A'!D$121:D$136,MATCH('Cash Forecast_8A import-export'!O91,'Cash Forecast_8A'!B$121:B$136,0))=0,"",INDEX('Cash Forecast_8A'!D$121:D$136,MATCH('Cash Forecast_8A import-export'!O91,'Cash Forecast_8A'!B$121:B$136,0))),"")</f>
        <v/>
      </c>
      <c r="C91" s="837">
        <v>0</v>
      </c>
      <c r="D91" s="869">
        <f>IFERROR(INDEX('Cash Forecast_8A'!F$121:F$136,MATCH('Cash Forecast_8A import-export'!O91,'Cash Forecast_8A'!B$121:B$136,0)),"")</f>
        <v>0</v>
      </c>
      <c r="E91" s="837">
        <v>0</v>
      </c>
      <c r="F91" s="869">
        <f>IFERROR(INDEX('Cash Forecast_8A'!H$121:H$136,MATCH('Cash Forecast_8A import-export'!O91,'Cash Forecast_8A'!B$121:B$136,0)),"")</f>
        <v>0</v>
      </c>
      <c r="G91" s="870">
        <f t="shared" si="8"/>
        <v>0</v>
      </c>
      <c r="H91" s="871"/>
      <c r="I91" s="877">
        <f t="shared" si="9"/>
        <v>15</v>
      </c>
      <c r="J91" s="869">
        <f>IFERROR(INDEX('Cash Forecast_8A'!L$121:L$136,MATCH('Cash Forecast_8A import-export'!O91,'Cash Forecast_8A'!B$121:B$136,0)),"")</f>
        <v>0</v>
      </c>
      <c r="K91" s="869">
        <f>IFERROR(INDEX('Cash Forecast_8A'!M$121:M$136,MATCH('Cash Forecast_8A import-export'!O91,'Cash Forecast_8A'!B$121:B$136,0)),"")</f>
        <v>0</v>
      </c>
      <c r="L91" s="877"/>
      <c r="M91" s="870">
        <f t="shared" si="10"/>
        <v>0</v>
      </c>
      <c r="N91" s="879"/>
      <c r="O91" s="877" t="str">
        <f t="shared" si="11"/>
        <v>Intcustom15</v>
      </c>
      <c r="P91" s="864" t="str">
        <f>IFERROR(IF(VLOOKUP(A91,'Reference Records'!$B$13:$D$48,3,FALSE)=0,"",VLOOKUP(A91,'Reference Records'!$B$13:$D$48,3,FALSE)),"")</f>
        <v/>
      </c>
      <c r="Q91" s="875"/>
      <c r="R91" s="875" t="s">
        <v>3164</v>
      </c>
      <c r="S91" s="428"/>
      <c r="T91" s="351"/>
      <c r="U91" s="351"/>
    </row>
    <row r="92" spans="1:21" ht="16.5" customHeight="1" x14ac:dyDescent="0.2">
      <c r="A92" s="887" t="str">
        <f>IFERROR(IF(INDEX('Cash Forecast_8A'!C$121:C$136,MATCH('Cash Forecast_8A import-export'!O92,'Cash Forecast_8A'!B$121:B$136,0))=0,"",INDEX('Cash Forecast_8A'!C$121:C$136,MATCH('Cash Forecast_8A import-export'!O92,'Cash Forecast_8A'!B$121:B$136,0))),"")</f>
        <v/>
      </c>
      <c r="B92" s="887" t="str">
        <f>IFERROR(IF(INDEX('Cash Forecast_8A'!D$121:D$136,MATCH('Cash Forecast_8A import-export'!O92,'Cash Forecast_8A'!B$121:B$136,0))=0,"",INDEX('Cash Forecast_8A'!D$121:D$136,MATCH('Cash Forecast_8A import-export'!O92,'Cash Forecast_8A'!B$121:B$136,0))),"")</f>
        <v/>
      </c>
      <c r="C92" s="837">
        <v>0</v>
      </c>
      <c r="D92" s="869">
        <f>IFERROR(INDEX('Cash Forecast_8A'!F$121:F$136,MATCH('Cash Forecast_8A import-export'!O92,'Cash Forecast_8A'!B$121:B$136,0)),"")</f>
        <v>0</v>
      </c>
      <c r="E92" s="837">
        <v>0</v>
      </c>
      <c r="F92" s="869">
        <f>IFERROR(INDEX('Cash Forecast_8A'!H$121:H$136,MATCH('Cash Forecast_8A import-export'!O92,'Cash Forecast_8A'!B$121:B$136,0)),"")</f>
        <v>0</v>
      </c>
      <c r="G92" s="870">
        <f t="shared" si="8"/>
        <v>0</v>
      </c>
      <c r="H92" s="871"/>
      <c r="I92" s="877">
        <f t="shared" si="9"/>
        <v>16</v>
      </c>
      <c r="J92" s="869">
        <f>IFERROR(INDEX('Cash Forecast_8A'!L$121:L$136,MATCH('Cash Forecast_8A import-export'!O92,'Cash Forecast_8A'!B$121:B$136,0)),"")</f>
        <v>0</v>
      </c>
      <c r="K92" s="869">
        <f>IFERROR(INDEX('Cash Forecast_8A'!M$121:M$136,MATCH('Cash Forecast_8A import-export'!O92,'Cash Forecast_8A'!B$121:B$136,0)),"")</f>
        <v>0</v>
      </c>
      <c r="L92" s="877"/>
      <c r="M92" s="870">
        <f t="shared" si="10"/>
        <v>0</v>
      </c>
      <c r="N92" s="879"/>
      <c r="O92" s="877" t="str">
        <f t="shared" si="11"/>
        <v>Intcustom16</v>
      </c>
      <c r="P92" s="864" t="str">
        <f>IFERROR(IF(VLOOKUP(A92,'Reference Records'!$B$13:$D$48,3,FALSE)=0,"",VLOOKUP(A92,'Reference Records'!$B$13:$D$48,3,FALSE)),"")</f>
        <v/>
      </c>
      <c r="Q92" s="875"/>
      <c r="R92" s="875" t="s">
        <v>3165</v>
      </c>
      <c r="S92" s="428"/>
      <c r="T92" s="351"/>
      <c r="U92" s="351"/>
    </row>
    <row r="93" spans="1:21" ht="16.5" customHeight="1" x14ac:dyDescent="0.2">
      <c r="A93" s="887" t="str">
        <f>IFERROR(IF(INDEX('Cash Forecast_8A'!C$121:C$136,MATCH('Cash Forecast_8A import-export'!O93,'Cash Forecast_8A'!B$121:B$136,0))=0,"",INDEX('Cash Forecast_8A'!C$121:C$136,MATCH('Cash Forecast_8A import-export'!O93,'Cash Forecast_8A'!B$121:B$136,0))),"")</f>
        <v/>
      </c>
      <c r="B93" s="887" t="str">
        <f>IFERROR(IF(INDEX('Cash Forecast_8A'!D$121:D$136,MATCH('Cash Forecast_8A import-export'!O93,'Cash Forecast_8A'!B$121:B$136,0))=0,"",INDEX('Cash Forecast_8A'!D$121:D$136,MATCH('Cash Forecast_8A import-export'!O93,'Cash Forecast_8A'!B$121:B$136,0))),"")</f>
        <v/>
      </c>
      <c r="C93" s="837">
        <v>0</v>
      </c>
      <c r="D93" s="869" t="str">
        <f>IFERROR(INDEX('Cash Forecast_8A'!F$121:F$136,MATCH('Cash Forecast_8A import-export'!O93,'Cash Forecast_8A'!B$121:B$136,0)),"")</f>
        <v/>
      </c>
      <c r="E93" s="837">
        <v>0</v>
      </c>
      <c r="F93" s="869" t="str">
        <f>IFERROR(INDEX('Cash Forecast_8A'!H$121:H$136,MATCH('Cash Forecast_8A import-export'!O93,'Cash Forecast_8A'!B$121:B$136,0)),"")</f>
        <v/>
      </c>
      <c r="G93" s="870" t="str">
        <f t="shared" si="8"/>
        <v/>
      </c>
      <c r="H93" s="871"/>
      <c r="I93" s="877">
        <f t="shared" si="9"/>
        <v>17</v>
      </c>
      <c r="J93" s="869" t="str">
        <f>IFERROR(INDEX('Cash Forecast_8A'!L$121:L$136,MATCH('Cash Forecast_8A import-export'!O93,'Cash Forecast_8A'!B$121:B$136,0)),"")</f>
        <v/>
      </c>
      <c r="K93" s="869" t="str">
        <f>IFERROR(INDEX('Cash Forecast_8A'!M$121:M$136,MATCH('Cash Forecast_8A import-export'!O93,'Cash Forecast_8A'!B$121:B$136,0)),"")</f>
        <v/>
      </c>
      <c r="L93" s="877"/>
      <c r="M93" s="870" t="str">
        <f t="shared" si="10"/>
        <v/>
      </c>
      <c r="N93" s="879"/>
      <c r="O93" s="877" t="str">
        <f t="shared" si="11"/>
        <v>Intcustom17</v>
      </c>
      <c r="P93" s="864" t="str">
        <f>IFERROR(IF(VLOOKUP(A93,'Reference Records'!$B$13:$D$48,3,FALSE)=0,"",VLOOKUP(A93,'Reference Records'!$B$13:$D$48,3,FALSE)),"")</f>
        <v/>
      </c>
      <c r="Q93" s="875"/>
      <c r="R93" s="875" t="s">
        <v>3166</v>
      </c>
      <c r="S93" s="428"/>
      <c r="T93" s="351"/>
      <c r="U93" s="351"/>
    </row>
    <row r="94" spans="1:21" ht="16.5" customHeight="1" x14ac:dyDescent="0.2">
      <c r="A94" s="887" t="str">
        <f>IFERROR(IF(INDEX('Cash Forecast_8A'!C$121:C$136,MATCH('Cash Forecast_8A import-export'!O94,'Cash Forecast_8A'!B$121:B$136,0))=0,"",INDEX('Cash Forecast_8A'!C$121:C$136,MATCH('Cash Forecast_8A import-export'!O94,'Cash Forecast_8A'!B$121:B$136,0))),"")</f>
        <v/>
      </c>
      <c r="B94" s="887" t="str">
        <f>IFERROR(IF(INDEX('Cash Forecast_8A'!D$121:D$136,MATCH('Cash Forecast_8A import-export'!O94,'Cash Forecast_8A'!B$121:B$136,0))=0,"",INDEX('Cash Forecast_8A'!D$121:D$136,MATCH('Cash Forecast_8A import-export'!O94,'Cash Forecast_8A'!B$121:B$136,0))),"")</f>
        <v/>
      </c>
      <c r="C94" s="837">
        <v>0</v>
      </c>
      <c r="D94" s="869" t="str">
        <f>IFERROR(INDEX('Cash Forecast_8A'!F$121:F$136,MATCH('Cash Forecast_8A import-export'!O94,'Cash Forecast_8A'!B$121:B$136,0)),"")</f>
        <v/>
      </c>
      <c r="E94" s="837">
        <v>0</v>
      </c>
      <c r="F94" s="869" t="str">
        <f>IFERROR(INDEX('Cash Forecast_8A'!H$121:H$136,MATCH('Cash Forecast_8A import-export'!O94,'Cash Forecast_8A'!B$121:B$136,0)),"")</f>
        <v/>
      </c>
      <c r="G94" s="870" t="str">
        <f t="shared" si="8"/>
        <v/>
      </c>
      <c r="H94" s="871"/>
      <c r="I94" s="877">
        <f t="shared" si="9"/>
        <v>18</v>
      </c>
      <c r="J94" s="869" t="str">
        <f>IFERROR(INDEX('Cash Forecast_8A'!L$121:L$136,MATCH('Cash Forecast_8A import-export'!O94,'Cash Forecast_8A'!B$121:B$136,0)),"")</f>
        <v/>
      </c>
      <c r="K94" s="869" t="str">
        <f>IFERROR(INDEX('Cash Forecast_8A'!M$121:M$136,MATCH('Cash Forecast_8A import-export'!O94,'Cash Forecast_8A'!B$121:B$136,0)),"")</f>
        <v/>
      </c>
      <c r="L94" s="877"/>
      <c r="M94" s="870" t="str">
        <f t="shared" si="10"/>
        <v/>
      </c>
      <c r="N94" s="879"/>
      <c r="O94" s="877" t="str">
        <f t="shared" si="11"/>
        <v>Intcustom18</v>
      </c>
      <c r="P94" s="864" t="str">
        <f>IFERROR(IF(VLOOKUP(A94,'Reference Records'!$B$13:$D$48,3,FALSE)=0,"",VLOOKUP(A94,'Reference Records'!$B$13:$D$48,3,FALSE)),"")</f>
        <v/>
      </c>
      <c r="Q94" s="875"/>
      <c r="R94" s="875" t="s">
        <v>3167</v>
      </c>
      <c r="S94" s="428"/>
      <c r="T94" s="351"/>
      <c r="U94" s="351"/>
    </row>
    <row r="95" spans="1:21" ht="16.5" customHeight="1" x14ac:dyDescent="0.2">
      <c r="A95" s="887" t="str">
        <f>IFERROR(IF(INDEX('Cash Forecast_8A'!C$121:C$136,MATCH('Cash Forecast_8A import-export'!O95,'Cash Forecast_8A'!B$121:B$136,0))=0,"",INDEX('Cash Forecast_8A'!C$121:C$136,MATCH('Cash Forecast_8A import-export'!O95,'Cash Forecast_8A'!B$121:B$136,0))),"")</f>
        <v/>
      </c>
      <c r="B95" s="887" t="str">
        <f>IFERROR(IF(INDEX('Cash Forecast_8A'!D$121:D$136,MATCH('Cash Forecast_8A import-export'!O95,'Cash Forecast_8A'!B$121:B$136,0))=0,"",INDEX('Cash Forecast_8A'!D$121:D$136,MATCH('Cash Forecast_8A import-export'!O95,'Cash Forecast_8A'!B$121:B$136,0))),"")</f>
        <v/>
      </c>
      <c r="C95" s="837">
        <v>0</v>
      </c>
      <c r="D95" s="869" t="str">
        <f>IFERROR(INDEX('Cash Forecast_8A'!F$121:F$136,MATCH('Cash Forecast_8A import-export'!O95,'Cash Forecast_8A'!B$121:B$136,0)),"")</f>
        <v/>
      </c>
      <c r="E95" s="837">
        <v>0</v>
      </c>
      <c r="F95" s="869" t="str">
        <f>IFERROR(INDEX('Cash Forecast_8A'!H$121:H$136,MATCH('Cash Forecast_8A import-export'!O95,'Cash Forecast_8A'!B$121:B$136,0)),"")</f>
        <v/>
      </c>
      <c r="G95" s="870" t="str">
        <f t="shared" si="8"/>
        <v/>
      </c>
      <c r="H95" s="871"/>
      <c r="I95" s="877">
        <f t="shared" si="9"/>
        <v>19</v>
      </c>
      <c r="J95" s="869" t="str">
        <f>IFERROR(INDEX('Cash Forecast_8A'!L$121:L$136,MATCH('Cash Forecast_8A import-export'!O95,'Cash Forecast_8A'!B$121:B$136,0)),"")</f>
        <v/>
      </c>
      <c r="K95" s="869" t="str">
        <f>IFERROR(INDEX('Cash Forecast_8A'!M$121:M$136,MATCH('Cash Forecast_8A import-export'!O95,'Cash Forecast_8A'!B$121:B$136,0)),"")</f>
        <v/>
      </c>
      <c r="L95" s="877"/>
      <c r="M95" s="870" t="str">
        <f t="shared" si="10"/>
        <v/>
      </c>
      <c r="N95" s="879"/>
      <c r="O95" s="877" t="str">
        <f t="shared" si="11"/>
        <v>Intcustom19</v>
      </c>
      <c r="P95" s="864" t="str">
        <f>IFERROR(IF(VLOOKUP(A95,'Reference Records'!$B$13:$D$48,3,FALSE)=0,"",VLOOKUP(A95,'Reference Records'!$B$13:$D$48,3,FALSE)),"")</f>
        <v/>
      </c>
      <c r="Q95" s="875"/>
      <c r="R95" s="875" t="s">
        <v>3168</v>
      </c>
      <c r="S95" s="428"/>
      <c r="T95" s="351"/>
      <c r="U95" s="351"/>
    </row>
    <row r="96" spans="1:21" ht="16.5" customHeight="1" x14ac:dyDescent="0.2">
      <c r="A96" s="887" t="str">
        <f>IFERROR(IF(INDEX('Cash Forecast_8A'!C$121:C$136,MATCH('Cash Forecast_8A import-export'!O96,'Cash Forecast_8A'!B$121:B$136,0))=0,"",INDEX('Cash Forecast_8A'!C$121:C$136,MATCH('Cash Forecast_8A import-export'!O96,'Cash Forecast_8A'!B$121:B$136,0))),"")</f>
        <v/>
      </c>
      <c r="B96" s="887" t="str">
        <f>IFERROR(IF(INDEX('Cash Forecast_8A'!D$121:D$136,MATCH('Cash Forecast_8A import-export'!O96,'Cash Forecast_8A'!B$121:B$136,0))=0,"",INDEX('Cash Forecast_8A'!D$121:D$136,MATCH('Cash Forecast_8A import-export'!O96,'Cash Forecast_8A'!B$121:B$136,0))),"")</f>
        <v/>
      </c>
      <c r="C96" s="837">
        <v>0</v>
      </c>
      <c r="D96" s="869" t="str">
        <f>IFERROR(INDEX('Cash Forecast_8A'!F$121:F$136,MATCH('Cash Forecast_8A import-export'!O96,'Cash Forecast_8A'!B$121:B$136,0)),"")</f>
        <v/>
      </c>
      <c r="E96" s="837">
        <v>0</v>
      </c>
      <c r="F96" s="869" t="str">
        <f>IFERROR(INDEX('Cash Forecast_8A'!H$121:H$136,MATCH('Cash Forecast_8A import-export'!O96,'Cash Forecast_8A'!B$121:B$136,0)),"")</f>
        <v/>
      </c>
      <c r="G96" s="870" t="str">
        <f t="shared" si="8"/>
        <v/>
      </c>
      <c r="H96" s="871"/>
      <c r="I96" s="877">
        <f t="shared" si="9"/>
        <v>20</v>
      </c>
      <c r="J96" s="869" t="str">
        <f>IFERROR(INDEX('Cash Forecast_8A'!L$121:L$136,MATCH('Cash Forecast_8A import-export'!O96,'Cash Forecast_8A'!B$121:B$136,0)),"")</f>
        <v/>
      </c>
      <c r="K96" s="869" t="str">
        <f>IFERROR(INDEX('Cash Forecast_8A'!M$121:M$136,MATCH('Cash Forecast_8A import-export'!O96,'Cash Forecast_8A'!B$121:B$136,0)),"")</f>
        <v/>
      </c>
      <c r="L96" s="877"/>
      <c r="M96" s="870" t="str">
        <f t="shared" si="10"/>
        <v/>
      </c>
      <c r="N96" s="879"/>
      <c r="O96" s="877" t="str">
        <f t="shared" si="11"/>
        <v>Intcustom20</v>
      </c>
      <c r="P96" s="864" t="str">
        <f>IFERROR(IF(VLOOKUP(A96,'Reference Records'!$B$13:$D$48,3,FALSE)=0,"",VLOOKUP(A96,'Reference Records'!$B$13:$D$48,3,FALSE)),"")</f>
        <v/>
      </c>
      <c r="Q96" s="875"/>
      <c r="R96" s="875" t="s">
        <v>3169</v>
      </c>
      <c r="S96" s="428"/>
      <c r="T96" s="351"/>
      <c r="U96" s="351"/>
    </row>
    <row r="97" spans="1:21" ht="16.5" customHeight="1" x14ac:dyDescent="0.2">
      <c r="A97" s="887" t="str">
        <f>IFERROR(IF(INDEX('Cash Forecast_8A'!C$121:C$136,MATCH('Cash Forecast_8A import-export'!O97,'Cash Forecast_8A'!B$121:B$136,0))=0,"",INDEX('Cash Forecast_8A'!C$121:C$136,MATCH('Cash Forecast_8A import-export'!O97,'Cash Forecast_8A'!B$121:B$136,0))),"")</f>
        <v/>
      </c>
      <c r="B97" s="887" t="str">
        <f>IFERROR(IF(INDEX('Cash Forecast_8A'!D$121:D$136,MATCH('Cash Forecast_8A import-export'!O97,'Cash Forecast_8A'!B$121:B$136,0))=0,"",INDEX('Cash Forecast_8A'!D$121:D$136,MATCH('Cash Forecast_8A import-export'!O97,'Cash Forecast_8A'!B$121:B$136,0))),"")</f>
        <v/>
      </c>
      <c r="C97" s="837">
        <v>0</v>
      </c>
      <c r="D97" s="869" t="str">
        <f>IFERROR(INDEX('Cash Forecast_8A'!F$121:F$136,MATCH('Cash Forecast_8A import-export'!O97,'Cash Forecast_8A'!B$121:B$136,0)),"")</f>
        <v/>
      </c>
      <c r="E97" s="837">
        <v>0</v>
      </c>
      <c r="F97" s="869" t="str">
        <f>IFERROR(INDEX('Cash Forecast_8A'!H$121:H$136,MATCH('Cash Forecast_8A import-export'!O97,'Cash Forecast_8A'!B$121:B$136,0)),"")</f>
        <v/>
      </c>
      <c r="G97" s="870" t="str">
        <f t="shared" si="8"/>
        <v/>
      </c>
      <c r="H97" s="871"/>
      <c r="I97" s="877">
        <f t="shared" si="9"/>
        <v>21</v>
      </c>
      <c r="J97" s="869" t="str">
        <f>IFERROR(INDEX('Cash Forecast_8A'!L$121:L$136,MATCH('Cash Forecast_8A import-export'!O97,'Cash Forecast_8A'!B$121:B$136,0)),"")</f>
        <v/>
      </c>
      <c r="K97" s="869" t="str">
        <f>IFERROR(INDEX('Cash Forecast_8A'!M$121:M$136,MATCH('Cash Forecast_8A import-export'!O97,'Cash Forecast_8A'!B$121:B$136,0)),"")</f>
        <v/>
      </c>
      <c r="L97" s="877"/>
      <c r="M97" s="870" t="str">
        <f t="shared" si="10"/>
        <v/>
      </c>
      <c r="N97" s="879"/>
      <c r="O97" s="877" t="str">
        <f t="shared" si="11"/>
        <v>Intcustom21</v>
      </c>
      <c r="P97" s="864" t="str">
        <f>IFERROR(IF(VLOOKUP(A97,'Reference Records'!$B$13:$D$48,3,FALSE)=0,"",VLOOKUP(A97,'Reference Records'!$B$13:$D$48,3,FALSE)),"")</f>
        <v/>
      </c>
      <c r="Q97" s="875"/>
      <c r="R97" s="875" t="s">
        <v>3170</v>
      </c>
      <c r="S97" s="428"/>
      <c r="T97" s="351"/>
      <c r="U97" s="351"/>
    </row>
    <row r="98" spans="1:21" ht="16.5" customHeight="1" x14ac:dyDescent="0.2">
      <c r="A98" s="887" t="str">
        <f>IFERROR(IF(INDEX('Cash Forecast_8A'!C$121:C$136,MATCH('Cash Forecast_8A import-export'!O98,'Cash Forecast_8A'!B$121:B$136,0))=0,"",INDEX('Cash Forecast_8A'!C$121:C$136,MATCH('Cash Forecast_8A import-export'!O98,'Cash Forecast_8A'!B$121:B$136,0))),"")</f>
        <v/>
      </c>
      <c r="B98" s="887" t="str">
        <f>IFERROR(IF(INDEX('Cash Forecast_8A'!D$121:D$136,MATCH('Cash Forecast_8A import-export'!O98,'Cash Forecast_8A'!B$121:B$136,0))=0,"",INDEX('Cash Forecast_8A'!D$121:D$136,MATCH('Cash Forecast_8A import-export'!O98,'Cash Forecast_8A'!B$121:B$136,0))),"")</f>
        <v/>
      </c>
      <c r="C98" s="837">
        <v>0</v>
      </c>
      <c r="D98" s="869" t="str">
        <f>IFERROR(INDEX('Cash Forecast_8A'!F$121:F$136,MATCH('Cash Forecast_8A import-export'!O98,'Cash Forecast_8A'!B$121:B$136,0)),"")</f>
        <v/>
      </c>
      <c r="E98" s="837">
        <v>0</v>
      </c>
      <c r="F98" s="869" t="str">
        <f>IFERROR(INDEX('Cash Forecast_8A'!H$121:H$136,MATCH('Cash Forecast_8A import-export'!O98,'Cash Forecast_8A'!B$121:B$136,0)),"")</f>
        <v/>
      </c>
      <c r="G98" s="870" t="str">
        <f t="shared" si="8"/>
        <v/>
      </c>
      <c r="H98" s="871"/>
      <c r="I98" s="877">
        <f t="shared" si="9"/>
        <v>22</v>
      </c>
      <c r="J98" s="869" t="str">
        <f>IFERROR(INDEX('Cash Forecast_8A'!L$121:L$136,MATCH('Cash Forecast_8A import-export'!O98,'Cash Forecast_8A'!B$121:B$136,0)),"")</f>
        <v/>
      </c>
      <c r="K98" s="869" t="str">
        <f>IFERROR(INDEX('Cash Forecast_8A'!M$121:M$136,MATCH('Cash Forecast_8A import-export'!O98,'Cash Forecast_8A'!B$121:B$136,0)),"")</f>
        <v/>
      </c>
      <c r="L98" s="877"/>
      <c r="M98" s="870" t="str">
        <f t="shared" si="10"/>
        <v/>
      </c>
      <c r="N98" s="879"/>
      <c r="O98" s="877" t="str">
        <f t="shared" si="11"/>
        <v>Intcustom22</v>
      </c>
      <c r="P98" s="864" t="str">
        <f>IFERROR(IF(VLOOKUP(A98,'Reference Records'!$B$13:$D$48,3,FALSE)=0,"",VLOOKUP(A98,'Reference Records'!$B$13:$D$48,3,FALSE)),"")</f>
        <v/>
      </c>
      <c r="Q98" s="875"/>
      <c r="R98" s="875" t="s">
        <v>3171</v>
      </c>
      <c r="S98" s="428"/>
      <c r="T98" s="351"/>
      <c r="U98" s="351"/>
    </row>
    <row r="99" spans="1:21" ht="16.5" customHeight="1" x14ac:dyDescent="0.2">
      <c r="A99" s="887" t="str">
        <f>IFERROR(IF(INDEX('Cash Forecast_8A'!C$121:C$136,MATCH('Cash Forecast_8A import-export'!O99,'Cash Forecast_8A'!B$121:B$136,0))=0,"",INDEX('Cash Forecast_8A'!C$121:C$136,MATCH('Cash Forecast_8A import-export'!O99,'Cash Forecast_8A'!B$121:B$136,0))),"")</f>
        <v/>
      </c>
      <c r="B99" s="887" t="str">
        <f>IFERROR(IF(INDEX('Cash Forecast_8A'!D$121:D$136,MATCH('Cash Forecast_8A import-export'!O99,'Cash Forecast_8A'!B$121:B$136,0))=0,"",INDEX('Cash Forecast_8A'!D$121:D$136,MATCH('Cash Forecast_8A import-export'!O99,'Cash Forecast_8A'!B$121:B$136,0))),"")</f>
        <v/>
      </c>
      <c r="C99" s="837">
        <v>0</v>
      </c>
      <c r="D99" s="869" t="str">
        <f>IFERROR(INDEX('Cash Forecast_8A'!F$121:F$136,MATCH('Cash Forecast_8A import-export'!O99,'Cash Forecast_8A'!B$121:B$136,0)),"")</f>
        <v/>
      </c>
      <c r="E99" s="837">
        <v>0</v>
      </c>
      <c r="F99" s="869" t="str">
        <f>IFERROR(INDEX('Cash Forecast_8A'!H$121:H$136,MATCH('Cash Forecast_8A import-export'!O99,'Cash Forecast_8A'!B$121:B$136,0)),"")</f>
        <v/>
      </c>
      <c r="G99" s="870" t="str">
        <f t="shared" si="8"/>
        <v/>
      </c>
      <c r="H99" s="871"/>
      <c r="I99" s="877">
        <f t="shared" si="9"/>
        <v>23</v>
      </c>
      <c r="J99" s="869" t="str">
        <f>IFERROR(INDEX('Cash Forecast_8A'!L$121:L$136,MATCH('Cash Forecast_8A import-export'!O99,'Cash Forecast_8A'!B$121:B$136,0)),"")</f>
        <v/>
      </c>
      <c r="K99" s="869" t="str">
        <f>IFERROR(INDEX('Cash Forecast_8A'!M$121:M$136,MATCH('Cash Forecast_8A import-export'!O99,'Cash Forecast_8A'!B$121:B$136,0)),"")</f>
        <v/>
      </c>
      <c r="L99" s="877"/>
      <c r="M99" s="870" t="str">
        <f t="shared" si="10"/>
        <v/>
      </c>
      <c r="N99" s="879"/>
      <c r="O99" s="877" t="str">
        <f t="shared" si="11"/>
        <v>Intcustom23</v>
      </c>
      <c r="P99" s="864" t="str">
        <f>IFERROR(IF(VLOOKUP(A99,'Reference Records'!$B$13:$D$48,3,FALSE)=0,"",VLOOKUP(A99,'Reference Records'!$B$13:$D$48,3,FALSE)),"")</f>
        <v/>
      </c>
      <c r="Q99" s="875"/>
      <c r="R99" s="875" t="s">
        <v>3172</v>
      </c>
      <c r="S99" s="428"/>
      <c r="T99" s="351"/>
      <c r="U99" s="351"/>
    </row>
    <row r="100" spans="1:21" ht="16.5" customHeight="1" x14ac:dyDescent="0.2">
      <c r="A100" s="887" t="str">
        <f>IFERROR(IF(INDEX('Cash Forecast_8A'!C$121:C$136,MATCH('Cash Forecast_8A import-export'!O100,'Cash Forecast_8A'!B$121:B$136,0))=0,"",INDEX('Cash Forecast_8A'!C$121:C$136,MATCH('Cash Forecast_8A import-export'!O100,'Cash Forecast_8A'!B$121:B$136,0))),"")</f>
        <v/>
      </c>
      <c r="B100" s="887" t="str">
        <f>IFERROR(IF(INDEX('Cash Forecast_8A'!D$121:D$136,MATCH('Cash Forecast_8A import-export'!O100,'Cash Forecast_8A'!B$121:B$136,0))=0,"",INDEX('Cash Forecast_8A'!D$121:D$136,MATCH('Cash Forecast_8A import-export'!O100,'Cash Forecast_8A'!B$121:B$136,0))),"")</f>
        <v/>
      </c>
      <c r="C100" s="837">
        <v>0</v>
      </c>
      <c r="D100" s="869" t="str">
        <f>IFERROR(INDEX('Cash Forecast_8A'!F$121:F$136,MATCH('Cash Forecast_8A import-export'!O100,'Cash Forecast_8A'!B$121:B$136,0)),"")</f>
        <v/>
      </c>
      <c r="E100" s="837">
        <v>0</v>
      </c>
      <c r="F100" s="869" t="str">
        <f>IFERROR(INDEX('Cash Forecast_8A'!H$121:H$136,MATCH('Cash Forecast_8A import-export'!O100,'Cash Forecast_8A'!B$121:B$136,0)),"")</f>
        <v/>
      </c>
      <c r="G100" s="870" t="str">
        <f t="shared" si="8"/>
        <v/>
      </c>
      <c r="H100" s="871"/>
      <c r="I100" s="877">
        <f t="shared" si="9"/>
        <v>24</v>
      </c>
      <c r="J100" s="869" t="str">
        <f>IFERROR(INDEX('Cash Forecast_8A'!L$121:L$136,MATCH('Cash Forecast_8A import-export'!O100,'Cash Forecast_8A'!B$121:B$136,0)),"")</f>
        <v/>
      </c>
      <c r="K100" s="869" t="str">
        <f>IFERROR(INDEX('Cash Forecast_8A'!M$121:M$136,MATCH('Cash Forecast_8A import-export'!O100,'Cash Forecast_8A'!B$121:B$136,0)),"")</f>
        <v/>
      </c>
      <c r="L100" s="877"/>
      <c r="M100" s="870" t="str">
        <f t="shared" si="10"/>
        <v/>
      </c>
      <c r="N100" s="879"/>
      <c r="O100" s="877" t="str">
        <f t="shared" si="11"/>
        <v>Intcustom24</v>
      </c>
      <c r="P100" s="864" t="str">
        <f>IFERROR(IF(VLOOKUP(A100,'Reference Records'!$B$13:$D$48,3,FALSE)=0,"",VLOOKUP(A100,'Reference Records'!$B$13:$D$48,3,FALSE)),"")</f>
        <v/>
      </c>
      <c r="Q100" s="875"/>
      <c r="R100" s="875" t="s">
        <v>3173</v>
      </c>
      <c r="S100" s="428"/>
      <c r="T100" s="351"/>
      <c r="U100" s="351"/>
    </row>
    <row r="101" spans="1:21" ht="16.5" customHeight="1" x14ac:dyDescent="0.2">
      <c r="A101" s="887" t="str">
        <f>IFERROR(IF(INDEX('Cash Forecast_8A'!C$121:C$136,MATCH('Cash Forecast_8A import-export'!O101,'Cash Forecast_8A'!B$121:B$136,0))=0,"",INDEX('Cash Forecast_8A'!C$121:C$136,MATCH('Cash Forecast_8A import-export'!O101,'Cash Forecast_8A'!B$121:B$136,0))),"")</f>
        <v/>
      </c>
      <c r="B101" s="887" t="str">
        <f>IFERROR(IF(INDEX('Cash Forecast_8A'!D$121:D$136,MATCH('Cash Forecast_8A import-export'!O101,'Cash Forecast_8A'!B$121:B$136,0))=0,"",INDEX('Cash Forecast_8A'!D$121:D$136,MATCH('Cash Forecast_8A import-export'!O101,'Cash Forecast_8A'!B$121:B$136,0))),"")</f>
        <v/>
      </c>
      <c r="C101" s="837">
        <v>0</v>
      </c>
      <c r="D101" s="869" t="str">
        <f>IFERROR(INDEX('Cash Forecast_8A'!F$121:F$136,MATCH('Cash Forecast_8A import-export'!O101,'Cash Forecast_8A'!B$121:B$136,0)),"")</f>
        <v/>
      </c>
      <c r="E101" s="837">
        <v>0</v>
      </c>
      <c r="F101" s="869" t="str">
        <f>IFERROR(INDEX('Cash Forecast_8A'!H$121:H$136,MATCH('Cash Forecast_8A import-export'!O101,'Cash Forecast_8A'!B$121:B$136,0)),"")</f>
        <v/>
      </c>
      <c r="G101" s="870" t="str">
        <f t="shared" si="8"/>
        <v/>
      </c>
      <c r="H101" s="871"/>
      <c r="I101" s="877">
        <f t="shared" si="9"/>
        <v>25</v>
      </c>
      <c r="J101" s="869" t="str">
        <f>IFERROR(INDEX('Cash Forecast_8A'!L$121:L$136,MATCH('Cash Forecast_8A import-export'!O101,'Cash Forecast_8A'!B$121:B$136,0)),"")</f>
        <v/>
      </c>
      <c r="K101" s="869" t="str">
        <f>IFERROR(INDEX('Cash Forecast_8A'!M$121:M$136,MATCH('Cash Forecast_8A import-export'!O101,'Cash Forecast_8A'!B$121:B$136,0)),"")</f>
        <v/>
      </c>
      <c r="L101" s="877"/>
      <c r="M101" s="870" t="str">
        <f t="shared" si="10"/>
        <v/>
      </c>
      <c r="N101" s="879"/>
      <c r="O101" s="877" t="str">
        <f t="shared" si="11"/>
        <v>Intcustom25</v>
      </c>
      <c r="P101" s="864" t="str">
        <f>IFERROR(IF(VLOOKUP(A101,'Reference Records'!$B$13:$D$48,3,FALSE)=0,"",VLOOKUP(A101,'Reference Records'!$B$13:$D$48,3,FALSE)),"")</f>
        <v/>
      </c>
      <c r="Q101" s="875"/>
      <c r="R101" s="875" t="s">
        <v>3174</v>
      </c>
      <c r="S101" s="428"/>
      <c r="T101" s="351"/>
      <c r="U101" s="351"/>
    </row>
    <row r="102" spans="1:21" ht="16.5" customHeight="1" x14ac:dyDescent="0.2">
      <c r="O102" s="420"/>
      <c r="P102" s="425"/>
      <c r="Q102" s="429"/>
      <c r="R102" s="428"/>
      <c r="S102" s="428"/>
      <c r="T102" s="351"/>
      <c r="U102" s="351"/>
    </row>
    <row r="103" spans="1:21" ht="16.5" customHeight="1" x14ac:dyDescent="0.2">
      <c r="A103" s="357" t="s">
        <v>2449</v>
      </c>
      <c r="B103" s="357"/>
      <c r="C103" s="336">
        <f>ROUND(SUM(C29:C102),2)</f>
        <v>15630126.92</v>
      </c>
      <c r="D103" s="336">
        <f>ROUND(SUM(D29:D102),2)</f>
        <v>18218160.699999999</v>
      </c>
      <c r="E103" s="336">
        <f>ROUND(SUM(E29:E102),2)</f>
        <v>0</v>
      </c>
      <c r="F103" s="336">
        <f>ROUND(SUM(F29:F102),2)</f>
        <v>0</v>
      </c>
      <c r="G103" s="336">
        <f>ROUND(SUM(G29:G102),2)</f>
        <v>18218160.699999999</v>
      </c>
      <c r="H103" s="340"/>
      <c r="J103" s="336">
        <f t="shared" ref="J103:L103" si="12">ROUND(SUM(J29:J102),2)</f>
        <v>0</v>
      </c>
      <c r="K103" s="336">
        <f t="shared" si="12"/>
        <v>0</v>
      </c>
      <c r="L103" s="336">
        <f t="shared" si="12"/>
        <v>0</v>
      </c>
      <c r="M103" s="336">
        <f>ROUND(SUM(M29:M102),2)</f>
        <v>0</v>
      </c>
      <c r="N103" s="340"/>
      <c r="P103" s="425"/>
      <c r="Q103" s="428"/>
      <c r="R103" s="428"/>
      <c r="S103" s="428"/>
      <c r="T103" s="351"/>
      <c r="U103" s="351"/>
    </row>
    <row r="104" spans="1:21" ht="16.5" customHeight="1" x14ac:dyDescent="0.2">
      <c r="A104" s="356"/>
      <c r="P104" s="425"/>
      <c r="Q104" s="428"/>
      <c r="R104" s="428"/>
      <c r="S104" s="428"/>
      <c r="T104" s="351"/>
      <c r="U104" s="351"/>
    </row>
    <row r="105" spans="1:21" ht="16.5" customHeight="1" x14ac:dyDescent="0.2">
      <c r="A105" s="350" t="s">
        <v>3175</v>
      </c>
      <c r="B105" s="350"/>
      <c r="C105" s="313"/>
      <c r="D105" s="313"/>
      <c r="E105" s="313"/>
      <c r="F105" s="312"/>
      <c r="G105" s="278"/>
      <c r="H105" s="278"/>
      <c r="I105" s="355"/>
      <c r="J105" s="278"/>
      <c r="K105" s="278"/>
      <c r="L105" s="278"/>
      <c r="M105" s="278"/>
      <c r="N105" s="278"/>
      <c r="P105" s="425"/>
      <c r="Q105" s="428"/>
      <c r="R105" s="428"/>
      <c r="S105" s="428"/>
      <c r="T105" s="351"/>
      <c r="U105" s="351"/>
    </row>
    <row r="106" spans="1:21" ht="90" x14ac:dyDescent="0.2">
      <c r="A106" s="820" t="s">
        <v>2891</v>
      </c>
      <c r="B106" s="876"/>
      <c r="C106" s="821" t="s">
        <v>3065</v>
      </c>
      <c r="D106" s="821" t="s">
        <v>3145</v>
      </c>
      <c r="E106" s="821" t="s">
        <v>3067</v>
      </c>
      <c r="F106" s="821" t="s">
        <v>3146</v>
      </c>
      <c r="G106" s="821" t="s">
        <v>3069</v>
      </c>
      <c r="H106" s="821" t="s">
        <v>584</v>
      </c>
      <c r="I106" s="877">
        <v>-1</v>
      </c>
      <c r="J106" s="862" t="s">
        <v>3147</v>
      </c>
      <c r="K106" s="862" t="s">
        <v>3148</v>
      </c>
      <c r="L106" s="862"/>
      <c r="M106" s="862" t="s">
        <v>2948</v>
      </c>
      <c r="N106" s="862"/>
      <c r="O106" s="874"/>
      <c r="P106" s="864" t="s">
        <v>122</v>
      </c>
      <c r="Q106" s="428"/>
      <c r="R106" s="428"/>
      <c r="S106" s="428"/>
      <c r="T106" s="351"/>
      <c r="U106" s="351"/>
    </row>
    <row r="107" spans="1:21" ht="16.5" hidden="1" customHeight="1" x14ac:dyDescent="0.2">
      <c r="A107" s="867" t="s">
        <v>3176</v>
      </c>
      <c r="B107" s="878"/>
      <c r="C107" s="837" t="s">
        <v>3070</v>
      </c>
      <c r="D107" s="869" t="str">
        <f>IFERROR(INDEX('Cash Forecast_8A'!F$141:F$190,MATCH('Cash Forecast_8A import-export'!O107,'Cash Forecast_8A'!B$141:B$190,0)),"")</f>
        <v/>
      </c>
      <c r="E107" s="837" t="s">
        <v>3071</v>
      </c>
      <c r="F107" s="869" t="str">
        <f>IFERROR(INDEX('Cash Forecast_8A'!H$141:H$190,MATCH('Cash Forecast_8A import-export'!O107,'Cash Forecast_8A'!B$141:B$190,0)),"")</f>
        <v/>
      </c>
      <c r="G107" s="870" t="str">
        <f>IFERROR(D107+F107,"")</f>
        <v/>
      </c>
      <c r="H107" s="871" t="s">
        <v>3099</v>
      </c>
      <c r="I107" s="877">
        <f>I106+1</f>
        <v>0</v>
      </c>
      <c r="J107" s="869" t="str">
        <f>IFERROR(INDEX('Cash Forecast_8A'!L$141:L$190,MATCH('Cash Forecast_8A import-export'!O107,'Cash Forecast_8A'!B$141:B$190,0)),"")</f>
        <v/>
      </c>
      <c r="K107" s="869" t="str">
        <f>IFERROR(INDEX('Cash Forecast_8A'!M$141:M$190,MATCH('Cash Forecast_8A import-export'!O107,'Cash Forecast_8A'!B$141:B$190,0)),"")</f>
        <v/>
      </c>
      <c r="L107" s="869"/>
      <c r="M107" s="870" t="str">
        <f>IFERROR(J107+K107,"")</f>
        <v/>
      </c>
      <c r="N107" s="879"/>
      <c r="O107" s="874" t="str">
        <f>"IE"&amp;I107</f>
        <v>IE0</v>
      </c>
      <c r="P107" s="864" t="s">
        <v>371</v>
      </c>
      <c r="Q107" s="428"/>
      <c r="R107" s="428"/>
      <c r="S107" s="428"/>
      <c r="T107" s="351"/>
      <c r="U107" s="351"/>
    </row>
    <row r="108" spans="1:21" ht="16.5" customHeight="1" x14ac:dyDescent="0.2">
      <c r="A108" s="867" t="s">
        <v>2895</v>
      </c>
      <c r="B108" s="878"/>
      <c r="C108" s="837">
        <v>2247147.2643712601</v>
      </c>
      <c r="D108" s="869">
        <f>IFERROR(INDEX('Cash Forecast_8A'!F$141:F$190,MATCH('Cash Forecast_8A import-export'!O108,'Cash Forecast_8A'!B$141:B$190,0)),"")</f>
        <v>2711640.5244092494</v>
      </c>
      <c r="E108" s="837">
        <v>0</v>
      </c>
      <c r="F108" s="869">
        <f>IFERROR(INDEX('Cash Forecast_8A'!H$141:H$190,MATCH('Cash Forecast_8A import-export'!O108,'Cash Forecast_8A'!B$141:B$190,0)),"")</f>
        <v>0</v>
      </c>
      <c r="G108" s="870">
        <f t="shared" ref="G108:G111" si="13">IFERROR(D108+F108,"")</f>
        <v>2711640.5244092494</v>
      </c>
      <c r="H108" s="871"/>
      <c r="I108" s="877">
        <f t="shared" ref="I108:I111" si="14">I107+1</f>
        <v>1</v>
      </c>
      <c r="J108" s="869">
        <f>IFERROR(INDEX('Cash Forecast_8A'!L$141:L$190,MATCH('Cash Forecast_8A import-export'!O108,'Cash Forecast_8A'!B$141:B$190,0)),"")</f>
        <v>0</v>
      </c>
      <c r="K108" s="869">
        <f>IFERROR(INDEX('Cash Forecast_8A'!M$141:M$190,MATCH('Cash Forecast_8A import-export'!O108,'Cash Forecast_8A'!B$141:B$190,0)),"")</f>
        <v>0</v>
      </c>
      <c r="L108" s="869"/>
      <c r="M108" s="870">
        <f t="shared" ref="M108:M111" si="15">IFERROR(J108+K108,"")</f>
        <v>0</v>
      </c>
      <c r="N108" s="879"/>
      <c r="O108" s="874" t="str">
        <f t="shared" ref="O108:O111" si="16">"IE"&amp;I108</f>
        <v>IE1</v>
      </c>
      <c r="P108" s="864" t="s">
        <v>3177</v>
      </c>
      <c r="Q108" s="428"/>
      <c r="R108" s="428"/>
      <c r="S108" s="428"/>
      <c r="T108" s="351"/>
      <c r="U108" s="351"/>
    </row>
    <row r="109" spans="1:21" ht="16.5" customHeight="1" x14ac:dyDescent="0.2">
      <c r="A109" s="867" t="s">
        <v>1089</v>
      </c>
      <c r="B109" s="878"/>
      <c r="C109" s="837">
        <v>449261.23220812599</v>
      </c>
      <c r="D109" s="869">
        <f>IFERROR(INDEX('Cash Forecast_8A'!F$141:F$190,MATCH('Cash Forecast_8A import-export'!O109,'Cash Forecast_8A'!B$141:B$190,0)),"")</f>
        <v>987522.56671955029</v>
      </c>
      <c r="E109" s="837">
        <v>0</v>
      </c>
      <c r="F109" s="869">
        <f>IFERROR(INDEX('Cash Forecast_8A'!H$141:H$190,MATCH('Cash Forecast_8A import-export'!O109,'Cash Forecast_8A'!B$141:B$190,0)),"")</f>
        <v>0</v>
      </c>
      <c r="G109" s="870">
        <f t="shared" si="13"/>
        <v>987522.56671955029</v>
      </c>
      <c r="H109" s="871"/>
      <c r="I109" s="877">
        <f t="shared" si="14"/>
        <v>2</v>
      </c>
      <c r="J109" s="869">
        <f>IFERROR(INDEX('Cash Forecast_8A'!L$141:L$190,MATCH('Cash Forecast_8A import-export'!O109,'Cash Forecast_8A'!B$141:B$190,0)),"")</f>
        <v>0</v>
      </c>
      <c r="K109" s="869">
        <f>IFERROR(INDEX('Cash Forecast_8A'!M$141:M$190,MATCH('Cash Forecast_8A import-export'!O109,'Cash Forecast_8A'!B$141:B$190,0)),"")</f>
        <v>0</v>
      </c>
      <c r="L109" s="869"/>
      <c r="M109" s="870">
        <f t="shared" si="15"/>
        <v>0</v>
      </c>
      <c r="N109" s="879"/>
      <c r="O109" s="874" t="str">
        <f t="shared" si="16"/>
        <v>IE2</v>
      </c>
      <c r="P109" s="864" t="s">
        <v>3178</v>
      </c>
      <c r="Q109" s="428"/>
      <c r="R109" s="428"/>
      <c r="S109" s="428"/>
      <c r="T109" s="351"/>
      <c r="U109" s="351"/>
    </row>
    <row r="110" spans="1:21" ht="16.5" customHeight="1" x14ac:dyDescent="0.2">
      <c r="A110" s="867" t="s">
        <v>45</v>
      </c>
      <c r="B110" s="878"/>
      <c r="C110" s="837">
        <v>11437485.789462499</v>
      </c>
      <c r="D110" s="869">
        <f>IFERROR(INDEX('Cash Forecast_8A'!F$141:F$190,MATCH('Cash Forecast_8A import-export'!O110,'Cash Forecast_8A'!B$141:B$190,0)),"")</f>
        <v>12031345.025166458</v>
      </c>
      <c r="E110" s="837">
        <v>0</v>
      </c>
      <c r="F110" s="869">
        <f>IFERROR(INDEX('Cash Forecast_8A'!H$141:H$190,MATCH('Cash Forecast_8A import-export'!O110,'Cash Forecast_8A'!B$141:B$190,0)),"")</f>
        <v>0</v>
      </c>
      <c r="G110" s="870">
        <f t="shared" si="13"/>
        <v>12031345.025166458</v>
      </c>
      <c r="H110" s="871"/>
      <c r="I110" s="877">
        <f t="shared" si="14"/>
        <v>3</v>
      </c>
      <c r="J110" s="869">
        <f>IFERROR(INDEX('Cash Forecast_8A'!L$141:L$190,MATCH('Cash Forecast_8A import-export'!O110,'Cash Forecast_8A'!B$141:B$190,0)),"")</f>
        <v>0</v>
      </c>
      <c r="K110" s="869">
        <f>IFERROR(INDEX('Cash Forecast_8A'!M$141:M$190,MATCH('Cash Forecast_8A import-export'!O110,'Cash Forecast_8A'!B$141:B$190,0)),"")</f>
        <v>0</v>
      </c>
      <c r="L110" s="869"/>
      <c r="M110" s="870">
        <f t="shared" si="15"/>
        <v>0</v>
      </c>
      <c r="N110" s="879"/>
      <c r="O110" s="874" t="str">
        <f t="shared" si="16"/>
        <v>IE3</v>
      </c>
      <c r="P110" s="864" t="s">
        <v>3179</v>
      </c>
      <c r="Q110" s="428"/>
      <c r="R110" s="428"/>
      <c r="S110" s="428"/>
      <c r="T110" s="351"/>
      <c r="U110" s="351"/>
    </row>
    <row r="111" spans="1:21" ht="16.5" customHeight="1" x14ac:dyDescent="0.2">
      <c r="A111" s="867" t="s">
        <v>2900</v>
      </c>
      <c r="B111" s="878"/>
      <c r="C111" s="837">
        <v>1496232.6367963699</v>
      </c>
      <c r="D111" s="869">
        <f>IFERROR(INDEX('Cash Forecast_8A'!F$141:F$190,MATCH('Cash Forecast_8A import-export'!O111,'Cash Forecast_8A'!B$141:B$190,0)),"")</f>
        <v>2487652.5836793426</v>
      </c>
      <c r="E111" s="837">
        <v>0</v>
      </c>
      <c r="F111" s="869">
        <f>IFERROR(INDEX('Cash Forecast_8A'!H$141:H$190,MATCH('Cash Forecast_8A import-export'!O111,'Cash Forecast_8A'!B$141:B$190,0)),"")</f>
        <v>0</v>
      </c>
      <c r="G111" s="870">
        <f t="shared" si="13"/>
        <v>2487652.5836793426</v>
      </c>
      <c r="H111" s="871"/>
      <c r="I111" s="877">
        <f t="shared" si="14"/>
        <v>4</v>
      </c>
      <c r="J111" s="869">
        <f>IFERROR(INDEX('Cash Forecast_8A'!L$141:L$190,MATCH('Cash Forecast_8A import-export'!O111,'Cash Forecast_8A'!B$141:B$190,0)),"")</f>
        <v>0</v>
      </c>
      <c r="K111" s="869">
        <f>IFERROR(INDEX('Cash Forecast_8A'!M$141:M$190,MATCH('Cash Forecast_8A import-export'!O111,'Cash Forecast_8A'!B$141:B$190,0)),"")</f>
        <v>0</v>
      </c>
      <c r="L111" s="869"/>
      <c r="M111" s="870">
        <f t="shared" si="15"/>
        <v>0</v>
      </c>
      <c r="N111" s="879"/>
      <c r="O111" s="874" t="str">
        <f t="shared" si="16"/>
        <v>IE4</v>
      </c>
      <c r="P111" s="864" t="s">
        <v>3180</v>
      </c>
      <c r="Q111" s="428"/>
      <c r="R111" s="428"/>
      <c r="S111" s="428"/>
      <c r="T111" s="351"/>
      <c r="U111" s="351"/>
    </row>
    <row r="112" spans="1:21" ht="16.5" customHeight="1" x14ac:dyDescent="0.2">
      <c r="P112" s="329"/>
      <c r="Q112" s="351"/>
      <c r="R112" s="351"/>
      <c r="S112" s="351"/>
      <c r="T112" s="351"/>
      <c r="U112" s="351"/>
    </row>
    <row r="113" spans="1:23" ht="16.5" customHeight="1" thickBot="1" x14ac:dyDescent="0.25">
      <c r="A113" s="354" t="s">
        <v>2449</v>
      </c>
      <c r="B113" s="354"/>
      <c r="C113" s="353">
        <f>ROUND(SUM(C107:C112),2)</f>
        <v>15630126.92</v>
      </c>
      <c r="D113" s="353">
        <f>ROUND(SUM(D107:D112),2)</f>
        <v>18218160.699999999</v>
      </c>
      <c r="E113" s="353">
        <f>ROUND(SUM(E107:E112),2)</f>
        <v>0</v>
      </c>
      <c r="F113" s="353">
        <f>ROUND(SUM(F107:F112),2)</f>
        <v>0</v>
      </c>
      <c r="G113" s="353">
        <f>ROUND(SUM(G107:G112),2)</f>
        <v>18218160.699999999</v>
      </c>
      <c r="H113" s="352"/>
      <c r="J113" s="336">
        <f>ROUND(SUM(J107:J112),2)</f>
        <v>0</v>
      </c>
      <c r="K113" s="336">
        <f>ROUND(SUM(K107:K112),2)</f>
        <v>0</v>
      </c>
      <c r="L113" s="336">
        <f>ROUND(SUM(L106:L107),2)</f>
        <v>0</v>
      </c>
      <c r="M113" s="336">
        <f>ROUND(SUM(M107:M112),2)</f>
        <v>0</v>
      </c>
      <c r="N113" s="340"/>
      <c r="O113" s="422"/>
      <c r="P113" s="329"/>
      <c r="Q113" s="351"/>
      <c r="R113" s="351"/>
      <c r="S113" s="351"/>
      <c r="T113" s="351"/>
      <c r="U113" s="351"/>
    </row>
    <row r="114" spans="1:23" ht="16.5" customHeight="1" x14ac:dyDescent="0.2">
      <c r="P114" s="329"/>
      <c r="Q114" s="351"/>
      <c r="R114" s="351"/>
      <c r="S114" s="351"/>
      <c r="T114" s="351"/>
      <c r="U114" s="351"/>
    </row>
    <row r="115" spans="1:23" ht="16.5" customHeight="1" x14ac:dyDescent="0.2">
      <c r="A115" s="302" t="s">
        <v>2666</v>
      </c>
      <c r="C115" s="46" t="str">
        <f>IF(AND(ROUND(C24,0)=ROUND(C103,0),ROUND(C103,0)=ROUND(C113,0)),"OK","WARNING - Sum of the three tables not matching")</f>
        <v>OK</v>
      </c>
      <c r="D115" s="46" t="str">
        <f>IF(AND(ROUND(D24,0)=ROUND(D103,0),ROUND(D103,0)=ROUND(D113,0)),"OK","WARNING - Sum of the three tables not matching")</f>
        <v>OK</v>
      </c>
      <c r="E115" s="46" t="str">
        <f>IF(AND(ROUND(E24,0)=ROUND(E103,0),ROUND(E103,0)=ROUND(E113,0)),"OK","WARNING - Sum of the three tables not matching")</f>
        <v>OK</v>
      </c>
      <c r="F115" s="46" t="str">
        <f>IF(AND(ROUND(F24,0)=ROUND(F103,0),ROUND(F103,0)=ROUND(F113,0)),"OK","WARNING - Sum of the three tables not matching")</f>
        <v>OK</v>
      </c>
      <c r="G115" s="46" t="str">
        <f>IF(AND(ROUND(G24,0)=ROUND(G103,0),ROUND(G103,0)=ROUND(G113,0)),"OK","WARNING - Sum of the three tables not matching")</f>
        <v>OK</v>
      </c>
      <c r="H115" s="334"/>
      <c r="I115" s="334"/>
      <c r="J115" s="46" t="str">
        <f>IF(AND(ROUND(J24,0)=ROUND(J103,0),ROUND(J103,0)=ROUND(J113,0)),"OK","WARNING - Sum of the three tables not matching")</f>
        <v>OK</v>
      </c>
      <c r="K115" s="46" t="str">
        <f>IF(AND(ROUND(K24,0)=ROUND(K103,0),ROUND(K103,0)=ROUND(K113,0)),"OK","WARNING - Sum of the three tables not matching")</f>
        <v>OK</v>
      </c>
      <c r="L115" s="46" t="str">
        <f>IF(AND(ROUND(L24,0)=ROUND(L103,0),ROUND(L103,0)=ROUND(L113,0)),"OK","WARNING - Sum of the three tables not matching")</f>
        <v>OK</v>
      </c>
      <c r="M115" s="46" t="str">
        <f>IF(AND(ROUND(M24,0)=ROUND(M103,0),ROUND(M103,0)=ROUND(M113,0)),"OK","WARNING - Sum of the three tables not matching")</f>
        <v>OK</v>
      </c>
    </row>
    <row r="116" spans="1:23" ht="16.5" customHeight="1" x14ac:dyDescent="0.2">
      <c r="M116" s="425"/>
      <c r="N116" s="425"/>
      <c r="O116" s="428"/>
      <c r="P116" s="425"/>
      <c r="Q116" s="428"/>
      <c r="R116" s="428"/>
      <c r="S116" s="428"/>
      <c r="T116" s="428"/>
      <c r="U116" s="428"/>
      <c r="V116" s="428"/>
      <c r="W116" s="428"/>
    </row>
    <row r="117" spans="1:23" ht="16.5" customHeight="1" x14ac:dyDescent="0.2">
      <c r="M117" s="425"/>
      <c r="N117" s="425"/>
      <c r="O117" s="428"/>
      <c r="P117" s="425"/>
      <c r="Q117" s="428"/>
      <c r="R117" s="428"/>
      <c r="S117" s="428"/>
      <c r="T117" s="428"/>
      <c r="U117" s="428"/>
      <c r="V117" s="428"/>
      <c r="W117" s="428"/>
    </row>
    <row r="118" spans="1:23" ht="16.5" customHeight="1" x14ac:dyDescent="0.25">
      <c r="B118"/>
      <c r="C118"/>
      <c r="D118"/>
      <c r="E118"/>
      <c r="F118"/>
      <c r="G118"/>
      <c r="H118"/>
      <c r="I118"/>
      <c r="J118"/>
      <c r="K118"/>
      <c r="L118"/>
      <c r="M118"/>
      <c r="N118"/>
      <c r="O118"/>
      <c r="P118"/>
      <c r="Q118" s="428"/>
      <c r="R118" s="428"/>
      <c r="S118" s="428"/>
      <c r="T118" s="428"/>
      <c r="U118" s="428"/>
      <c r="V118" s="428"/>
      <c r="W118" s="428"/>
    </row>
    <row r="119" spans="1:23" ht="16.5" customHeight="1" x14ac:dyDescent="0.2">
      <c r="M119" s="425"/>
      <c r="N119" s="425"/>
      <c r="O119" s="428"/>
      <c r="P119" s="425"/>
      <c r="Q119" s="428"/>
      <c r="R119" s="428"/>
      <c r="S119" s="428"/>
      <c r="T119" s="428"/>
      <c r="U119" s="428"/>
      <c r="V119" s="428"/>
      <c r="W119" s="428"/>
    </row>
    <row r="120" spans="1:23" s="328" customFormat="1" ht="18" x14ac:dyDescent="0.25">
      <c r="A120" s="350" t="s">
        <v>3052</v>
      </c>
      <c r="B120" s="349"/>
      <c r="C120" s="349"/>
      <c r="D120" s="348"/>
      <c r="E120" s="348"/>
      <c r="F120" s="348"/>
      <c r="G120" s="348"/>
      <c r="H120" s="348"/>
      <c r="I120" s="348"/>
      <c r="J120" s="348"/>
      <c r="M120" s="425"/>
      <c r="N120" s="425"/>
      <c r="O120" s="428"/>
      <c r="P120" s="425"/>
      <c r="Q120" s="428"/>
      <c r="R120" s="428"/>
      <c r="S120" s="428"/>
      <c r="T120" s="425"/>
      <c r="U120" s="425"/>
      <c r="V120" s="425"/>
      <c r="W120" s="425"/>
    </row>
    <row r="121" spans="1:23" s="328" customFormat="1" ht="16.5" customHeight="1" x14ac:dyDescent="0.2">
      <c r="A121" s="344"/>
      <c r="B121" s="347" t="s">
        <v>3053</v>
      </c>
      <c r="C121" s="346" t="str">
        <f>IFERROR(VLOOKUP(1,D175:E181,2,0),"")</f>
        <v/>
      </c>
      <c r="D121" s="345" t="str">
        <f>IFERROR(VLOOKUP(2,D175:E181,2,0),"")</f>
        <v/>
      </c>
      <c r="E121" s="345" t="str">
        <f>IFERROR(VLOOKUP(3,D175:E181,2,0),"")</f>
        <v/>
      </c>
      <c r="F121" s="345" t="str">
        <f>IFERROR(VLOOKUP(4,D175:E181,2,0),"")</f>
        <v/>
      </c>
      <c r="G121" s="345" t="s">
        <v>947</v>
      </c>
      <c r="H121" s="345" t="str">
        <f>IFERROR(VLOOKUP(1,D184:E186,2,0),"")</f>
        <v/>
      </c>
      <c r="I121" s="345" t="str">
        <f>IFERROR(VLOOKUP(2,D184:E186,2,0),"")</f>
        <v/>
      </c>
      <c r="J121" s="345" t="s">
        <v>947</v>
      </c>
      <c r="K121" s="338"/>
      <c r="M121" s="425"/>
      <c r="N121" s="425"/>
      <c r="O121" s="428"/>
      <c r="P121" s="425"/>
      <c r="Q121" s="428"/>
      <c r="R121" s="428"/>
      <c r="S121" s="428"/>
      <c r="T121" s="425"/>
      <c r="U121" s="425"/>
      <c r="V121" s="425"/>
      <c r="W121" s="425"/>
    </row>
    <row r="122" spans="1:23" s="328" customFormat="1" ht="16.5" customHeight="1" x14ac:dyDescent="0.2">
      <c r="A122" s="338"/>
      <c r="B122" s="892" t="s">
        <v>3181</v>
      </c>
      <c r="C122" s="893" t="s">
        <v>3182</v>
      </c>
      <c r="D122" s="893" t="s">
        <v>3183</v>
      </c>
      <c r="E122" s="893" t="s">
        <v>3184</v>
      </c>
      <c r="F122" s="893" t="s">
        <v>3185</v>
      </c>
      <c r="G122" s="893"/>
      <c r="H122" s="893" t="s">
        <v>3186</v>
      </c>
      <c r="I122" s="893" t="s">
        <v>3187</v>
      </c>
      <c r="J122" s="870">
        <f>SUM(H122:I122)</f>
        <v>0</v>
      </c>
      <c r="K122" s="894">
        <f>G122+J122</f>
        <v>0</v>
      </c>
      <c r="L122" s="895" t="s">
        <v>122</v>
      </c>
      <c r="M122" s="864" t="s">
        <v>122</v>
      </c>
      <c r="N122" s="425"/>
      <c r="O122" s="428"/>
      <c r="P122" s="425"/>
      <c r="Q122" s="428"/>
      <c r="R122" s="428"/>
      <c r="S122" s="428"/>
      <c r="T122" s="425"/>
      <c r="U122" s="425"/>
      <c r="V122" s="425"/>
      <c r="W122" s="425"/>
    </row>
    <row r="123" spans="1:23" s="328" customFormat="1" ht="16.5" hidden="1" customHeight="1" x14ac:dyDescent="0.2">
      <c r="A123" s="344"/>
      <c r="B123" s="896" t="s">
        <v>3188</v>
      </c>
      <c r="C123" s="870" t="s">
        <v>3189</v>
      </c>
      <c r="D123" s="870" t="s">
        <v>3190</v>
      </c>
      <c r="E123" s="870" t="s">
        <v>3191</v>
      </c>
      <c r="F123" s="870" t="s">
        <v>3192</v>
      </c>
      <c r="G123" s="870">
        <f>SUM(C123:F123)</f>
        <v>0</v>
      </c>
      <c r="H123" s="870" t="s">
        <v>3193</v>
      </c>
      <c r="I123" s="870" t="s">
        <v>3194</v>
      </c>
      <c r="J123" s="870">
        <f>SUM(H123:I123)</f>
        <v>0</v>
      </c>
      <c r="K123" s="894">
        <f>G123+J123</f>
        <v>0</v>
      </c>
      <c r="L123" s="895" t="s">
        <v>371</v>
      </c>
      <c r="M123" s="864" t="s">
        <v>371</v>
      </c>
      <c r="N123" s="425"/>
      <c r="O123" s="428"/>
      <c r="P123" s="425"/>
      <c r="Q123" s="428"/>
      <c r="R123" s="428"/>
      <c r="S123" s="428"/>
      <c r="T123" s="425"/>
      <c r="U123" s="425"/>
      <c r="V123" s="425"/>
      <c r="W123" s="425"/>
    </row>
    <row r="124" spans="1:23" s="328" customFormat="1" ht="16.5" customHeight="1" x14ac:dyDescent="0.2">
      <c r="A124" s="344"/>
      <c r="B124" s="896" t="s">
        <v>3054</v>
      </c>
      <c r="C124" s="870">
        <v>11853739.9001719</v>
      </c>
      <c r="D124" s="870">
        <v>1281214.8905080999</v>
      </c>
      <c r="E124" s="870">
        <v>1196212.7447736899</v>
      </c>
      <c r="F124" s="870">
        <v>1298959.38738459</v>
      </c>
      <c r="G124" s="870">
        <f>SUM(C124:F124)</f>
        <v>15630126.92283828</v>
      </c>
      <c r="H124" s="870">
        <v>0</v>
      </c>
      <c r="I124" s="870">
        <v>0</v>
      </c>
      <c r="J124" s="870">
        <f>SUM(H124:I124)</f>
        <v>0</v>
      </c>
      <c r="K124" s="894">
        <f>G124+J124</f>
        <v>15630126.92283828</v>
      </c>
      <c r="L124" s="895"/>
      <c r="M124" s="864" t="s">
        <v>3195</v>
      </c>
      <c r="N124" s="425"/>
      <c r="O124" s="428"/>
      <c r="P124" s="425"/>
      <c r="Q124" s="428"/>
      <c r="R124" s="428"/>
      <c r="S124" s="428"/>
      <c r="T124" s="425"/>
      <c r="U124" s="425"/>
      <c r="V124" s="425"/>
      <c r="W124" s="425"/>
    </row>
    <row r="125" spans="1:23" s="328" customFormat="1" ht="16.5" customHeight="1" x14ac:dyDescent="0.2">
      <c r="A125" s="344"/>
      <c r="B125" s="897"/>
      <c r="C125" s="430"/>
      <c r="D125" s="430"/>
      <c r="E125" s="430"/>
      <c r="F125" s="430"/>
      <c r="G125" s="870"/>
      <c r="H125" s="430"/>
      <c r="I125" s="430"/>
      <c r="J125" s="870">
        <f>SUM(H125:I125)</f>
        <v>0</v>
      </c>
      <c r="K125" s="894">
        <f>G125+J125</f>
        <v>0</v>
      </c>
      <c r="L125" s="895"/>
      <c r="M125" s="877"/>
      <c r="N125" s="425"/>
      <c r="O125" s="428"/>
      <c r="P125" s="425"/>
      <c r="Q125" s="428"/>
      <c r="R125" s="428"/>
      <c r="S125" s="428"/>
      <c r="T125" s="425"/>
      <c r="U125" s="425"/>
      <c r="V125" s="425"/>
      <c r="W125" s="425"/>
    </row>
    <row r="126" spans="1:23" s="328" customFormat="1" ht="16.5" hidden="1" customHeight="1" x14ac:dyDescent="0.2">
      <c r="A126" s="343"/>
      <c r="B126" s="896" t="s">
        <v>3188</v>
      </c>
      <c r="C126" s="430" t="str">
        <f>IFERROR(INDEX('Cash Forecast_8A'!E$201:E203,MATCH($B126,'Cash Forecast_8A'!$D$201:$D203,0)),"")</f>
        <v/>
      </c>
      <c r="D126" s="430" t="str">
        <f>IFERROR(INDEX('Cash Forecast_8A'!F$201:F203,MATCH($B126,'Cash Forecast_8A'!$D$201:$D203,0)),"")</f>
        <v/>
      </c>
      <c r="E126" s="430" t="str">
        <f>IFERROR(INDEX('Cash Forecast_8A'!G$201:G203,MATCH($B126,'Cash Forecast_8A'!$D$201:$D203,0)),"")</f>
        <v/>
      </c>
      <c r="F126" s="430" t="str">
        <f>IFERROR(INDEX('Cash Forecast_8A'!H$201:H203,MATCH($B126,'Cash Forecast_8A'!$D$201:$D203,0)),"")</f>
        <v/>
      </c>
      <c r="G126" s="870">
        <f>SUM(C126:F126)</f>
        <v>0</v>
      </c>
      <c r="H126" s="430" t="str">
        <f>IFERROR(INDEX('Cash Forecast_8A'!J$201:J203,MATCH($B126,'Cash Forecast_8A'!$D$201:$D203,0)),"")</f>
        <v/>
      </c>
      <c r="I126" s="430" t="str">
        <f>IFERROR(INDEX('Cash Forecast_8A'!K$201:K203,MATCH($B126,'Cash Forecast_8A'!$D$201:$D203,0)),"")</f>
        <v/>
      </c>
      <c r="J126" s="870">
        <f>SUM(H126:I126)</f>
        <v>0</v>
      </c>
      <c r="K126" s="898"/>
      <c r="L126" s="895"/>
      <c r="M126" s="864" t="s">
        <v>371</v>
      </c>
      <c r="N126" s="425"/>
      <c r="O126" s="428"/>
      <c r="P126" s="425"/>
      <c r="Q126" s="428"/>
      <c r="R126" s="428"/>
      <c r="S126" s="428"/>
      <c r="T126" s="425"/>
      <c r="U126" s="425"/>
      <c r="V126" s="425"/>
      <c r="W126" s="425"/>
    </row>
    <row r="127" spans="1:23" s="328" customFormat="1" ht="16.5" customHeight="1" x14ac:dyDescent="0.2">
      <c r="A127" s="343"/>
      <c r="B127" s="896" t="s">
        <v>3056</v>
      </c>
      <c r="C127" s="430">
        <f>IFERROR(INDEX('Cash Forecast_8A'!E$201:E204,MATCH($B127,'Cash Forecast_8A'!$D$201:$D204,0)),"")</f>
        <v>14441773.677308217</v>
      </c>
      <c r="D127" s="430">
        <f>IFERROR(INDEX('Cash Forecast_8A'!F$201:F204,MATCH($B127,'Cash Forecast_8A'!$D$201:$D204,0)),"")</f>
        <v>1281214.8905081009</v>
      </c>
      <c r="E127" s="430">
        <f>IFERROR(INDEX('Cash Forecast_8A'!G$201:G204,MATCH($B127,'Cash Forecast_8A'!$D$201:$D204,0)),"")</f>
        <v>1196212.7447736876</v>
      </c>
      <c r="F127" s="430">
        <f>IFERROR(INDEX('Cash Forecast_8A'!H$201:H204,MATCH($B127,'Cash Forecast_8A'!$D$201:$D204,0)),"")</f>
        <v>1298959.387384593</v>
      </c>
      <c r="G127" s="870">
        <f t="shared" ref="G127:G129" si="17">SUM(C127:F127)</f>
        <v>18218160.699974597</v>
      </c>
      <c r="H127" s="430">
        <f>IFERROR(INDEX('Cash Forecast_8A'!J$201:J204,MATCH($B127,'Cash Forecast_8A'!$D$201:$D204,0)),"")</f>
        <v>0</v>
      </c>
      <c r="I127" s="430">
        <f>IFERROR(INDEX('Cash Forecast_8A'!K$201:K204,MATCH($B127,'Cash Forecast_8A'!$D$201:$D204,0)),"")</f>
        <v>0</v>
      </c>
      <c r="J127" s="870">
        <f t="shared" ref="J127:J129" si="18">SUM(H127:I127)</f>
        <v>0</v>
      </c>
      <c r="K127" s="898"/>
      <c r="L127" s="895"/>
      <c r="M127" s="864" t="s">
        <v>3196</v>
      </c>
      <c r="N127" s="425"/>
      <c r="O127" s="428"/>
      <c r="P127" s="425"/>
      <c r="Q127" s="428"/>
      <c r="R127" s="428"/>
      <c r="S127" s="428"/>
      <c r="T127" s="425"/>
      <c r="U127" s="425"/>
      <c r="V127" s="425"/>
      <c r="W127" s="425"/>
    </row>
    <row r="128" spans="1:23" s="328" customFormat="1" ht="16.5" customHeight="1" x14ac:dyDescent="0.2">
      <c r="A128" s="343"/>
      <c r="B128" s="896" t="s">
        <v>3055</v>
      </c>
      <c r="C128" s="430">
        <f>IFERROR(INDEX('Cash Forecast_8A'!E$201:E205,MATCH($B128,'Cash Forecast_8A'!$D$201:$D205,0)),"")</f>
        <v>0</v>
      </c>
      <c r="D128" s="430">
        <f>IFERROR(INDEX('Cash Forecast_8A'!F$201:F205,MATCH($B128,'Cash Forecast_8A'!$D$201:$D205,0)),"")</f>
        <v>0</v>
      </c>
      <c r="E128" s="430">
        <f>IFERROR(INDEX('Cash Forecast_8A'!G$201:G205,MATCH($B128,'Cash Forecast_8A'!$D$201:$D205,0)),"")</f>
        <v>0</v>
      </c>
      <c r="F128" s="430">
        <f>IFERROR(INDEX('Cash Forecast_8A'!H$201:H205,MATCH($B128,'Cash Forecast_8A'!$D$201:$D205,0)),"")</f>
        <v>0</v>
      </c>
      <c r="G128" s="870">
        <f t="shared" si="17"/>
        <v>0</v>
      </c>
      <c r="H128" s="430">
        <f>IFERROR(INDEX('Cash Forecast_8A'!J$201:J205,MATCH($B128,'Cash Forecast_8A'!$D$201:$D205,0)),"")</f>
        <v>0</v>
      </c>
      <c r="I128" s="430">
        <f>IFERROR(INDEX('Cash Forecast_8A'!K$201:K205,MATCH($B128,'Cash Forecast_8A'!$D$201:$D205,0)),"")</f>
        <v>0</v>
      </c>
      <c r="J128" s="870">
        <f t="shared" si="18"/>
        <v>0</v>
      </c>
      <c r="K128" s="898"/>
      <c r="L128" s="895"/>
      <c r="M128" s="864" t="s">
        <v>3197</v>
      </c>
      <c r="N128" s="425"/>
      <c r="O128" s="428"/>
      <c r="P128" s="425"/>
      <c r="Q128" s="428"/>
      <c r="R128" s="428"/>
      <c r="S128" s="428"/>
      <c r="T128" s="425"/>
      <c r="U128" s="425"/>
      <c r="V128" s="425"/>
      <c r="W128" s="425"/>
    </row>
    <row r="129" spans="1:23" s="328" customFormat="1" ht="16.5" customHeight="1" x14ac:dyDescent="0.2">
      <c r="A129" s="343"/>
      <c r="B129" s="896" t="s">
        <v>3057</v>
      </c>
      <c r="C129" s="430">
        <f>IFERROR(INDEX('Cash Forecast_8A'!E$201:E206,MATCH($B129,'Cash Forecast_8A'!$D$201:$D206,0)),"")</f>
        <v>0</v>
      </c>
      <c r="D129" s="430">
        <f>IFERROR(INDEX('Cash Forecast_8A'!F$201:F206,MATCH($B129,'Cash Forecast_8A'!$D$201:$D206,0)),"")</f>
        <v>0</v>
      </c>
      <c r="E129" s="430">
        <f>IFERROR(INDEX('Cash Forecast_8A'!G$201:G206,MATCH($B129,'Cash Forecast_8A'!$D$201:$D206,0)),"")</f>
        <v>0</v>
      </c>
      <c r="F129" s="430">
        <f>IFERROR(INDEX('Cash Forecast_8A'!H$201:H206,MATCH($B129,'Cash Forecast_8A'!$D$201:$D206,0)),"")</f>
        <v>0</v>
      </c>
      <c r="G129" s="870">
        <f t="shared" si="17"/>
        <v>0</v>
      </c>
      <c r="H129" s="430">
        <f>IFERROR(INDEX('Cash Forecast_8A'!J$201:J206,MATCH($B129,'Cash Forecast_8A'!$D$201:$D206,0)),"")</f>
        <v>0</v>
      </c>
      <c r="I129" s="430">
        <f>IFERROR(INDEX('Cash Forecast_8A'!K$201:K206,MATCH($B129,'Cash Forecast_8A'!$D$201:$D206,0)),"")</f>
        <v>0</v>
      </c>
      <c r="J129" s="870">
        <f t="shared" si="18"/>
        <v>0</v>
      </c>
      <c r="K129" s="898"/>
      <c r="L129" s="895"/>
      <c r="M129" s="864" t="s">
        <v>3198</v>
      </c>
      <c r="N129" s="425"/>
      <c r="O129" s="428"/>
      <c r="P129" s="425"/>
      <c r="Q129" s="428"/>
      <c r="R129" s="428"/>
      <c r="S129" s="428"/>
      <c r="T129" s="425"/>
      <c r="U129" s="425"/>
      <c r="V129" s="425"/>
      <c r="W129" s="425"/>
    </row>
    <row r="130" spans="1:23" s="328" customFormat="1" ht="16.5" customHeight="1" x14ac:dyDescent="0.2">
      <c r="A130" s="1830" t="s">
        <v>1085</v>
      </c>
      <c r="B130" s="616"/>
      <c r="C130" s="617"/>
      <c r="D130" s="617"/>
      <c r="E130" s="617"/>
      <c r="F130" s="617"/>
      <c r="G130" s="614"/>
      <c r="H130" s="617"/>
      <c r="I130" s="617"/>
      <c r="J130" s="613"/>
      <c r="K130" s="615"/>
      <c r="L130" s="339" t="s">
        <v>371</v>
      </c>
      <c r="M130" s="425"/>
      <c r="N130" s="425"/>
      <c r="O130" s="428"/>
      <c r="P130" s="425"/>
      <c r="Q130" s="428"/>
      <c r="R130" s="428"/>
      <c r="S130" s="428"/>
      <c r="T130" s="425"/>
      <c r="U130" s="425"/>
      <c r="V130" s="425"/>
      <c r="W130" s="425"/>
    </row>
    <row r="131" spans="1:23" s="328" customFormat="1" ht="16.5" customHeight="1" x14ac:dyDescent="0.2">
      <c r="A131" s="1830"/>
      <c r="B131" s="337" t="s">
        <v>947</v>
      </c>
      <c r="C131" s="336">
        <f>ROUND(SUM(C126:C130),2)</f>
        <v>14441773.68</v>
      </c>
      <c r="D131" s="336">
        <f>ROUND(SUM(D126:D130),2)</f>
        <v>1281214.8899999999</v>
      </c>
      <c r="E131" s="336">
        <f>ROUND(SUM(E126:E130),2)</f>
        <v>1196212.74</v>
      </c>
      <c r="F131" s="336">
        <f>ROUND(SUM(F126:F130),2)</f>
        <v>1298959.3899999999</v>
      </c>
      <c r="G131" s="336">
        <f>ROUND(SUM(C131:F131),2)</f>
        <v>18218160.699999999</v>
      </c>
      <c r="H131" s="336">
        <f>ROUND(SUM(H126:H130),2)</f>
        <v>0</v>
      </c>
      <c r="I131" s="336">
        <f>ROUND(SUM(I126:I130),2)</f>
        <v>0</v>
      </c>
      <c r="J131" s="336">
        <f>ROUND(SUM(H131:I131),2)</f>
        <v>0</v>
      </c>
      <c r="K131" s="336">
        <f>G131+J131</f>
        <v>18218160.699999999</v>
      </c>
      <c r="L131" s="339"/>
      <c r="M131" s="425" t="s">
        <v>122</v>
      </c>
      <c r="N131" s="425"/>
      <c r="O131" s="428"/>
      <c r="P131" s="425"/>
      <c r="Q131" s="428"/>
      <c r="R131" s="428"/>
      <c r="S131" s="428"/>
      <c r="T131" s="425"/>
      <c r="U131" s="425"/>
      <c r="V131" s="425"/>
      <c r="W131" s="425"/>
    </row>
    <row r="132" spans="1:23" s="328" customFormat="1" ht="16.5" customHeight="1" x14ac:dyDescent="0.2">
      <c r="A132" s="415"/>
      <c r="B132" s="899"/>
      <c r="C132" s="879" t="s">
        <v>3182</v>
      </c>
      <c r="D132" s="879" t="s">
        <v>3183</v>
      </c>
      <c r="E132" s="879" t="s">
        <v>3184</v>
      </c>
      <c r="F132" s="879" t="s">
        <v>3185</v>
      </c>
      <c r="G132" s="894"/>
      <c r="H132" s="879" t="s">
        <v>3186</v>
      </c>
      <c r="I132" s="879" t="s">
        <v>3187</v>
      </c>
      <c r="J132" s="894">
        <f>SUM(H132:I132)</f>
        <v>0</v>
      </c>
      <c r="K132" s="894">
        <f>G132+J132</f>
        <v>0</v>
      </c>
      <c r="L132" s="895"/>
      <c r="M132" s="864"/>
      <c r="N132" s="425"/>
      <c r="O132" s="428"/>
      <c r="P132" s="425"/>
      <c r="Q132" s="428"/>
      <c r="R132" s="428"/>
      <c r="S132" s="428"/>
      <c r="T132" s="425"/>
      <c r="U132" s="425"/>
      <c r="V132" s="425"/>
      <c r="W132" s="425"/>
    </row>
    <row r="133" spans="1:23" s="328" customFormat="1" ht="16.5" hidden="1" customHeight="1" x14ac:dyDescent="0.2">
      <c r="A133" s="342"/>
      <c r="B133" s="896" t="s">
        <v>3188</v>
      </c>
      <c r="C133" s="879" t="str">
        <f>IFERROR(INDEX('Cash Forecast_8A'!E$205:E207,MATCH($B133,'Cash Forecast_8A'!$D$205:$D207,0)),"")</f>
        <v/>
      </c>
      <c r="D133" s="879" t="str">
        <f>IFERROR(INDEX('Cash Forecast_8A'!F$205:F207,MATCH($B133,'Cash Forecast_8A'!$D$205:$D207,0)),"")</f>
        <v/>
      </c>
      <c r="E133" s="879" t="str">
        <f>IFERROR(INDEX('Cash Forecast_8A'!G$205:G207,MATCH($B133,'Cash Forecast_8A'!$D$205:$D207,0)),"")</f>
        <v/>
      </c>
      <c r="F133" s="879" t="str">
        <f>IFERROR(INDEX('Cash Forecast_8A'!H$205:H207,MATCH($B133,'Cash Forecast_8A'!$D$205:$D207,0)),"")</f>
        <v/>
      </c>
      <c r="G133" s="894">
        <f>SUM(C133:F133)</f>
        <v>0</v>
      </c>
      <c r="H133" s="879" t="str">
        <f>IFERROR(INDEX('Cash Forecast_8A'!J$205:J207,MATCH($B133,'Cash Forecast_8A'!$D$205:$D207,0)),"")</f>
        <v/>
      </c>
      <c r="I133" s="879" t="str">
        <f>IFERROR(INDEX('Cash Forecast_8A'!K$205:K207,MATCH($B133,'Cash Forecast_8A'!$D$205:$D207,0)),"")</f>
        <v/>
      </c>
      <c r="J133" s="894">
        <f>SUM(H133:I133)</f>
        <v>0</v>
      </c>
      <c r="K133" s="898"/>
      <c r="L133" s="895" t="s">
        <v>122</v>
      </c>
      <c r="M133" s="864" t="s">
        <v>371</v>
      </c>
      <c r="N133" s="425"/>
      <c r="O133" s="428"/>
      <c r="P133" s="425"/>
      <c r="Q133" s="428"/>
      <c r="R133" s="428"/>
      <c r="S133" s="428"/>
      <c r="T133" s="425"/>
      <c r="U133" s="425"/>
      <c r="V133" s="425"/>
      <c r="W133" s="425"/>
    </row>
    <row r="134" spans="1:23" s="328" customFormat="1" ht="16.5" customHeight="1" x14ac:dyDescent="0.2">
      <c r="A134" s="342"/>
      <c r="B134" s="896" t="s">
        <v>3056</v>
      </c>
      <c r="C134" s="879">
        <f>IFERROR(INDEX('Cash Forecast_8A'!E$205:E208,MATCH($B134,'Cash Forecast_8A'!$D$205:$D208,0)),"")</f>
        <v>0</v>
      </c>
      <c r="D134" s="879">
        <f>IFERROR(INDEX('Cash Forecast_8A'!F$205:F208,MATCH($B134,'Cash Forecast_8A'!$D$205:$D208,0)),"")</f>
        <v>0</v>
      </c>
      <c r="E134" s="879">
        <f>IFERROR(INDEX('Cash Forecast_8A'!G$205:G208,MATCH($B134,'Cash Forecast_8A'!$D$205:$D208,0)),"")</f>
        <v>0</v>
      </c>
      <c r="F134" s="879">
        <f>IFERROR(INDEX('Cash Forecast_8A'!H$205:H208,MATCH($B134,'Cash Forecast_8A'!$D$205:$D208,0)),"")</f>
        <v>0</v>
      </c>
      <c r="G134" s="894">
        <f t="shared" ref="G134:G136" si="19">SUM(C134:F134)</f>
        <v>0</v>
      </c>
      <c r="H134" s="879">
        <f>IFERROR(INDEX('Cash Forecast_8A'!J$205:J208,MATCH($B134,'Cash Forecast_8A'!$D$205:$D208,0)),"")</f>
        <v>0</v>
      </c>
      <c r="I134" s="879">
        <f>IFERROR(INDEX('Cash Forecast_8A'!K$205:K208,MATCH($B134,'Cash Forecast_8A'!$D$205:$D208,0)),"")</f>
        <v>0</v>
      </c>
      <c r="J134" s="894">
        <f t="shared" ref="J134:J136" si="20">SUM(H134:I134)</f>
        <v>0</v>
      </c>
      <c r="K134" s="898"/>
      <c r="L134" s="895"/>
      <c r="M134" s="864" t="s">
        <v>3199</v>
      </c>
      <c r="N134" s="425"/>
      <c r="O134" s="428"/>
      <c r="P134" s="425"/>
      <c r="Q134" s="428"/>
      <c r="R134" s="428"/>
      <c r="S134" s="428"/>
      <c r="T134" s="425"/>
      <c r="U134" s="425"/>
      <c r="V134" s="425"/>
      <c r="W134" s="425"/>
    </row>
    <row r="135" spans="1:23" s="328" customFormat="1" ht="16.5" customHeight="1" x14ac:dyDescent="0.2">
      <c r="A135" s="342"/>
      <c r="B135" s="896" t="s">
        <v>3055</v>
      </c>
      <c r="C135" s="879">
        <f>IFERROR(INDEX('Cash Forecast_8A'!E$205:E209,MATCH($B135,'Cash Forecast_8A'!$D$205:$D209,0)),"")</f>
        <v>0</v>
      </c>
      <c r="D135" s="879">
        <f>IFERROR(INDEX('Cash Forecast_8A'!F$205:F209,MATCH($B135,'Cash Forecast_8A'!$D$205:$D209,0)),"")</f>
        <v>0</v>
      </c>
      <c r="E135" s="879">
        <f>IFERROR(INDEX('Cash Forecast_8A'!G$205:G209,MATCH($B135,'Cash Forecast_8A'!$D$205:$D209,0)),"")</f>
        <v>0</v>
      </c>
      <c r="F135" s="879">
        <f>IFERROR(INDEX('Cash Forecast_8A'!H$205:H209,MATCH($B135,'Cash Forecast_8A'!$D$205:$D209,0)),"")</f>
        <v>0</v>
      </c>
      <c r="G135" s="894">
        <f t="shared" si="19"/>
        <v>0</v>
      </c>
      <c r="H135" s="879">
        <f>IFERROR(INDEX('Cash Forecast_8A'!J$205:J209,MATCH($B135,'Cash Forecast_8A'!$D$205:$D209,0)),"")</f>
        <v>0</v>
      </c>
      <c r="I135" s="879">
        <f>IFERROR(INDEX('Cash Forecast_8A'!K$205:K209,MATCH($B135,'Cash Forecast_8A'!$D$205:$D209,0)),"")</f>
        <v>0</v>
      </c>
      <c r="J135" s="894">
        <f t="shared" si="20"/>
        <v>0</v>
      </c>
      <c r="K135" s="898"/>
      <c r="L135" s="895"/>
      <c r="M135" s="864" t="s">
        <v>3200</v>
      </c>
      <c r="N135" s="425"/>
      <c r="O135" s="428"/>
      <c r="P135" s="425"/>
      <c r="Q135" s="428"/>
      <c r="R135" s="428"/>
      <c r="S135" s="428"/>
      <c r="T135" s="425"/>
      <c r="U135" s="425"/>
      <c r="V135" s="425"/>
      <c r="W135" s="425"/>
    </row>
    <row r="136" spans="1:23" s="328" customFormat="1" ht="16.5" customHeight="1" x14ac:dyDescent="0.2">
      <c r="A136" s="342"/>
      <c r="B136" s="896" t="s">
        <v>3057</v>
      </c>
      <c r="C136" s="879">
        <f>IFERROR(INDEX('Cash Forecast_8A'!E$205:E210,MATCH($B136,'Cash Forecast_8A'!$D$205:$D210,0)),"")</f>
        <v>0</v>
      </c>
      <c r="D136" s="879">
        <f>IFERROR(INDEX('Cash Forecast_8A'!F$205:F210,MATCH($B136,'Cash Forecast_8A'!$D$205:$D210,0)),"")</f>
        <v>0</v>
      </c>
      <c r="E136" s="879">
        <f>IFERROR(INDEX('Cash Forecast_8A'!G$205:G210,MATCH($B136,'Cash Forecast_8A'!$D$205:$D210,0)),"")</f>
        <v>0</v>
      </c>
      <c r="F136" s="879">
        <f>IFERROR(INDEX('Cash Forecast_8A'!H$205:H210,MATCH($B136,'Cash Forecast_8A'!$D$205:$D210,0)),"")</f>
        <v>0</v>
      </c>
      <c r="G136" s="894">
        <f t="shared" si="19"/>
        <v>0</v>
      </c>
      <c r="H136" s="879">
        <f>IFERROR(INDEX('Cash Forecast_8A'!J$205:J210,MATCH($B136,'Cash Forecast_8A'!$D$205:$D210,0)),"")</f>
        <v>0</v>
      </c>
      <c r="I136" s="879">
        <f>IFERROR(INDEX('Cash Forecast_8A'!K$205:K210,MATCH($B136,'Cash Forecast_8A'!$D$205:$D210,0)),"")</f>
        <v>0</v>
      </c>
      <c r="J136" s="894">
        <f t="shared" si="20"/>
        <v>0</v>
      </c>
      <c r="K136" s="898"/>
      <c r="L136" s="895"/>
      <c r="M136" s="864" t="s">
        <v>3201</v>
      </c>
      <c r="N136" s="425"/>
      <c r="O136" s="428"/>
      <c r="P136" s="425"/>
      <c r="Q136" s="428"/>
      <c r="R136" s="428"/>
      <c r="S136" s="428"/>
      <c r="T136" s="425"/>
      <c r="U136" s="425"/>
      <c r="V136" s="425"/>
      <c r="W136" s="425"/>
    </row>
    <row r="137" spans="1:23" s="328" customFormat="1" ht="16.5" customHeight="1" x14ac:dyDescent="0.2">
      <c r="A137" s="1821" t="s">
        <v>3058</v>
      </c>
      <c r="B137" s="341"/>
      <c r="C137" s="613"/>
      <c r="D137" s="613"/>
      <c r="E137" s="613"/>
      <c r="F137" s="613"/>
      <c r="G137" s="614"/>
      <c r="H137" s="613"/>
      <c r="I137" s="613"/>
      <c r="J137" s="614"/>
      <c r="K137" s="615"/>
      <c r="L137" s="339" t="s">
        <v>371</v>
      </c>
      <c r="N137" s="425"/>
      <c r="O137" s="428"/>
      <c r="P137" s="425"/>
      <c r="Q137" s="428"/>
      <c r="R137" s="428"/>
      <c r="S137" s="428"/>
      <c r="T137" s="425"/>
      <c r="U137" s="425"/>
      <c r="V137" s="425"/>
      <c r="W137" s="425"/>
    </row>
    <row r="138" spans="1:23" s="328" customFormat="1" ht="16.5" customHeight="1" x14ac:dyDescent="0.2">
      <c r="A138" s="1821"/>
      <c r="B138" s="337" t="s">
        <v>947</v>
      </c>
      <c r="C138" s="336">
        <f>ROUND(SUM(C133:C137),2)</f>
        <v>0</v>
      </c>
      <c r="D138" s="336">
        <f>ROUND(SUM(D133:D137),2)</f>
        <v>0</v>
      </c>
      <c r="E138" s="336">
        <f>ROUND(SUM(E133:E137),2)</f>
        <v>0</v>
      </c>
      <c r="F138" s="336">
        <f>ROUND(SUM(F133:F137),2)</f>
        <v>0</v>
      </c>
      <c r="G138" s="336">
        <f>ROUND(SUM(G133:G137),2)</f>
        <v>0</v>
      </c>
      <c r="H138" s="336">
        <f>ROUND(SUM(H133:H133),2)</f>
        <v>0</v>
      </c>
      <c r="I138" s="336">
        <f>ROUND(SUM(I133:I133),2)</f>
        <v>0</v>
      </c>
      <c r="J138" s="336">
        <f>ROUND(SUM(J133:J137),2)</f>
        <v>0</v>
      </c>
      <c r="K138" s="336">
        <f>ROUND(SUM(K133:K137),2)</f>
        <v>0</v>
      </c>
      <c r="M138" s="425"/>
      <c r="N138" s="425"/>
      <c r="O138" s="428"/>
      <c r="P138" s="425"/>
      <c r="Q138" s="428"/>
      <c r="R138" s="428"/>
      <c r="S138" s="428"/>
      <c r="T138" s="425"/>
      <c r="U138" s="425"/>
      <c r="V138" s="425"/>
      <c r="W138" s="425"/>
    </row>
    <row r="139" spans="1:23" s="328" customFormat="1" ht="16.5" customHeight="1" x14ac:dyDescent="0.2">
      <c r="A139" s="326"/>
      <c r="M139" s="425"/>
      <c r="N139" s="425"/>
      <c r="O139" s="428"/>
      <c r="P139" s="425"/>
      <c r="Q139" s="428"/>
      <c r="R139" s="428"/>
      <c r="S139" s="428"/>
      <c r="T139" s="425"/>
      <c r="U139" s="425"/>
      <c r="V139" s="425"/>
      <c r="W139" s="425"/>
    </row>
    <row r="140" spans="1:23" ht="16.5" customHeight="1" x14ac:dyDescent="0.2">
      <c r="M140" s="425"/>
      <c r="N140" s="425"/>
      <c r="O140" s="428"/>
      <c r="P140" s="425"/>
      <c r="Q140" s="428"/>
      <c r="R140" s="428"/>
      <c r="S140" s="428"/>
      <c r="T140" s="428"/>
      <c r="U140" s="428"/>
      <c r="V140" s="428"/>
      <c r="W140" s="428"/>
    </row>
    <row r="141" spans="1:23" s="328" customFormat="1" ht="16.5" customHeight="1" x14ac:dyDescent="0.2">
      <c r="A141" s="335" t="s">
        <v>3059</v>
      </c>
      <c r="G141" s="46" t="str">
        <f>IF(AND(ROUND(D24,0)=ROUND(D103,0),ROUND(D103,0)=ROUND(D113,0),ROUND(D113,0)=ROUND(G131,0)),"OK","WARNING - Sum of the three tables not matching")</f>
        <v>OK</v>
      </c>
      <c r="H141" s="334"/>
      <c r="I141" s="334"/>
      <c r="J141" s="46" t="str">
        <f>IF(AND(ROUND(F24,0)=ROUND(F103,0),ROUND(F103,0)=ROUND(F113,0),ROUND(F113,0)=ROUND(J131,0)),"OK","WARNING - Sum of the three tables not matching")</f>
        <v>OK</v>
      </c>
      <c r="M141" s="425"/>
      <c r="N141" s="425"/>
      <c r="O141" s="428"/>
      <c r="P141" s="425"/>
      <c r="Q141" s="428"/>
      <c r="R141" s="428"/>
      <c r="S141" s="428"/>
      <c r="T141" s="425"/>
      <c r="U141" s="425"/>
      <c r="V141" s="425"/>
      <c r="W141" s="425"/>
    </row>
    <row r="142" spans="1:23" ht="16.5" customHeight="1" x14ac:dyDescent="0.2">
      <c r="M142" s="425"/>
      <c r="N142" s="425"/>
      <c r="O142" s="428"/>
      <c r="P142" s="425"/>
      <c r="Q142" s="428"/>
      <c r="R142" s="428"/>
      <c r="S142" s="428"/>
      <c r="T142" s="428"/>
      <c r="U142" s="428"/>
      <c r="V142" s="428"/>
      <c r="W142" s="428"/>
    </row>
    <row r="143" spans="1:23" s="328" customFormat="1" ht="16.5" customHeight="1" x14ac:dyDescent="0.2">
      <c r="A143" s="333" t="s">
        <v>3060</v>
      </c>
      <c r="G143" s="46" t="str">
        <f>IF(AND(ROUND(J24,0)=ROUND(J103,0),ROUND(J103,0)=ROUND(J113,0),ROUND(J113,0)=ROUND(G138,0)),"OK","WARNING - Sum of the three tables not matching")</f>
        <v>OK</v>
      </c>
      <c r="J143" s="46" t="str">
        <f>IF(AND(ROUND(K24,0)=ROUND(K103,0),ROUND(K103,0)=ROUND(K113,0),ROUND(K113,0)=ROUND(J138,0)),"OK","WARNING - Sum of the three tables not matching")</f>
        <v>OK</v>
      </c>
      <c r="M143" s="425"/>
      <c r="N143" s="425"/>
      <c r="O143" s="428"/>
      <c r="P143" s="425"/>
      <c r="Q143" s="428"/>
      <c r="R143" s="428"/>
      <c r="S143" s="428"/>
      <c r="T143" s="425"/>
      <c r="U143" s="425"/>
      <c r="V143" s="425"/>
      <c r="W143" s="425"/>
    </row>
    <row r="144" spans="1:23" ht="16.5" customHeight="1" x14ac:dyDescent="0.2">
      <c r="M144" s="425"/>
      <c r="N144" s="425"/>
      <c r="O144" s="428"/>
      <c r="P144" s="425"/>
      <c r="Q144" s="428"/>
      <c r="R144" s="428"/>
      <c r="S144" s="428"/>
      <c r="T144" s="428"/>
      <c r="U144" s="428"/>
      <c r="V144" s="428"/>
      <c r="W144" s="428"/>
    </row>
    <row r="145" spans="3:23" ht="16.5" customHeight="1" x14ac:dyDescent="0.2">
      <c r="M145" s="425"/>
      <c r="N145" s="425"/>
      <c r="O145" s="428"/>
      <c r="P145" s="425"/>
      <c r="Q145" s="428"/>
      <c r="R145" s="428"/>
      <c r="S145" s="428"/>
      <c r="T145" s="428"/>
      <c r="U145" s="428"/>
      <c r="V145" s="428"/>
      <c r="W145" s="428"/>
    </row>
    <row r="146" spans="3:23" ht="16.5" customHeight="1" x14ac:dyDescent="0.2">
      <c r="M146" s="425"/>
      <c r="N146" s="425"/>
      <c r="O146" s="428"/>
      <c r="P146" s="425"/>
      <c r="Q146" s="428"/>
      <c r="R146" s="428"/>
      <c r="S146" s="428"/>
      <c r="T146" s="428"/>
      <c r="U146" s="428"/>
      <c r="V146" s="428"/>
      <c r="W146" s="428"/>
    </row>
    <row r="147" spans="3:23" ht="16.5" customHeight="1" x14ac:dyDescent="0.2">
      <c r="M147" s="425"/>
      <c r="N147" s="425"/>
      <c r="O147" s="428"/>
      <c r="P147" s="425"/>
      <c r="Q147" s="428"/>
      <c r="R147" s="428"/>
      <c r="S147" s="428"/>
      <c r="T147" s="428"/>
      <c r="U147" s="428"/>
      <c r="V147" s="428"/>
      <c r="W147" s="428"/>
    </row>
    <row r="148" spans="3:23" ht="16.5" customHeight="1" x14ac:dyDescent="0.2">
      <c r="C148" s="610" t="s">
        <v>3061</v>
      </c>
      <c r="M148" s="425"/>
      <c r="N148" s="425"/>
      <c r="O148" s="428"/>
      <c r="P148" s="425"/>
      <c r="Q148" s="428"/>
      <c r="R148" s="428"/>
      <c r="S148" s="428"/>
      <c r="T148" s="428"/>
      <c r="U148" s="428"/>
      <c r="V148" s="428"/>
      <c r="W148" s="428"/>
    </row>
    <row r="149" spans="3:23" ht="16.5" customHeight="1" x14ac:dyDescent="0.2">
      <c r="M149" s="425"/>
      <c r="N149" s="425"/>
      <c r="O149" s="428"/>
      <c r="P149" s="425"/>
      <c r="Q149" s="428"/>
      <c r="R149" s="428"/>
      <c r="S149" s="428"/>
      <c r="T149" s="428"/>
      <c r="U149" s="428"/>
      <c r="V149" s="428"/>
      <c r="W149" s="428"/>
    </row>
    <row r="150" spans="3:23" s="328" customFormat="1" ht="16.5" customHeight="1" x14ac:dyDescent="0.2">
      <c r="C150" s="332"/>
      <c r="M150" s="425"/>
      <c r="N150" s="425"/>
      <c r="O150" s="428"/>
      <c r="P150" s="425"/>
      <c r="Q150" s="428"/>
      <c r="R150" s="428"/>
      <c r="S150" s="428"/>
      <c r="T150" s="425"/>
      <c r="U150" s="425"/>
      <c r="V150" s="425"/>
      <c r="W150" s="425"/>
    </row>
    <row r="151" spans="3:23" ht="16.5" customHeight="1" x14ac:dyDescent="0.2">
      <c r="M151" s="425"/>
      <c r="N151" s="425"/>
      <c r="O151" s="428"/>
      <c r="P151" s="425"/>
      <c r="Q151" s="428"/>
      <c r="R151" s="428"/>
      <c r="S151" s="428"/>
      <c r="T151" s="428"/>
      <c r="U151" s="428"/>
      <c r="V151" s="428"/>
      <c r="W151" s="428"/>
    </row>
    <row r="152" spans="3:23" ht="16.5" customHeight="1" x14ac:dyDescent="0.2">
      <c r="M152" s="425"/>
      <c r="N152" s="425"/>
      <c r="O152" s="428"/>
      <c r="P152" s="425"/>
      <c r="Q152" s="428"/>
      <c r="R152" s="428"/>
      <c r="S152" s="428"/>
      <c r="T152" s="428"/>
      <c r="U152" s="428"/>
      <c r="V152" s="428"/>
      <c r="W152" s="428"/>
    </row>
    <row r="153" spans="3:23" ht="16.5" customHeight="1" x14ac:dyDescent="0.2">
      <c r="M153" s="425"/>
      <c r="N153" s="425"/>
      <c r="O153" s="428"/>
      <c r="P153" s="425"/>
      <c r="Q153" s="428"/>
      <c r="R153" s="428"/>
      <c r="S153" s="428"/>
      <c r="T153" s="428"/>
      <c r="U153" s="428"/>
      <c r="V153" s="428"/>
      <c r="W153" s="428"/>
    </row>
    <row r="154" spans="3:23" ht="16.5" customHeight="1" x14ac:dyDescent="0.2">
      <c r="M154" s="425"/>
      <c r="N154" s="425"/>
      <c r="O154" s="428"/>
      <c r="P154" s="425"/>
      <c r="Q154" s="428"/>
      <c r="R154" s="428"/>
      <c r="S154" s="428"/>
      <c r="T154" s="428"/>
      <c r="U154" s="428"/>
      <c r="V154" s="428"/>
      <c r="W154" s="428"/>
    </row>
    <row r="155" spans="3:23" ht="16.5" customHeight="1" x14ac:dyDescent="0.2">
      <c r="M155" s="425"/>
      <c r="N155" s="425"/>
      <c r="O155" s="428"/>
      <c r="P155" s="425"/>
      <c r="Q155" s="428"/>
      <c r="R155" s="428"/>
      <c r="S155" s="428"/>
      <c r="T155" s="428"/>
      <c r="U155" s="428"/>
      <c r="V155" s="428"/>
      <c r="W155" s="428"/>
    </row>
    <row r="156" spans="3:23" ht="16.5" customHeight="1" x14ac:dyDescent="0.2">
      <c r="M156" s="425"/>
      <c r="N156" s="425"/>
      <c r="O156" s="428"/>
      <c r="P156" s="425"/>
      <c r="Q156" s="428"/>
      <c r="R156" s="428"/>
      <c r="S156" s="428"/>
      <c r="T156" s="428"/>
      <c r="U156" s="428"/>
      <c r="V156" s="428"/>
      <c r="W156" s="428"/>
    </row>
    <row r="157" spans="3:23" ht="16.5" customHeight="1" x14ac:dyDescent="0.2">
      <c r="M157" s="425"/>
      <c r="N157" s="425"/>
      <c r="O157" s="428"/>
      <c r="P157" s="425"/>
      <c r="Q157" s="428"/>
      <c r="R157" s="428"/>
      <c r="S157" s="428"/>
      <c r="T157" s="428"/>
      <c r="U157" s="428"/>
      <c r="V157" s="428"/>
      <c r="W157" s="428"/>
    </row>
    <row r="158" spans="3:23" ht="16.5" customHeight="1" x14ac:dyDescent="0.2">
      <c r="M158" s="425"/>
      <c r="N158" s="425"/>
      <c r="O158" s="428"/>
      <c r="P158" s="425"/>
      <c r="Q158" s="428"/>
      <c r="R158" s="428"/>
      <c r="S158" s="428"/>
      <c r="T158" s="428"/>
      <c r="U158" s="428"/>
      <c r="V158" s="428"/>
      <c r="W158" s="428"/>
    </row>
    <row r="159" spans="3:23" ht="16.5" customHeight="1" x14ac:dyDescent="0.2">
      <c r="M159" s="425"/>
      <c r="N159" s="425"/>
      <c r="O159" s="428"/>
      <c r="P159" s="425"/>
      <c r="Q159" s="428"/>
      <c r="R159" s="428"/>
      <c r="S159" s="428"/>
      <c r="T159" s="428"/>
      <c r="U159" s="428"/>
      <c r="V159" s="428"/>
      <c r="W159" s="428"/>
    </row>
    <row r="163" spans="1:23" ht="16.5" customHeight="1" x14ac:dyDescent="0.2">
      <c r="A163" s="436" t="s">
        <v>3202</v>
      </c>
      <c r="B163" s="44"/>
      <c r="C163" s="44"/>
      <c r="D163" s="44"/>
      <c r="E163" s="44"/>
      <c r="F163" s="44"/>
    </row>
    <row r="164" spans="1:23" ht="16.5" customHeight="1" x14ac:dyDescent="0.2">
      <c r="A164" s="44"/>
      <c r="B164" s="44"/>
      <c r="C164" s="44"/>
      <c r="D164" s="44"/>
      <c r="E164" s="44"/>
      <c r="F164" s="44"/>
    </row>
    <row r="165" spans="1:23" ht="16.5" customHeight="1" x14ac:dyDescent="0.2">
      <c r="A165" s="44"/>
      <c r="B165" s="44"/>
      <c r="C165" s="44"/>
      <c r="D165" s="44"/>
      <c r="E165" s="44"/>
      <c r="F165" s="44"/>
    </row>
    <row r="166" spans="1:23" ht="16.5" customHeight="1" x14ac:dyDescent="0.2">
      <c r="A166" s="44"/>
      <c r="B166" s="44"/>
      <c r="C166" s="44"/>
      <c r="D166" s="44"/>
      <c r="E166" s="44"/>
      <c r="F166" s="44"/>
    </row>
    <row r="167" spans="1:23" ht="16.5" customHeight="1" x14ac:dyDescent="0.2">
      <c r="A167" s="44" t="s">
        <v>60</v>
      </c>
      <c r="B167" s="632">
        <v>43831</v>
      </c>
      <c r="C167" s="632">
        <f>IF(B167="",1/1/2000,B167)</f>
        <v>43831</v>
      </c>
      <c r="D167" s="44"/>
      <c r="E167" s="44"/>
      <c r="F167" s="44"/>
    </row>
    <row r="168" spans="1:23" ht="16.5" customHeight="1" x14ac:dyDescent="0.2">
      <c r="A168" s="44" t="s">
        <v>62</v>
      </c>
      <c r="B168" s="632">
        <v>44196</v>
      </c>
      <c r="C168" s="632">
        <f t="shared" ref="C168:C170" si="21">IF(B168="",1/1/2000,B168)</f>
        <v>44196</v>
      </c>
      <c r="D168" s="44"/>
      <c r="E168" s="44"/>
      <c r="F168" s="44"/>
      <c r="K168" s="331"/>
      <c r="L168" s="329"/>
      <c r="M168" s="329"/>
    </row>
    <row r="169" spans="1:23" ht="16.5" customHeight="1" x14ac:dyDescent="0.2">
      <c r="A169" s="44" t="s">
        <v>64</v>
      </c>
      <c r="B169" s="632"/>
      <c r="C169" s="632">
        <f t="shared" si="21"/>
        <v>5.0000000000000001E-4</v>
      </c>
      <c r="D169" s="44"/>
      <c r="E169" s="44"/>
      <c r="F169" s="44"/>
      <c r="K169" s="331"/>
      <c r="L169" s="329"/>
      <c r="M169" s="329"/>
    </row>
    <row r="170" spans="1:23" ht="16.5" customHeight="1" x14ac:dyDescent="0.2">
      <c r="A170" s="44" t="s">
        <v>66</v>
      </c>
      <c r="B170" s="632"/>
      <c r="C170" s="632">
        <f t="shared" si="21"/>
        <v>5.0000000000000001E-4</v>
      </c>
      <c r="D170" s="44"/>
      <c r="E170" s="44"/>
      <c r="F170" s="44"/>
      <c r="K170" s="331"/>
      <c r="L170" s="329"/>
      <c r="M170" s="329"/>
    </row>
    <row r="171" spans="1:23" ht="16.5" customHeight="1" x14ac:dyDescent="0.2">
      <c r="A171" s="44"/>
      <c r="B171" s="44"/>
      <c r="C171" s="44"/>
      <c r="D171" s="44"/>
      <c r="E171" s="44"/>
      <c r="F171" s="44"/>
      <c r="K171" s="331"/>
      <c r="L171" s="329"/>
      <c r="M171" s="329"/>
    </row>
    <row r="172" spans="1:23" ht="16.5" customHeight="1" x14ac:dyDescent="0.2">
      <c r="A172" s="44"/>
      <c r="B172" s="44"/>
      <c r="C172" s="44"/>
      <c r="D172" s="44"/>
      <c r="E172" s="44"/>
      <c r="F172" s="44"/>
      <c r="K172" s="331"/>
      <c r="L172" s="329"/>
      <c r="M172" s="329"/>
    </row>
    <row r="173" spans="1:23" ht="16.5" customHeight="1" x14ac:dyDescent="0.2">
      <c r="A173" s="44"/>
      <c r="B173" s="44"/>
      <c r="C173" s="44"/>
      <c r="D173" s="44"/>
      <c r="E173" s="44"/>
      <c r="F173" s="44"/>
      <c r="K173" s="331"/>
      <c r="L173" s="329"/>
      <c r="M173" s="329"/>
    </row>
    <row r="174" spans="1:23" ht="16.5" customHeight="1" x14ac:dyDescent="0.2">
      <c r="A174" s="436" t="s">
        <v>3203</v>
      </c>
      <c r="B174" s="44"/>
      <c r="C174" s="44"/>
      <c r="D174" s="44"/>
      <c r="E174" s="44"/>
      <c r="F174" s="44"/>
      <c r="K174" s="331"/>
      <c r="L174" s="329"/>
      <c r="M174" s="329"/>
    </row>
    <row r="175" spans="1:23" s="328" customFormat="1" ht="16.5" customHeight="1" x14ac:dyDescent="0.2">
      <c r="A175" s="802" t="s">
        <v>3204</v>
      </c>
      <c r="B175" s="802" t="s">
        <v>3205</v>
      </c>
      <c r="C175" s="802" t="s">
        <v>3206</v>
      </c>
      <c r="D175" s="802">
        <v>-1</v>
      </c>
      <c r="E175" s="802"/>
      <c r="F175" s="802" t="s">
        <v>122</v>
      </c>
      <c r="G175" s="330"/>
      <c r="H175" s="330"/>
      <c r="I175" s="330"/>
      <c r="J175" s="330"/>
      <c r="K175" s="330"/>
      <c r="L175" s="329"/>
      <c r="M175" s="329"/>
      <c r="O175" s="326"/>
      <c r="P175" s="327"/>
      <c r="Q175" s="326"/>
      <c r="R175" s="326"/>
      <c r="S175" s="326"/>
      <c r="T175" s="326"/>
      <c r="U175" s="326"/>
      <c r="V175" s="326"/>
      <c r="W175" s="326"/>
    </row>
    <row r="176" spans="1:23" s="328" customFormat="1" ht="16.5" hidden="1" customHeight="1" x14ac:dyDescent="0.2">
      <c r="A176" s="803" t="s">
        <v>3207</v>
      </c>
      <c r="B176" s="900" t="s">
        <v>3208</v>
      </c>
      <c r="C176" s="900" t="s">
        <v>3209</v>
      </c>
      <c r="D176" s="802">
        <f>D175+1</f>
        <v>0</v>
      </c>
      <c r="E176" s="802" t="e">
        <f>TEXT(B176,"DD/MMM/YYYY")&amp;"-"&amp;TEXT(C176,"DD/MMM/YYYY")</f>
        <v>#VALUE!</v>
      </c>
      <c r="F176" s="802" t="s">
        <v>371</v>
      </c>
      <c r="O176" s="326"/>
      <c r="P176" s="327"/>
      <c r="Q176" s="326"/>
      <c r="R176" s="326"/>
      <c r="S176" s="326"/>
      <c r="T176" s="326"/>
      <c r="U176" s="326"/>
      <c r="V176" s="326"/>
      <c r="W176" s="326"/>
    </row>
    <row r="177" spans="1:23" s="328" customFormat="1" ht="16.5" customHeight="1" x14ac:dyDescent="0.2">
      <c r="A177" s="803" t="s">
        <v>3210</v>
      </c>
      <c r="B177" s="900">
        <v>43831</v>
      </c>
      <c r="C177" s="900">
        <v>43921</v>
      </c>
      <c r="D177" s="802">
        <f t="shared" ref="D177:D180" si="22">D176+1</f>
        <v>1</v>
      </c>
      <c r="E177" s="802" t="e">
        <f t="shared" ref="E177:E180" si="23">TEXT(B177,"DD/MMM/YYYY")&amp;"-"&amp;TEXT(C177,"DD/MMM/YYYY")</f>
        <v>#VALUE!</v>
      </c>
      <c r="F177" s="802" t="s">
        <v>3211</v>
      </c>
      <c r="O177" s="326"/>
      <c r="P177" s="327"/>
      <c r="Q177" s="326"/>
      <c r="R177" s="326"/>
      <c r="S177" s="326"/>
      <c r="T177" s="326"/>
      <c r="U177" s="326"/>
      <c r="V177" s="326"/>
      <c r="W177" s="326"/>
    </row>
    <row r="178" spans="1:23" s="328" customFormat="1" ht="16.5" customHeight="1" x14ac:dyDescent="0.2">
      <c r="A178" s="803" t="s">
        <v>3212</v>
      </c>
      <c r="B178" s="900">
        <v>43922</v>
      </c>
      <c r="C178" s="900">
        <v>44012</v>
      </c>
      <c r="D178" s="802">
        <f t="shared" si="22"/>
        <v>2</v>
      </c>
      <c r="E178" s="802" t="e">
        <f t="shared" si="23"/>
        <v>#VALUE!</v>
      </c>
      <c r="F178" s="802" t="s">
        <v>3213</v>
      </c>
      <c r="O178" s="326"/>
      <c r="P178" s="327"/>
      <c r="Q178" s="326"/>
      <c r="R178" s="326"/>
      <c r="S178" s="326"/>
      <c r="T178" s="326"/>
      <c r="U178" s="326"/>
      <c r="V178" s="326"/>
      <c r="W178" s="326"/>
    </row>
    <row r="179" spans="1:23" s="328" customFormat="1" ht="16.5" customHeight="1" x14ac:dyDescent="0.2">
      <c r="A179" s="803" t="s">
        <v>3214</v>
      </c>
      <c r="B179" s="900">
        <v>44013</v>
      </c>
      <c r="C179" s="900">
        <v>44104</v>
      </c>
      <c r="D179" s="802">
        <f t="shared" si="22"/>
        <v>3</v>
      </c>
      <c r="E179" s="802" t="e">
        <f t="shared" si="23"/>
        <v>#VALUE!</v>
      </c>
      <c r="F179" s="802" t="s">
        <v>3215</v>
      </c>
      <c r="O179" s="326"/>
      <c r="P179" s="327"/>
      <c r="Q179" s="326"/>
      <c r="R179" s="326"/>
      <c r="S179" s="326"/>
      <c r="T179" s="326"/>
      <c r="U179" s="326"/>
      <c r="V179" s="326"/>
      <c r="W179" s="326"/>
    </row>
    <row r="180" spans="1:23" s="328" customFormat="1" ht="16.5" customHeight="1" x14ac:dyDescent="0.2">
      <c r="A180" s="803" t="s">
        <v>3216</v>
      </c>
      <c r="B180" s="900">
        <v>44105</v>
      </c>
      <c r="C180" s="900">
        <v>44196</v>
      </c>
      <c r="D180" s="802">
        <f t="shared" si="22"/>
        <v>4</v>
      </c>
      <c r="E180" s="802" t="e">
        <f t="shared" si="23"/>
        <v>#VALUE!</v>
      </c>
      <c r="F180" s="802" t="s">
        <v>3217</v>
      </c>
      <c r="O180" s="326"/>
      <c r="P180" s="327"/>
      <c r="Q180" s="326"/>
      <c r="R180" s="326"/>
      <c r="S180" s="326"/>
      <c r="T180" s="326"/>
      <c r="U180" s="326"/>
      <c r="V180" s="326"/>
      <c r="W180" s="326"/>
    </row>
    <row r="181" spans="1:23" ht="16.5" customHeight="1" x14ac:dyDescent="0.2">
      <c r="A181" s="44"/>
      <c r="B181" s="44"/>
      <c r="C181" s="44"/>
      <c r="D181" s="44"/>
      <c r="E181" s="44"/>
      <c r="F181" s="44"/>
    </row>
    <row r="182" spans="1:23" ht="16.5" customHeight="1" x14ac:dyDescent="0.2">
      <c r="A182" s="44"/>
      <c r="B182" s="44"/>
      <c r="C182" s="44"/>
      <c r="D182" s="44"/>
      <c r="E182" s="44"/>
      <c r="F182" s="44"/>
    </row>
    <row r="183" spans="1:23" ht="16.5" customHeight="1" x14ac:dyDescent="0.2">
      <c r="A183" s="437" t="s">
        <v>3218</v>
      </c>
      <c r="B183" s="44"/>
      <c r="C183" s="44"/>
      <c r="D183" s="44"/>
      <c r="E183" s="44"/>
      <c r="F183" s="44"/>
    </row>
    <row r="184" spans="1:23" ht="16.5" customHeight="1" x14ac:dyDescent="0.2">
      <c r="A184" s="44" t="s">
        <v>3204</v>
      </c>
      <c r="B184" s="44" t="s">
        <v>3205</v>
      </c>
      <c r="C184" s="44" t="s">
        <v>3206</v>
      </c>
      <c r="D184" s="44">
        <v>-1</v>
      </c>
      <c r="E184" s="44"/>
      <c r="F184" s="44" t="s">
        <v>122</v>
      </c>
    </row>
    <row r="185" spans="1:23" ht="16.5" hidden="1" customHeight="1" x14ac:dyDescent="0.2">
      <c r="A185" s="44" t="s">
        <v>3207</v>
      </c>
      <c r="B185" s="44" t="s">
        <v>3208</v>
      </c>
      <c r="C185" s="44" t="s">
        <v>3209</v>
      </c>
      <c r="D185" s="44">
        <f>D184+1</f>
        <v>0</v>
      </c>
      <c r="E185" s="44" t="e">
        <f>TEXT(B185,"DD/MMM/YYYY")&amp;"-"&amp;TEXT(C185,"DD/MMM/YYYY")</f>
        <v>#VALUE!</v>
      </c>
      <c r="F185" s="44" t="s">
        <v>371</v>
      </c>
    </row>
    <row r="220" spans="1:1" ht="16.5" customHeight="1" x14ac:dyDescent="0.2">
      <c r="A220" s="328" t="s">
        <v>2902</v>
      </c>
    </row>
  </sheetData>
  <mergeCells count="6">
    <mergeCell ref="A137:A138"/>
    <mergeCell ref="A1:I1"/>
    <mergeCell ref="C3:F3"/>
    <mergeCell ref="C4:F4"/>
    <mergeCell ref="K4:M4"/>
    <mergeCell ref="A130:A131"/>
  </mergeCells>
  <conditionalFormatting sqref="H24 J29:N75">
    <cfRule type="expression" dxfId="64" priority="32">
      <formula>ISERROR(H24)</formula>
    </cfRule>
  </conditionalFormatting>
  <conditionalFormatting sqref="N24">
    <cfRule type="expression" dxfId="63" priority="30">
      <formula>ISERROR(N24)</formula>
    </cfRule>
  </conditionalFormatting>
  <conditionalFormatting sqref="N9:N22">
    <cfRule type="expression" dxfId="62" priority="31">
      <formula>ISERROR(N9)</formula>
    </cfRule>
  </conditionalFormatting>
  <conditionalFormatting sqref="J9:J22">
    <cfRule type="expression" dxfId="61" priority="29">
      <formula>ISERROR(J9)</formula>
    </cfRule>
  </conditionalFormatting>
  <conditionalFormatting sqref="H103">
    <cfRule type="expression" dxfId="60" priority="28">
      <formula>ISERROR(H103)</formula>
    </cfRule>
  </conditionalFormatting>
  <conditionalFormatting sqref="N103">
    <cfRule type="expression" dxfId="59" priority="27">
      <formula>ISERROR(N103)</formula>
    </cfRule>
  </conditionalFormatting>
  <conditionalFormatting sqref="N113">
    <cfRule type="expression" dxfId="58" priority="26">
      <formula>ISERROR(N113)</formula>
    </cfRule>
  </conditionalFormatting>
  <conditionalFormatting sqref="C115:G115">
    <cfRule type="expression" dxfId="57" priority="25">
      <formula>C115="WARNING - Sum of the three tables not matching"</formula>
    </cfRule>
  </conditionalFormatting>
  <conditionalFormatting sqref="J115:M115">
    <cfRule type="expression" dxfId="56" priority="24">
      <formula>J115="WARNING - Sum of the three tables not matching"</formula>
    </cfRule>
  </conditionalFormatting>
  <conditionalFormatting sqref="C133:F136 H133:I136">
    <cfRule type="expression" dxfId="55" priority="22">
      <formula>ISERROR(C133)</formula>
    </cfRule>
  </conditionalFormatting>
  <conditionalFormatting sqref="J141">
    <cfRule type="expression" dxfId="54" priority="20">
      <formula>J141="WARNING - Sum of the three tables not matching"</formula>
    </cfRule>
  </conditionalFormatting>
  <conditionalFormatting sqref="G141">
    <cfRule type="expression" dxfId="53" priority="21">
      <formula>G141="WARNING - Sum of the three tables not matching"</formula>
    </cfRule>
  </conditionalFormatting>
  <conditionalFormatting sqref="K103 F103 K113 F113 H121:I122 H138:I138 H131:I131 F9:F24 K9:K23 F29:F75 K29:K75 H126:I129 H133:I136">
    <cfRule type="expression" dxfId="52" priority="19">
      <formula>($G$4)="N/A"</formula>
    </cfRule>
  </conditionalFormatting>
  <conditionalFormatting sqref="J143">
    <cfRule type="expression" dxfId="51" priority="18">
      <formula>J143="WARNING - Sum of the three tables not matching"</formula>
    </cfRule>
  </conditionalFormatting>
  <conditionalFormatting sqref="G143">
    <cfRule type="expression" dxfId="50" priority="17">
      <formula>G143="WARNING - Sum of the three tables not matching"</formula>
    </cfRule>
  </conditionalFormatting>
  <conditionalFormatting sqref="F76:F101">
    <cfRule type="expression" dxfId="49" priority="16">
      <formula>($G$4)="N/A"</formula>
    </cfRule>
  </conditionalFormatting>
  <conditionalFormatting sqref="M76:M101">
    <cfRule type="expression" dxfId="48" priority="15">
      <formula>ISERROR(M76)</formula>
    </cfRule>
  </conditionalFormatting>
  <conditionalFormatting sqref="N76:N101">
    <cfRule type="expression" dxfId="47" priority="14">
      <formula>ISERROR(N76)</formula>
    </cfRule>
  </conditionalFormatting>
  <conditionalFormatting sqref="J76:K101">
    <cfRule type="expression" dxfId="46" priority="13">
      <formula>ISERROR(J76)</formula>
    </cfRule>
  </conditionalFormatting>
  <conditionalFormatting sqref="K76:K101">
    <cfRule type="expression" dxfId="45" priority="12">
      <formula>($G$4)="N/A"</formula>
    </cfRule>
  </conditionalFormatting>
  <conditionalFormatting sqref="J107:N111">
    <cfRule type="expression" dxfId="44" priority="11">
      <formula>ISERROR(J107)</formula>
    </cfRule>
  </conditionalFormatting>
  <conditionalFormatting sqref="F107:F111 K107:K111">
    <cfRule type="expression" dxfId="43" priority="10">
      <formula>($G$4)="N/A"</formula>
    </cfRule>
  </conditionalFormatting>
  <conditionalFormatting sqref="C130:F130 H130:I130">
    <cfRule type="expression" dxfId="42" priority="9">
      <formula>ISERROR(C130)</formula>
    </cfRule>
  </conditionalFormatting>
  <conditionalFormatting sqref="H130:I130">
    <cfRule type="expression" dxfId="41" priority="8">
      <formula>($G$4)="N/A"</formula>
    </cfRule>
  </conditionalFormatting>
  <conditionalFormatting sqref="H137:I137">
    <cfRule type="expression" dxfId="40" priority="7">
      <formula>($G$4)="N/A"</formula>
    </cfRule>
  </conditionalFormatting>
  <conditionalFormatting sqref="H123:I124">
    <cfRule type="expression" dxfId="39" priority="5">
      <formula>($G$4)="N/A"</formula>
    </cfRule>
  </conditionalFormatting>
  <conditionalFormatting sqref="C132">
    <cfRule type="expression" dxfId="38" priority="4">
      <formula>ISERROR(C132)</formula>
    </cfRule>
  </conditionalFormatting>
  <conditionalFormatting sqref="D132:F132">
    <cfRule type="expression" dxfId="37" priority="3">
      <formula>ISERROR(D132)</formula>
    </cfRule>
  </conditionalFormatting>
  <conditionalFormatting sqref="H132:I132">
    <cfRule type="expression" dxfId="36" priority="2">
      <formula>ISERROR(H132)</formula>
    </cfRule>
  </conditionalFormatting>
  <conditionalFormatting sqref="H125:I125">
    <cfRule type="expression" dxfId="35" priority="1">
      <formula>($G$4)="N/A"</formula>
    </cfRule>
  </conditionalFormatting>
  <dataValidations count="18">
    <dataValidation type="list" allowBlank="1" showInputMessage="1" showErrorMessage="1" sqref="A76:A101" xr:uid="{00000000-0002-0000-2200-000000000000}">
      <formula1>Module_List</formula1>
    </dataValidation>
    <dataValidation type="list" allowBlank="1" showInputMessage="1" showErrorMessage="1" sqref="N4" xr:uid="{00000000-0002-0000-2200-000001000000}">
      <formula1>"Select,Yes,No"</formula1>
    </dataValidation>
    <dataValidation type="date" allowBlank="1" showInputMessage="1" showErrorMessage="1" errorTitle="X-Author for Excel" error="Please enter a valid date." promptTitle="X-Author for Excel" sqref="B167:B170 B176:C180" xr:uid="{00000000-0002-0000-2200-000002000000}">
      <formula1>1</formula1>
      <formula2>767376</formula2>
    </dataValidation>
    <dataValidation type="decimal" allowBlank="1" showInputMessage="1" showErrorMessage="1" errorTitle="X-Author for Excel" error="Please enter a valid numeric value. Valid range for Budget for Forecast Period is -9999999999.99 to 9999999999.99." promptTitle="X-Author for Excel" sqref="C9:C22 C107:C111 C29:C74 C76:C101" xr:uid="{00000000-0002-0000-2200-000003000000}">
      <formula1>-9999999999.99</formula1>
      <formula2>9999999999.99</formula2>
    </dataValidation>
    <dataValidation type="decimal" allowBlank="1" showInputMessage="1" showErrorMessage="1" errorTitle="X-Author for Excel" error="Please enter a valid numeric value. Valid range for PR Forecast for the period is -9999999999.99 to 9999999999.99." promptTitle="X-Author for Excel" sqref="D9:D22 D107:D111 D29:D74 D76:D101" xr:uid="{00000000-0002-0000-2200-000004000000}">
      <formula1>-9999999999.99</formula1>
      <formula2>9999999999.99</formula2>
    </dataValidation>
    <dataValidation type="decimal" allowBlank="1" showInputMessage="1" showErrorMessage="1" errorTitle="X-Author for Excel" error="Please enter a valid numeric value. Valid range for Budget for the Buffer Period is -9999999999.99 to 9999999999.99." promptTitle="X-Author for Excel" sqref="E9:E22 E107:E111 E29:E74 E76:E101" xr:uid="{00000000-0002-0000-2200-000005000000}">
      <formula1>-9999999999.99</formula1>
      <formula2>9999999999.99</formula2>
    </dataValidation>
    <dataValidation type="decimal" allowBlank="1" showInputMessage="1" showErrorMessage="1" errorTitle="X-Author for Excel" error="Please enter a valid numeric value. Valid range for PR Forecast for the Buffer Period is -9999999999.99 to 9999999999.99." promptTitle="X-Author for Excel" sqref="F9:F22 F107:F111 F29:F74 F76:F101" xr:uid="{00000000-0002-0000-2200-000006000000}">
      <formula1>-9999999999.99</formula1>
      <formula2>9999999999.99</formula2>
    </dataValidation>
    <dataValidation type="decimal" allowBlank="1" showInputMessage="1" showErrorMessage="1" errorTitle="X-Author for Excel" error="Please enter a valid numeric value. Valid range for LFA Adjusted Forecast for the period is -9999999999.99 to 9999999999.99." promptTitle="X-Author for Excel" sqref="J9:J22 J107:J111 J29:J74 J76:J101" xr:uid="{00000000-0002-0000-2200-000007000000}">
      <formula1>-9999999999.99</formula1>
      <formula2>9999999999.99</formula2>
    </dataValidation>
    <dataValidation type="decimal" allowBlank="1" showInputMessage="1" showErrorMessage="1" errorTitle="X-Author for Excel" error="Please enter a valid numeric value. Valid range for LFA Adj. Forecast for the Buffer period is -9999999999.99 to 9999999999.99." promptTitle="X-Author for Excel" sqref="K9:K22 K107:K111 K29:K74 K76:K101" xr:uid="{00000000-0002-0000-2200-000008000000}">
      <formula1>-9999999999.99</formula1>
      <formula2>9999999999.99</formula2>
    </dataValidation>
    <dataValidation type="custom" allowBlank="1" showInputMessage="1" showErrorMessage="1" errorTitle="X-Author for Excel" error="Id and Lookup fields are not editable." promptTitle="X-Author for Excel" sqref="P9:P22 P107:P111 P29:P74 R76:R101 M123:M124 M126:M129 M133:M136 F176:F180" xr:uid="{00000000-0002-0000-2200-000009000000}">
      <formula1>""</formula1>
    </dataValidation>
    <dataValidation type="decimal" allowBlank="1" showInputMessage="1" showErrorMessage="1" errorTitle="X-Author for Excel" error="Please enter a valid numeric value. Valid range for Cost Grouping Number is -99999 to 99999." promptTitle="X-Author for Excel" sqref="Q9:Q22" xr:uid="{00000000-0002-0000-2200-00000A000000}">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9:R22" xr:uid="{00000000-0002-0000-2200-00000B000000}">
      <formula1>-1000000000000000000</formula1>
      <formula2>1000000000000000000</formula2>
    </dataValidation>
    <dataValidation type="decimal" allowBlank="1" showInputMessage="1" showErrorMessage="1" errorTitle="X-Author for Excel" error="Please enter a valid numeric value. Valid range for Forecast Q1 is -9999999999.99 to 9999999999.99." promptTitle="X-Author for Excel" sqref="C123:C124 C126:C129 C133:C136" xr:uid="{00000000-0002-0000-2200-00000C000000}">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123:D124 D126:D129 D133:D136" xr:uid="{00000000-0002-0000-2200-00000D000000}">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123:E124 E126:E129 E133:E136" xr:uid="{00000000-0002-0000-2200-00000E000000}">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123:F124 F126:F129 F133:F136" xr:uid="{00000000-0002-0000-2200-00000F000000}">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123:H124 H126:H129 H133:H136" xr:uid="{00000000-0002-0000-2200-000010000000}">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123:I124 I126:I129 I133:I136" xr:uid="{00000000-0002-0000-2200-000011000000}">
      <formula1>-9999999999.99</formula1>
      <formula2>9999999999.99</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
  <dimension ref="A1:I651"/>
  <sheetViews>
    <sheetView topLeftCell="E2" workbookViewId="0">
      <selection activeCell="G9" sqref="G9"/>
    </sheetView>
  </sheetViews>
  <sheetFormatPr baseColWidth="10" defaultColWidth="9.140625" defaultRowHeight="15" x14ac:dyDescent="0.25"/>
  <cols>
    <col min="1" max="2" width="14.85546875" customWidth="1"/>
    <col min="3" max="3" width="25.42578125" customWidth="1"/>
    <col min="4" max="4" width="36.5703125" customWidth="1"/>
    <col min="5" max="5" width="42.5703125" customWidth="1"/>
    <col min="6" max="6" width="42.140625" customWidth="1"/>
    <col min="7" max="7" width="40" customWidth="1"/>
    <col min="8" max="8" width="39.5703125" customWidth="1"/>
  </cols>
  <sheetData>
    <row r="1" spans="1:8" x14ac:dyDescent="0.25">
      <c r="A1" t="s">
        <v>3219</v>
      </c>
      <c r="D1">
        <f>IF(Language="English",0,IF(Language="French",1,IF(Language="Spanish",2)))</f>
        <v>1</v>
      </c>
    </row>
    <row r="2" spans="1:8" x14ac:dyDescent="0.25">
      <c r="A2" t="s">
        <v>3220</v>
      </c>
      <c r="C2" t="s">
        <v>3221</v>
      </c>
      <c r="F2" t="s">
        <v>3222</v>
      </c>
      <c r="G2" t="s">
        <v>3223</v>
      </c>
      <c r="H2" t="s">
        <v>3224</v>
      </c>
    </row>
    <row r="3" spans="1:8" x14ac:dyDescent="0.25">
      <c r="A3" t="s">
        <v>3225</v>
      </c>
      <c r="B3">
        <v>1</v>
      </c>
      <c r="C3" t="s">
        <v>3226</v>
      </c>
      <c r="D3" t="str">
        <f>"=Vlookup("""&amp;B3&amp;""",Translations!F3:H800,1,0)"</f>
        <v>=Vlookup("1",Translations!F3:H800,1,0)</v>
      </c>
      <c r="E3" t="str">
        <f t="shared" ref="E3:E66" si="0">IF(LangOffset=0,F3,IF(LangOffset=1,G3,IF(LangOffset=2,H3)))</f>
        <v>Rapport périodique sur les résultats actuels et demande de décaissement</v>
      </c>
      <c r="F3" t="s">
        <v>3227</v>
      </c>
      <c r="G3" t="s">
        <v>3228</v>
      </c>
      <c r="H3" t="s">
        <v>3229</v>
      </c>
    </row>
    <row r="4" spans="1:8" ht="66.75" customHeight="1" x14ac:dyDescent="0.25">
      <c r="A4" t="s">
        <v>3225</v>
      </c>
      <c r="B4">
        <v>2</v>
      </c>
      <c r="C4" t="s">
        <v>3230</v>
      </c>
      <c r="D4" t="str">
        <f t="shared" ref="D4:D67" si="1">"=Vlookup("""&amp;B4&amp;""",Translations!F3:H800,1,0)"</f>
        <v>=Vlookup("2",Translations!F3:H800,1,0)</v>
      </c>
      <c r="E4" t="str">
        <f t="shared" si="0"/>
        <v>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v>
      </c>
      <c r="F4" s="731" t="s">
        <v>3231</v>
      </c>
      <c r="G4" s="731" t="s">
        <v>3232</v>
      </c>
      <c r="H4" s="731" t="s">
        <v>3233</v>
      </c>
    </row>
    <row r="5" spans="1:8" x14ac:dyDescent="0.25">
      <c r="A5" t="s">
        <v>3225</v>
      </c>
      <c r="B5">
        <v>3</v>
      </c>
      <c r="C5" t="s">
        <v>3234</v>
      </c>
      <c r="D5" t="str">
        <f t="shared" si="1"/>
        <v>=Vlookup("3",Translations!F3:H800,1,0)</v>
      </c>
      <c r="E5" t="str">
        <f t="shared" si="0"/>
        <v>RENSEIGNEMENTS GÉNÉRAUX SUR LA SUBVENTION</v>
      </c>
      <c r="F5" t="s">
        <v>3235</v>
      </c>
      <c r="G5" t="s">
        <v>3236</v>
      </c>
      <c r="H5" t="s">
        <v>3237</v>
      </c>
    </row>
    <row r="6" spans="1:8" x14ac:dyDescent="0.25">
      <c r="A6" t="s">
        <v>3225</v>
      </c>
      <c r="B6">
        <v>4</v>
      </c>
      <c r="C6" t="s">
        <v>3238</v>
      </c>
      <c r="D6" t="str">
        <f t="shared" si="1"/>
        <v>=Vlookup("4",Translations!F3:H800,1,0)</v>
      </c>
      <c r="E6" t="str">
        <f t="shared" si="0"/>
        <v>Pays :</v>
      </c>
      <c r="F6" t="s">
        <v>3239</v>
      </c>
      <c r="G6" t="s">
        <v>3240</v>
      </c>
      <c r="H6" t="s">
        <v>3241</v>
      </c>
    </row>
    <row r="7" spans="1:8" x14ac:dyDescent="0.25">
      <c r="A7" t="s">
        <v>3225</v>
      </c>
      <c r="B7">
        <v>5</v>
      </c>
      <c r="C7" t="s">
        <v>3242</v>
      </c>
      <c r="D7" t="str">
        <f t="shared" si="1"/>
        <v>=Vlookup("5",Translations!F3:H800,1,0)</v>
      </c>
      <c r="E7" t="str">
        <f t="shared" si="0"/>
        <v>Composante (maladie)</v>
      </c>
      <c r="F7" t="s">
        <v>3243</v>
      </c>
      <c r="G7" t="s">
        <v>3244</v>
      </c>
      <c r="H7" t="s">
        <v>3245</v>
      </c>
    </row>
    <row r="8" spans="1:8" x14ac:dyDescent="0.25">
      <c r="A8" t="s">
        <v>3225</v>
      </c>
      <c r="B8">
        <v>6</v>
      </c>
      <c r="C8" t="s">
        <v>3246</v>
      </c>
      <c r="D8" t="str">
        <f t="shared" si="1"/>
        <v>=Vlookup("6",Translations!F3:H800,1,0)</v>
      </c>
      <c r="E8" t="str">
        <f t="shared" si="0"/>
        <v>Nom/numéro de la subvention :</v>
      </c>
      <c r="F8" t="s">
        <v>3247</v>
      </c>
      <c r="G8" t="s">
        <v>3248</v>
      </c>
      <c r="H8" t="s">
        <v>3249</v>
      </c>
    </row>
    <row r="9" spans="1:8" x14ac:dyDescent="0.25">
      <c r="A9" t="s">
        <v>3225</v>
      </c>
      <c r="B9">
        <v>7</v>
      </c>
      <c r="C9" t="s">
        <v>3250</v>
      </c>
      <c r="D9" t="str">
        <f t="shared" si="1"/>
        <v>=Vlookup("7",Translations!F3:H800,1,0)</v>
      </c>
      <c r="E9" t="str">
        <f t="shared" si="0"/>
        <v>Récipiendaire principal:</v>
      </c>
      <c r="F9" t="s">
        <v>3251</v>
      </c>
      <c r="G9" t="s">
        <v>3252</v>
      </c>
      <c r="H9" t="s">
        <v>3253</v>
      </c>
    </row>
    <row r="10" spans="1:8" x14ac:dyDescent="0.25">
      <c r="A10" t="s">
        <v>3225</v>
      </c>
      <c r="B10">
        <v>8</v>
      </c>
      <c r="C10" t="s">
        <v>3254</v>
      </c>
      <c r="D10" t="str">
        <f t="shared" si="1"/>
        <v>=Vlookup("8",Translations!F3:H800,1,0)</v>
      </c>
      <c r="E10" t="str">
        <f t="shared" si="0"/>
        <v>Nom de l'agent local du Fonds :</v>
      </c>
      <c r="F10" t="s">
        <v>3255</v>
      </c>
      <c r="G10" t="s">
        <v>3256</v>
      </c>
      <c r="H10" t="s">
        <v>3257</v>
      </c>
    </row>
    <row r="11" spans="1:8" x14ac:dyDescent="0.25">
      <c r="A11" t="s">
        <v>3225</v>
      </c>
      <c r="B11">
        <v>9</v>
      </c>
      <c r="C11" t="s">
        <v>3258</v>
      </c>
      <c r="D11" t="str">
        <f t="shared" si="1"/>
        <v>=Vlookup("9",Translations!F3:H800,1,0)</v>
      </c>
      <c r="E11" t="str">
        <f t="shared" si="0"/>
        <v>Date de début du programme :</v>
      </c>
      <c r="F11" t="s">
        <v>3259</v>
      </c>
      <c r="G11" t="s">
        <v>3260</v>
      </c>
      <c r="H11" t="s">
        <v>3261</v>
      </c>
    </row>
    <row r="12" spans="1:8" x14ac:dyDescent="0.25">
      <c r="A12" t="s">
        <v>3225</v>
      </c>
      <c r="B12">
        <v>10</v>
      </c>
      <c r="C12" t="s">
        <v>3262</v>
      </c>
      <c r="D12" t="str">
        <f t="shared" si="1"/>
        <v>=Vlookup("10",Translations!F3:H800,1,0)</v>
      </c>
      <c r="E12" t="str">
        <f t="shared" si="0"/>
        <v>Monnaie Subvention :</v>
      </c>
      <c r="F12" t="s">
        <v>3263</v>
      </c>
      <c r="G12" t="s">
        <v>3264</v>
      </c>
      <c r="H12" t="s">
        <v>3265</v>
      </c>
    </row>
    <row r="13" spans="1:8" x14ac:dyDescent="0.25">
      <c r="A13" t="s">
        <v>3225</v>
      </c>
      <c r="B13">
        <v>11</v>
      </c>
      <c r="C13" t="s">
        <v>3266</v>
      </c>
      <c r="D13" t="str">
        <f t="shared" si="1"/>
        <v>=Vlookup("11",Translations!F3:H800,1,0)</v>
      </c>
      <c r="E13" t="str">
        <f t="shared" si="0"/>
        <v>Monnaie Locale:</v>
      </c>
      <c r="F13" t="s">
        <v>3267</v>
      </c>
      <c r="G13" t="s">
        <v>3268</v>
      </c>
      <c r="H13" t="s">
        <v>3269</v>
      </c>
    </row>
    <row r="14" spans="1:8" x14ac:dyDescent="0.25">
      <c r="A14" t="s">
        <v>3225</v>
      </c>
      <c r="B14">
        <v>12</v>
      </c>
      <c r="C14" t="s">
        <v>3270</v>
      </c>
      <c r="D14" t="str">
        <f t="shared" si="1"/>
        <v>=Vlookup("12",Translations!F3:H800,1,0)</v>
      </c>
      <c r="E14" t="str">
        <f t="shared" si="0"/>
        <v>PÉRIODE COUVERTE PAR LES RÉSULTATS ACTUELS PROGRAMMATIQUES</v>
      </c>
      <c r="F14" t="s">
        <v>3271</v>
      </c>
      <c r="G14" t="s">
        <v>3272</v>
      </c>
      <c r="H14" t="s">
        <v>3273</v>
      </c>
    </row>
    <row r="15" spans="1:8" x14ac:dyDescent="0.25">
      <c r="A15" t="s">
        <v>3225</v>
      </c>
      <c r="B15">
        <v>13</v>
      </c>
      <c r="C15" t="s">
        <v>3274</v>
      </c>
      <c r="D15" t="str">
        <f t="shared" si="1"/>
        <v>=Vlookup("13",Translations!F3:H800,1,0)</v>
      </c>
      <c r="E15" t="str">
        <f t="shared" si="0"/>
        <v>Période couverte par le rapport sur les résultats actuels :</v>
      </c>
      <c r="F15" t="s">
        <v>3275</v>
      </c>
      <c r="G15" t="s">
        <v>3276</v>
      </c>
      <c r="H15" t="s">
        <v>3277</v>
      </c>
    </row>
    <row r="16" spans="1:8" x14ac:dyDescent="0.25">
      <c r="A16" t="s">
        <v>3225</v>
      </c>
      <c r="B16">
        <v>14</v>
      </c>
      <c r="C16" t="s">
        <v>3278</v>
      </c>
      <c r="D16" t="str">
        <f t="shared" si="1"/>
        <v>=Vlookup("14",Translations!F3:H800,1,0)</v>
      </c>
      <c r="E16" t="str">
        <f t="shared" si="0"/>
        <v>Date de début:</v>
      </c>
      <c r="F16" t="s">
        <v>3279</v>
      </c>
      <c r="G16" t="s">
        <v>3280</v>
      </c>
      <c r="H16" t="s">
        <v>3281</v>
      </c>
    </row>
    <row r="17" spans="1:8" x14ac:dyDescent="0.25">
      <c r="A17" t="s">
        <v>3225</v>
      </c>
      <c r="B17">
        <v>15</v>
      </c>
      <c r="C17" t="s">
        <v>3282</v>
      </c>
      <c r="D17" t="str">
        <f t="shared" si="1"/>
        <v>=Vlookup("15",Translations!F3:H800,1,0)</v>
      </c>
      <c r="E17" t="str">
        <f t="shared" si="0"/>
        <v>Date de fin:</v>
      </c>
      <c r="F17" t="s">
        <v>3283</v>
      </c>
      <c r="G17" t="s">
        <v>3284</v>
      </c>
      <c r="H17" t="s">
        <v>3285</v>
      </c>
    </row>
    <row r="18" spans="1:8" x14ac:dyDescent="0.25">
      <c r="A18" t="s">
        <v>3225</v>
      </c>
      <c r="B18">
        <v>16</v>
      </c>
      <c r="C18" t="s">
        <v>3286</v>
      </c>
      <c r="D18" t="str">
        <f t="shared" si="1"/>
        <v>=Vlookup("16",Translations!F3:H800,1,0)</v>
      </c>
      <c r="E18" t="str">
        <f t="shared" si="0"/>
        <v>PÉRIODE COUVERTE PAR LES RÉSULTATS ACTUELS FINANCIERS</v>
      </c>
      <c r="F18" t="s">
        <v>3287</v>
      </c>
      <c r="G18" t="s">
        <v>3288</v>
      </c>
      <c r="H18" t="s">
        <v>3289</v>
      </c>
    </row>
    <row r="19" spans="1:8" x14ac:dyDescent="0.25">
      <c r="A19" t="s">
        <v>3225</v>
      </c>
      <c r="B19">
        <v>17</v>
      </c>
      <c r="C19" t="s">
        <v>3290</v>
      </c>
      <c r="D19" t="str">
        <f t="shared" si="1"/>
        <v>=Vlookup("17",Translations!F3:H800,1,0)</v>
      </c>
      <c r="E19" t="str">
        <f t="shared" si="0"/>
        <v>Période couverte par le rapport sur les information financière</v>
      </c>
      <c r="F19" t="s">
        <v>3291</v>
      </c>
      <c r="G19" t="s">
        <v>3292</v>
      </c>
      <c r="H19" t="s">
        <v>3293</v>
      </c>
    </row>
    <row r="20" spans="1:8" x14ac:dyDescent="0.25">
      <c r="A20" t="s">
        <v>3225</v>
      </c>
      <c r="B20">
        <v>18</v>
      </c>
      <c r="C20" t="s">
        <v>3294</v>
      </c>
      <c r="D20" t="str">
        <f t="shared" si="1"/>
        <v>=Vlookup("18",Translations!F3:H800,1,0)</v>
      </c>
      <c r="E20" t="str">
        <f t="shared" si="0"/>
        <v>Date de début :</v>
      </c>
      <c r="F20" t="s">
        <v>3279</v>
      </c>
      <c r="G20" t="s">
        <v>3295</v>
      </c>
      <c r="H20" t="s">
        <v>3281</v>
      </c>
    </row>
    <row r="21" spans="1:8" x14ac:dyDescent="0.25">
      <c r="A21" t="s">
        <v>3225</v>
      </c>
      <c r="B21">
        <v>19</v>
      </c>
      <c r="C21" t="s">
        <v>3296</v>
      </c>
      <c r="D21" t="str">
        <f t="shared" si="1"/>
        <v>=Vlookup("19",Translations!F3:H800,1,0)</v>
      </c>
      <c r="E21" t="str">
        <f t="shared" si="0"/>
        <v>Date de fin :</v>
      </c>
      <c r="F21" t="s">
        <v>3283</v>
      </c>
      <c r="G21" t="s">
        <v>3297</v>
      </c>
      <c r="H21" t="s">
        <v>3285</v>
      </c>
    </row>
    <row r="22" spans="1:8" x14ac:dyDescent="0.25">
      <c r="A22" t="s">
        <v>3225</v>
      </c>
      <c r="B22">
        <v>20</v>
      </c>
      <c r="C22" t="s">
        <v>3298</v>
      </c>
      <c r="D22" t="str">
        <f t="shared" si="1"/>
        <v>=Vlookup("20",Translations!F3:H800,1,0)</v>
      </c>
      <c r="E22" t="str">
        <f t="shared" si="0"/>
        <v xml:space="preserve">DEMANDE DE DÉCAISSEMENT </v>
      </c>
      <c r="F22" t="s">
        <v>3299</v>
      </c>
      <c r="G22" t="s">
        <v>3300</v>
      </c>
      <c r="H22" t="s">
        <v>3301</v>
      </c>
    </row>
    <row r="23" spans="1:8" x14ac:dyDescent="0.25">
      <c r="A23" t="s">
        <v>3225</v>
      </c>
      <c r="B23">
        <v>21</v>
      </c>
      <c r="C23" t="s">
        <v>3302</v>
      </c>
      <c r="D23" t="str">
        <f t="shared" si="1"/>
        <v>=Vlookup("21",Translations!F3:H800,1,0)</v>
      </c>
      <c r="E23" t="str">
        <f t="shared" si="0"/>
        <v>Demande de décaissement  - période de prévision:</v>
      </c>
      <c r="F23" t="s">
        <v>3303</v>
      </c>
      <c r="G23" t="s">
        <v>3304</v>
      </c>
      <c r="H23" t="s">
        <v>3305</v>
      </c>
    </row>
    <row r="24" spans="1:8" x14ac:dyDescent="0.25">
      <c r="A24" t="s">
        <v>3225</v>
      </c>
      <c r="B24">
        <v>22</v>
      </c>
      <c r="C24" t="s">
        <v>3306</v>
      </c>
      <c r="D24" t="str">
        <f t="shared" si="1"/>
        <v>=Vlookup("22",Translations!F3:H800,1,0)</v>
      </c>
      <c r="E24" t="str">
        <f t="shared" si="0"/>
        <v>Date de début:</v>
      </c>
      <c r="F24" t="s">
        <v>3279</v>
      </c>
      <c r="G24" t="s">
        <v>3280</v>
      </c>
      <c r="H24" t="s">
        <v>3281</v>
      </c>
    </row>
    <row r="25" spans="1:8" x14ac:dyDescent="0.25">
      <c r="A25" t="s">
        <v>3225</v>
      </c>
      <c r="B25">
        <v>23</v>
      </c>
      <c r="C25" t="s">
        <v>3307</v>
      </c>
      <c r="D25" t="str">
        <f t="shared" si="1"/>
        <v>=Vlookup("23",Translations!F3:H800,1,0)</v>
      </c>
      <c r="E25" t="str">
        <f t="shared" si="0"/>
        <v>Date de fin:</v>
      </c>
      <c r="F25" t="s">
        <v>3283</v>
      </c>
      <c r="G25" t="s">
        <v>3284</v>
      </c>
      <c r="H25" t="s">
        <v>3285</v>
      </c>
    </row>
    <row r="26" spans="1:8" x14ac:dyDescent="0.25">
      <c r="A26" t="s">
        <v>3225</v>
      </c>
      <c r="B26">
        <v>24</v>
      </c>
      <c r="C26" t="s">
        <v>3308</v>
      </c>
      <c r="D26" t="str">
        <f t="shared" si="1"/>
        <v>=Vlookup("24",Translations!F3:H800,1,0)</v>
      </c>
      <c r="E26" t="str">
        <f t="shared" si="0"/>
        <v>Demande de décaissement  - Période additionnelle convenue:</v>
      </c>
      <c r="F26" t="s">
        <v>3309</v>
      </c>
      <c r="G26" t="s">
        <v>3310</v>
      </c>
      <c r="H26" t="s">
        <v>3311</v>
      </c>
    </row>
    <row r="27" spans="1:8" x14ac:dyDescent="0.25">
      <c r="A27" t="s">
        <v>3225</v>
      </c>
      <c r="B27">
        <v>25</v>
      </c>
      <c r="C27" t="s">
        <v>3312</v>
      </c>
      <c r="D27" t="str">
        <f t="shared" si="1"/>
        <v>=Vlookup("25",Translations!F3:H800,1,0)</v>
      </c>
      <c r="E27" t="str">
        <f t="shared" si="0"/>
        <v>Date de début:</v>
      </c>
      <c r="F27" t="s">
        <v>3279</v>
      </c>
      <c r="G27" t="s">
        <v>3280</v>
      </c>
      <c r="H27" t="s">
        <v>3281</v>
      </c>
    </row>
    <row r="28" spans="1:8" x14ac:dyDescent="0.25">
      <c r="A28" t="s">
        <v>3225</v>
      </c>
      <c r="B28">
        <v>26</v>
      </c>
      <c r="C28" t="s">
        <v>3313</v>
      </c>
      <c r="D28" t="str">
        <f t="shared" si="1"/>
        <v>=Vlookup("26",Translations!F3:H800,1,0)</v>
      </c>
      <c r="E28" t="str">
        <f t="shared" si="0"/>
        <v>Date de fin:</v>
      </c>
      <c r="F28" t="s">
        <v>3283</v>
      </c>
      <c r="G28" t="s">
        <v>3284</v>
      </c>
      <c r="H28" t="s">
        <v>3285</v>
      </c>
    </row>
    <row r="29" spans="1:8" x14ac:dyDescent="0.25">
      <c r="B29">
        <v>27</v>
      </c>
      <c r="D29" t="str">
        <f t="shared" si="1"/>
        <v>=Vlookup("27",Translations!F3:H800,1,0)</v>
      </c>
      <c r="E29" t="str">
        <f t="shared" si="0"/>
        <v>Période cumulative de rapport sur les information financière</v>
      </c>
      <c r="F29" t="s">
        <v>1084</v>
      </c>
      <c r="G29" s="741" t="s">
        <v>3314</v>
      </c>
      <c r="H29" s="741" t="s">
        <v>3315</v>
      </c>
    </row>
    <row r="30" spans="1:8" x14ac:dyDescent="0.25">
      <c r="A30" t="s">
        <v>97</v>
      </c>
      <c r="B30">
        <v>28</v>
      </c>
      <c r="D30" t="str">
        <f t="shared" si="1"/>
        <v>=Vlookup("28",Translations!F3:H800,1,0)</v>
      </c>
      <c r="E30" t="str">
        <f t="shared" si="0"/>
        <v>Rapport périodique sur les résultats actuels</v>
      </c>
      <c r="F30" t="s">
        <v>3316</v>
      </c>
      <c r="G30" t="s">
        <v>3317</v>
      </c>
      <c r="H30" t="s">
        <v>3318</v>
      </c>
    </row>
    <row r="31" spans="1:8" x14ac:dyDescent="0.25">
      <c r="A31" t="s">
        <v>97</v>
      </c>
      <c r="B31">
        <v>29</v>
      </c>
      <c r="D31" t="str">
        <f t="shared" si="1"/>
        <v>=Vlookup("29",Translations!F3:H800,1,0)</v>
      </c>
      <c r="E31" t="str">
        <f t="shared" si="0"/>
        <v>Section 1 : Information programmatique</v>
      </c>
      <c r="F31" t="s">
        <v>3319</v>
      </c>
      <c r="G31" t="s">
        <v>3320</v>
      </c>
      <c r="H31" t="s">
        <v>3321</v>
      </c>
    </row>
    <row r="32" spans="1:8" x14ac:dyDescent="0.25">
      <c r="A32" t="s">
        <v>97</v>
      </c>
      <c r="B32">
        <v>30</v>
      </c>
      <c r="D32" t="str">
        <f t="shared" si="1"/>
        <v>=Vlookup("30",Translations!F3:H800,1,0)</v>
      </c>
      <c r="E32" t="str">
        <f t="shared" si="0"/>
        <v>Remarque : Le tableau ci-dessous doit contenir les indicateurs d'impact/d'effet 1) dont il doit être fait rapport pendant l'année en cours de la subvention et 2) ceux dont la communication de l'information est en suspens depuis les périodes précédentes.</v>
      </c>
      <c r="F32" t="s">
        <v>3322</v>
      </c>
      <c r="G32" t="s">
        <v>3323</v>
      </c>
      <c r="H32" t="s">
        <v>3324</v>
      </c>
    </row>
    <row r="33" spans="1:8" x14ac:dyDescent="0.25">
      <c r="A33" t="s">
        <v>97</v>
      </c>
      <c r="B33">
        <v>31</v>
      </c>
      <c r="D33" t="str">
        <f t="shared" si="1"/>
        <v>=Vlookup("31",Translations!F3:H800,1,0)</v>
      </c>
      <c r="E33" t="str">
        <f t="shared" si="0"/>
        <v>A- Indicateurs d'impact / d'effet</v>
      </c>
      <c r="F33" t="s">
        <v>3325</v>
      </c>
      <c r="G33" t="s">
        <v>3326</v>
      </c>
      <c r="H33" t="s">
        <v>3327</v>
      </c>
    </row>
    <row r="34" spans="1:8" x14ac:dyDescent="0.25">
      <c r="A34" t="s">
        <v>97</v>
      </c>
      <c r="B34">
        <v>32</v>
      </c>
      <c r="D34" t="str">
        <f t="shared" si="1"/>
        <v>=Vlookup("32",Translations!F3:H800,1,0)</v>
      </c>
      <c r="E34" t="str">
        <f t="shared" si="0"/>
        <v xml:space="preserve">Impact / Effet </v>
      </c>
      <c r="F34" t="s">
        <v>148</v>
      </c>
      <c r="G34" t="s">
        <v>3328</v>
      </c>
      <c r="H34" t="s">
        <v>3329</v>
      </c>
    </row>
    <row r="35" spans="1:8" x14ac:dyDescent="0.25">
      <c r="A35" t="s">
        <v>97</v>
      </c>
      <c r="B35">
        <v>33</v>
      </c>
      <c r="D35" t="str">
        <f t="shared" si="1"/>
        <v>=Vlookup("33",Translations!F3:H800,1,0)</v>
      </c>
      <c r="E35" t="str">
        <f t="shared" si="0"/>
        <v>Indicateurs</v>
      </c>
      <c r="F35" t="s">
        <v>3330</v>
      </c>
      <c r="G35" t="s">
        <v>3331</v>
      </c>
      <c r="H35" t="s">
        <v>3332</v>
      </c>
    </row>
    <row r="36" spans="1:8" x14ac:dyDescent="0.25">
      <c r="A36" t="s">
        <v>97</v>
      </c>
      <c r="B36">
        <v>34</v>
      </c>
      <c r="D36" t="str">
        <f t="shared" si="1"/>
        <v>=Vlookup("34",Translations!F3:H800,1,0)</v>
      </c>
      <c r="E36" t="str">
        <f t="shared" si="0"/>
        <v>L'indicateur personnalisé</v>
      </c>
      <c r="F36" t="s">
        <v>154</v>
      </c>
      <c r="G36" t="s">
        <v>3333</v>
      </c>
      <c r="H36" t="s">
        <v>3334</v>
      </c>
    </row>
    <row r="37" spans="1:8" ht="30" x14ac:dyDescent="0.25">
      <c r="A37" t="s">
        <v>97</v>
      </c>
      <c r="B37">
        <v>35</v>
      </c>
      <c r="D37" t="str">
        <f t="shared" si="1"/>
        <v>=Vlookup("35",Translations!F3:H800,1,0)</v>
      </c>
      <c r="E37" t="str">
        <f t="shared" si="0"/>
        <v>Référence 
(le cas échéant)</v>
      </c>
      <c r="F37" s="731" t="s">
        <v>3335</v>
      </c>
      <c r="G37" s="731" t="s">
        <v>3336</v>
      </c>
      <c r="H37" s="731" t="s">
        <v>3337</v>
      </c>
    </row>
    <row r="38" spans="1:8" x14ac:dyDescent="0.25">
      <c r="A38" t="s">
        <v>97</v>
      </c>
      <c r="B38">
        <v>36</v>
      </c>
      <c r="D38" t="str">
        <f t="shared" si="1"/>
        <v>=Vlookup("36",Translations!F3:H800,1,0)</v>
      </c>
      <c r="E38" t="str">
        <f t="shared" si="0"/>
        <v>Valeur</v>
      </c>
      <c r="F38" t="s">
        <v>169</v>
      </c>
      <c r="G38" t="s">
        <v>3338</v>
      </c>
      <c r="H38" t="s">
        <v>3339</v>
      </c>
    </row>
    <row r="39" spans="1:8" x14ac:dyDescent="0.25">
      <c r="A39" t="s">
        <v>97</v>
      </c>
      <c r="B39">
        <v>37</v>
      </c>
      <c r="D39" t="str">
        <f t="shared" si="1"/>
        <v>=Vlookup("37",Translations!F3:H800,1,0)</v>
      </c>
      <c r="E39" t="str">
        <f t="shared" si="0"/>
        <v>Année</v>
      </c>
      <c r="F39" t="s">
        <v>170</v>
      </c>
      <c r="G39" t="s">
        <v>3340</v>
      </c>
      <c r="H39" t="s">
        <v>3341</v>
      </c>
    </row>
    <row r="40" spans="1:8" x14ac:dyDescent="0.25">
      <c r="A40" t="s">
        <v>97</v>
      </c>
      <c r="B40">
        <v>38</v>
      </c>
      <c r="D40" t="str">
        <f t="shared" si="1"/>
        <v>=Vlookup("38",Translations!F3:H800,1,0)</v>
      </c>
      <c r="E40" t="str">
        <f t="shared" si="0"/>
        <v>Cible</v>
      </c>
      <c r="F40" t="s">
        <v>156</v>
      </c>
      <c r="G40" t="s">
        <v>3342</v>
      </c>
      <c r="H40" t="s">
        <v>3343</v>
      </c>
    </row>
    <row r="41" spans="1:8" x14ac:dyDescent="0.25">
      <c r="A41" t="s">
        <v>97</v>
      </c>
      <c r="B41">
        <v>39</v>
      </c>
      <c r="D41" t="str">
        <f t="shared" si="1"/>
        <v>=Vlookup("39",Translations!F3:H800,1,0)</v>
      </c>
      <c r="E41" t="str">
        <f t="shared" si="0"/>
        <v>N#</v>
      </c>
      <c r="F41" t="s">
        <v>136</v>
      </c>
      <c r="G41" t="s">
        <v>136</v>
      </c>
      <c r="H41" t="s">
        <v>136</v>
      </c>
    </row>
    <row r="42" spans="1:8" x14ac:dyDescent="0.25">
      <c r="A42" t="s">
        <v>97</v>
      </c>
      <c r="B42">
        <v>40</v>
      </c>
      <c r="D42" t="str">
        <f t="shared" si="1"/>
        <v>=Vlookup("40",Translations!F3:H800,1,0)</v>
      </c>
      <c r="E42" t="str">
        <f t="shared" si="0"/>
        <v>D#</v>
      </c>
      <c r="F42" t="s">
        <v>134</v>
      </c>
      <c r="G42" t="s">
        <v>134</v>
      </c>
      <c r="H42" t="s">
        <v>134</v>
      </c>
    </row>
    <row r="43" spans="1:8" x14ac:dyDescent="0.25">
      <c r="A43" t="s">
        <v>97</v>
      </c>
      <c r="B43">
        <v>41</v>
      </c>
      <c r="D43" t="str">
        <f t="shared" si="1"/>
        <v>=Vlookup("41",Translations!F3:H800,1,0)</v>
      </c>
      <c r="E43" t="str">
        <f t="shared" si="0"/>
        <v>%</v>
      </c>
      <c r="F43" t="s">
        <v>135</v>
      </c>
      <c r="G43" t="s">
        <v>135</v>
      </c>
      <c r="H43" t="s">
        <v>135</v>
      </c>
    </row>
    <row r="44" spans="1:8" x14ac:dyDescent="0.25">
      <c r="A44" t="s">
        <v>97</v>
      </c>
      <c r="B44">
        <v>42</v>
      </c>
      <c r="D44" t="str">
        <f t="shared" si="1"/>
        <v>=Vlookup("42",Translations!F3:H800,1,0)</v>
      </c>
      <c r="E44" t="str">
        <f t="shared" si="0"/>
        <v>Année de la cible</v>
      </c>
      <c r="F44" t="s">
        <v>181</v>
      </c>
      <c r="G44" s="731" t="s">
        <v>3344</v>
      </c>
      <c r="H44" t="s">
        <v>3345</v>
      </c>
    </row>
    <row r="45" spans="1:8" x14ac:dyDescent="0.25">
      <c r="A45" t="s">
        <v>97</v>
      </c>
      <c r="B45">
        <v>43</v>
      </c>
      <c r="D45" t="str">
        <f t="shared" si="1"/>
        <v>=Vlookup("43",Translations!F3:H800,1,0)</v>
      </c>
      <c r="E45" t="str">
        <f t="shared" si="0"/>
        <v>Échéance de rapport</v>
      </c>
      <c r="F45" t="s">
        <v>158</v>
      </c>
      <c r="G45" t="s">
        <v>3346</v>
      </c>
      <c r="H45" t="s">
        <v>3347</v>
      </c>
    </row>
    <row r="46" spans="1:8" x14ac:dyDescent="0.25">
      <c r="A46" t="s">
        <v>97</v>
      </c>
      <c r="B46">
        <v>44</v>
      </c>
      <c r="D46" t="str">
        <f t="shared" si="1"/>
        <v>=Vlookup("44",Translations!F3:H800,1,0)</v>
      </c>
      <c r="E46" t="str">
        <f t="shared" si="0"/>
        <v>Résultat</v>
      </c>
      <c r="F46" t="s">
        <v>161</v>
      </c>
      <c r="G46" t="s">
        <v>3348</v>
      </c>
      <c r="H46" t="s">
        <v>3349</v>
      </c>
    </row>
    <row r="47" spans="1:8" x14ac:dyDescent="0.25">
      <c r="A47" t="s">
        <v>97</v>
      </c>
      <c r="B47">
        <v>45</v>
      </c>
      <c r="D47" t="str">
        <f t="shared" si="1"/>
        <v>=Vlookup("45",Translations!F3:H800,1,0)</v>
      </c>
      <c r="E47" t="str">
        <f t="shared" si="0"/>
        <v>N#</v>
      </c>
      <c r="F47" t="s">
        <v>136</v>
      </c>
      <c r="G47" t="s">
        <v>136</v>
      </c>
      <c r="H47" t="s">
        <v>136</v>
      </c>
    </row>
    <row r="48" spans="1:8" x14ac:dyDescent="0.25">
      <c r="A48" t="s">
        <v>97</v>
      </c>
      <c r="B48">
        <v>46</v>
      </c>
      <c r="D48" t="str">
        <f t="shared" si="1"/>
        <v>=Vlookup("46",Translations!F3:H800,1,0)</v>
      </c>
      <c r="E48" t="str">
        <f t="shared" si="0"/>
        <v>D#</v>
      </c>
      <c r="F48" t="s">
        <v>134</v>
      </c>
      <c r="G48" t="s">
        <v>134</v>
      </c>
      <c r="H48" t="s">
        <v>134</v>
      </c>
    </row>
    <row r="49" spans="1:8" x14ac:dyDescent="0.25">
      <c r="A49" t="s">
        <v>97</v>
      </c>
      <c r="B49">
        <v>47</v>
      </c>
      <c r="D49" t="str">
        <f t="shared" si="1"/>
        <v>=Vlookup("47",Translations!F3:H800,1,0)</v>
      </c>
      <c r="E49" t="str">
        <f t="shared" si="0"/>
        <v>%</v>
      </c>
      <c r="F49" t="s">
        <v>135</v>
      </c>
      <c r="G49" t="s">
        <v>135</v>
      </c>
      <c r="H49" t="s">
        <v>135</v>
      </c>
    </row>
    <row r="50" spans="1:8" x14ac:dyDescent="0.25">
      <c r="A50" t="s">
        <v>97</v>
      </c>
      <c r="B50">
        <v>48</v>
      </c>
      <c r="D50" t="str">
        <f t="shared" si="1"/>
        <v>=Vlookup("48",Translations!F3:H800,1,0)</v>
      </c>
      <c r="E50" t="str">
        <f t="shared" si="0"/>
        <v>Année du résultat</v>
      </c>
      <c r="F50" t="s">
        <v>162</v>
      </c>
      <c r="G50" t="s">
        <v>3350</v>
      </c>
      <c r="H50" t="s">
        <v>3351</v>
      </c>
    </row>
    <row r="51" spans="1:8" x14ac:dyDescent="0.25">
      <c r="A51" t="s">
        <v>97</v>
      </c>
      <c r="B51">
        <v>49</v>
      </c>
      <c r="D51" t="str">
        <f t="shared" si="1"/>
        <v>=Vlookup("49",Translations!F3:H800,1,0)</v>
      </c>
      <c r="E51" t="str">
        <f t="shared" si="0"/>
        <v>Source de données des résultats</v>
      </c>
      <c r="F51" t="s">
        <v>22</v>
      </c>
      <c r="G51" t="s">
        <v>3352</v>
      </c>
      <c r="H51" t="s">
        <v>3353</v>
      </c>
    </row>
    <row r="52" spans="1:8" x14ac:dyDescent="0.25">
      <c r="A52" t="s">
        <v>97</v>
      </c>
      <c r="B52">
        <v>50</v>
      </c>
      <c r="D52" t="str">
        <f t="shared" si="1"/>
        <v>=Vlookup("50",Translations!F3:H800,1,0)</v>
      </c>
      <c r="E52" t="str">
        <f t="shared" si="0"/>
        <v>Commentaires sur les résultats concernant les indicateurs d'impact/d'effet et les sources de données, ainsi que tout autre commentaire</v>
      </c>
      <c r="F52" t="s">
        <v>163</v>
      </c>
      <c r="G52" t="s">
        <v>3354</v>
      </c>
      <c r="H52" t="s">
        <v>3355</v>
      </c>
    </row>
    <row r="53" spans="1:8" x14ac:dyDescent="0.25">
      <c r="A53" t="s">
        <v>97</v>
      </c>
      <c r="B53">
        <v>51</v>
      </c>
      <c r="D53" t="str">
        <f t="shared" si="1"/>
        <v>=Vlookup("51",Translations!F3:H800,1,0)</v>
      </c>
      <c r="E53" t="str">
        <f t="shared" si="0"/>
        <v>Verification Method</v>
      </c>
      <c r="F53" t="s">
        <v>164</v>
      </c>
      <c r="G53" t="s">
        <v>164</v>
      </c>
      <c r="H53" t="s">
        <v>164</v>
      </c>
    </row>
    <row r="54" spans="1:8" x14ac:dyDescent="0.25">
      <c r="A54" t="s">
        <v>97</v>
      </c>
      <c r="B54">
        <v>52</v>
      </c>
      <c r="D54" t="str">
        <f t="shared" si="1"/>
        <v>=Vlookup("52",Translations!F3:H800,1,0)</v>
      </c>
      <c r="E54" t="str">
        <f t="shared" si="0"/>
        <v>Verified Result</v>
      </c>
      <c r="F54" t="s">
        <v>165</v>
      </c>
      <c r="G54" t="s">
        <v>165</v>
      </c>
      <c r="H54" t="s">
        <v>165</v>
      </c>
    </row>
    <row r="55" spans="1:8" x14ac:dyDescent="0.25">
      <c r="A55" t="s">
        <v>97</v>
      </c>
      <c r="B55">
        <v>53</v>
      </c>
      <c r="D55" t="str">
        <f t="shared" si="1"/>
        <v>=Vlookup("53",Translations!F3:H800,1,0)</v>
      </c>
      <c r="E55" t="str">
        <f t="shared" si="0"/>
        <v>N#</v>
      </c>
      <c r="F55" t="s">
        <v>136</v>
      </c>
      <c r="G55" t="s">
        <v>136</v>
      </c>
      <c r="H55" t="s">
        <v>136</v>
      </c>
    </row>
    <row r="56" spans="1:8" x14ac:dyDescent="0.25">
      <c r="A56" t="s">
        <v>97</v>
      </c>
      <c r="B56">
        <v>54</v>
      </c>
      <c r="D56" t="str">
        <f t="shared" si="1"/>
        <v>=Vlookup("54",Translations!F3:H800,1,0)</v>
      </c>
      <c r="E56" t="str">
        <f t="shared" si="0"/>
        <v>D#</v>
      </c>
      <c r="F56" t="s">
        <v>134</v>
      </c>
      <c r="G56" t="s">
        <v>134</v>
      </c>
      <c r="H56" t="s">
        <v>134</v>
      </c>
    </row>
    <row r="57" spans="1:8" x14ac:dyDescent="0.25">
      <c r="A57" t="s">
        <v>97</v>
      </c>
      <c r="B57">
        <v>55</v>
      </c>
      <c r="D57" t="str">
        <f t="shared" si="1"/>
        <v>=Vlookup("55",Translations!F3:H800,1,0)</v>
      </c>
      <c r="E57" t="str">
        <f t="shared" si="0"/>
        <v>%</v>
      </c>
      <c r="F57" t="s">
        <v>135</v>
      </c>
      <c r="G57" t="s">
        <v>135</v>
      </c>
      <c r="H57" t="s">
        <v>135</v>
      </c>
    </row>
    <row r="58" spans="1:8" x14ac:dyDescent="0.25">
      <c r="A58" t="s">
        <v>97</v>
      </c>
      <c r="B58">
        <v>56</v>
      </c>
      <c r="D58" t="str">
        <f t="shared" si="1"/>
        <v>=Vlookup("56",Translations!F3:H800,1,0)</v>
      </c>
      <c r="E58" t="str">
        <f t="shared" si="0"/>
        <v>Year of Result</v>
      </c>
      <c r="F58" t="s">
        <v>162</v>
      </c>
      <c r="G58" t="s">
        <v>162</v>
      </c>
      <c r="H58" t="s">
        <v>162</v>
      </c>
    </row>
    <row r="59" spans="1:8" x14ac:dyDescent="0.25">
      <c r="A59" t="s">
        <v>97</v>
      </c>
      <c r="B59">
        <v>57</v>
      </c>
      <c r="D59" t="str">
        <f t="shared" si="1"/>
        <v>=Vlookup("57",Translations!F3:H800,1,0)</v>
      </c>
      <c r="E59" t="str">
        <f t="shared" si="0"/>
        <v>Source</v>
      </c>
      <c r="F59" t="s">
        <v>22</v>
      </c>
      <c r="G59" t="s">
        <v>22</v>
      </c>
      <c r="H59" t="s">
        <v>22</v>
      </c>
    </row>
    <row r="60" spans="1:8" x14ac:dyDescent="0.25">
      <c r="A60" t="s">
        <v>97</v>
      </c>
      <c r="B60">
        <v>58</v>
      </c>
      <c r="D60" t="str">
        <f t="shared" si="1"/>
        <v>=Vlookup("58",Translations!F3:H800,1,0)</v>
      </c>
      <c r="E60" t="str">
        <f t="shared" si="0"/>
        <v xml:space="preserve">LFA comments on (a) verified result, (b) source of information used by the PR to report results, including the status of completion of surveys and other methods to measure Impact/Outcome, as applicable,  </v>
      </c>
      <c r="F60" t="s">
        <v>166</v>
      </c>
      <c r="G60" t="s">
        <v>166</v>
      </c>
      <c r="H60" t="s">
        <v>166</v>
      </c>
    </row>
    <row r="61" spans="1:8" x14ac:dyDescent="0.25">
      <c r="A61" t="s">
        <v>100</v>
      </c>
      <c r="B61">
        <v>59</v>
      </c>
      <c r="D61" t="str">
        <f t="shared" si="1"/>
        <v>=Vlookup("59",Translations!F3:H800,1,0)</v>
      </c>
      <c r="E61" t="str">
        <f t="shared" si="0"/>
        <v>Rapport périodique sur les résultats actuels et demande de décaissement</v>
      </c>
      <c r="F61" t="s">
        <v>3227</v>
      </c>
      <c r="G61" t="s">
        <v>3228</v>
      </c>
      <c r="H61" t="s">
        <v>3229</v>
      </c>
    </row>
    <row r="62" spans="1:8" x14ac:dyDescent="0.25">
      <c r="A62" t="s">
        <v>100</v>
      </c>
      <c r="B62">
        <v>60</v>
      </c>
      <c r="D62" t="str">
        <f t="shared" si="1"/>
        <v>=Vlookup("60",Translations!F3:H800,1,0)</v>
      </c>
      <c r="E62" t="str">
        <f t="shared" si="0"/>
        <v>Section 1 : Information programmatique</v>
      </c>
      <c r="F62" t="s">
        <v>3356</v>
      </c>
      <c r="G62" t="s">
        <v>3320</v>
      </c>
      <c r="H62" t="s">
        <v>3321</v>
      </c>
    </row>
    <row r="63" spans="1:8" x14ac:dyDescent="0.25">
      <c r="A63" t="s">
        <v>100</v>
      </c>
      <c r="B63">
        <v>61</v>
      </c>
      <c r="D63" t="str">
        <f t="shared" si="1"/>
        <v>=Vlookup("61",Translations!F3:H800,1,0)</v>
      </c>
      <c r="E63" t="str">
        <f t="shared" si="0"/>
        <v>A- Indicateurs d'impact / d'effet - Ventilation</v>
      </c>
      <c r="F63" t="s">
        <v>3357</v>
      </c>
      <c r="G63" t="s">
        <v>3358</v>
      </c>
      <c r="H63" t="s">
        <v>3359</v>
      </c>
    </row>
    <row r="64" spans="1:8" x14ac:dyDescent="0.25">
      <c r="A64" t="s">
        <v>100</v>
      </c>
      <c r="B64">
        <v>62</v>
      </c>
      <c r="D64" t="str">
        <f t="shared" si="1"/>
        <v>=Vlookup("62",Translations!F3:H800,1,0)</v>
      </c>
      <c r="E64" t="str">
        <f t="shared" si="0"/>
        <v>Impact/Outcome</v>
      </c>
      <c r="F64" t="s">
        <v>3360</v>
      </c>
      <c r="G64" t="s">
        <v>3360</v>
      </c>
      <c r="H64" t="s">
        <v>3329</v>
      </c>
    </row>
    <row r="65" spans="1:8" x14ac:dyDescent="0.25">
      <c r="A65" t="s">
        <v>100</v>
      </c>
      <c r="B65">
        <v>63</v>
      </c>
      <c r="D65" t="str">
        <f t="shared" si="1"/>
        <v>=Vlookup("63",Translations!F3:H800,1,0)</v>
      </c>
      <c r="E65" t="str">
        <f t="shared" si="0"/>
        <v>Indicateurs standard</v>
      </c>
      <c r="F65" t="s">
        <v>149</v>
      </c>
      <c r="G65" t="s">
        <v>3361</v>
      </c>
      <c r="H65" t="s">
        <v>3362</v>
      </c>
    </row>
    <row r="66" spans="1:8" x14ac:dyDescent="0.25">
      <c r="A66" t="s">
        <v>100</v>
      </c>
      <c r="B66">
        <v>64</v>
      </c>
      <c r="D66" t="str">
        <f t="shared" si="1"/>
        <v>=Vlookup("64",Translations!F3:H800,1,0)</v>
      </c>
      <c r="E66" t="str">
        <f t="shared" si="0"/>
        <v>Ventilation</v>
      </c>
      <c r="F66" t="s">
        <v>289</v>
      </c>
      <c r="G66" t="s">
        <v>3363</v>
      </c>
      <c r="H66" t="s">
        <v>3364</v>
      </c>
    </row>
    <row r="67" spans="1:8" x14ac:dyDescent="0.25">
      <c r="A67" t="s">
        <v>100</v>
      </c>
      <c r="B67">
        <v>65</v>
      </c>
      <c r="D67" t="str">
        <f t="shared" si="1"/>
        <v>=Vlookup("65",Translations!F3:H800,1,0)</v>
      </c>
      <c r="E67" t="str">
        <f t="shared" ref="E67:E130" si="2">IF(LangOffset=0,F67,IF(LangOffset=1,G67,IF(LangOffset=2,H67)))</f>
        <v xml:space="preserve">Catégorie </v>
      </c>
      <c r="F67" t="s">
        <v>290</v>
      </c>
      <c r="G67" t="s">
        <v>3365</v>
      </c>
      <c r="H67" t="s">
        <v>3366</v>
      </c>
    </row>
    <row r="68" spans="1:8" x14ac:dyDescent="0.25">
      <c r="A68" t="s">
        <v>100</v>
      </c>
      <c r="B68">
        <v>66</v>
      </c>
      <c r="D68" t="str">
        <f t="shared" ref="D68:D131" si="3">"=Vlookup("""&amp;B68&amp;""",Translations!F3:H800,1,0)"</f>
        <v>=Vlookup("66",Translations!F3:H800,1,0)</v>
      </c>
      <c r="E68" t="str">
        <f t="shared" si="2"/>
        <v>Valeur</v>
      </c>
      <c r="F68" t="s">
        <v>169</v>
      </c>
      <c r="G68" t="s">
        <v>3338</v>
      </c>
      <c r="H68" t="s">
        <v>3339</v>
      </c>
    </row>
    <row r="69" spans="1:8" x14ac:dyDescent="0.25">
      <c r="A69" t="s">
        <v>100</v>
      </c>
      <c r="B69">
        <v>67</v>
      </c>
      <c r="D69" t="str">
        <f t="shared" si="3"/>
        <v>=Vlookup("67",Translations!F3:H800,1,0)</v>
      </c>
      <c r="E69" t="str">
        <f t="shared" si="2"/>
        <v>Référence</v>
      </c>
      <c r="F69" t="s">
        <v>291</v>
      </c>
      <c r="G69" t="s">
        <v>3367</v>
      </c>
      <c r="H69" t="s">
        <v>3368</v>
      </c>
    </row>
    <row r="70" spans="1:8" x14ac:dyDescent="0.25">
      <c r="A70" t="s">
        <v>100</v>
      </c>
      <c r="B70">
        <v>68</v>
      </c>
      <c r="D70" t="str">
        <f t="shared" si="3"/>
        <v>=Vlookup("68",Translations!F3:H800,1,0)</v>
      </c>
      <c r="E70" t="str">
        <f t="shared" si="2"/>
        <v>Année</v>
      </c>
      <c r="F70" t="s">
        <v>170</v>
      </c>
      <c r="G70" t="s">
        <v>3340</v>
      </c>
      <c r="H70" t="s">
        <v>3341</v>
      </c>
    </row>
    <row r="71" spans="1:8" x14ac:dyDescent="0.25">
      <c r="A71" t="s">
        <v>100</v>
      </c>
      <c r="B71">
        <v>69</v>
      </c>
      <c r="D71" t="str">
        <f t="shared" si="3"/>
        <v>=Vlookup("69",Translations!F3:H800,1,0)</v>
      </c>
      <c r="E71" t="str">
        <f t="shared" si="2"/>
        <v>Source</v>
      </c>
      <c r="F71" t="s">
        <v>22</v>
      </c>
      <c r="G71" t="s">
        <v>22</v>
      </c>
      <c r="H71" t="s">
        <v>3369</v>
      </c>
    </row>
    <row r="72" spans="1:8" x14ac:dyDescent="0.25">
      <c r="A72" t="s">
        <v>100</v>
      </c>
      <c r="B72">
        <v>70</v>
      </c>
      <c r="D72" t="str">
        <f t="shared" si="3"/>
        <v>=Vlookup("70",Translations!F3:H800,1,0)</v>
      </c>
      <c r="E72" t="str">
        <f t="shared" si="2"/>
        <v>Ventilation Année de la cible</v>
      </c>
      <c r="F72" t="s">
        <v>292</v>
      </c>
      <c r="G72" t="s">
        <v>3370</v>
      </c>
      <c r="H72" t="s">
        <v>3347</v>
      </c>
    </row>
    <row r="73" spans="1:8" x14ac:dyDescent="0.25">
      <c r="A73" t="s">
        <v>100</v>
      </c>
      <c r="B73">
        <v>71</v>
      </c>
      <c r="D73" t="str">
        <f t="shared" si="3"/>
        <v>=Vlookup("71",Translations!F3:H800,1,0)</v>
      </c>
      <c r="E73" t="str">
        <f t="shared" si="2"/>
        <v>Résultats</v>
      </c>
      <c r="F73" t="s">
        <v>161</v>
      </c>
      <c r="G73" t="s">
        <v>3371</v>
      </c>
      <c r="H73" t="s">
        <v>3372</v>
      </c>
    </row>
    <row r="74" spans="1:8" x14ac:dyDescent="0.25">
      <c r="A74" t="s">
        <v>100</v>
      </c>
      <c r="B74">
        <v>72</v>
      </c>
      <c r="D74" t="str">
        <f t="shared" si="3"/>
        <v>=Vlookup("72",Translations!F3:H800,1,0)</v>
      </c>
      <c r="E74" t="str">
        <f t="shared" si="2"/>
        <v>Valeur</v>
      </c>
      <c r="F74" t="s">
        <v>169</v>
      </c>
      <c r="G74" t="s">
        <v>3338</v>
      </c>
      <c r="H74" t="s">
        <v>3339</v>
      </c>
    </row>
    <row r="75" spans="1:8" x14ac:dyDescent="0.25">
      <c r="A75" t="s">
        <v>100</v>
      </c>
      <c r="B75">
        <v>73</v>
      </c>
      <c r="D75" t="str">
        <f t="shared" si="3"/>
        <v>=Vlookup("73",Translations!F3:H800,1,0)</v>
      </c>
      <c r="E75" t="str">
        <f t="shared" si="2"/>
        <v>Source</v>
      </c>
      <c r="F75" t="s">
        <v>22</v>
      </c>
      <c r="G75" t="s">
        <v>22</v>
      </c>
      <c r="H75" t="s">
        <v>3369</v>
      </c>
    </row>
    <row r="76" spans="1:8" x14ac:dyDescent="0.25">
      <c r="A76" t="s">
        <v>100</v>
      </c>
      <c r="B76">
        <v>74</v>
      </c>
      <c r="D76" t="str">
        <f t="shared" si="3"/>
        <v>=Vlookup("74",Translations!F3:H800,1,0)</v>
      </c>
      <c r="E76" t="str">
        <f t="shared" si="2"/>
        <v>Commentaires</v>
      </c>
      <c r="F76" t="s">
        <v>160</v>
      </c>
      <c r="G76" t="s">
        <v>3373</v>
      </c>
      <c r="H76" t="s">
        <v>3374</v>
      </c>
    </row>
    <row r="77" spans="1:8" x14ac:dyDescent="0.25">
      <c r="A77" t="s">
        <v>100</v>
      </c>
      <c r="B77">
        <v>75</v>
      </c>
      <c r="D77" t="str">
        <f t="shared" si="3"/>
        <v>=Vlookup("75",Translations!F3:H800,1,0)</v>
      </c>
      <c r="E77" t="str">
        <f t="shared" si="2"/>
        <v>Verified Result</v>
      </c>
      <c r="F77" t="s">
        <v>165</v>
      </c>
      <c r="G77" t="s">
        <v>165</v>
      </c>
      <c r="H77" t="s">
        <v>165</v>
      </c>
    </row>
    <row r="78" spans="1:8" x14ac:dyDescent="0.25">
      <c r="A78" t="s">
        <v>100</v>
      </c>
      <c r="B78">
        <v>76</v>
      </c>
      <c r="D78" t="str">
        <f t="shared" si="3"/>
        <v>=Vlookup("76",Translations!F3:H800,1,0)</v>
      </c>
      <c r="E78" t="str">
        <f t="shared" si="2"/>
        <v>Value</v>
      </c>
      <c r="F78" t="s">
        <v>169</v>
      </c>
      <c r="G78" t="s">
        <v>169</v>
      </c>
      <c r="H78" t="s">
        <v>169</v>
      </c>
    </row>
    <row r="79" spans="1:8" x14ac:dyDescent="0.25">
      <c r="A79" t="s">
        <v>100</v>
      </c>
      <c r="B79">
        <v>77</v>
      </c>
      <c r="D79" t="str">
        <f t="shared" si="3"/>
        <v>=Vlookup("77",Translations!F3:H800,1,0)</v>
      </c>
      <c r="E79" t="str">
        <f t="shared" si="2"/>
        <v>Verified Result</v>
      </c>
      <c r="F79" t="s">
        <v>165</v>
      </c>
      <c r="G79" t="s">
        <v>165</v>
      </c>
      <c r="H79" t="s">
        <v>165</v>
      </c>
    </row>
    <row r="80" spans="1:8" x14ac:dyDescent="0.25">
      <c r="A80" t="s">
        <v>100</v>
      </c>
      <c r="B80">
        <v>78</v>
      </c>
      <c r="D80" t="str">
        <f t="shared" si="3"/>
        <v>=Vlookup("78",Translations!F3:H800,1,0)</v>
      </c>
      <c r="E80" t="str">
        <f t="shared" si="2"/>
        <v>Value</v>
      </c>
      <c r="F80" t="s">
        <v>169</v>
      </c>
      <c r="G80" t="s">
        <v>169</v>
      </c>
      <c r="H80" t="s">
        <v>169</v>
      </c>
    </row>
    <row r="81" spans="1:8" x14ac:dyDescent="0.25">
      <c r="A81" t="s">
        <v>100</v>
      </c>
      <c r="B81">
        <v>79</v>
      </c>
      <c r="D81" t="str">
        <f t="shared" si="3"/>
        <v>=Vlookup("79",Translations!F3:H800,1,0)</v>
      </c>
      <c r="E81" t="str">
        <f t="shared" si="2"/>
        <v>Source</v>
      </c>
      <c r="F81" t="s">
        <v>22</v>
      </c>
      <c r="G81" t="s">
        <v>22</v>
      </c>
      <c r="H81" t="s">
        <v>22</v>
      </c>
    </row>
    <row r="82" spans="1:8" x14ac:dyDescent="0.25">
      <c r="A82" t="s">
        <v>100</v>
      </c>
      <c r="B82">
        <v>80</v>
      </c>
      <c r="D82" t="str">
        <f t="shared" si="3"/>
        <v>=Vlookup("80",Translations!F3:H800,1,0)</v>
      </c>
      <c r="E82" t="str">
        <f t="shared" si="2"/>
        <v>LFA Comments</v>
      </c>
      <c r="F82" t="s">
        <v>1249</v>
      </c>
      <c r="G82" t="s">
        <v>1249</v>
      </c>
      <c r="H82" t="s">
        <v>1249</v>
      </c>
    </row>
    <row r="83" spans="1:8" x14ac:dyDescent="0.25">
      <c r="A83" t="s">
        <v>3375</v>
      </c>
      <c r="B83">
        <v>81</v>
      </c>
      <c r="D83" t="str">
        <f t="shared" si="3"/>
        <v>=Vlookup("81",Translations!F3:H800,1,0)</v>
      </c>
      <c r="E83" t="str">
        <f t="shared" si="2"/>
        <v>Rapport périodique sur les résultats actuels et demande de décaissement</v>
      </c>
      <c r="F83" t="s">
        <v>3227</v>
      </c>
      <c r="G83" t="s">
        <v>3228</v>
      </c>
      <c r="H83" t="s">
        <v>3229</v>
      </c>
    </row>
    <row r="84" spans="1:8" x14ac:dyDescent="0.25">
      <c r="A84" t="s">
        <v>3375</v>
      </c>
      <c r="B84">
        <v>82</v>
      </c>
      <c r="D84" t="str">
        <f t="shared" si="3"/>
        <v>=Vlookup("82",Translations!F3:H800,1,0)</v>
      </c>
      <c r="E84" t="str">
        <f t="shared" si="2"/>
        <v>Section 1 :  Information programmatique</v>
      </c>
      <c r="F84" t="s">
        <v>3319</v>
      </c>
      <c r="G84" t="s">
        <v>3376</v>
      </c>
      <c r="H84" t="s">
        <v>3377</v>
      </c>
    </row>
    <row r="85" spans="1:8" x14ac:dyDescent="0.25">
      <c r="A85" t="s">
        <v>3375</v>
      </c>
      <c r="B85">
        <v>83</v>
      </c>
      <c r="D85" t="str">
        <f t="shared" si="3"/>
        <v>=Vlookup("83",Translations!F3:H800,1,0)</v>
      </c>
      <c r="E85" t="str">
        <f t="shared" si="2"/>
        <v xml:space="preserve">Remarque : Tous les indicateurs de couverture figurant dans le cadre de résultats actuel doivent être répertoriés, que les cibles aient été atteintes ou non pendant les périodes précédentes.  </v>
      </c>
      <c r="F85" t="s">
        <v>3378</v>
      </c>
      <c r="G85" t="s">
        <v>3379</v>
      </c>
      <c r="H85" t="s">
        <v>3380</v>
      </c>
    </row>
    <row r="86" spans="1:8" x14ac:dyDescent="0.25">
      <c r="A86" t="s">
        <v>3375</v>
      </c>
      <c r="B86">
        <v>84</v>
      </c>
      <c r="D86" t="str">
        <f t="shared" si="3"/>
        <v>=Vlookup("84",Translations!F3:H800,1,0)</v>
      </c>
      <c r="E86" t="str">
        <f t="shared" si="2"/>
        <v>B- Indicateurs de couverture</v>
      </c>
      <c r="F86" t="s">
        <v>3381</v>
      </c>
      <c r="G86" t="s">
        <v>3382</v>
      </c>
      <c r="H86" t="s">
        <v>3383</v>
      </c>
    </row>
    <row r="87" spans="1:8" x14ac:dyDescent="0.25">
      <c r="A87" t="s">
        <v>3375</v>
      </c>
      <c r="B87">
        <v>85</v>
      </c>
      <c r="D87" t="str">
        <f t="shared" si="3"/>
        <v>=Vlookup("85",Translations!F3:H800,1,0)</v>
      </c>
      <c r="E87" t="str">
        <f t="shared" si="2"/>
        <v>Module</v>
      </c>
      <c r="F87" t="s">
        <v>353</v>
      </c>
      <c r="G87" t="s">
        <v>353</v>
      </c>
      <c r="H87" t="s">
        <v>3384</v>
      </c>
    </row>
    <row r="88" spans="1:8" x14ac:dyDescent="0.25">
      <c r="A88" t="s">
        <v>3375</v>
      </c>
      <c r="B88">
        <v>86</v>
      </c>
      <c r="D88" t="str">
        <f t="shared" si="3"/>
        <v>=Vlookup("86",Translations!F3:H800,1,0)</v>
      </c>
      <c r="E88" t="str">
        <f t="shared" si="2"/>
        <v>Indicateurs</v>
      </c>
      <c r="F88" t="s">
        <v>3385</v>
      </c>
      <c r="G88" t="s">
        <v>3331</v>
      </c>
      <c r="H88" t="s">
        <v>3332</v>
      </c>
    </row>
    <row r="89" spans="1:8" x14ac:dyDescent="0.25">
      <c r="A89" t="s">
        <v>3375</v>
      </c>
      <c r="B89">
        <v>87</v>
      </c>
      <c r="D89" t="str">
        <f t="shared" si="3"/>
        <v>=Vlookup("87",Translations!F3:H800,1,0)</v>
      </c>
      <c r="E89" t="str">
        <f t="shared" si="2"/>
        <v>L'indicateur personnalisé</v>
      </c>
      <c r="F89" t="s">
        <v>3386</v>
      </c>
      <c r="G89" t="s">
        <v>3333</v>
      </c>
      <c r="H89" t="s">
        <v>3334</v>
      </c>
    </row>
    <row r="90" spans="1:8" x14ac:dyDescent="0.25">
      <c r="A90" t="s">
        <v>3375</v>
      </c>
      <c r="B90">
        <v>88</v>
      </c>
      <c r="D90" t="str">
        <f t="shared" si="3"/>
        <v>=Vlookup("88",Translations!F3:H800,1,0)</v>
      </c>
      <c r="E90" t="str">
        <f t="shared" si="2"/>
        <v>Si infranationale, veuillez préciser dans la colonne des commentaires</v>
      </c>
      <c r="F90" t="s">
        <v>3387</v>
      </c>
      <c r="G90" t="s">
        <v>3388</v>
      </c>
      <c r="H90" t="s">
        <v>3389</v>
      </c>
    </row>
    <row r="91" spans="1:8" ht="30" x14ac:dyDescent="0.25">
      <c r="A91" t="s">
        <v>3375</v>
      </c>
      <c r="B91">
        <v>89</v>
      </c>
      <c r="D91" t="str">
        <f t="shared" si="3"/>
        <v>=Vlookup("89",Translations!F3:H800,1,0)</v>
      </c>
      <c r="E91" t="str">
        <f t="shared" si="2"/>
        <v xml:space="preserve">Cibles cumulatives ?
</v>
      </c>
      <c r="F91" s="731" t="s">
        <v>3390</v>
      </c>
      <c r="G91" s="731" t="s">
        <v>3391</v>
      </c>
      <c r="H91" s="731" t="s">
        <v>3392</v>
      </c>
    </row>
    <row r="92" spans="1:8" x14ac:dyDescent="0.25">
      <c r="A92" t="s">
        <v>3375</v>
      </c>
      <c r="B92">
        <v>90</v>
      </c>
      <c r="D92" t="str">
        <f t="shared" si="3"/>
        <v>=Vlookup("90",Translations!F3:H800,1,0)</v>
      </c>
      <c r="E92" t="str">
        <f t="shared" si="2"/>
        <v>N#</v>
      </c>
      <c r="F92" t="s">
        <v>136</v>
      </c>
      <c r="G92" t="s">
        <v>136</v>
      </c>
      <c r="H92" t="s">
        <v>136</v>
      </c>
    </row>
    <row r="93" spans="1:8" x14ac:dyDescent="0.25">
      <c r="A93" t="s">
        <v>3375</v>
      </c>
      <c r="B93">
        <v>91</v>
      </c>
      <c r="D93" t="str">
        <f t="shared" si="3"/>
        <v>=Vlookup("91",Translations!F3:H800,1,0)</v>
      </c>
      <c r="E93" t="str">
        <f t="shared" si="2"/>
        <v>D#</v>
      </c>
      <c r="F93" t="s">
        <v>134</v>
      </c>
      <c r="G93" t="s">
        <v>134</v>
      </c>
      <c r="H93" t="s">
        <v>134</v>
      </c>
    </row>
    <row r="94" spans="1:8" x14ac:dyDescent="0.25">
      <c r="A94" t="s">
        <v>3375</v>
      </c>
      <c r="B94">
        <v>92</v>
      </c>
      <c r="D94" t="str">
        <f t="shared" si="3"/>
        <v>=Vlookup("92",Translations!F3:H800,1,0)</v>
      </c>
      <c r="E94" t="str">
        <f t="shared" si="2"/>
        <v>%</v>
      </c>
      <c r="F94" t="s">
        <v>135</v>
      </c>
      <c r="G94" t="s">
        <v>135</v>
      </c>
      <c r="H94" t="s">
        <v>135</v>
      </c>
    </row>
    <row r="95" spans="1:8" x14ac:dyDescent="0.25">
      <c r="A95" t="s">
        <v>3375</v>
      </c>
      <c r="B95">
        <v>93</v>
      </c>
      <c r="D95" t="str">
        <f t="shared" si="3"/>
        <v>=Vlookup("93",Translations!F3:H800,1,0)</v>
      </c>
      <c r="E95" t="str">
        <f t="shared" si="2"/>
        <v>Source</v>
      </c>
      <c r="F95" t="s">
        <v>22</v>
      </c>
      <c r="G95" t="s">
        <v>22</v>
      </c>
      <c r="H95" t="s">
        <v>3369</v>
      </c>
    </row>
    <row r="96" spans="1:8" x14ac:dyDescent="0.25">
      <c r="A96" t="s">
        <v>3375</v>
      </c>
      <c r="B96">
        <v>94</v>
      </c>
      <c r="D96" t="str">
        <f t="shared" si="3"/>
        <v>=Vlookup("94",Translations!F3:H800,1,0)</v>
      </c>
      <c r="E96" t="str">
        <f t="shared" si="2"/>
        <v>Cible</v>
      </c>
      <c r="F96" t="s">
        <v>156</v>
      </c>
      <c r="G96" t="s">
        <v>3342</v>
      </c>
      <c r="H96" t="s">
        <v>3343</v>
      </c>
    </row>
    <row r="97" spans="1:8" x14ac:dyDescent="0.25">
      <c r="A97" t="s">
        <v>3375</v>
      </c>
      <c r="B97">
        <v>95</v>
      </c>
      <c r="D97" t="str">
        <f t="shared" si="3"/>
        <v>=Vlookup("95",Translations!F3:H800,1,0)</v>
      </c>
      <c r="E97" t="str">
        <f t="shared" si="2"/>
        <v>N#</v>
      </c>
      <c r="F97" t="s">
        <v>136</v>
      </c>
      <c r="G97" t="s">
        <v>136</v>
      </c>
      <c r="H97" t="s">
        <v>136</v>
      </c>
    </row>
    <row r="98" spans="1:8" x14ac:dyDescent="0.25">
      <c r="A98" t="s">
        <v>3375</v>
      </c>
      <c r="B98">
        <v>96</v>
      </c>
      <c r="D98" t="str">
        <f t="shared" si="3"/>
        <v>=Vlookup("96",Translations!F3:H800,1,0)</v>
      </c>
      <c r="E98" t="str">
        <f t="shared" si="2"/>
        <v>D#</v>
      </c>
      <c r="F98" t="s">
        <v>134</v>
      </c>
      <c r="G98" t="s">
        <v>134</v>
      </c>
      <c r="H98" t="s">
        <v>134</v>
      </c>
    </row>
    <row r="99" spans="1:8" x14ac:dyDescent="0.25">
      <c r="A99" t="s">
        <v>3375</v>
      </c>
      <c r="B99">
        <v>97</v>
      </c>
      <c r="D99" t="str">
        <f t="shared" si="3"/>
        <v>=Vlookup("97",Translations!F3:H800,1,0)</v>
      </c>
      <c r="E99" t="str">
        <f t="shared" si="2"/>
        <v>%</v>
      </c>
      <c r="F99" t="s">
        <v>135</v>
      </c>
      <c r="G99" t="s">
        <v>135</v>
      </c>
      <c r="H99" t="s">
        <v>135</v>
      </c>
    </row>
    <row r="100" spans="1:8" x14ac:dyDescent="0.25">
      <c r="A100" t="s">
        <v>3375</v>
      </c>
      <c r="B100">
        <v>98</v>
      </c>
      <c r="D100" t="str">
        <f t="shared" si="3"/>
        <v>=Vlookup("98",Translations!F3:H800,1,0)</v>
      </c>
      <c r="E100" t="str">
        <f t="shared" si="2"/>
        <v>Résultats</v>
      </c>
      <c r="F100" t="s">
        <v>161</v>
      </c>
      <c r="G100" t="s">
        <v>3371</v>
      </c>
      <c r="H100" t="s">
        <v>3372</v>
      </c>
    </row>
    <row r="101" spans="1:8" x14ac:dyDescent="0.25">
      <c r="A101" t="s">
        <v>3375</v>
      </c>
      <c r="B101">
        <v>99</v>
      </c>
      <c r="D101" t="str">
        <f t="shared" si="3"/>
        <v>=Vlookup("99",Translations!F3:H800,1,0)</v>
      </c>
      <c r="E101" t="str">
        <f t="shared" si="2"/>
        <v>N#</v>
      </c>
      <c r="F101" t="s">
        <v>136</v>
      </c>
      <c r="G101" t="s">
        <v>136</v>
      </c>
      <c r="H101" t="s">
        <v>136</v>
      </c>
    </row>
    <row r="102" spans="1:8" x14ac:dyDescent="0.25">
      <c r="A102" t="s">
        <v>3375</v>
      </c>
      <c r="B102">
        <v>100</v>
      </c>
      <c r="D102" t="str">
        <f t="shared" si="3"/>
        <v>=Vlookup("100",Translations!F3:H800,1,0)</v>
      </c>
      <c r="E102" t="str">
        <f t="shared" si="2"/>
        <v>D#</v>
      </c>
      <c r="F102" t="s">
        <v>134</v>
      </c>
      <c r="G102" t="s">
        <v>134</v>
      </c>
      <c r="H102" t="s">
        <v>134</v>
      </c>
    </row>
    <row r="103" spans="1:8" x14ac:dyDescent="0.25">
      <c r="A103" t="s">
        <v>3375</v>
      </c>
      <c r="B103">
        <v>101</v>
      </c>
      <c r="D103" t="str">
        <f t="shared" si="3"/>
        <v>=Vlookup("101",Translations!F3:H800,1,0)</v>
      </c>
      <c r="E103" t="str">
        <f t="shared" si="2"/>
        <v>%</v>
      </c>
      <c r="F103" t="s">
        <v>135</v>
      </c>
      <c r="G103" t="s">
        <v>135</v>
      </c>
      <c r="H103" t="s">
        <v>135</v>
      </c>
    </row>
    <row r="104" spans="1:8" x14ac:dyDescent="0.25">
      <c r="A104" t="s">
        <v>3375</v>
      </c>
      <c r="B104">
        <v>102</v>
      </c>
      <c r="D104" t="str">
        <f t="shared" si="3"/>
        <v>=Vlookup("102",Translations!F3:H800,1,0)</v>
      </c>
      <c r="E104" t="str">
        <f t="shared" si="2"/>
        <v>Source</v>
      </c>
      <c r="F104" t="s">
        <v>22</v>
      </c>
      <c r="G104" t="s">
        <v>22</v>
      </c>
      <c r="H104" t="s">
        <v>3369</v>
      </c>
    </row>
    <row r="105" spans="1:8" x14ac:dyDescent="0.25">
      <c r="A105" t="s">
        <v>3375</v>
      </c>
      <c r="B105">
        <v>103</v>
      </c>
      <c r="D105" t="str">
        <f t="shared" si="3"/>
        <v>=Vlookup("103",Translations!F3:H800,1,0)</v>
      </c>
      <c r="E105" t="str">
        <f t="shared" si="2"/>
        <v>Taux d'accomplissement</v>
      </c>
      <c r="F105" t="s">
        <v>3393</v>
      </c>
      <c r="G105" t="s">
        <v>3394</v>
      </c>
      <c r="H105" t="s">
        <v>3395</v>
      </c>
    </row>
    <row r="106" spans="1:8" ht="75" x14ac:dyDescent="0.25">
      <c r="A106" t="s">
        <v>3375</v>
      </c>
      <c r="B106">
        <v>104</v>
      </c>
      <c r="D106" t="str">
        <f t="shared" si="3"/>
        <v>=Vlookup("104",Translations!F3:H800,1,0)</v>
      </c>
      <c r="E106" t="str">
        <f t="shared" si="2"/>
        <v>Commentaires:
Motifs de l'écart programmatique par rapport à la cible visée et des écarts par rapport aux activités connexes du plan de travail</v>
      </c>
      <c r="F106" s="731" t="s">
        <v>360</v>
      </c>
      <c r="G106" s="731" t="s">
        <v>3396</v>
      </c>
      <c r="H106" t="s">
        <v>3397</v>
      </c>
    </row>
    <row r="107" spans="1:8" x14ac:dyDescent="0.25">
      <c r="A107" t="s">
        <v>3375</v>
      </c>
      <c r="B107">
        <v>105</v>
      </c>
      <c r="D107" t="str">
        <f t="shared" si="3"/>
        <v>=Vlookup("105",Translations!F3:H800,1,0)</v>
      </c>
      <c r="E107" t="str">
        <f t="shared" si="2"/>
        <v>Verified Result</v>
      </c>
      <c r="F107" t="s">
        <v>165</v>
      </c>
      <c r="G107" t="s">
        <v>165</v>
      </c>
      <c r="H107" t="s">
        <v>165</v>
      </c>
    </row>
    <row r="108" spans="1:8" x14ac:dyDescent="0.25">
      <c r="A108" t="s">
        <v>3375</v>
      </c>
      <c r="B108">
        <v>106</v>
      </c>
      <c r="D108" t="str">
        <f t="shared" si="3"/>
        <v>=Vlookup("106",Translations!F3:H800,1,0)</v>
      </c>
      <c r="E108" t="str">
        <f t="shared" si="2"/>
        <v>N#</v>
      </c>
      <c r="F108" t="s">
        <v>136</v>
      </c>
      <c r="G108" t="s">
        <v>136</v>
      </c>
      <c r="H108" t="s">
        <v>136</v>
      </c>
    </row>
    <row r="109" spans="1:8" x14ac:dyDescent="0.25">
      <c r="A109" t="s">
        <v>3375</v>
      </c>
      <c r="B109">
        <v>107</v>
      </c>
      <c r="D109" t="str">
        <f t="shared" si="3"/>
        <v>=Vlookup("107",Translations!F3:H800,1,0)</v>
      </c>
      <c r="E109" t="str">
        <f t="shared" si="2"/>
        <v>D#</v>
      </c>
      <c r="F109" t="s">
        <v>134</v>
      </c>
      <c r="G109" t="s">
        <v>134</v>
      </c>
      <c r="H109" t="s">
        <v>134</v>
      </c>
    </row>
    <row r="110" spans="1:8" x14ac:dyDescent="0.25">
      <c r="A110" t="s">
        <v>3375</v>
      </c>
      <c r="B110">
        <v>108</v>
      </c>
      <c r="D110" t="str">
        <f t="shared" si="3"/>
        <v>=Vlookup("108",Translations!F3:H800,1,0)</v>
      </c>
      <c r="E110" t="str">
        <f t="shared" si="2"/>
        <v>%</v>
      </c>
      <c r="F110" t="s">
        <v>135</v>
      </c>
      <c r="G110" t="s">
        <v>135</v>
      </c>
      <c r="H110" t="s">
        <v>135</v>
      </c>
    </row>
    <row r="111" spans="1:8" x14ac:dyDescent="0.25">
      <c r="A111" t="s">
        <v>3375</v>
      </c>
      <c r="B111">
        <v>109</v>
      </c>
      <c r="D111" t="str">
        <f t="shared" si="3"/>
        <v>=Vlookup("109",Translations!F3:H800,1,0)</v>
      </c>
      <c r="E111" t="str">
        <f t="shared" si="2"/>
        <v>Source</v>
      </c>
      <c r="F111" t="s">
        <v>22</v>
      </c>
      <c r="G111" t="s">
        <v>22</v>
      </c>
      <c r="H111" t="s">
        <v>22</v>
      </c>
    </row>
    <row r="112" spans="1:8" x14ac:dyDescent="0.25">
      <c r="A112" t="s">
        <v>3375</v>
      </c>
      <c r="B112">
        <v>110</v>
      </c>
      <c r="D112" t="str">
        <f t="shared" si="3"/>
        <v>=Vlookup("110",Translations!F3:H800,1,0)</v>
      </c>
      <c r="E112" t="str">
        <f t="shared" si="2"/>
        <v>Achievement Ratio</v>
      </c>
      <c r="F112" t="s">
        <v>3393</v>
      </c>
      <c r="G112" t="s">
        <v>3393</v>
      </c>
      <c r="H112" t="s">
        <v>3393</v>
      </c>
    </row>
    <row r="113" spans="1:8" x14ac:dyDescent="0.25">
      <c r="A113" t="s">
        <v>3375</v>
      </c>
      <c r="B113">
        <v>111</v>
      </c>
      <c r="D113" t="str">
        <f t="shared" si="3"/>
        <v>=Vlookup("111",Translations!F3:H800,1,0)</v>
      </c>
      <c r="E113" t="str">
        <f t="shared" si="2"/>
        <v>Verification Method</v>
      </c>
      <c r="F113" t="s">
        <v>164</v>
      </c>
      <c r="G113" t="s">
        <v>164</v>
      </c>
      <c r="H113" t="s">
        <v>164</v>
      </c>
    </row>
    <row r="114" spans="1:8" ht="90" x14ac:dyDescent="0.25">
      <c r="A114" t="s">
        <v>3375</v>
      </c>
      <c r="B114">
        <v>112</v>
      </c>
      <c r="D114" t="str">
        <f t="shared" si="3"/>
        <v>=Vlookup("112",Translations!F3:H800,1,0)</v>
      </c>
      <c r="E114" t="str">
        <f t="shared" si="2"/>
        <v>Comments:
LFA analysis on progress to date and any variance between targets and results, and any other comments
(this should not be a “Copy and Paste” of the reasons provided by the PR)</v>
      </c>
      <c r="F114" s="731" t="s">
        <v>326</v>
      </c>
      <c r="G114" s="731" t="s">
        <v>326</v>
      </c>
      <c r="H114" s="731" t="s">
        <v>326</v>
      </c>
    </row>
    <row r="115" spans="1:8" x14ac:dyDescent="0.25">
      <c r="A115" t="s">
        <v>115</v>
      </c>
      <c r="B115">
        <v>113</v>
      </c>
      <c r="D115" t="str">
        <f t="shared" si="3"/>
        <v>=Vlookup("113",Translations!F3:H800,1,0)</v>
      </c>
      <c r="E115" t="str">
        <f t="shared" si="2"/>
        <v>Rapport périodique sur les résultats actuels et demande de décaissement</v>
      </c>
      <c r="F115" t="s">
        <v>3227</v>
      </c>
      <c r="G115" t="s">
        <v>3228</v>
      </c>
      <c r="H115" t="s">
        <v>3229</v>
      </c>
    </row>
    <row r="116" spans="1:8" x14ac:dyDescent="0.25">
      <c r="A116" t="s">
        <v>115</v>
      </c>
      <c r="B116">
        <v>114</v>
      </c>
      <c r="D116" t="str">
        <f t="shared" si="3"/>
        <v>=Vlookup("114",Translations!F3:H800,1,0)</v>
      </c>
      <c r="E116" t="str">
        <f t="shared" si="2"/>
        <v>Section 1 : Information programmatique</v>
      </c>
      <c r="F116" t="s">
        <v>3319</v>
      </c>
      <c r="G116" t="s">
        <v>3320</v>
      </c>
      <c r="H116" t="s">
        <v>3321</v>
      </c>
    </row>
    <row r="117" spans="1:8" x14ac:dyDescent="0.25">
      <c r="A117" t="s">
        <v>115</v>
      </c>
      <c r="B117">
        <v>115</v>
      </c>
      <c r="D117" t="str">
        <f t="shared" si="3"/>
        <v>=Vlookup("115",Translations!F3:H800,1,0)</v>
      </c>
      <c r="E117" t="str">
        <f t="shared" si="2"/>
        <v>B- Indicateurs de couverture - Ventilation</v>
      </c>
      <c r="F117" t="s">
        <v>3398</v>
      </c>
      <c r="G117" t="s">
        <v>3399</v>
      </c>
      <c r="H117" t="s">
        <v>3400</v>
      </c>
    </row>
    <row r="118" spans="1:8" x14ac:dyDescent="0.25">
      <c r="A118" t="s">
        <v>115</v>
      </c>
      <c r="B118">
        <v>116</v>
      </c>
      <c r="D118" t="str">
        <f t="shared" si="3"/>
        <v>=Vlookup("116",Translations!F3:H800,1,0)</v>
      </c>
      <c r="E118" t="str">
        <f t="shared" si="2"/>
        <v>Module</v>
      </c>
      <c r="F118" t="s">
        <v>353</v>
      </c>
      <c r="G118" t="s">
        <v>353</v>
      </c>
      <c r="H118" t="s">
        <v>3384</v>
      </c>
    </row>
    <row r="119" spans="1:8" x14ac:dyDescent="0.25">
      <c r="A119" t="s">
        <v>115</v>
      </c>
      <c r="B119">
        <v>117</v>
      </c>
      <c r="D119" t="str">
        <f t="shared" si="3"/>
        <v>=Vlookup("117",Translations!F3:H800,1,0)</v>
      </c>
      <c r="E119" t="str">
        <f t="shared" si="2"/>
        <v>Indicateurs</v>
      </c>
      <c r="F119" t="s">
        <v>3385</v>
      </c>
      <c r="G119" t="s">
        <v>3331</v>
      </c>
      <c r="H119" s="731" t="s">
        <v>3401</v>
      </c>
    </row>
    <row r="120" spans="1:8" x14ac:dyDescent="0.25">
      <c r="A120" t="s">
        <v>115</v>
      </c>
      <c r="B120">
        <v>118</v>
      </c>
      <c r="D120" t="str">
        <f t="shared" si="3"/>
        <v>=Vlookup("118",Translations!F3:H800,1,0)</v>
      </c>
      <c r="E120" t="str">
        <f t="shared" si="2"/>
        <v>Ventilation</v>
      </c>
      <c r="F120" t="s">
        <v>289</v>
      </c>
      <c r="G120" t="s">
        <v>3363</v>
      </c>
      <c r="H120" t="s">
        <v>3364</v>
      </c>
    </row>
    <row r="121" spans="1:8" x14ac:dyDescent="0.25">
      <c r="A121" t="s">
        <v>115</v>
      </c>
      <c r="B121">
        <v>119</v>
      </c>
      <c r="D121" t="str">
        <f t="shared" si="3"/>
        <v>=Vlookup("119",Translations!F3:H800,1,0)</v>
      </c>
      <c r="E121" t="str">
        <f t="shared" si="2"/>
        <v>Catégorie</v>
      </c>
      <c r="F121" t="s">
        <v>290</v>
      </c>
      <c r="G121" t="s">
        <v>3402</v>
      </c>
      <c r="H121" t="s">
        <v>3366</v>
      </c>
    </row>
    <row r="122" spans="1:8" x14ac:dyDescent="0.25">
      <c r="A122" t="s">
        <v>115</v>
      </c>
      <c r="B122">
        <v>120</v>
      </c>
      <c r="D122" t="str">
        <f t="shared" si="3"/>
        <v>=Vlookup("120",Translations!F3:H800,1,0)</v>
      </c>
      <c r="E122" t="str">
        <f t="shared" si="2"/>
        <v>Référence</v>
      </c>
      <c r="F122" t="s">
        <v>291</v>
      </c>
      <c r="G122" t="s">
        <v>3367</v>
      </c>
      <c r="H122" t="s">
        <v>3403</v>
      </c>
    </row>
    <row r="123" spans="1:8" x14ac:dyDescent="0.25">
      <c r="A123" t="s">
        <v>115</v>
      </c>
      <c r="B123">
        <v>121</v>
      </c>
      <c r="D123" t="str">
        <f t="shared" si="3"/>
        <v>=Vlookup("121",Translations!F3:H800,1,0)</v>
      </c>
      <c r="E123" t="str">
        <f t="shared" si="2"/>
        <v>N#</v>
      </c>
      <c r="F123" t="s">
        <v>136</v>
      </c>
      <c r="G123" t="s">
        <v>136</v>
      </c>
      <c r="H123" t="s">
        <v>136</v>
      </c>
    </row>
    <row r="124" spans="1:8" x14ac:dyDescent="0.25">
      <c r="A124" t="s">
        <v>115</v>
      </c>
      <c r="B124">
        <v>122</v>
      </c>
      <c r="D124" t="str">
        <f t="shared" si="3"/>
        <v>=Vlookup("122",Translations!F3:H800,1,0)</v>
      </c>
      <c r="E124" t="str">
        <f t="shared" si="2"/>
        <v>D#</v>
      </c>
      <c r="F124" t="s">
        <v>134</v>
      </c>
      <c r="G124" t="s">
        <v>134</v>
      </c>
      <c r="H124" t="s">
        <v>134</v>
      </c>
    </row>
    <row r="125" spans="1:8" x14ac:dyDescent="0.25">
      <c r="A125" t="s">
        <v>115</v>
      </c>
      <c r="B125">
        <v>123</v>
      </c>
      <c r="D125" t="str">
        <f t="shared" si="3"/>
        <v>=Vlookup("123",Translations!F3:H800,1,0)</v>
      </c>
      <c r="E125" t="str">
        <f t="shared" si="2"/>
        <v>%</v>
      </c>
      <c r="F125" t="s">
        <v>135</v>
      </c>
      <c r="G125" t="s">
        <v>135</v>
      </c>
      <c r="H125" t="s">
        <v>135</v>
      </c>
    </row>
    <row r="126" spans="1:8" x14ac:dyDescent="0.25">
      <c r="A126" t="s">
        <v>115</v>
      </c>
      <c r="B126">
        <v>124</v>
      </c>
      <c r="D126" t="str">
        <f t="shared" si="3"/>
        <v>=Vlookup("124",Translations!F3:H800,1,0)</v>
      </c>
      <c r="E126" t="str">
        <f t="shared" si="2"/>
        <v>Année</v>
      </c>
      <c r="F126" t="s">
        <v>170</v>
      </c>
      <c r="G126" t="s">
        <v>3340</v>
      </c>
      <c r="H126" t="s">
        <v>3341</v>
      </c>
    </row>
    <row r="127" spans="1:8" x14ac:dyDescent="0.25">
      <c r="A127" t="s">
        <v>115</v>
      </c>
      <c r="B127">
        <v>125</v>
      </c>
      <c r="D127" t="str">
        <f t="shared" si="3"/>
        <v>=Vlookup("125",Translations!F3:H800,1,0)</v>
      </c>
      <c r="E127" t="str">
        <f t="shared" si="2"/>
        <v>Source</v>
      </c>
      <c r="F127" t="s">
        <v>22</v>
      </c>
      <c r="G127" t="s">
        <v>22</v>
      </c>
      <c r="H127" t="s">
        <v>3369</v>
      </c>
    </row>
    <row r="128" spans="1:8" x14ac:dyDescent="0.25">
      <c r="A128" t="s">
        <v>115</v>
      </c>
      <c r="B128">
        <v>126</v>
      </c>
      <c r="D128" t="str">
        <f t="shared" si="3"/>
        <v>=Vlookup("126",Translations!F3:H800,1,0)</v>
      </c>
      <c r="E128" t="str">
        <f t="shared" si="2"/>
        <v>Résultats</v>
      </c>
      <c r="F128" t="s">
        <v>3404</v>
      </c>
      <c r="G128" t="s">
        <v>3371</v>
      </c>
      <c r="H128" t="s">
        <v>3372</v>
      </c>
    </row>
    <row r="129" spans="1:8" x14ac:dyDescent="0.25">
      <c r="A129" t="s">
        <v>115</v>
      </c>
      <c r="B129">
        <v>127</v>
      </c>
      <c r="D129" t="str">
        <f t="shared" si="3"/>
        <v>=Vlookup("127",Translations!F3:H800,1,0)</v>
      </c>
      <c r="E129" t="str">
        <f t="shared" si="2"/>
        <v>N#</v>
      </c>
      <c r="F129" t="s">
        <v>136</v>
      </c>
      <c r="G129" t="s">
        <v>136</v>
      </c>
      <c r="H129" t="s">
        <v>136</v>
      </c>
    </row>
    <row r="130" spans="1:8" x14ac:dyDescent="0.25">
      <c r="A130" t="s">
        <v>115</v>
      </c>
      <c r="B130">
        <v>128</v>
      </c>
      <c r="D130" t="str">
        <f t="shared" si="3"/>
        <v>=Vlookup("128",Translations!F3:H800,1,0)</v>
      </c>
      <c r="E130" t="str">
        <f t="shared" si="2"/>
        <v>D#</v>
      </c>
      <c r="F130" t="s">
        <v>134</v>
      </c>
      <c r="G130" t="s">
        <v>134</v>
      </c>
      <c r="H130" t="s">
        <v>134</v>
      </c>
    </row>
    <row r="131" spans="1:8" x14ac:dyDescent="0.25">
      <c r="A131" t="s">
        <v>115</v>
      </c>
      <c r="B131">
        <v>129</v>
      </c>
      <c r="D131" t="str">
        <f t="shared" si="3"/>
        <v>=Vlookup("129",Translations!F3:H800,1,0)</v>
      </c>
      <c r="E131" t="str">
        <f t="shared" ref="E131:E194" si="4">IF(LangOffset=0,F131,IF(LangOffset=1,G131,IF(LangOffset=2,H131)))</f>
        <v>%</v>
      </c>
      <c r="F131" t="s">
        <v>135</v>
      </c>
      <c r="G131" t="s">
        <v>135</v>
      </c>
      <c r="H131" t="s">
        <v>135</v>
      </c>
    </row>
    <row r="132" spans="1:8" x14ac:dyDescent="0.25">
      <c r="A132" t="s">
        <v>115</v>
      </c>
      <c r="B132">
        <v>130</v>
      </c>
      <c r="D132" t="str">
        <f t="shared" ref="D132:D195" si="5">"=Vlookup("""&amp;B132&amp;""",Translations!F3:H800,1,0)"</f>
        <v>=Vlookup("130",Translations!F3:H800,1,0)</v>
      </c>
      <c r="E132" t="str">
        <f t="shared" si="4"/>
        <v>Source</v>
      </c>
      <c r="F132" t="s">
        <v>22</v>
      </c>
      <c r="G132" t="s">
        <v>22</v>
      </c>
      <c r="H132" t="s">
        <v>3369</v>
      </c>
    </row>
    <row r="133" spans="1:8" x14ac:dyDescent="0.25">
      <c r="A133" t="s">
        <v>115</v>
      </c>
      <c r="B133">
        <v>131</v>
      </c>
      <c r="D133" t="str">
        <f t="shared" si="5"/>
        <v>=Vlookup("131",Translations!F3:H800,1,0)</v>
      </c>
      <c r="E133" t="str">
        <f t="shared" si="4"/>
        <v>Commentaires</v>
      </c>
      <c r="F133" t="s">
        <v>160</v>
      </c>
      <c r="G133" t="s">
        <v>3373</v>
      </c>
      <c r="H133" t="s">
        <v>3374</v>
      </c>
    </row>
    <row r="134" spans="1:8" x14ac:dyDescent="0.25">
      <c r="A134" t="s">
        <v>115</v>
      </c>
      <c r="B134">
        <v>132</v>
      </c>
      <c r="D134" t="str">
        <f t="shared" si="5"/>
        <v>=Vlookup("132",Translations!F3:H800,1,0)</v>
      </c>
      <c r="E134" t="str">
        <f t="shared" si="4"/>
        <v>Verified Results</v>
      </c>
      <c r="F134" t="s">
        <v>3405</v>
      </c>
      <c r="G134" t="s">
        <v>3405</v>
      </c>
      <c r="H134" t="s">
        <v>3405</v>
      </c>
    </row>
    <row r="135" spans="1:8" x14ac:dyDescent="0.25">
      <c r="A135" t="s">
        <v>115</v>
      </c>
      <c r="B135">
        <v>133</v>
      </c>
      <c r="D135" t="str">
        <f t="shared" si="5"/>
        <v>=Vlookup("133",Translations!F3:H800,1,0)</v>
      </c>
      <c r="E135" t="str">
        <f t="shared" si="4"/>
        <v>N#</v>
      </c>
      <c r="F135" t="s">
        <v>136</v>
      </c>
      <c r="G135" t="s">
        <v>136</v>
      </c>
      <c r="H135" t="s">
        <v>136</v>
      </c>
    </row>
    <row r="136" spans="1:8" x14ac:dyDescent="0.25">
      <c r="A136" t="s">
        <v>115</v>
      </c>
      <c r="B136">
        <v>134</v>
      </c>
      <c r="D136" t="str">
        <f t="shared" si="5"/>
        <v>=Vlookup("134",Translations!F3:H800,1,0)</v>
      </c>
      <c r="E136" t="str">
        <f t="shared" si="4"/>
        <v>D#</v>
      </c>
      <c r="F136" t="s">
        <v>134</v>
      </c>
      <c r="G136" t="s">
        <v>134</v>
      </c>
      <c r="H136" t="s">
        <v>134</v>
      </c>
    </row>
    <row r="137" spans="1:8" x14ac:dyDescent="0.25">
      <c r="A137" t="s">
        <v>115</v>
      </c>
      <c r="B137">
        <v>135</v>
      </c>
      <c r="D137" t="str">
        <f t="shared" si="5"/>
        <v>=Vlookup("135",Translations!F3:H800,1,0)</v>
      </c>
      <c r="E137" t="str">
        <f t="shared" si="4"/>
        <v>%</v>
      </c>
      <c r="F137" t="s">
        <v>135</v>
      </c>
      <c r="G137" t="s">
        <v>135</v>
      </c>
      <c r="H137" t="s">
        <v>135</v>
      </c>
    </row>
    <row r="138" spans="1:8" x14ac:dyDescent="0.25">
      <c r="A138" t="s">
        <v>115</v>
      </c>
      <c r="B138">
        <v>136</v>
      </c>
      <c r="D138" t="str">
        <f t="shared" si="5"/>
        <v>=Vlookup("136",Translations!F3:H800,1,0)</v>
      </c>
      <c r="E138" t="str">
        <f t="shared" si="4"/>
        <v>Source</v>
      </c>
      <c r="F138" t="s">
        <v>22</v>
      </c>
      <c r="G138" t="s">
        <v>22</v>
      </c>
      <c r="H138" t="s">
        <v>22</v>
      </c>
    </row>
    <row r="139" spans="1:8" x14ac:dyDescent="0.25">
      <c r="A139" t="s">
        <v>115</v>
      </c>
      <c r="B139">
        <v>137</v>
      </c>
      <c r="D139" t="str">
        <f t="shared" si="5"/>
        <v>=Vlookup("137",Translations!F3:H800,1,0)</v>
      </c>
      <c r="E139" t="str">
        <f t="shared" si="4"/>
        <v>Comments</v>
      </c>
      <c r="F139" t="s">
        <v>160</v>
      </c>
      <c r="G139" t="s">
        <v>160</v>
      </c>
      <c r="H139" t="s">
        <v>160</v>
      </c>
    </row>
    <row r="140" spans="1:8" x14ac:dyDescent="0.25">
      <c r="A140" t="s">
        <v>111</v>
      </c>
      <c r="B140">
        <v>138</v>
      </c>
      <c r="D140" t="str">
        <f t="shared" si="5"/>
        <v>=Vlookup("138",Translations!F3:H800,1,0)</v>
      </c>
      <c r="E140" t="str">
        <f t="shared" si="4"/>
        <v>Rapport périodique sur les résultats actuels et demande de décaissement</v>
      </c>
      <c r="F140" t="s">
        <v>3227</v>
      </c>
      <c r="G140" t="s">
        <v>3228</v>
      </c>
      <c r="H140" t="s">
        <v>3229</v>
      </c>
    </row>
    <row r="141" spans="1:8" x14ac:dyDescent="0.25">
      <c r="A141" t="s">
        <v>111</v>
      </c>
      <c r="B141">
        <v>139</v>
      </c>
      <c r="D141" t="str">
        <f t="shared" si="5"/>
        <v>=Vlookup("139",Translations!F3:H800,1,0)</v>
      </c>
      <c r="E141" t="str">
        <f t="shared" si="4"/>
        <v>Section 1 :  information programmatique</v>
      </c>
      <c r="F141" t="s">
        <v>3319</v>
      </c>
      <c r="G141" t="s">
        <v>3406</v>
      </c>
      <c r="H141" t="s">
        <v>3321</v>
      </c>
    </row>
    <row r="142" spans="1:8" x14ac:dyDescent="0.25">
      <c r="A142" t="s">
        <v>111</v>
      </c>
      <c r="B142">
        <v>140</v>
      </c>
      <c r="D142" t="str">
        <f t="shared" si="5"/>
        <v>=Vlookup("140",Translations!F3:H800,1,0)</v>
      </c>
      <c r="E142" t="str">
        <f t="shared" si="4"/>
        <v xml:space="preserve">Remarque : Saisissez uniquement les mesures de suivi du plan de travail dont il doit être fait rapport pendant la période concernée </v>
      </c>
      <c r="F142" t="s">
        <v>3407</v>
      </c>
      <c r="G142" t="s">
        <v>3408</v>
      </c>
      <c r="H142" t="s">
        <v>3409</v>
      </c>
    </row>
    <row r="143" spans="1:8" x14ac:dyDescent="0.25">
      <c r="A143" t="s">
        <v>111</v>
      </c>
      <c r="B143">
        <v>141</v>
      </c>
      <c r="D143" t="str">
        <f t="shared" si="5"/>
        <v>=Vlookup("141",Translations!F3:H800,1,0)</v>
      </c>
      <c r="E143" t="str">
        <f t="shared" si="4"/>
        <v>C- Mesures de suivi du plan de travail</v>
      </c>
      <c r="F143" t="s">
        <v>740</v>
      </c>
      <c r="G143" t="s">
        <v>3410</v>
      </c>
      <c r="H143" t="s">
        <v>3411</v>
      </c>
    </row>
    <row r="144" spans="1:8" x14ac:dyDescent="0.25">
      <c r="A144" t="s">
        <v>111</v>
      </c>
      <c r="B144">
        <v>142</v>
      </c>
      <c r="D144" t="str">
        <f t="shared" si="5"/>
        <v>=Vlookup("142",Translations!F3:H800,1,0)</v>
      </c>
      <c r="E144" t="str">
        <f t="shared" si="4"/>
        <v>Module</v>
      </c>
      <c r="F144" t="s">
        <v>3412</v>
      </c>
      <c r="G144" t="s">
        <v>353</v>
      </c>
      <c r="H144" t="s">
        <v>3384</v>
      </c>
    </row>
    <row r="145" spans="1:9" x14ac:dyDescent="0.25">
      <c r="A145" t="s">
        <v>111</v>
      </c>
      <c r="B145">
        <v>143</v>
      </c>
      <c r="D145" t="str">
        <f t="shared" si="5"/>
        <v>=Vlookup("143",Translations!F3:H800,1,0)</v>
      </c>
      <c r="E145" t="str">
        <f t="shared" si="4"/>
        <v>Intervention</v>
      </c>
      <c r="F145" t="s">
        <v>2944</v>
      </c>
      <c r="G145" t="s">
        <v>2944</v>
      </c>
      <c r="H145" t="s">
        <v>3413</v>
      </c>
    </row>
    <row r="146" spans="1:9" x14ac:dyDescent="0.25">
      <c r="A146" t="s">
        <v>111</v>
      </c>
      <c r="B146">
        <v>144</v>
      </c>
      <c r="D146" t="str">
        <f t="shared" si="5"/>
        <v>=Vlookup("144",Translations!F3:H800,1,0)</v>
      </c>
      <c r="E146" t="str">
        <f t="shared" si="4"/>
        <v>Intervention personnalisé</v>
      </c>
      <c r="F146" t="s">
        <v>3414</v>
      </c>
      <c r="G146" t="s">
        <v>3415</v>
      </c>
      <c r="H146" t="s">
        <v>3416</v>
      </c>
    </row>
    <row r="147" spans="1:9" x14ac:dyDescent="0.25">
      <c r="A147" t="s">
        <v>111</v>
      </c>
      <c r="B147">
        <v>145</v>
      </c>
      <c r="D147" t="str">
        <f t="shared" si="5"/>
        <v>=Vlookup("145",Translations!F3:H800,1,0)</v>
      </c>
      <c r="E147" t="str">
        <f t="shared" si="4"/>
        <v>Activité</v>
      </c>
      <c r="F147" t="s">
        <v>746</v>
      </c>
      <c r="G147" t="s">
        <v>3417</v>
      </c>
      <c r="H147" t="s">
        <v>3418</v>
      </c>
    </row>
    <row r="148" spans="1:9" x14ac:dyDescent="0.25">
      <c r="A148" t="s">
        <v>111</v>
      </c>
      <c r="B148">
        <v>146</v>
      </c>
      <c r="D148" t="str">
        <f t="shared" si="5"/>
        <v>=Vlookup("146",Translations!F3:H800,1,0)</v>
      </c>
      <c r="E148" t="str">
        <f t="shared" si="4"/>
        <v>Détails de l'activité- étapes clés/cibles</v>
      </c>
      <c r="F148" t="s">
        <v>3419</v>
      </c>
      <c r="G148" t="s">
        <v>3420</v>
      </c>
      <c r="H148" t="s">
        <v>3421</v>
      </c>
      <c r="I148" t="s">
        <v>3422</v>
      </c>
    </row>
    <row r="149" spans="1:9" x14ac:dyDescent="0.25">
      <c r="A149" t="s">
        <v>111</v>
      </c>
      <c r="B149">
        <v>147</v>
      </c>
      <c r="D149" t="str">
        <f t="shared" si="5"/>
        <v>=Vlookup("147",Translations!F3:H800,1,0)</v>
      </c>
      <c r="E149" t="str">
        <f t="shared" si="4"/>
        <v>Critère d'achèvement</v>
      </c>
      <c r="F149" t="s">
        <v>3423</v>
      </c>
      <c r="G149" s="731" t="s">
        <v>3424</v>
      </c>
      <c r="H149" t="s">
        <v>3425</v>
      </c>
    </row>
    <row r="150" spans="1:9" x14ac:dyDescent="0.25">
      <c r="A150" t="s">
        <v>111</v>
      </c>
      <c r="B150">
        <v>148</v>
      </c>
      <c r="D150" t="str">
        <f t="shared" si="5"/>
        <v>=Vlookup("148",Translations!F3:H800,1,0)</v>
      </c>
      <c r="E150" t="str">
        <f t="shared" si="4"/>
        <v>Pays (pour les subventions multipays)</v>
      </c>
      <c r="F150" t="s">
        <v>3426</v>
      </c>
      <c r="G150" t="s">
        <v>3427</v>
      </c>
      <c r="H150" t="s">
        <v>3428</v>
      </c>
    </row>
    <row r="151" spans="1:9" x14ac:dyDescent="0.25">
      <c r="A151" t="s">
        <v>111</v>
      </c>
      <c r="B151">
        <v>149</v>
      </c>
      <c r="D151" t="str">
        <f t="shared" si="5"/>
        <v>=Vlookup("149",Translations!F3:H800,1,0)</v>
      </c>
      <c r="E151" t="str">
        <f t="shared" si="4"/>
        <v>Progress Status</v>
      </c>
      <c r="F151" t="s">
        <v>734</v>
      </c>
      <c r="G151" t="s">
        <v>734</v>
      </c>
      <c r="H151" t="s">
        <v>3429</v>
      </c>
    </row>
    <row r="152" spans="1:9" x14ac:dyDescent="0.25">
      <c r="A152" t="s">
        <v>111</v>
      </c>
      <c r="B152">
        <v>150</v>
      </c>
      <c r="D152" t="str">
        <f t="shared" si="5"/>
        <v>=Vlookup("150",Translations!F3:H800,1,0)</v>
      </c>
      <c r="E152" t="str">
        <f t="shared" si="4"/>
        <v>Note</v>
      </c>
      <c r="F152" t="s">
        <v>750</v>
      </c>
      <c r="G152" t="s">
        <v>3430</v>
      </c>
      <c r="H152" t="s">
        <v>3431</v>
      </c>
    </row>
    <row r="153" spans="1:9" x14ac:dyDescent="0.25">
      <c r="A153" t="s">
        <v>111</v>
      </c>
      <c r="B153">
        <v>151</v>
      </c>
      <c r="D153" t="str">
        <f t="shared" si="5"/>
        <v>=Vlookup("151",Translations!F3:H800,1,0)</v>
      </c>
      <c r="E153" t="str">
        <f t="shared" si="4"/>
        <v>Motifs de l'écart par rapport aux activités et étapes clés du plan de travail</v>
      </c>
      <c r="F153" t="s">
        <v>751</v>
      </c>
      <c r="G153" t="s">
        <v>3432</v>
      </c>
      <c r="H153" t="s">
        <v>3433</v>
      </c>
    </row>
    <row r="154" spans="1:9" x14ac:dyDescent="0.25">
      <c r="A154" t="s">
        <v>111</v>
      </c>
      <c r="B154">
        <v>152</v>
      </c>
      <c r="D154" t="str">
        <f t="shared" si="5"/>
        <v>=Vlookup("152",Translations!F3:H800,1,0)</v>
      </c>
      <c r="E154" t="str">
        <f t="shared" si="4"/>
        <v>Progress Status</v>
      </c>
      <c r="F154" t="s">
        <v>734</v>
      </c>
      <c r="G154" t="s">
        <v>734</v>
      </c>
      <c r="H154" t="s">
        <v>734</v>
      </c>
    </row>
    <row r="155" spans="1:9" x14ac:dyDescent="0.25">
      <c r="A155" t="s">
        <v>111</v>
      </c>
      <c r="B155">
        <v>153</v>
      </c>
      <c r="D155" t="str">
        <f t="shared" si="5"/>
        <v>=Vlookup("153",Translations!F3:H800,1,0)</v>
      </c>
      <c r="E155" t="str">
        <f t="shared" si="4"/>
        <v>Verified core</v>
      </c>
      <c r="F155" t="s">
        <v>735</v>
      </c>
      <c r="G155" s="731" t="s">
        <v>3434</v>
      </c>
      <c r="H155" t="s">
        <v>735</v>
      </c>
    </row>
    <row r="156" spans="1:9" ht="75" x14ac:dyDescent="0.25">
      <c r="A156" t="s">
        <v>111</v>
      </c>
      <c r="B156">
        <v>154</v>
      </c>
      <c r="D156" t="str">
        <f t="shared" si="5"/>
        <v>=Vlookup("154",Translations!F3:H800,1,0)</v>
      </c>
      <c r="E156" t="str">
        <f t="shared" si="4"/>
        <v>LFA analysis of progress and any variance between targets and results, and any other comments
(this should not be a “Copy and Paste” of the reasons provided by the PR)</v>
      </c>
      <c r="F156" s="731" t="s">
        <v>736</v>
      </c>
      <c r="G156" s="731" t="s">
        <v>736</v>
      </c>
      <c r="H156" s="731" t="s">
        <v>736</v>
      </c>
    </row>
    <row r="157" spans="1:9" x14ac:dyDescent="0.25">
      <c r="A157" t="s">
        <v>3435</v>
      </c>
      <c r="B157">
        <v>155</v>
      </c>
      <c r="D157" t="str">
        <f t="shared" si="5"/>
        <v>=Vlookup("155",Translations!F3:H800,1,0)</v>
      </c>
      <c r="E157" t="str">
        <f t="shared" si="4"/>
        <v>Rapport périodique sur les résultats actuels et demande de décaissement</v>
      </c>
      <c r="F157" t="s">
        <v>3227</v>
      </c>
      <c r="G157" t="s">
        <v>3228</v>
      </c>
      <c r="H157" t="s">
        <v>3229</v>
      </c>
    </row>
    <row r="158" spans="1:9" x14ac:dyDescent="0.25">
      <c r="A158" t="s">
        <v>3435</v>
      </c>
      <c r="B158">
        <v>156</v>
      </c>
      <c r="D158" t="str">
        <f t="shared" si="5"/>
        <v>=Vlookup("156",Translations!F3:H800,1,0)</v>
      </c>
      <c r="E158" t="str">
        <f t="shared" si="4"/>
        <v>Section 2 : Information financière</v>
      </c>
      <c r="F158" t="s">
        <v>3436</v>
      </c>
      <c r="G158" t="s">
        <v>3437</v>
      </c>
      <c r="H158" t="s">
        <v>3438</v>
      </c>
    </row>
    <row r="159" spans="1:9" x14ac:dyDescent="0.25">
      <c r="A159" t="s">
        <v>3435</v>
      </c>
      <c r="B159">
        <v>157</v>
      </c>
      <c r="D159" t="str">
        <f t="shared" si="5"/>
        <v>=Vlookup("157",Translations!F3:H800,1,0)</v>
      </c>
      <c r="E159" t="str">
        <f t="shared" si="4"/>
        <v>Période couverte par le rapport sur les information financière</v>
      </c>
      <c r="F159" t="s">
        <v>3291</v>
      </c>
      <c r="G159" t="s">
        <v>3292</v>
      </c>
      <c r="H159" t="s">
        <v>3293</v>
      </c>
    </row>
    <row r="160" spans="1:9" x14ac:dyDescent="0.25">
      <c r="A160" t="s">
        <v>3435</v>
      </c>
      <c r="B160">
        <v>158</v>
      </c>
      <c r="D160" t="str">
        <f t="shared" si="5"/>
        <v>=Vlookup("158",Translations!F3:H800,1,0)</v>
      </c>
      <c r="E160" t="str">
        <f t="shared" si="4"/>
        <v>Date de début :</v>
      </c>
      <c r="F160" t="s">
        <v>3279</v>
      </c>
      <c r="G160" t="s">
        <v>3295</v>
      </c>
      <c r="H160" t="s">
        <v>3281</v>
      </c>
    </row>
    <row r="161" spans="1:8" x14ac:dyDescent="0.25">
      <c r="A161" t="s">
        <v>3435</v>
      </c>
      <c r="B161">
        <v>159</v>
      </c>
      <c r="D161" t="str">
        <f t="shared" si="5"/>
        <v>=Vlookup("159",Translations!F3:H800,1,0)</v>
      </c>
      <c r="E161" t="str">
        <f t="shared" si="4"/>
        <v>Date de fin :</v>
      </c>
      <c r="F161" t="s">
        <v>3283</v>
      </c>
      <c r="G161" t="s">
        <v>3297</v>
      </c>
      <c r="H161" t="s">
        <v>3285</v>
      </c>
    </row>
    <row r="162" spans="1:8" x14ac:dyDescent="0.25">
      <c r="A162" t="s">
        <v>3435</v>
      </c>
      <c r="B162">
        <v>160</v>
      </c>
      <c r="D162" t="str">
        <f t="shared" si="5"/>
        <v>=Vlookup("160",Translations!F3:H800,1,0)</v>
      </c>
      <c r="E162" t="str">
        <f t="shared" si="4"/>
        <v>Cumulative Period of Financial Reporting</v>
      </c>
      <c r="F162" t="s">
        <v>1084</v>
      </c>
      <c r="G162" t="s">
        <v>1084</v>
      </c>
      <c r="H162" t="s">
        <v>3439</v>
      </c>
    </row>
    <row r="163" spans="1:8" x14ac:dyDescent="0.25">
      <c r="A163" t="s">
        <v>3435</v>
      </c>
      <c r="B163">
        <v>161</v>
      </c>
      <c r="D163" t="str">
        <f t="shared" si="5"/>
        <v>=Vlookup("161",Translations!F3:H800,1,0)</v>
      </c>
      <c r="E163" t="str">
        <f t="shared" si="4"/>
        <v>Date de début :</v>
      </c>
      <c r="F163" t="s">
        <v>3279</v>
      </c>
      <c r="G163" t="s">
        <v>3295</v>
      </c>
      <c r="H163" t="s">
        <v>3281</v>
      </c>
    </row>
    <row r="164" spans="1:8" x14ac:dyDescent="0.25">
      <c r="A164" t="s">
        <v>3435</v>
      </c>
      <c r="B164">
        <v>162</v>
      </c>
      <c r="D164" t="str">
        <f t="shared" si="5"/>
        <v>=Vlookup("162",Translations!F3:H800,1,0)</v>
      </c>
      <c r="E164" t="str">
        <f t="shared" si="4"/>
        <v>Date de fin :</v>
      </c>
      <c r="F164" t="s">
        <v>3283</v>
      </c>
      <c r="G164" t="s">
        <v>3297</v>
      </c>
      <c r="H164" t="s">
        <v>3285</v>
      </c>
    </row>
    <row r="165" spans="1:8" x14ac:dyDescent="0.25">
      <c r="A165" t="s">
        <v>3435</v>
      </c>
      <c r="B165">
        <v>163</v>
      </c>
      <c r="D165" t="str">
        <f t="shared" si="5"/>
        <v>=Vlookup("163",Translations!F3:H800,1,0)</v>
      </c>
      <c r="E165" t="str">
        <f t="shared" si="4"/>
        <v>Rapprochement du récipiendaire principal concernant les fonds fournis aux sous-récipiendaires pour la période actuelle de mise en œuvre</v>
      </c>
      <c r="F165" t="s">
        <v>3440</v>
      </c>
      <c r="G165" t="s">
        <v>3441</v>
      </c>
      <c r="H165" t="s">
        <v>3442</v>
      </c>
    </row>
    <row r="166" spans="1:8" x14ac:dyDescent="0.25">
      <c r="A166" t="s">
        <v>3435</v>
      </c>
      <c r="B166">
        <v>164</v>
      </c>
      <c r="D166" t="str">
        <f t="shared" si="5"/>
        <v>=Vlookup("164",Translations!F3:H800,1,0)</v>
      </c>
      <c r="E166" t="str">
        <f t="shared" si="4"/>
        <v>Principal Recipient</v>
      </c>
      <c r="F166" t="s">
        <v>1085</v>
      </c>
      <c r="G166" t="s">
        <v>1085</v>
      </c>
      <c r="H166" t="s">
        <v>1085</v>
      </c>
    </row>
    <row r="167" spans="1:8" ht="30" x14ac:dyDescent="0.25">
      <c r="A167" t="s">
        <v>3435</v>
      </c>
      <c r="B167">
        <v>165</v>
      </c>
      <c r="D167" t="str">
        <f t="shared" si="5"/>
        <v>=Vlookup("165",Translations!F3:H800,1,0)</v>
      </c>
      <c r="E167" t="str">
        <f t="shared" si="4"/>
        <v>(1) 
Nom du sous-récipiendaire</v>
      </c>
      <c r="F167" s="731" t="s">
        <v>3443</v>
      </c>
      <c r="G167" s="731" t="s">
        <v>3444</v>
      </c>
      <c r="H167" s="731" t="s">
        <v>3445</v>
      </c>
    </row>
    <row r="168" spans="1:8" ht="60" x14ac:dyDescent="0.25">
      <c r="A168" t="s">
        <v>3435</v>
      </c>
      <c r="B168">
        <v>166</v>
      </c>
      <c r="D168" t="str">
        <f t="shared" si="5"/>
        <v>=Vlookup("166",Translations!F3:H800,1,0)</v>
      </c>
      <c r="E168" t="str">
        <f t="shared" si="4"/>
        <v>(2) 
 Dépenses cumulées du sous-récipiendaire pour les périodes précédentes au niveau du récipiendaire principal</v>
      </c>
      <c r="F168" s="731" t="s">
        <v>3446</v>
      </c>
      <c r="G168" s="731" t="s">
        <v>3447</v>
      </c>
      <c r="H168" s="731" t="s">
        <v>3448</v>
      </c>
    </row>
    <row r="169" spans="1:8" ht="45" x14ac:dyDescent="0.25">
      <c r="A169" t="s">
        <v>3435</v>
      </c>
      <c r="B169">
        <v>167</v>
      </c>
      <c r="D169" t="str">
        <f t="shared" si="5"/>
        <v>=Vlookup("167",Translations!F3:H800,1,0)</v>
      </c>
      <c r="E169" t="str">
        <f t="shared" si="4"/>
        <v>(3) 
Avances ouvertes au sous-récipiendaire au niveau du récipiendaire principal</v>
      </c>
      <c r="F169" s="731" t="s">
        <v>3449</v>
      </c>
      <c r="G169" s="731" t="s">
        <v>3450</v>
      </c>
      <c r="H169" s="731" t="s">
        <v>3451</v>
      </c>
    </row>
    <row r="170" spans="1:8" ht="45" x14ac:dyDescent="0.25">
      <c r="A170" t="s">
        <v>3435</v>
      </c>
      <c r="B170">
        <v>168</v>
      </c>
      <c r="D170" t="str">
        <f t="shared" si="5"/>
        <v>=Vlookup("168",Translations!F3:H800,1,0)</v>
      </c>
      <c r="E170" t="str">
        <f t="shared" si="4"/>
        <v>(4) 
Décaissements réalisés par le récipiendaire principal</v>
      </c>
      <c r="F170" s="731" t="s">
        <v>3452</v>
      </c>
      <c r="G170" s="731" t="s">
        <v>3453</v>
      </c>
      <c r="H170" s="731" t="s">
        <v>3454</v>
      </c>
    </row>
    <row r="171" spans="1:8" ht="30" x14ac:dyDescent="0.25">
      <c r="A171" t="s">
        <v>3435</v>
      </c>
      <c r="B171">
        <v>169</v>
      </c>
      <c r="D171" t="str">
        <f t="shared" si="5"/>
        <v>=Vlookup("169",Translations!F3:H800,1,0)</v>
      </c>
      <c r="E171" t="str">
        <f t="shared" si="4"/>
        <v>(5) 
Autres revenus*</v>
      </c>
      <c r="F171" s="731" t="s">
        <v>3455</v>
      </c>
      <c r="G171" s="731" t="s">
        <v>3456</v>
      </c>
      <c r="H171" s="731" t="s">
        <v>3457</v>
      </c>
    </row>
    <row r="172" spans="1:8" ht="45" x14ac:dyDescent="0.25">
      <c r="A172" t="s">
        <v>3435</v>
      </c>
      <c r="B172">
        <v>170</v>
      </c>
      <c r="D172" t="str">
        <f t="shared" si="5"/>
        <v>=Vlookup("170",Translations!F3:H800,1,0)</v>
      </c>
      <c r="E172" t="str">
        <f t="shared" si="4"/>
        <v>(6) 
Dépenses validées par le récipiendaire principal</v>
      </c>
      <c r="F172" s="731" t="s">
        <v>3458</v>
      </c>
      <c r="G172" s="731" t="s">
        <v>3459</v>
      </c>
      <c r="H172" s="731" t="s">
        <v>3460</v>
      </c>
    </row>
    <row r="173" spans="1:8" ht="60" x14ac:dyDescent="0.25">
      <c r="A173" t="s">
        <v>3435</v>
      </c>
      <c r="B173">
        <v>171</v>
      </c>
      <c r="D173" t="str">
        <f t="shared" si="5"/>
        <v>=Vlookup("171",Translations!F3:H800,1,0)</v>
      </c>
      <c r="E173" t="str">
        <f t="shared" si="4"/>
        <v>(7)
Remboursements reçus du sous-récipiendaire</v>
      </c>
      <c r="F173" s="731" t="s">
        <v>3461</v>
      </c>
      <c r="G173" s="731" t="s">
        <v>3462</v>
      </c>
      <c r="H173" s="731" t="s">
        <v>3463</v>
      </c>
    </row>
    <row r="174" spans="1:8" ht="60" x14ac:dyDescent="0.25">
      <c r="A174" t="s">
        <v>3435</v>
      </c>
      <c r="B174">
        <v>172</v>
      </c>
      <c r="D174" t="str">
        <f t="shared" si="5"/>
        <v>=Vlookup("172",Translations!F3:H800,1,0)</v>
      </c>
      <c r="E174" t="str">
        <f t="shared" si="4"/>
        <v>(8) 
Solde de trésorerie de clôture du sous-récipiendaire au niveau du récipiendaire principal</v>
      </c>
      <c r="F174" s="731" t="s">
        <v>3464</v>
      </c>
      <c r="G174" s="731" t="s">
        <v>3465</v>
      </c>
      <c r="H174" s="731" t="s">
        <v>3466</v>
      </c>
    </row>
    <row r="175" spans="1:8" ht="45" x14ac:dyDescent="0.25">
      <c r="A175" t="s">
        <v>3435</v>
      </c>
      <c r="B175">
        <v>173</v>
      </c>
      <c r="D175" t="str">
        <f t="shared" si="5"/>
        <v>=Vlookup("173",Translations!F3:H800,1,0)</v>
      </c>
      <c r="E175" t="str">
        <f t="shared" si="4"/>
        <v>(9) 
Solde de trésorerie réel du sous-récipiendaire (le cas échéant)</v>
      </c>
      <c r="F175" s="731" t="s">
        <v>3467</v>
      </c>
      <c r="G175" s="731" t="s">
        <v>3468</v>
      </c>
      <c r="H175" s="731" t="s">
        <v>3469</v>
      </c>
    </row>
    <row r="176" spans="1:8" ht="45" x14ac:dyDescent="0.25">
      <c r="A176" t="s">
        <v>3435</v>
      </c>
      <c r="B176">
        <v>174</v>
      </c>
      <c r="D176" t="str">
        <f t="shared" si="5"/>
        <v>=Vlookup("174",Translations!F3:H800,1,0)</v>
      </c>
      <c r="E176" t="str">
        <f t="shared" si="4"/>
        <v xml:space="preserve"> (10)
Écarts par rapport aux soldes des sous-récipiendaires</v>
      </c>
      <c r="F176" s="731" t="s">
        <v>3470</v>
      </c>
      <c r="G176" s="731" t="s">
        <v>3471</v>
      </c>
      <c r="H176" s="731" t="s">
        <v>3472</v>
      </c>
    </row>
    <row r="177" spans="1:8" x14ac:dyDescent="0.25">
      <c r="A177" t="s">
        <v>3435</v>
      </c>
      <c r="B177">
        <v>175</v>
      </c>
      <c r="D177" t="str">
        <f t="shared" si="5"/>
        <v>=Vlookup("175",Translations!F3:H800,1,0)</v>
      </c>
      <c r="E177" t="str">
        <f t="shared" si="4"/>
        <v>Commentaires</v>
      </c>
      <c r="F177" t="s">
        <v>160</v>
      </c>
      <c r="G177" t="s">
        <v>3373</v>
      </c>
      <c r="H177" t="s">
        <v>3374</v>
      </c>
    </row>
    <row r="178" spans="1:8" x14ac:dyDescent="0.25">
      <c r="A178" t="s">
        <v>3435</v>
      </c>
      <c r="B178">
        <v>176</v>
      </c>
      <c r="D178" t="str">
        <f t="shared" si="5"/>
        <v>=Vlookup("176",Translations!F3:H800,1,0)</v>
      </c>
      <c r="E178" t="str">
        <f t="shared" si="4"/>
        <v xml:space="preserve">For Local Fund Agent Use Only </v>
      </c>
      <c r="F178" t="s">
        <v>1086</v>
      </c>
      <c r="G178" t="s">
        <v>1086</v>
      </c>
      <c r="H178" t="s">
        <v>1086</v>
      </c>
    </row>
    <row r="179" spans="1:8" x14ac:dyDescent="0.25">
      <c r="A179" t="s">
        <v>3435</v>
      </c>
      <c r="B179">
        <v>177</v>
      </c>
      <c r="D179" t="str">
        <f t="shared" si="5"/>
        <v>=Vlookup("177",Translations!F3:H800,1,0)</v>
      </c>
      <c r="E179" t="str">
        <f t="shared" si="4"/>
        <v>LFA Adjustments</v>
      </c>
      <c r="F179" t="s">
        <v>845</v>
      </c>
      <c r="G179" t="s">
        <v>845</v>
      </c>
      <c r="H179" t="s">
        <v>845</v>
      </c>
    </row>
    <row r="180" spans="1:8" x14ac:dyDescent="0.25">
      <c r="A180" t="s">
        <v>3435</v>
      </c>
      <c r="B180">
        <v>178</v>
      </c>
      <c r="D180" t="str">
        <f t="shared" si="5"/>
        <v>=Vlookup("178",Translations!F3:H800,1,0)</v>
      </c>
      <c r="E180" t="str">
        <f t="shared" si="4"/>
        <v>As verified by LFA</v>
      </c>
      <c r="F180" t="s">
        <v>797</v>
      </c>
      <c r="G180" t="s">
        <v>797</v>
      </c>
      <c r="H180" t="s">
        <v>797</v>
      </c>
    </row>
    <row r="181" spans="1:8" x14ac:dyDescent="0.25">
      <c r="A181" t="s">
        <v>3435</v>
      </c>
      <c r="B181">
        <v>179</v>
      </c>
      <c r="D181" t="str">
        <f t="shared" si="5"/>
        <v>=Vlookup("179",Translations!F3:H800,1,0)</v>
      </c>
      <c r="E181" t="str">
        <f t="shared" si="4"/>
        <v>Comments</v>
      </c>
      <c r="F181" t="s">
        <v>160</v>
      </c>
      <c r="G181" t="s">
        <v>160</v>
      </c>
      <c r="H181" t="s">
        <v>160</v>
      </c>
    </row>
    <row r="182" spans="1:8" x14ac:dyDescent="0.25">
      <c r="A182" t="s">
        <v>3435</v>
      </c>
      <c r="B182">
        <v>180</v>
      </c>
      <c r="D182" t="str">
        <f t="shared" si="5"/>
        <v>=Vlookup("180",Translations!F3:H800,1,0)</v>
      </c>
      <c r="E182" t="str">
        <f t="shared" si="4"/>
        <v>Total pour la période de rapport</v>
      </c>
      <c r="F182" t="s">
        <v>3473</v>
      </c>
      <c r="G182" t="s">
        <v>3474</v>
      </c>
      <c r="H182" t="s">
        <v>3475</v>
      </c>
    </row>
    <row r="183" spans="1:8" x14ac:dyDescent="0.25">
      <c r="A183" t="s">
        <v>3435</v>
      </c>
      <c r="B183">
        <v>181</v>
      </c>
      <c r="D183" t="str">
        <f t="shared" si="5"/>
        <v>=Vlookup("181",Translations!F3:H800,1,0)</v>
      </c>
      <c r="E183" t="str">
        <f t="shared" si="4"/>
        <v>* Inclut les intérêts, les activités génératrices de revenu, etc.</v>
      </c>
      <c r="F183" t="s">
        <v>1092</v>
      </c>
      <c r="G183" t="s">
        <v>3476</v>
      </c>
      <c r="H183" t="s">
        <v>3477</v>
      </c>
    </row>
    <row r="184" spans="1:8" x14ac:dyDescent="0.25">
      <c r="A184" t="s">
        <v>107</v>
      </c>
      <c r="B184">
        <v>182</v>
      </c>
      <c r="D184" t="str">
        <f t="shared" si="5"/>
        <v>=Vlookup("182",Translations!F3:H800,1,0)</v>
      </c>
      <c r="E184" t="str">
        <f t="shared" si="4"/>
        <v>Rapport périodique sur les résultats actuels et demande de décaissement</v>
      </c>
      <c r="F184" t="s">
        <v>3227</v>
      </c>
      <c r="G184" t="s">
        <v>3228</v>
      </c>
      <c r="H184" t="s">
        <v>3229</v>
      </c>
    </row>
    <row r="185" spans="1:8" x14ac:dyDescent="0.25">
      <c r="A185" t="s">
        <v>107</v>
      </c>
      <c r="B185">
        <v>183</v>
      </c>
      <c r="D185" t="str">
        <f t="shared" si="5"/>
        <v>=Vlookup("183",Translations!F3:H800,1,0)</v>
      </c>
      <c r="E185" t="str">
        <f t="shared" si="4"/>
        <v>Section 2 : Information financière</v>
      </c>
      <c r="F185" t="s">
        <v>3436</v>
      </c>
      <c r="G185" t="s">
        <v>3437</v>
      </c>
      <c r="H185" t="s">
        <v>3438</v>
      </c>
    </row>
    <row r="186" spans="1:8" x14ac:dyDescent="0.25">
      <c r="A186" t="s">
        <v>107</v>
      </c>
      <c r="B186">
        <v>184</v>
      </c>
      <c r="D186" t="str">
        <f t="shared" si="5"/>
        <v>=Vlookup("184",Translations!F3:H800,1,0)</v>
      </c>
      <c r="E186" t="str">
        <f t="shared" si="4"/>
        <v>Période couverte par le rapport sur les information financière</v>
      </c>
      <c r="F186" t="s">
        <v>3291</v>
      </c>
      <c r="G186" t="s">
        <v>3292</v>
      </c>
      <c r="H186" t="s">
        <v>3293</v>
      </c>
    </row>
    <row r="187" spans="1:8" x14ac:dyDescent="0.25">
      <c r="A187" t="s">
        <v>107</v>
      </c>
      <c r="B187">
        <v>185</v>
      </c>
      <c r="D187" t="str">
        <f t="shared" si="5"/>
        <v>=Vlookup("185",Translations!F3:H800,1,0)</v>
      </c>
      <c r="E187" t="str">
        <f t="shared" si="4"/>
        <v>Date de début :</v>
      </c>
      <c r="F187" t="s">
        <v>3279</v>
      </c>
      <c r="G187" t="s">
        <v>3295</v>
      </c>
      <c r="H187" t="s">
        <v>3281</v>
      </c>
    </row>
    <row r="188" spans="1:8" x14ac:dyDescent="0.25">
      <c r="A188" t="s">
        <v>107</v>
      </c>
      <c r="B188">
        <v>186</v>
      </c>
      <c r="D188" t="str">
        <f t="shared" si="5"/>
        <v>=Vlookup("186",Translations!F3:H800,1,0)</v>
      </c>
      <c r="E188" t="str">
        <f t="shared" si="4"/>
        <v>Date de fin :</v>
      </c>
      <c r="F188" t="s">
        <v>3283</v>
      </c>
      <c r="G188" t="s">
        <v>3297</v>
      </c>
      <c r="H188" t="s">
        <v>3285</v>
      </c>
    </row>
    <row r="189" spans="1:8" x14ac:dyDescent="0.25">
      <c r="A189" t="s">
        <v>107</v>
      </c>
      <c r="B189">
        <v>187</v>
      </c>
      <c r="D189" t="str">
        <f t="shared" si="5"/>
        <v>=Vlookup("187",Translations!F3:H800,1,0)</v>
      </c>
      <c r="E189" t="str">
        <f t="shared" si="4"/>
        <v>Cumulative Period of Financial Reporting</v>
      </c>
      <c r="F189" t="s">
        <v>1084</v>
      </c>
      <c r="G189" t="s">
        <v>1084</v>
      </c>
      <c r="H189" t="s">
        <v>3439</v>
      </c>
    </row>
    <row r="190" spans="1:8" x14ac:dyDescent="0.25">
      <c r="A190" t="s">
        <v>107</v>
      </c>
      <c r="B190">
        <v>188</v>
      </c>
      <c r="D190" t="str">
        <f t="shared" si="5"/>
        <v>=Vlookup("188",Translations!F3:H800,1,0)</v>
      </c>
      <c r="E190" t="str">
        <f t="shared" si="4"/>
        <v>Date de début :</v>
      </c>
      <c r="F190" t="s">
        <v>3279</v>
      </c>
      <c r="G190" t="s">
        <v>3295</v>
      </c>
      <c r="H190" t="s">
        <v>3281</v>
      </c>
    </row>
    <row r="191" spans="1:8" x14ac:dyDescent="0.25">
      <c r="A191" t="s">
        <v>107</v>
      </c>
      <c r="B191">
        <v>189</v>
      </c>
      <c r="D191" t="str">
        <f t="shared" si="5"/>
        <v>=Vlookup("189",Translations!F3:H800,1,0)</v>
      </c>
      <c r="E191" t="str">
        <f t="shared" si="4"/>
        <v>Date de fin :</v>
      </c>
      <c r="F191" t="s">
        <v>3283</v>
      </c>
      <c r="G191" t="s">
        <v>3297</v>
      </c>
      <c r="H191" t="s">
        <v>3285</v>
      </c>
    </row>
    <row r="192" spans="1:8" x14ac:dyDescent="0.25">
      <c r="A192" t="s">
        <v>107</v>
      </c>
      <c r="B192">
        <v>190</v>
      </c>
      <c r="D192" t="str">
        <f t="shared" si="5"/>
        <v>=Vlookup("190",Translations!F3:H800,1,0)</v>
      </c>
      <c r="E192" t="str">
        <f t="shared" si="4"/>
        <v>Écart budgétaire total du récipiendaire principal et analyse de l'absorption des fonds</v>
      </c>
      <c r="F192" t="s">
        <v>3478</v>
      </c>
      <c r="G192" t="s">
        <v>3479</v>
      </c>
      <c r="H192" t="s">
        <v>3480</v>
      </c>
    </row>
    <row r="193" spans="1:8" x14ac:dyDescent="0.25">
      <c r="A193" t="s">
        <v>107</v>
      </c>
      <c r="B193">
        <v>191</v>
      </c>
      <c r="D193" t="str">
        <f t="shared" si="5"/>
        <v>=Vlookup("191",Translations!F3:H800,1,0)</v>
      </c>
      <c r="E193" t="str">
        <f t="shared" si="4"/>
        <v>Récipiendaire principal</v>
      </c>
      <c r="F193" t="s">
        <v>1085</v>
      </c>
      <c r="G193" t="s">
        <v>3481</v>
      </c>
      <c r="H193" t="s">
        <v>3482</v>
      </c>
    </row>
    <row r="194" spans="1:8" x14ac:dyDescent="0.25">
      <c r="A194" t="s">
        <v>107</v>
      </c>
      <c r="B194">
        <v>192</v>
      </c>
      <c r="D194" t="str">
        <f t="shared" si="5"/>
        <v>=Vlookup("192",Translations!F3:H800,1,0)</v>
      </c>
      <c r="E194" t="str">
        <f t="shared" si="4"/>
        <v>Budget pour la période de rapport</v>
      </c>
      <c r="F194" t="s">
        <v>1117</v>
      </c>
      <c r="G194" t="s">
        <v>3483</v>
      </c>
      <c r="H194" t="s">
        <v>3484</v>
      </c>
    </row>
    <row r="195" spans="1:8" x14ac:dyDescent="0.25">
      <c r="A195" t="s">
        <v>107</v>
      </c>
      <c r="B195">
        <v>193</v>
      </c>
      <c r="D195" t="str">
        <f t="shared" si="5"/>
        <v>=Vlookup("193",Translations!F3:H800,1,0)</v>
      </c>
      <c r="E195" t="str">
        <f t="shared" ref="E195:E258" si="6">IF(LangOffset=0,F195,IF(LangOffset=1,G195,IF(LangOffset=2,H195)))</f>
        <v>Sorties de fonds réelles de la subvention - Comptabilité de trésorerie pour la période de rapport</v>
      </c>
      <c r="F195" t="s">
        <v>3485</v>
      </c>
      <c r="G195" t="s">
        <v>3486</v>
      </c>
      <c r="H195" t="s">
        <v>3487</v>
      </c>
    </row>
    <row r="196" spans="1:8" x14ac:dyDescent="0.25">
      <c r="A196" t="s">
        <v>107</v>
      </c>
      <c r="B196">
        <v>194</v>
      </c>
      <c r="D196" t="str">
        <f t="shared" ref="D196:D259" si="7">"=Vlookup("""&amp;B196&amp;""",Translations!F3:H800,1,0)"</f>
        <v>=Vlookup("194",Translations!F3:H800,1,0)</v>
      </c>
      <c r="E196" t="str">
        <f t="shared" si="6"/>
        <v>Écarts budget - dép. réelles</v>
      </c>
      <c r="F196" t="s">
        <v>1119</v>
      </c>
      <c r="G196" t="s">
        <v>3488</v>
      </c>
      <c r="H196" t="s">
        <v>3489</v>
      </c>
    </row>
    <row r="197" spans="1:8" x14ac:dyDescent="0.25">
      <c r="A197" t="s">
        <v>107</v>
      </c>
      <c r="B197">
        <v>195</v>
      </c>
      <c r="D197" t="str">
        <f t="shared" si="7"/>
        <v>=Vlookup("195",Translations!F3:H800,1,0)</v>
      </c>
      <c r="E197" t="str">
        <f t="shared" si="6"/>
        <v>Capacité d'absorption</v>
      </c>
      <c r="F197" t="s">
        <v>1120</v>
      </c>
      <c r="G197" t="s">
        <v>3490</v>
      </c>
      <c r="H197" t="s">
        <v>3491</v>
      </c>
    </row>
    <row r="198" spans="1:8" x14ac:dyDescent="0.25">
      <c r="A198" t="s">
        <v>107</v>
      </c>
      <c r="B198">
        <v>196</v>
      </c>
      <c r="D198" t="str">
        <f t="shared" si="7"/>
        <v>=Vlookup("196",Translations!F3:H800,1,0)</v>
      </c>
      <c r="E198" t="str">
        <f t="shared" si="6"/>
        <v>Motifs de l'écart</v>
      </c>
      <c r="F198" t="s">
        <v>3492</v>
      </c>
      <c r="G198" t="s">
        <v>3493</v>
      </c>
      <c r="H198" t="s">
        <v>3494</v>
      </c>
    </row>
    <row r="199" spans="1:8" x14ac:dyDescent="0.25">
      <c r="A199" t="s">
        <v>107</v>
      </c>
      <c r="B199">
        <v>197</v>
      </c>
      <c r="D199" t="str">
        <f t="shared" si="7"/>
        <v>=Vlookup("197",Translations!F3:H800,1,0)</v>
      </c>
      <c r="E199" t="str">
        <f t="shared" si="6"/>
        <v>Budget cumulé jusqu'à la fin de la période du rapport</v>
      </c>
      <c r="F199" t="s">
        <v>1122</v>
      </c>
      <c r="G199" t="s">
        <v>3495</v>
      </c>
      <c r="H199" t="s">
        <v>3496</v>
      </c>
    </row>
    <row r="200" spans="1:8" x14ac:dyDescent="0.25">
      <c r="A200" t="s">
        <v>107</v>
      </c>
      <c r="B200">
        <v>198</v>
      </c>
      <c r="D200" t="str">
        <f t="shared" si="7"/>
        <v>=Vlookup("198",Translations!F3:H800,1,0)</v>
      </c>
      <c r="E200" t="str">
        <f t="shared" si="6"/>
        <v>Sorties de fonds réelles cumulées de la subvention - comptabilité de trésorerie - jusqu’à la fin de la période du rapport</v>
      </c>
      <c r="F200" t="s">
        <v>3497</v>
      </c>
      <c r="G200" t="s">
        <v>3498</v>
      </c>
      <c r="H200" t="s">
        <v>3499</v>
      </c>
    </row>
    <row r="201" spans="1:8" x14ac:dyDescent="0.25">
      <c r="A201" t="s">
        <v>107</v>
      </c>
      <c r="B201">
        <v>199</v>
      </c>
      <c r="D201" t="str">
        <f t="shared" si="7"/>
        <v>=Vlookup("199",Translations!F3:H800,1,0)</v>
      </c>
      <c r="E201" t="str">
        <f t="shared" si="6"/>
        <v>Écarts cumulés budget - dép. réelles</v>
      </c>
      <c r="F201" t="s">
        <v>1124</v>
      </c>
      <c r="G201" t="s">
        <v>3500</v>
      </c>
      <c r="H201" t="s">
        <v>3501</v>
      </c>
    </row>
    <row r="202" spans="1:8" x14ac:dyDescent="0.25">
      <c r="A202" t="s">
        <v>107</v>
      </c>
      <c r="B202">
        <v>200</v>
      </c>
      <c r="D202" t="str">
        <f t="shared" si="7"/>
        <v>=Vlookup("200",Translations!F3:H800,1,0)</v>
      </c>
      <c r="E202" t="str">
        <f t="shared" si="6"/>
        <v>Capacité d'absorption</v>
      </c>
      <c r="F202" t="s">
        <v>1120</v>
      </c>
      <c r="G202" t="s">
        <v>3490</v>
      </c>
      <c r="H202" t="s">
        <v>3491</v>
      </c>
    </row>
    <row r="203" spans="1:8" x14ac:dyDescent="0.25">
      <c r="A203" t="s">
        <v>107</v>
      </c>
      <c r="B203">
        <v>201</v>
      </c>
      <c r="D203" t="str">
        <f t="shared" si="7"/>
        <v>=Vlookup("201",Translations!F3:H800,1,0)</v>
      </c>
      <c r="E203" t="str">
        <f t="shared" si="6"/>
        <v>Motifs de l'écart</v>
      </c>
      <c r="F203" t="s">
        <v>3492</v>
      </c>
      <c r="G203" t="s">
        <v>3493</v>
      </c>
      <c r="H203" t="s">
        <v>3494</v>
      </c>
    </row>
    <row r="204" spans="1:8" x14ac:dyDescent="0.25">
      <c r="A204" t="s">
        <v>107</v>
      </c>
      <c r="B204">
        <v>202</v>
      </c>
      <c r="D204" t="str">
        <f t="shared" si="7"/>
        <v>=Vlookup("202",Translations!F3:H800,1,0)</v>
      </c>
      <c r="E204" t="str">
        <f t="shared" si="6"/>
        <v>1. Sorties de fonds totales du récipiendaire principal par rapport au budget</v>
      </c>
      <c r="F204" t="s">
        <v>1126</v>
      </c>
      <c r="G204" t="s">
        <v>3502</v>
      </c>
      <c r="H204" t="s">
        <v>3503</v>
      </c>
    </row>
    <row r="205" spans="1:8" x14ac:dyDescent="0.25">
      <c r="A205" t="s">
        <v>107</v>
      </c>
      <c r="B205">
        <v>203</v>
      </c>
      <c r="D205" t="str">
        <f t="shared" si="7"/>
        <v>=Vlookup("203",Translations!F3:H800,1,0)</v>
      </c>
      <c r="E205" t="str">
        <f t="shared" si="6"/>
        <v xml:space="preserve">    1a. Dépenses totales du récipiendaire principal (y compris tout décaissement direct à des tiers)</v>
      </c>
      <c r="F205" t="s">
        <v>1127</v>
      </c>
      <c r="G205" t="s">
        <v>3504</v>
      </c>
      <c r="H205" t="s">
        <v>3505</v>
      </c>
    </row>
    <row r="206" spans="1:8" x14ac:dyDescent="0.25">
      <c r="A206" t="s">
        <v>107</v>
      </c>
      <c r="B206">
        <v>204</v>
      </c>
      <c r="D206" t="str">
        <f t="shared" si="7"/>
        <v>=Vlookup("204",Translations!F3:H800,1,0)</v>
      </c>
      <c r="E206" t="str">
        <f t="shared" si="6"/>
        <v xml:space="preserve">    1b. Décaissements aux sous-récipiendaires</v>
      </c>
      <c r="F206" t="s">
        <v>1128</v>
      </c>
      <c r="G206" t="s">
        <v>3506</v>
      </c>
      <c r="H206" t="s">
        <v>3507</v>
      </c>
    </row>
    <row r="207" spans="1:8" x14ac:dyDescent="0.25">
      <c r="A207" t="s">
        <v>107</v>
      </c>
      <c r="B207">
        <v>205</v>
      </c>
      <c r="D207" t="str">
        <f t="shared" si="7"/>
        <v>=Vlookup("205",Translations!F3:H800,1,0)</v>
      </c>
      <c r="E207" t="str">
        <f t="shared" si="6"/>
        <v>Données d'achats à des fins d'analyse</v>
      </c>
      <c r="F207" t="s">
        <v>1129</v>
      </c>
      <c r="G207" t="s">
        <v>3508</v>
      </c>
      <c r="H207" t="s">
        <v>3509</v>
      </c>
    </row>
    <row r="208" spans="1:8" x14ac:dyDescent="0.25">
      <c r="A208" t="s">
        <v>107</v>
      </c>
      <c r="B208">
        <v>206</v>
      </c>
      <c r="D208" t="str">
        <f t="shared" si="7"/>
        <v>=Vlookup("206",Translations!F3:H800,1,0)</v>
      </c>
      <c r="E208" t="str">
        <f t="shared" si="6"/>
        <v>Budget pour la période de rapport</v>
      </c>
      <c r="F208" t="s">
        <v>1117</v>
      </c>
      <c r="G208" t="s">
        <v>3483</v>
      </c>
      <c r="H208" t="s">
        <v>3484</v>
      </c>
    </row>
    <row r="209" spans="1:8" x14ac:dyDescent="0.25">
      <c r="A209" t="s">
        <v>107</v>
      </c>
      <c r="B209">
        <v>207</v>
      </c>
      <c r="D209" t="str">
        <f t="shared" si="7"/>
        <v>=Vlookup("207",Translations!F3:H800,1,0)</v>
      </c>
      <c r="E209" t="str">
        <f t="shared" si="6"/>
        <v>Sorties de fonds réelles de la subvention - Comptabilité de trésorerie pour la période de rapport</v>
      </c>
      <c r="F209" t="s">
        <v>3485</v>
      </c>
      <c r="G209" t="s">
        <v>3486</v>
      </c>
      <c r="H209" t="s">
        <v>3487</v>
      </c>
    </row>
    <row r="210" spans="1:8" x14ac:dyDescent="0.25">
      <c r="A210" t="s">
        <v>107</v>
      </c>
      <c r="B210">
        <v>208</v>
      </c>
      <c r="D210" t="str">
        <f t="shared" si="7"/>
        <v>=Vlookup("208",Translations!F3:H800,1,0)</v>
      </c>
      <c r="E210" t="str">
        <f t="shared" si="6"/>
        <v>Écarts budget - dép. réelles</v>
      </c>
      <c r="F210" t="s">
        <v>1119</v>
      </c>
      <c r="G210" t="s">
        <v>3488</v>
      </c>
      <c r="H210" t="s">
        <v>3489</v>
      </c>
    </row>
    <row r="211" spans="1:8" x14ac:dyDescent="0.25">
      <c r="A211" t="s">
        <v>107</v>
      </c>
      <c r="B211">
        <v>209</v>
      </c>
      <c r="D211" t="str">
        <f t="shared" si="7"/>
        <v>=Vlookup("209",Translations!F3:H800,1,0)</v>
      </c>
      <c r="E211" t="str">
        <f t="shared" si="6"/>
        <v>Capacité d'absorption</v>
      </c>
      <c r="F211" t="s">
        <v>1120</v>
      </c>
      <c r="G211" t="s">
        <v>3490</v>
      </c>
      <c r="H211" t="s">
        <v>3491</v>
      </c>
    </row>
    <row r="212" spans="1:8" x14ac:dyDescent="0.25">
      <c r="A212" t="s">
        <v>107</v>
      </c>
      <c r="B212">
        <v>210</v>
      </c>
      <c r="D212" t="str">
        <f t="shared" si="7"/>
        <v>=Vlookup("210",Translations!F3:H800,1,0)</v>
      </c>
      <c r="E212" t="str">
        <f t="shared" si="6"/>
        <v>Motifs de l'écart</v>
      </c>
      <c r="F212" t="s">
        <v>3492</v>
      </c>
      <c r="G212" t="s">
        <v>3493</v>
      </c>
      <c r="H212" t="s">
        <v>3494</v>
      </c>
    </row>
    <row r="213" spans="1:8" x14ac:dyDescent="0.25">
      <c r="A213" t="s">
        <v>107</v>
      </c>
      <c r="B213">
        <v>211</v>
      </c>
      <c r="D213" t="str">
        <f t="shared" si="7"/>
        <v>=Vlookup("211",Translations!F3:H800,1,0)</v>
      </c>
      <c r="E213" t="str">
        <f t="shared" si="6"/>
        <v>Budget cumulé jusqu'à la fin de la période du rapport</v>
      </c>
      <c r="F213" t="s">
        <v>1122</v>
      </c>
      <c r="G213" t="s">
        <v>3495</v>
      </c>
      <c r="H213" t="s">
        <v>3496</v>
      </c>
    </row>
    <row r="214" spans="1:8" x14ac:dyDescent="0.25">
      <c r="A214" t="s">
        <v>107</v>
      </c>
      <c r="B214">
        <v>212</v>
      </c>
      <c r="D214" t="str">
        <f t="shared" si="7"/>
        <v>=Vlookup("212",Translations!F3:H800,1,0)</v>
      </c>
      <c r="E214" t="str">
        <f t="shared" si="6"/>
        <v>Sorties de fonds réelles cumulées de la subvention - comptabilité de trésorerie - jusqu’à la fin de la période du rapport</v>
      </c>
      <c r="F214" t="s">
        <v>3497</v>
      </c>
      <c r="G214" t="s">
        <v>3498</v>
      </c>
      <c r="H214" t="s">
        <v>3499</v>
      </c>
    </row>
    <row r="215" spans="1:8" x14ac:dyDescent="0.25">
      <c r="A215" t="s">
        <v>107</v>
      </c>
      <c r="B215">
        <v>213</v>
      </c>
      <c r="D215" t="str">
        <f t="shared" si="7"/>
        <v>=Vlookup("213",Translations!F3:H800,1,0)</v>
      </c>
      <c r="E215" t="str">
        <f t="shared" si="6"/>
        <v>Écarts cumulés budget - dép. réelles</v>
      </c>
      <c r="F215" t="s">
        <v>1124</v>
      </c>
      <c r="G215" t="s">
        <v>3500</v>
      </c>
      <c r="H215" t="s">
        <v>3501</v>
      </c>
    </row>
    <row r="216" spans="1:8" x14ac:dyDescent="0.25">
      <c r="A216" t="s">
        <v>107</v>
      </c>
      <c r="B216">
        <v>214</v>
      </c>
      <c r="D216" t="str">
        <f t="shared" si="7"/>
        <v>=Vlookup("214",Translations!F3:H800,1,0)</v>
      </c>
      <c r="E216" t="str">
        <f t="shared" si="6"/>
        <v>Capacité d'absorption</v>
      </c>
      <c r="F216" t="s">
        <v>1120</v>
      </c>
      <c r="G216" t="s">
        <v>3490</v>
      </c>
      <c r="H216" t="s">
        <v>3491</v>
      </c>
    </row>
    <row r="217" spans="1:8" x14ac:dyDescent="0.25">
      <c r="A217" t="s">
        <v>107</v>
      </c>
      <c r="B217">
        <v>215</v>
      </c>
      <c r="D217" t="str">
        <f t="shared" si="7"/>
        <v>=Vlookup("215",Translations!F3:H800,1,0)</v>
      </c>
      <c r="E217" t="str">
        <f t="shared" si="6"/>
        <v>Motifs de l'écart</v>
      </c>
      <c r="F217" t="s">
        <v>3492</v>
      </c>
      <c r="G217" t="s">
        <v>3493</v>
      </c>
      <c r="H217" t="s">
        <v>3494</v>
      </c>
    </row>
    <row r="218" spans="1:8" x14ac:dyDescent="0.25">
      <c r="A218" t="s">
        <v>107</v>
      </c>
      <c r="B218">
        <v>216</v>
      </c>
      <c r="D218" t="str">
        <f t="shared" si="7"/>
        <v>=Vlookup("216",Translations!F3:H800,1,0)</v>
      </c>
      <c r="E218" t="str">
        <f t="shared" si="6"/>
        <v>2. Dépenses pharmaceutiques et non pharmaceutiques (y compris équipements) totales par rapport au budget</v>
      </c>
      <c r="F218" t="s">
        <v>1130</v>
      </c>
      <c r="G218" t="s">
        <v>3510</v>
      </c>
      <c r="H218" t="s">
        <v>3511</v>
      </c>
    </row>
    <row r="219" spans="1:8" x14ac:dyDescent="0.25">
      <c r="A219" t="s">
        <v>107</v>
      </c>
      <c r="B219">
        <v>217</v>
      </c>
      <c r="D219" t="str">
        <f t="shared" si="7"/>
        <v>=Vlookup("217",Translations!F3:H800,1,0)</v>
      </c>
      <c r="E219" t="str">
        <f t="shared" si="6"/>
        <v xml:space="preserve">    2a.  Produits de santé - Produits pharmaceutiques</v>
      </c>
      <c r="F219" t="s">
        <v>1131</v>
      </c>
      <c r="G219" t="s">
        <v>3512</v>
      </c>
      <c r="H219" t="s">
        <v>3513</v>
      </c>
    </row>
    <row r="220" spans="1:8" x14ac:dyDescent="0.25">
      <c r="A220" t="s">
        <v>107</v>
      </c>
      <c r="B220">
        <v>218</v>
      </c>
      <c r="D220" t="str">
        <f t="shared" si="7"/>
        <v>=Vlookup("218",Translations!F3:H800,1,0)</v>
      </c>
      <c r="E220" t="str">
        <f t="shared" si="6"/>
        <v xml:space="preserve">    2b.  Produits de santé - Produits non pharmaceutiques et équipements</v>
      </c>
      <c r="F220" t="s">
        <v>1132</v>
      </c>
      <c r="G220" t="s">
        <v>3514</v>
      </c>
      <c r="H220" t="s">
        <v>3515</v>
      </c>
    </row>
    <row r="221" spans="1:8" x14ac:dyDescent="0.25">
      <c r="A221" t="s">
        <v>107</v>
      </c>
      <c r="B221">
        <v>219</v>
      </c>
      <c r="D221" t="str">
        <f t="shared" si="7"/>
        <v>=Vlookup("219",Translations!F3:H800,1,0)</v>
      </c>
      <c r="E221" t="str">
        <f t="shared" si="6"/>
        <v>For LFA Use Only</v>
      </c>
      <c r="F221" t="s">
        <v>1114</v>
      </c>
      <c r="G221" t="s">
        <v>1114</v>
      </c>
      <c r="H221" t="s">
        <v>1114</v>
      </c>
    </row>
    <row r="222" spans="1:8" x14ac:dyDescent="0.25">
      <c r="A222" t="s">
        <v>107</v>
      </c>
      <c r="B222">
        <v>220</v>
      </c>
      <c r="D222" t="str">
        <f t="shared" si="7"/>
        <v>=Vlookup("220",Translations!F3:H800,1,0)</v>
      </c>
      <c r="E222" t="str">
        <f t="shared" si="6"/>
        <v>E. Total Principal Recipient Budget Variance and Absorption Analysis</v>
      </c>
      <c r="F222" t="s">
        <v>1115</v>
      </c>
      <c r="G222" t="s">
        <v>1115</v>
      </c>
      <c r="H222" t="s">
        <v>1115</v>
      </c>
    </row>
    <row r="223" spans="1:8" x14ac:dyDescent="0.25">
      <c r="A223" t="s">
        <v>107</v>
      </c>
      <c r="B223">
        <v>221</v>
      </c>
      <c r="D223" t="str">
        <f t="shared" si="7"/>
        <v>=Vlookup("221",Translations!F3:H800,1,0)</v>
      </c>
      <c r="E223" t="str">
        <f t="shared" si="6"/>
        <v>Local Fund Agent (LFA)</v>
      </c>
      <c r="F223" t="s">
        <v>1116</v>
      </c>
      <c r="G223" t="s">
        <v>1116</v>
      </c>
      <c r="H223" t="s">
        <v>1116</v>
      </c>
    </row>
    <row r="224" spans="1:8" x14ac:dyDescent="0.25">
      <c r="A224" t="s">
        <v>107</v>
      </c>
      <c r="B224">
        <v>222</v>
      </c>
      <c r="D224" t="str">
        <f t="shared" si="7"/>
        <v>=Vlookup("222",Translations!F3:H800,1,0)</v>
      </c>
      <c r="E224" t="str">
        <f t="shared" si="6"/>
        <v>Budget for Reporting Period</v>
      </c>
      <c r="F224" t="s">
        <v>1117</v>
      </c>
      <c r="G224" t="s">
        <v>1117</v>
      </c>
      <c r="H224" t="s">
        <v>1117</v>
      </c>
    </row>
    <row r="225" spans="1:8" x14ac:dyDescent="0.25">
      <c r="A225" t="s">
        <v>107</v>
      </c>
      <c r="B225">
        <v>223</v>
      </c>
      <c r="D225" t="str">
        <f t="shared" si="7"/>
        <v>=Vlookup("223",Translations!F3:H800,1,0)</v>
      </c>
      <c r="E225" t="str">
        <f t="shared" si="6"/>
        <v>Actual Grant Expenditure - Cash Basis for Reporting Period</v>
      </c>
      <c r="F225" t="s">
        <v>1118</v>
      </c>
      <c r="G225" t="s">
        <v>1118</v>
      </c>
      <c r="H225" t="s">
        <v>1118</v>
      </c>
    </row>
    <row r="226" spans="1:8" x14ac:dyDescent="0.25">
      <c r="A226" t="s">
        <v>107</v>
      </c>
      <c r="B226">
        <v>224</v>
      </c>
      <c r="D226" t="str">
        <f t="shared" si="7"/>
        <v>=Vlookup("224",Translations!F3:H800,1,0)</v>
      </c>
      <c r="E226" t="str">
        <f t="shared" si="6"/>
        <v>Budget Vs Actual Variances</v>
      </c>
      <c r="F226" t="s">
        <v>1119</v>
      </c>
      <c r="G226" t="s">
        <v>1119</v>
      </c>
      <c r="H226" t="s">
        <v>1119</v>
      </c>
    </row>
    <row r="227" spans="1:8" x14ac:dyDescent="0.25">
      <c r="A227" t="s">
        <v>107</v>
      </c>
      <c r="B227">
        <v>225</v>
      </c>
      <c r="D227" t="str">
        <f t="shared" si="7"/>
        <v>=Vlookup("225",Translations!F3:H800,1,0)</v>
      </c>
      <c r="E227" t="str">
        <f t="shared" si="6"/>
        <v>Absorption Capacity</v>
      </c>
      <c r="F227" t="s">
        <v>1120</v>
      </c>
      <c r="G227" t="s">
        <v>1120</v>
      </c>
      <c r="H227" t="s">
        <v>1120</v>
      </c>
    </row>
    <row r="228" spans="1:8" x14ac:dyDescent="0.25">
      <c r="A228" t="s">
        <v>107</v>
      </c>
      <c r="B228">
        <v>226</v>
      </c>
      <c r="D228" t="str">
        <f t="shared" si="7"/>
        <v>=Vlookup("226",Translations!F3:H800,1,0)</v>
      </c>
      <c r="E228" t="str">
        <f t="shared" si="6"/>
        <v xml:space="preserve">LFA comments on thePrincipal Recipient's explanation of variances </v>
      </c>
      <c r="F228" t="s">
        <v>1121</v>
      </c>
      <c r="G228" t="s">
        <v>1121</v>
      </c>
      <c r="H228" t="s">
        <v>1121</v>
      </c>
    </row>
    <row r="229" spans="1:8" x14ac:dyDescent="0.25">
      <c r="A229" t="s">
        <v>107</v>
      </c>
      <c r="B229">
        <v>227</v>
      </c>
      <c r="D229" t="str">
        <f t="shared" si="7"/>
        <v>=Vlookup("227",Translations!F3:H800,1,0)</v>
      </c>
      <c r="E229" t="str">
        <f t="shared" si="6"/>
        <v>Cumulative Budget through period of Progress Update</v>
      </c>
      <c r="F229" t="s">
        <v>1122</v>
      </c>
      <c r="G229" t="s">
        <v>1122</v>
      </c>
      <c r="H229" t="s">
        <v>1122</v>
      </c>
    </row>
    <row r="230" spans="1:8" x14ac:dyDescent="0.25">
      <c r="A230" t="s">
        <v>107</v>
      </c>
      <c r="B230">
        <v>228</v>
      </c>
      <c r="D230" t="str">
        <f t="shared" si="7"/>
        <v>=Vlookup("228",Translations!F3:H800,1,0)</v>
      </c>
      <c r="E230" t="str">
        <f t="shared" si="6"/>
        <v>Cumulative Actual Grant Expenditure - Cash Basis through period of Progress Update</v>
      </c>
      <c r="F230" t="s">
        <v>1123</v>
      </c>
      <c r="G230" t="s">
        <v>1123</v>
      </c>
      <c r="H230" t="s">
        <v>1123</v>
      </c>
    </row>
    <row r="231" spans="1:8" x14ac:dyDescent="0.25">
      <c r="A231" t="s">
        <v>107</v>
      </c>
      <c r="B231">
        <v>229</v>
      </c>
      <c r="D231" t="str">
        <f t="shared" si="7"/>
        <v>=Vlookup("229",Translations!F3:H800,1,0)</v>
      </c>
      <c r="E231" t="str">
        <f t="shared" si="6"/>
        <v>Cumulative Budget Vs Actuals Variances</v>
      </c>
      <c r="F231" t="s">
        <v>1124</v>
      </c>
      <c r="G231" t="s">
        <v>1124</v>
      </c>
      <c r="H231" t="s">
        <v>1124</v>
      </c>
    </row>
    <row r="232" spans="1:8" x14ac:dyDescent="0.25">
      <c r="A232" t="s">
        <v>107</v>
      </c>
      <c r="B232">
        <v>230</v>
      </c>
      <c r="D232" t="str">
        <f t="shared" si="7"/>
        <v>=Vlookup("230",Translations!F3:H800,1,0)</v>
      </c>
      <c r="E232" t="str">
        <f t="shared" si="6"/>
        <v>Absorption Capacity</v>
      </c>
      <c r="F232" t="s">
        <v>1120</v>
      </c>
      <c r="G232" t="s">
        <v>1120</v>
      </c>
      <c r="H232" t="s">
        <v>1120</v>
      </c>
    </row>
    <row r="233" spans="1:8" x14ac:dyDescent="0.25">
      <c r="A233" t="s">
        <v>107</v>
      </c>
      <c r="B233">
        <v>231</v>
      </c>
      <c r="D233" t="str">
        <f t="shared" si="7"/>
        <v>=Vlookup("231",Translations!F3:H800,1,0)</v>
      </c>
      <c r="E233" t="str">
        <f t="shared" si="6"/>
        <v xml:space="preserve">LFA comments on the Principal Recipient's explanation of variances </v>
      </c>
      <c r="F233" t="s">
        <v>1125</v>
      </c>
      <c r="G233" t="s">
        <v>1125</v>
      </c>
      <c r="H233" t="s">
        <v>1125</v>
      </c>
    </row>
    <row r="234" spans="1:8" x14ac:dyDescent="0.25">
      <c r="A234" t="s">
        <v>107</v>
      </c>
      <c r="B234">
        <v>232</v>
      </c>
      <c r="D234" t="str">
        <f t="shared" si="7"/>
        <v>=Vlookup("232",Translations!F3:H800,1,0)</v>
      </c>
      <c r="E234" t="str">
        <f t="shared" si="6"/>
        <v>1. Total Principal Recipient cash outflow vs. budget</v>
      </c>
      <c r="F234" t="s">
        <v>1126</v>
      </c>
      <c r="G234" t="s">
        <v>1126</v>
      </c>
      <c r="H234" t="s">
        <v>1126</v>
      </c>
    </row>
    <row r="235" spans="1:8" x14ac:dyDescent="0.25">
      <c r="A235" t="s">
        <v>107</v>
      </c>
      <c r="B235">
        <v>233</v>
      </c>
      <c r="D235" t="str">
        <f t="shared" si="7"/>
        <v>=Vlookup("233",Translations!F3:H800,1,0)</v>
      </c>
      <c r="E235" t="str">
        <f t="shared" si="6"/>
        <v xml:space="preserve">    1a. Principal Recipient's total expenditures (including any direct-disbursements to third-parties)</v>
      </c>
      <c r="F235" t="s">
        <v>1127</v>
      </c>
      <c r="G235" t="s">
        <v>1127</v>
      </c>
      <c r="H235" t="s">
        <v>1127</v>
      </c>
    </row>
    <row r="236" spans="1:8" x14ac:dyDescent="0.25">
      <c r="A236" t="s">
        <v>107</v>
      </c>
      <c r="B236">
        <v>234</v>
      </c>
      <c r="D236" t="str">
        <f t="shared" si="7"/>
        <v>=Vlookup("234",Translations!F3:H800,1,0)</v>
      </c>
      <c r="E236" t="str">
        <f t="shared" si="6"/>
        <v xml:space="preserve">    1b. Disbursements to sub-recipients</v>
      </c>
      <c r="F236" t="s">
        <v>1128</v>
      </c>
      <c r="G236" t="s">
        <v>1128</v>
      </c>
      <c r="H236" t="s">
        <v>1128</v>
      </c>
    </row>
    <row r="237" spans="1:8" x14ac:dyDescent="0.25">
      <c r="A237" t="s">
        <v>107</v>
      </c>
      <c r="B237">
        <v>235</v>
      </c>
      <c r="D237" t="str">
        <f t="shared" si="7"/>
        <v>=Vlookup("235",Translations!F3:H800,1,0)</v>
      </c>
      <c r="E237" t="str">
        <f t="shared" si="6"/>
        <v>Procurement data for analytical purposes</v>
      </c>
      <c r="F237" t="s">
        <v>1129</v>
      </c>
      <c r="G237" t="s">
        <v>1129</v>
      </c>
      <c r="H237" t="s">
        <v>1129</v>
      </c>
    </row>
    <row r="238" spans="1:8" x14ac:dyDescent="0.25">
      <c r="A238" t="s">
        <v>107</v>
      </c>
      <c r="B238">
        <v>236</v>
      </c>
      <c r="D238" t="str">
        <f t="shared" si="7"/>
        <v>=Vlookup("236",Translations!F3:H800,1,0)</v>
      </c>
      <c r="E238" t="str">
        <f t="shared" si="6"/>
        <v>Budget for Reporting Period</v>
      </c>
      <c r="F238" t="s">
        <v>1117</v>
      </c>
      <c r="G238" t="s">
        <v>1117</v>
      </c>
      <c r="H238" t="s">
        <v>1117</v>
      </c>
    </row>
    <row r="239" spans="1:8" x14ac:dyDescent="0.25">
      <c r="A239" t="s">
        <v>107</v>
      </c>
      <c r="B239">
        <v>237</v>
      </c>
      <c r="D239" t="str">
        <f t="shared" si="7"/>
        <v>=Vlookup("237",Translations!F3:H800,1,0)</v>
      </c>
      <c r="E239" t="str">
        <f t="shared" si="6"/>
        <v>Actual Grant Expenditure - Cash Basis for Reporting Period</v>
      </c>
      <c r="F239" t="s">
        <v>1118</v>
      </c>
      <c r="G239" t="s">
        <v>1118</v>
      </c>
      <c r="H239" t="s">
        <v>1118</v>
      </c>
    </row>
    <row r="240" spans="1:8" x14ac:dyDescent="0.25">
      <c r="A240" t="s">
        <v>107</v>
      </c>
      <c r="B240">
        <v>238</v>
      </c>
      <c r="D240" t="str">
        <f t="shared" si="7"/>
        <v>=Vlookup("238",Translations!F3:H800,1,0)</v>
      </c>
      <c r="E240" t="str">
        <f t="shared" si="6"/>
        <v>Budget Vs Actual Variances</v>
      </c>
      <c r="F240" t="s">
        <v>1119</v>
      </c>
      <c r="G240" t="s">
        <v>1119</v>
      </c>
      <c r="H240" t="s">
        <v>1119</v>
      </c>
    </row>
    <row r="241" spans="1:8" x14ac:dyDescent="0.25">
      <c r="A241" t="s">
        <v>107</v>
      </c>
      <c r="B241">
        <v>239</v>
      </c>
      <c r="D241" t="str">
        <f t="shared" si="7"/>
        <v>=Vlookup("239",Translations!F3:H800,1,0)</v>
      </c>
      <c r="E241" t="str">
        <f t="shared" si="6"/>
        <v>Absorption Capacity</v>
      </c>
      <c r="F241" t="s">
        <v>1120</v>
      </c>
      <c r="G241" t="s">
        <v>1120</v>
      </c>
      <c r="H241" t="s">
        <v>1120</v>
      </c>
    </row>
    <row r="242" spans="1:8" x14ac:dyDescent="0.25">
      <c r="A242" t="s">
        <v>107</v>
      </c>
      <c r="B242">
        <v>240</v>
      </c>
      <c r="D242" t="str">
        <f t="shared" si="7"/>
        <v>=Vlookup("240",Translations!F3:H800,1,0)</v>
      </c>
      <c r="E242" t="str">
        <f t="shared" si="6"/>
        <v xml:space="preserve">LFA comments on the Principal Recipient's explanation of variances </v>
      </c>
      <c r="F242" t="s">
        <v>1125</v>
      </c>
      <c r="G242" t="s">
        <v>1125</v>
      </c>
      <c r="H242" t="s">
        <v>1125</v>
      </c>
    </row>
    <row r="243" spans="1:8" x14ac:dyDescent="0.25">
      <c r="A243" t="s">
        <v>107</v>
      </c>
      <c r="B243">
        <v>241</v>
      </c>
      <c r="D243" t="str">
        <f t="shared" si="7"/>
        <v>=Vlookup("241",Translations!F3:H800,1,0)</v>
      </c>
      <c r="E243" t="str">
        <f t="shared" si="6"/>
        <v>Cumulative Budget through period of Progress Update</v>
      </c>
      <c r="F243" t="s">
        <v>1122</v>
      </c>
      <c r="G243" t="s">
        <v>1122</v>
      </c>
      <c r="H243" t="s">
        <v>1122</v>
      </c>
    </row>
    <row r="244" spans="1:8" x14ac:dyDescent="0.25">
      <c r="A244" t="s">
        <v>107</v>
      </c>
      <c r="B244">
        <v>242</v>
      </c>
      <c r="D244" t="str">
        <f t="shared" si="7"/>
        <v>=Vlookup("242",Translations!F3:H800,1,0)</v>
      </c>
      <c r="E244" t="str">
        <f t="shared" si="6"/>
        <v>Cumulative Actual Grant Expenditure - Cash Basis through period of Progress Update</v>
      </c>
      <c r="F244" t="s">
        <v>1123</v>
      </c>
      <c r="G244" t="s">
        <v>1123</v>
      </c>
      <c r="H244" t="s">
        <v>1123</v>
      </c>
    </row>
    <row r="245" spans="1:8" x14ac:dyDescent="0.25">
      <c r="A245" t="s">
        <v>107</v>
      </c>
      <c r="B245">
        <v>243</v>
      </c>
      <c r="D245" t="str">
        <f t="shared" si="7"/>
        <v>=Vlookup("243",Translations!F3:H800,1,0)</v>
      </c>
      <c r="E245" t="str">
        <f t="shared" si="6"/>
        <v>Cumulative Budget Vs Actuals Variances</v>
      </c>
      <c r="F245" t="s">
        <v>1124</v>
      </c>
      <c r="G245" t="s">
        <v>1124</v>
      </c>
      <c r="H245" t="s">
        <v>1124</v>
      </c>
    </row>
    <row r="246" spans="1:8" x14ac:dyDescent="0.25">
      <c r="A246" t="s">
        <v>107</v>
      </c>
      <c r="B246">
        <v>244</v>
      </c>
      <c r="D246" t="str">
        <f t="shared" si="7"/>
        <v>=Vlookup("244",Translations!F3:H800,1,0)</v>
      </c>
      <c r="E246" t="str">
        <f t="shared" si="6"/>
        <v>Absorption Capacity</v>
      </c>
      <c r="F246" t="s">
        <v>1120</v>
      </c>
      <c r="G246" t="s">
        <v>1120</v>
      </c>
      <c r="H246" t="s">
        <v>1120</v>
      </c>
    </row>
    <row r="247" spans="1:8" x14ac:dyDescent="0.25">
      <c r="A247" t="s">
        <v>107</v>
      </c>
      <c r="B247">
        <v>245</v>
      </c>
      <c r="D247" t="str">
        <f t="shared" si="7"/>
        <v>=Vlookup("245",Translations!F3:H800,1,0)</v>
      </c>
      <c r="E247" t="str">
        <f t="shared" si="6"/>
        <v xml:space="preserve">LFA comments on the Principal Recipient's explanation of variances </v>
      </c>
      <c r="F247" t="s">
        <v>1125</v>
      </c>
      <c r="G247" t="s">
        <v>1125</v>
      </c>
      <c r="H247" t="s">
        <v>1125</v>
      </c>
    </row>
    <row r="248" spans="1:8" x14ac:dyDescent="0.25">
      <c r="A248" t="s">
        <v>107</v>
      </c>
      <c r="B248">
        <v>246</v>
      </c>
      <c r="D248" t="str">
        <f t="shared" si="7"/>
        <v>=Vlookup("246",Translations!F3:H800,1,0)</v>
      </c>
      <c r="E248" t="str">
        <f t="shared" si="6"/>
        <v>2. Total pharmaceutical &amp; non-pharmaceutical incl. equipment expenditures vs. budget</v>
      </c>
      <c r="F248" t="s">
        <v>1130</v>
      </c>
      <c r="G248" t="s">
        <v>1130</v>
      </c>
      <c r="H248" t="s">
        <v>1130</v>
      </c>
    </row>
    <row r="249" spans="1:8" x14ac:dyDescent="0.25">
      <c r="A249" t="s">
        <v>107</v>
      </c>
      <c r="B249">
        <v>247</v>
      </c>
      <c r="D249" t="str">
        <f t="shared" si="7"/>
        <v>=Vlookup("247",Translations!F3:H800,1,0)</v>
      </c>
      <c r="E249" t="str">
        <f t="shared" si="6"/>
        <v xml:space="preserve">    2a.  Health Products- Pharmaceutical Products</v>
      </c>
      <c r="F249" t="s">
        <v>1131</v>
      </c>
      <c r="G249" t="s">
        <v>1131</v>
      </c>
      <c r="H249" t="s">
        <v>1131</v>
      </c>
    </row>
    <row r="250" spans="1:8" x14ac:dyDescent="0.25">
      <c r="A250" t="s">
        <v>107</v>
      </c>
      <c r="B250">
        <v>248</v>
      </c>
      <c r="D250" t="str">
        <f t="shared" si="7"/>
        <v>=Vlookup("248",Translations!F3:H800,1,0)</v>
      </c>
      <c r="E250" t="str">
        <f t="shared" si="6"/>
        <v xml:space="preserve">    2b.  Health Products - Non-Pharmaceuticals &amp; Equipment</v>
      </c>
      <c r="F250" t="s">
        <v>1132</v>
      </c>
      <c r="G250" t="s">
        <v>1132</v>
      </c>
      <c r="H250" t="s">
        <v>1132</v>
      </c>
    </row>
    <row r="251" spans="1:8" x14ac:dyDescent="0.25">
      <c r="A251" t="s">
        <v>105</v>
      </c>
      <c r="B251">
        <v>249</v>
      </c>
      <c r="D251" t="str">
        <f t="shared" si="7"/>
        <v>=Vlookup("249",Translations!F3:H800,1,0)</v>
      </c>
      <c r="E251" t="str">
        <f t="shared" si="6"/>
        <v>Rapport périodique sur les résultats actuels et demande de décaissement</v>
      </c>
      <c r="F251" t="s">
        <v>3227</v>
      </c>
      <c r="G251" t="s">
        <v>3228</v>
      </c>
      <c r="H251" t="s">
        <v>3229</v>
      </c>
    </row>
    <row r="252" spans="1:8" x14ac:dyDescent="0.25">
      <c r="A252" t="s">
        <v>105</v>
      </c>
      <c r="B252">
        <v>250</v>
      </c>
      <c r="D252" t="str">
        <f t="shared" si="7"/>
        <v>=Vlookup("250",Translations!F3:H800,1,0)</v>
      </c>
      <c r="E252" t="str">
        <f t="shared" si="6"/>
        <v>Section 3A :  RP - Gestion des achats et des stocks</v>
      </c>
      <c r="F252" t="s">
        <v>3516</v>
      </c>
      <c r="G252" t="s">
        <v>3517</v>
      </c>
      <c r="H252" t="s">
        <v>3518</v>
      </c>
    </row>
    <row r="253" spans="1:8" ht="210" x14ac:dyDescent="0.25">
      <c r="A253" t="s">
        <v>105</v>
      </c>
      <c r="B253">
        <v>251</v>
      </c>
      <c r="D253" t="str">
        <f t="shared" si="7"/>
        <v>=Vlookup("251",Translations!F3:H800,1,0)</v>
      </c>
      <c r="E253" t="str">
        <f t="shared" si="6"/>
        <v>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v>
      </c>
      <c r="F253" s="731" t="s">
        <v>3519</v>
      </c>
      <c r="G253" s="731" t="s">
        <v>3520</v>
      </c>
      <c r="H253" s="731" t="s">
        <v>3521</v>
      </c>
    </row>
    <row r="254" spans="1:8" x14ac:dyDescent="0.25">
      <c r="A254" t="s">
        <v>105</v>
      </c>
      <c r="B254">
        <v>252</v>
      </c>
      <c r="D254" t="str">
        <f t="shared" si="7"/>
        <v>=Vlookup("252",Translations!F3:H800,1,0)</v>
      </c>
      <c r="E254" t="str">
        <f t="shared" si="6"/>
        <v>Commentaires</v>
      </c>
      <c r="F254" t="s">
        <v>160</v>
      </c>
      <c r="G254" t="s">
        <v>3373</v>
      </c>
      <c r="H254" t="s">
        <v>3374</v>
      </c>
    </row>
    <row r="255" spans="1:8" x14ac:dyDescent="0.25">
      <c r="A255" t="s">
        <v>105</v>
      </c>
      <c r="B255">
        <v>253</v>
      </c>
      <c r="D255" t="str">
        <f t="shared" si="7"/>
        <v>=Vlookup("253",Translations!F3:H800,1,0)</v>
      </c>
      <c r="E255" t="str">
        <f t="shared" si="6"/>
        <v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v>
      </c>
      <c r="F255" t="s">
        <v>3522</v>
      </c>
      <c r="G255" t="s">
        <v>3523</v>
      </c>
      <c r="H255" t="s">
        <v>3524</v>
      </c>
    </row>
    <row r="256" spans="1:8" x14ac:dyDescent="0.25">
      <c r="A256" t="s">
        <v>105</v>
      </c>
      <c r="B256">
        <v>254</v>
      </c>
      <c r="D256" t="str">
        <f t="shared" si="7"/>
        <v>=Vlookup("254",Translations!F3:H800,1,0)</v>
      </c>
      <c r="E256" t="str">
        <f t="shared" si="6"/>
        <v>Produits pharmaceutiques et de santé clés</v>
      </c>
      <c r="F256" t="s">
        <v>1172</v>
      </c>
      <c r="G256" t="s">
        <v>3525</v>
      </c>
      <c r="H256" t="s">
        <v>3526</v>
      </c>
    </row>
    <row r="257" spans="1:8" x14ac:dyDescent="0.25">
      <c r="A257" t="s">
        <v>105</v>
      </c>
      <c r="B257">
        <v>255</v>
      </c>
      <c r="D257" t="str">
        <f t="shared" si="7"/>
        <v>=Vlookup("255",Translations!F3:H800,1,0)</v>
      </c>
      <c r="E257" t="str">
        <f t="shared" si="6"/>
        <v>Risque de rupture de stock</v>
      </c>
      <c r="F257" t="s">
        <v>1173</v>
      </c>
      <c r="G257" t="s">
        <v>3527</v>
      </c>
      <c r="H257" t="s">
        <v>3528</v>
      </c>
    </row>
    <row r="258" spans="1:8" x14ac:dyDescent="0.25">
      <c r="A258" t="s">
        <v>105</v>
      </c>
      <c r="B258">
        <v>256</v>
      </c>
      <c r="D258" t="str">
        <f t="shared" si="7"/>
        <v>=Vlookup("256",Translations!F3:H800,1,0)</v>
      </c>
      <c r="E258" t="str">
        <f t="shared" si="6"/>
        <v>Risque de péremption</v>
      </c>
      <c r="F258" t="s">
        <v>1174</v>
      </c>
      <c r="G258" t="s">
        <v>3529</v>
      </c>
      <c r="H258" t="s">
        <v>3530</v>
      </c>
    </row>
    <row r="259" spans="1:8" x14ac:dyDescent="0.25">
      <c r="A259" t="s">
        <v>105</v>
      </c>
      <c r="B259">
        <v>257</v>
      </c>
      <c r="D259" t="str">
        <f t="shared" si="7"/>
        <v>=Vlookup("257",Translations!F3:H800,1,0)</v>
      </c>
      <c r="E259" t="str">
        <f t="shared" ref="E259:E322" si="8">IF(LangOffset=0,F259,IF(LangOffset=1,G259,IF(LangOffset=2,H259)))</f>
        <v>Commentaire (si oui, veuillez fournir des informations sur les articles spécifiques présentant un risque de rupture de stock ou de péremption ainsi que les mesures d’atténuation en place ou à mettre en œuvre)</v>
      </c>
      <c r="F259" t="s">
        <v>1175</v>
      </c>
      <c r="G259" t="s">
        <v>3531</v>
      </c>
      <c r="H259" t="s">
        <v>3532</v>
      </c>
    </row>
    <row r="260" spans="1:8" x14ac:dyDescent="0.25">
      <c r="A260" t="s">
        <v>105</v>
      </c>
      <c r="B260">
        <v>258</v>
      </c>
      <c r="D260" t="str">
        <f t="shared" ref="D260:D323" si="9">"=Vlookup("""&amp;B260&amp;""",Translations!F3:H800,1,0)"</f>
        <v>=Vlookup("258",Translations!F3:H800,1,0)</v>
      </c>
      <c r="E260" t="str">
        <f t="shared" si="8"/>
        <v>1. Antipaludéens</v>
      </c>
      <c r="F260" t="s">
        <v>1164</v>
      </c>
      <c r="G260" t="s">
        <v>3533</v>
      </c>
      <c r="H260" t="s">
        <v>3534</v>
      </c>
    </row>
    <row r="261" spans="1:8" x14ac:dyDescent="0.25">
      <c r="A261" t="s">
        <v>105</v>
      </c>
      <c r="B261">
        <v>259</v>
      </c>
      <c r="D261" t="str">
        <f t="shared" si="9"/>
        <v>=Vlookup("259",Translations!F3:H800,1,0)</v>
      </c>
      <c r="E261" t="str">
        <f t="shared" si="8"/>
        <v>2. Moustiquaires</v>
      </c>
      <c r="F261" t="s">
        <v>1165</v>
      </c>
      <c r="G261" t="s">
        <v>3535</v>
      </c>
      <c r="H261" t="s">
        <v>3536</v>
      </c>
    </row>
    <row r="262" spans="1:8" x14ac:dyDescent="0.25">
      <c r="A262" t="s">
        <v>105</v>
      </c>
      <c r="B262">
        <v>260</v>
      </c>
      <c r="D262" t="str">
        <f t="shared" si="9"/>
        <v>=Vlookup("260",Translations!F3:H800,1,0)</v>
      </c>
      <c r="E262" t="str">
        <f t="shared" si="8"/>
        <v xml:space="preserve">3. Produits de diagnostic in-vitro </v>
      </c>
      <c r="F262" t="s">
        <v>1166</v>
      </c>
      <c r="G262" t="s">
        <v>3537</v>
      </c>
      <c r="H262" t="s">
        <v>3538</v>
      </c>
    </row>
    <row r="263" spans="1:8" x14ac:dyDescent="0.25">
      <c r="A263" t="s">
        <v>105</v>
      </c>
      <c r="B263">
        <v>261</v>
      </c>
      <c r="D263" t="str">
        <f t="shared" si="9"/>
        <v>=Vlookup("261",Translations!F3:H800,1,0)</v>
      </c>
      <c r="E263" t="str">
        <f t="shared" si="8"/>
        <v>4. Préservatifs</v>
      </c>
      <c r="F263" t="s">
        <v>1167</v>
      </c>
      <c r="G263" t="s">
        <v>3539</v>
      </c>
      <c r="H263" t="s">
        <v>3540</v>
      </c>
    </row>
    <row r="264" spans="1:8" x14ac:dyDescent="0.25">
      <c r="A264" t="s">
        <v>105</v>
      </c>
      <c r="B264">
        <v>262</v>
      </c>
      <c r="D264" t="str">
        <f t="shared" si="9"/>
        <v>=Vlookup("262",Translations!F3:H800,1,0)</v>
      </c>
      <c r="E264" t="str">
        <f t="shared" si="8"/>
        <v>5. Antirétroviraux</v>
      </c>
      <c r="F264" t="s">
        <v>1168</v>
      </c>
      <c r="G264" t="s">
        <v>3541</v>
      </c>
      <c r="H264" t="s">
        <v>3542</v>
      </c>
    </row>
    <row r="265" spans="1:8" x14ac:dyDescent="0.25">
      <c r="A265" t="s">
        <v>105</v>
      </c>
      <c r="B265">
        <v>263</v>
      </c>
      <c r="D265" t="str">
        <f t="shared" si="9"/>
        <v>=Vlookup("263",Translations!F3:H800,1,0)</v>
      </c>
      <c r="E265" t="str">
        <f t="shared" si="8"/>
        <v>6. Antituberuculeux</v>
      </c>
      <c r="F265" t="s">
        <v>1169</v>
      </c>
      <c r="G265" t="s">
        <v>3543</v>
      </c>
      <c r="H265" t="s">
        <v>3544</v>
      </c>
    </row>
    <row r="266" spans="1:8" x14ac:dyDescent="0.25">
      <c r="A266" t="s">
        <v>105</v>
      </c>
      <c r="B266">
        <v>264</v>
      </c>
      <c r="D266" t="str">
        <f t="shared" si="9"/>
        <v>=Vlookup("264",Translations!F3:H800,1,0)</v>
      </c>
      <c r="E266" t="str">
        <f t="shared" si="8"/>
        <v>7. Fournitures de laboratoire (par ex. CD4, charge virales, cartouches…)</v>
      </c>
      <c r="F266" t="s">
        <v>1176</v>
      </c>
      <c r="G266" t="s">
        <v>3545</v>
      </c>
      <c r="H266" t="s">
        <v>3546</v>
      </c>
    </row>
    <row r="267" spans="1:8" x14ac:dyDescent="0.25">
      <c r="A267" t="s">
        <v>105</v>
      </c>
      <c r="B267">
        <v>265</v>
      </c>
      <c r="D267" t="str">
        <f t="shared" si="9"/>
        <v>=Vlookup("265",Translations!F3:H800,1,0)</v>
      </c>
      <c r="E267" t="str">
        <f t="shared" si="8"/>
        <v>8. Autres (veuillez préciser dans la colonne des commentaires)</v>
      </c>
      <c r="F267" t="s">
        <v>1177</v>
      </c>
      <c r="G267" t="s">
        <v>3547</v>
      </c>
      <c r="H267" t="s">
        <v>3548</v>
      </c>
    </row>
    <row r="268" spans="1:8" x14ac:dyDescent="0.25">
      <c r="A268" t="s">
        <v>105</v>
      </c>
      <c r="B268">
        <v>266</v>
      </c>
      <c r="D268" t="str">
        <f t="shared" si="9"/>
        <v>=Vlookup("266",Translations!F3:H800,1,0)</v>
      </c>
      <c r="E268" t="str">
        <f t="shared" si="8"/>
        <v>3.  Veuillez commenter tout problème supplémentaire lié à la gestion des achats et des stocks de produits pharmaceutiques et de santé.</v>
      </c>
      <c r="F268" t="s">
        <v>3549</v>
      </c>
      <c r="G268" t="s">
        <v>3550</v>
      </c>
      <c r="H268" t="s">
        <v>3551</v>
      </c>
    </row>
    <row r="269" spans="1:8" x14ac:dyDescent="0.25">
      <c r="A269" t="s">
        <v>105</v>
      </c>
      <c r="B269">
        <v>267</v>
      </c>
      <c r="D269" t="str">
        <f t="shared" si="9"/>
        <v>=Vlookup("267",Translations!F3:H800,1,0)</v>
      </c>
      <c r="E269" t="str">
        <f t="shared" si="8"/>
        <v>For LFA Use Only</v>
      </c>
      <c r="F269" t="s">
        <v>1114</v>
      </c>
      <c r="G269" t="s">
        <v>1114</v>
      </c>
      <c r="H269" t="s">
        <v>1114</v>
      </c>
    </row>
    <row r="270" spans="1:8" x14ac:dyDescent="0.25">
      <c r="A270" t="s">
        <v>105</v>
      </c>
      <c r="B270">
        <v>268</v>
      </c>
      <c r="D270" t="str">
        <f t="shared" si="9"/>
        <v>=Vlookup("268",Translations!F3:H800,1,0)</v>
      </c>
      <c r="E270" t="str">
        <f t="shared" si="8"/>
        <v>Section 3B: LFA-Verified Procurement and Supply Management Information</v>
      </c>
      <c r="F270" t="s">
        <v>1148</v>
      </c>
      <c r="G270" t="s">
        <v>1148</v>
      </c>
      <c r="H270" t="s">
        <v>1148</v>
      </c>
    </row>
    <row r="271" spans="1:8" x14ac:dyDescent="0.25">
      <c r="A271" t="s">
        <v>105</v>
      </c>
      <c r="B271">
        <v>269</v>
      </c>
      <c r="D271" t="str">
        <f t="shared" si="9"/>
        <v>=Vlookup("269",Translations!F3:H800,1,0)</v>
      </c>
      <c r="E271" t="str">
        <f t="shared" si="8"/>
        <v>PR's response</v>
      </c>
      <c r="F271" t="s">
        <v>1149</v>
      </c>
      <c r="G271" t="s">
        <v>1149</v>
      </c>
      <c r="H271" t="s">
        <v>1149</v>
      </c>
    </row>
    <row r="272" spans="1:8" x14ac:dyDescent="0.25">
      <c r="A272" t="s">
        <v>105</v>
      </c>
      <c r="B272">
        <v>270</v>
      </c>
      <c r="D272" t="str">
        <f t="shared" si="9"/>
        <v>=Vlookup("270",Translations!F3:H800,1,0)</v>
      </c>
      <c r="E272" t="str">
        <f t="shared" si="8"/>
        <v>LFA's response</v>
      </c>
      <c r="F272" t="s">
        <v>1150</v>
      </c>
      <c r="G272" t="s">
        <v>1150</v>
      </c>
      <c r="H272" t="s">
        <v>1150</v>
      </c>
    </row>
    <row r="273" spans="1:8" x14ac:dyDescent="0.25">
      <c r="A273" t="s">
        <v>105</v>
      </c>
      <c r="B273">
        <v>271</v>
      </c>
      <c r="D273" t="str">
        <f t="shared" si="9"/>
        <v>=Vlookup("271",Translations!F3:H800,1,0)</v>
      </c>
      <c r="E273" t="str">
        <f t="shared" si="8"/>
        <v xml:space="preserve">LFA Comments/Analysis </v>
      </c>
      <c r="F273" t="s">
        <v>1151</v>
      </c>
      <c r="G273" t="s">
        <v>1151</v>
      </c>
      <c r="H273" t="s">
        <v>1151</v>
      </c>
    </row>
    <row r="274" spans="1:8" x14ac:dyDescent="0.25">
      <c r="A274" t="s">
        <v>105</v>
      </c>
      <c r="B274">
        <v>272</v>
      </c>
      <c r="D274" t="str">
        <f t="shared" si="9"/>
        <v>=Vlookup("272",Translations!F3:H800,1,0)</v>
      </c>
      <c r="E274"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t="s">
        <v>1152</v>
      </c>
      <c r="G274" t="s">
        <v>1152</v>
      </c>
      <c r="H274" t="s">
        <v>1152</v>
      </c>
    </row>
    <row r="275" spans="1:8" x14ac:dyDescent="0.25">
      <c r="A275" t="s">
        <v>105</v>
      </c>
      <c r="B275">
        <v>273</v>
      </c>
      <c r="D275" t="str">
        <f t="shared" si="9"/>
        <v>=Vlookup("273",Translations!F3:H800,1,0)</v>
      </c>
      <c r="E275" t="str">
        <f t="shared" si="8"/>
        <v>1b.  Value of Pharmaceuticals and Health Products in the PQR (7 categories only)</v>
      </c>
      <c r="F275" t="s">
        <v>1154</v>
      </c>
      <c r="G275" t="s">
        <v>1154</v>
      </c>
      <c r="H275" t="s">
        <v>1154</v>
      </c>
    </row>
    <row r="276" spans="1:8" ht="165" x14ac:dyDescent="0.25">
      <c r="A276" t="s">
        <v>105</v>
      </c>
      <c r="B276">
        <v>274</v>
      </c>
      <c r="D276" t="str">
        <f t="shared" si="9"/>
        <v>=Vlookup("274",Translations!F3:H800,1,0)</v>
      </c>
      <c r="E276"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731" t="s">
        <v>3552</v>
      </c>
      <c r="G276" s="731" t="s">
        <v>3552</v>
      </c>
      <c r="H276" s="731" t="s">
        <v>3552</v>
      </c>
    </row>
    <row r="277" spans="1:8" x14ac:dyDescent="0.25">
      <c r="A277" t="s">
        <v>105</v>
      </c>
      <c r="B277">
        <v>275</v>
      </c>
      <c r="D277" t="str">
        <f t="shared" si="9"/>
        <v>=Vlookup("275",Translations!F3:H800,1,0)</v>
      </c>
      <c r="E277" t="str">
        <f t="shared" si="8"/>
        <v>Reporting Currency</v>
      </c>
      <c r="F277" t="s">
        <v>1156</v>
      </c>
      <c r="G277" t="s">
        <v>1156</v>
      </c>
      <c r="H277" t="s">
        <v>1156</v>
      </c>
    </row>
    <row r="278" spans="1:8" x14ac:dyDescent="0.25">
      <c r="A278" t="s">
        <v>105</v>
      </c>
      <c r="B278">
        <v>276</v>
      </c>
      <c r="D278" t="str">
        <f t="shared" si="9"/>
        <v>=Vlookup("276",Translations!F3:H800,1,0)</v>
      </c>
      <c r="E278" t="str">
        <f t="shared" si="8"/>
        <v>PQR Product Categories</v>
      </c>
      <c r="F278" t="s">
        <v>1157</v>
      </c>
      <c r="G278" t="s">
        <v>1157</v>
      </c>
      <c r="H278" t="s">
        <v>1157</v>
      </c>
    </row>
    <row r="279" spans="1:8" x14ac:dyDescent="0.25">
      <c r="A279" t="s">
        <v>105</v>
      </c>
      <c r="B279">
        <v>277</v>
      </c>
      <c r="D279" t="str">
        <f t="shared" si="9"/>
        <v>=Vlookup("277",Translations!F3:H800,1,0)</v>
      </c>
      <c r="E279" t="str">
        <f t="shared" si="8"/>
        <v>Value of  products received during reporting period</v>
      </c>
      <c r="F279" t="s">
        <v>1158</v>
      </c>
      <c r="G279" t="s">
        <v>1158</v>
      </c>
      <c r="H279" t="s">
        <v>1158</v>
      </c>
    </row>
    <row r="280" spans="1:8" x14ac:dyDescent="0.25">
      <c r="A280" t="s">
        <v>105</v>
      </c>
      <c r="B280">
        <v>278</v>
      </c>
      <c r="D280" t="str">
        <f t="shared" si="9"/>
        <v>=Vlookup("278",Translations!F3:H800,1,0)</v>
      </c>
      <c r="E280" t="str">
        <f t="shared" si="8"/>
        <v>Value of products entered by the PR and verified as correct by the LFA in the PQR during reporting period</v>
      </c>
      <c r="F280" t="s">
        <v>1159</v>
      </c>
      <c r="G280" t="s">
        <v>1159</v>
      </c>
      <c r="H280" t="s">
        <v>1159</v>
      </c>
    </row>
    <row r="281" spans="1:8" x14ac:dyDescent="0.25">
      <c r="A281" t="s">
        <v>105</v>
      </c>
      <c r="B281">
        <v>279</v>
      </c>
      <c r="D281" t="str">
        <f t="shared" si="9"/>
        <v>=Vlookup("279",Translations!F3:H800,1,0)</v>
      </c>
      <c r="E281" t="str">
        <f t="shared" si="8"/>
        <v>Variance</v>
      </c>
      <c r="F281" t="s">
        <v>1160</v>
      </c>
      <c r="G281" t="s">
        <v>1160</v>
      </c>
      <c r="H281" t="s">
        <v>1160</v>
      </c>
    </row>
    <row r="282" spans="1:8" x14ac:dyDescent="0.25">
      <c r="A282" t="s">
        <v>105</v>
      </c>
      <c r="B282">
        <v>280</v>
      </c>
      <c r="D282" t="str">
        <f t="shared" si="9"/>
        <v>=Vlookup("280",Translations!F3:H800,1,0)</v>
      </c>
      <c r="E282" t="str">
        <f t="shared" si="8"/>
        <v>Reason for Variance</v>
      </c>
      <c r="F282" t="s">
        <v>1161</v>
      </c>
      <c r="G282" t="s">
        <v>1161</v>
      </c>
      <c r="H282" t="s">
        <v>1161</v>
      </c>
    </row>
    <row r="283" spans="1:8" x14ac:dyDescent="0.25">
      <c r="A283" t="s">
        <v>105</v>
      </c>
      <c r="B283">
        <v>281</v>
      </c>
      <c r="D283" t="str">
        <f t="shared" si="9"/>
        <v>=Vlookup("281",Translations!F3:H800,1,0)</v>
      </c>
      <c r="E283" t="str">
        <f t="shared" si="8"/>
        <v>Cumulative value of  products received since the start of the Implementation Period</v>
      </c>
      <c r="F283" t="s">
        <v>1162</v>
      </c>
      <c r="G283" t="s">
        <v>1162</v>
      </c>
      <c r="H283" t="s">
        <v>1162</v>
      </c>
    </row>
    <row r="284" spans="1:8" x14ac:dyDescent="0.25">
      <c r="A284" t="s">
        <v>105</v>
      </c>
      <c r="B284">
        <v>282</v>
      </c>
      <c r="D284" t="str">
        <f t="shared" si="9"/>
        <v>=Vlookup("282",Translations!F3:H800,1,0)</v>
      </c>
      <c r="E284" t="str">
        <f t="shared" si="8"/>
        <v>Cumulative value of products verified as correct by the LFA in the PQR since the start of the Implementation Period</v>
      </c>
      <c r="F284" t="s">
        <v>1163</v>
      </c>
      <c r="G284" t="s">
        <v>1163</v>
      </c>
      <c r="H284" t="s">
        <v>1163</v>
      </c>
    </row>
    <row r="285" spans="1:8" x14ac:dyDescent="0.25">
      <c r="A285" t="s">
        <v>105</v>
      </c>
      <c r="B285">
        <v>283</v>
      </c>
      <c r="D285" t="str">
        <f t="shared" si="9"/>
        <v>=Vlookup("283",Translations!F3:H800,1,0)</v>
      </c>
      <c r="E285" t="str">
        <f t="shared" si="8"/>
        <v>Variance</v>
      </c>
      <c r="F285" t="s">
        <v>1160</v>
      </c>
      <c r="G285" t="s">
        <v>1160</v>
      </c>
      <c r="H285" t="s">
        <v>1160</v>
      </c>
    </row>
    <row r="286" spans="1:8" x14ac:dyDescent="0.25">
      <c r="A286" t="s">
        <v>105</v>
      </c>
      <c r="B286">
        <v>284</v>
      </c>
      <c r="D286" t="str">
        <f t="shared" si="9"/>
        <v>=Vlookup("284",Translations!F3:H800,1,0)</v>
      </c>
      <c r="E286" t="str">
        <f t="shared" si="8"/>
        <v>Reason for Variance</v>
      </c>
      <c r="F286" t="s">
        <v>1161</v>
      </c>
      <c r="G286" t="s">
        <v>1161</v>
      </c>
      <c r="H286" t="s">
        <v>1161</v>
      </c>
    </row>
    <row r="287" spans="1:8" x14ac:dyDescent="0.25">
      <c r="A287" t="s">
        <v>105</v>
      </c>
      <c r="B287">
        <v>285</v>
      </c>
      <c r="D287" t="str">
        <f t="shared" si="9"/>
        <v>=Vlookup("285",Translations!F3:H800,1,0)</v>
      </c>
      <c r="E287" t="str">
        <f t="shared" si="8"/>
        <v>1. Anti-malaria medicines</v>
      </c>
      <c r="F287" t="s">
        <v>1164</v>
      </c>
      <c r="G287" t="s">
        <v>1164</v>
      </c>
      <c r="H287" t="s">
        <v>1164</v>
      </c>
    </row>
    <row r="288" spans="1:8" x14ac:dyDescent="0.25">
      <c r="A288" t="s">
        <v>105</v>
      </c>
      <c r="B288">
        <v>286</v>
      </c>
      <c r="D288" t="str">
        <f t="shared" si="9"/>
        <v>=Vlookup("286",Translations!F3:H800,1,0)</v>
      </c>
      <c r="E288" t="str">
        <f t="shared" si="8"/>
        <v>2. Bed nets</v>
      </c>
      <c r="F288" t="s">
        <v>1165</v>
      </c>
      <c r="G288" t="s">
        <v>1165</v>
      </c>
      <c r="H288" t="s">
        <v>1165</v>
      </c>
    </row>
    <row r="289" spans="1:8" x14ac:dyDescent="0.25">
      <c r="A289" t="s">
        <v>105</v>
      </c>
      <c r="B289">
        <v>287</v>
      </c>
      <c r="D289" t="str">
        <f t="shared" si="9"/>
        <v>=Vlookup("287",Translations!F3:H800,1,0)</v>
      </c>
      <c r="E289" t="str">
        <f t="shared" si="8"/>
        <v>3. In-Vitro Diagnostic Products</v>
      </c>
      <c r="F289" t="s">
        <v>1166</v>
      </c>
      <c r="G289" t="s">
        <v>1166</v>
      </c>
      <c r="H289" t="s">
        <v>1166</v>
      </c>
    </row>
    <row r="290" spans="1:8" x14ac:dyDescent="0.25">
      <c r="A290" t="s">
        <v>105</v>
      </c>
      <c r="B290">
        <v>288</v>
      </c>
      <c r="D290" t="str">
        <f t="shared" si="9"/>
        <v>=Vlookup("288",Translations!F3:H800,1,0)</v>
      </c>
      <c r="E290" t="str">
        <f t="shared" si="8"/>
        <v>4. Condoms</v>
      </c>
      <c r="F290" t="s">
        <v>1167</v>
      </c>
      <c r="G290" t="s">
        <v>1167</v>
      </c>
      <c r="H290" t="s">
        <v>1167</v>
      </c>
    </row>
    <row r="291" spans="1:8" x14ac:dyDescent="0.25">
      <c r="A291" t="s">
        <v>105</v>
      </c>
      <c r="B291">
        <v>289</v>
      </c>
      <c r="D291" t="str">
        <f t="shared" si="9"/>
        <v>=Vlookup("289",Translations!F3:H800,1,0)</v>
      </c>
      <c r="E291" t="str">
        <f t="shared" si="8"/>
        <v>5. Anti-retrovirals</v>
      </c>
      <c r="F291" t="s">
        <v>1168</v>
      </c>
      <c r="G291" t="s">
        <v>1168</v>
      </c>
      <c r="H291" t="s">
        <v>1168</v>
      </c>
    </row>
    <row r="292" spans="1:8" x14ac:dyDescent="0.25">
      <c r="A292" t="s">
        <v>105</v>
      </c>
      <c r="B292">
        <v>290</v>
      </c>
      <c r="D292" t="str">
        <f t="shared" si="9"/>
        <v>=Vlookup("290",Translations!F3:H800,1,0)</v>
      </c>
      <c r="E292" t="str">
        <f t="shared" si="8"/>
        <v>6. Anti-TB medicines</v>
      </c>
      <c r="F292" t="s">
        <v>1169</v>
      </c>
      <c r="G292" t="s">
        <v>1169</v>
      </c>
      <c r="H292" t="s">
        <v>1169</v>
      </c>
    </row>
    <row r="293" spans="1:8" x14ac:dyDescent="0.25">
      <c r="A293" t="s">
        <v>105</v>
      </c>
      <c r="B293">
        <v>291</v>
      </c>
      <c r="D293" t="str">
        <f t="shared" si="9"/>
        <v>=Vlookup("291",Translations!F3:H800,1,0)</v>
      </c>
      <c r="E293" t="str">
        <f t="shared" si="8"/>
        <v>7. Indoor Residual Spraying (IRS)</v>
      </c>
      <c r="F293" t="s">
        <v>1170</v>
      </c>
      <c r="G293" t="s">
        <v>1170</v>
      </c>
      <c r="H293" t="s">
        <v>1170</v>
      </c>
    </row>
    <row r="294" spans="1:8" x14ac:dyDescent="0.25">
      <c r="A294" t="s">
        <v>105</v>
      </c>
      <c r="B294">
        <v>292</v>
      </c>
      <c r="D294" t="str">
        <f t="shared" si="9"/>
        <v>=Vlookup("292",Translations!F3:H800,1,0)</v>
      </c>
      <c r="E294" t="str">
        <f t="shared" si="8"/>
        <v>Total</v>
      </c>
      <c r="F294" t="s">
        <v>947</v>
      </c>
      <c r="G294" t="s">
        <v>947</v>
      </c>
      <c r="H294" t="s">
        <v>947</v>
      </c>
    </row>
    <row r="295" spans="1:8" ht="150" x14ac:dyDescent="0.25">
      <c r="A295" t="s">
        <v>105</v>
      </c>
      <c r="B295">
        <v>293</v>
      </c>
      <c r="D295" t="str">
        <f t="shared" si="9"/>
        <v>=Vlookup("293",Translations!F3:H800,1,0)</v>
      </c>
      <c r="E295"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731" t="s">
        <v>3553</v>
      </c>
      <c r="G295" s="731" t="s">
        <v>3553</v>
      </c>
      <c r="H295" s="731" t="s">
        <v>3553</v>
      </c>
    </row>
    <row r="296" spans="1:8" x14ac:dyDescent="0.25">
      <c r="A296" t="s">
        <v>105</v>
      </c>
      <c r="B296">
        <v>294</v>
      </c>
      <c r="D296" t="str">
        <f t="shared" si="9"/>
        <v>=Vlookup("294",Translations!F3:H800,1,0)</v>
      </c>
      <c r="E296" t="str">
        <f t="shared" si="8"/>
        <v>Key Pharmaceuticals &amp; Health Products</v>
      </c>
      <c r="F296" t="s">
        <v>1172</v>
      </c>
      <c r="G296" t="s">
        <v>1172</v>
      </c>
      <c r="H296" t="s">
        <v>1172</v>
      </c>
    </row>
    <row r="297" spans="1:8" x14ac:dyDescent="0.25">
      <c r="A297" t="s">
        <v>105</v>
      </c>
      <c r="B297">
        <v>295</v>
      </c>
      <c r="D297" t="str">
        <f t="shared" si="9"/>
        <v>=Vlookup("295",Translations!F3:H800,1,0)</v>
      </c>
      <c r="E297" t="str">
        <f t="shared" si="8"/>
        <v>Risk of Stock-Out</v>
      </c>
      <c r="F297" t="s">
        <v>1173</v>
      </c>
      <c r="G297" t="s">
        <v>1173</v>
      </c>
      <c r="H297" t="s">
        <v>1173</v>
      </c>
    </row>
    <row r="298" spans="1:8" x14ac:dyDescent="0.25">
      <c r="A298" t="s">
        <v>105</v>
      </c>
      <c r="B298">
        <v>296</v>
      </c>
      <c r="D298" t="str">
        <f t="shared" si="9"/>
        <v>=Vlookup("296",Translations!F3:H800,1,0)</v>
      </c>
      <c r="E298" t="str">
        <f t="shared" si="8"/>
        <v>Risk of Expiry</v>
      </c>
      <c r="F298" t="s">
        <v>1174</v>
      </c>
      <c r="G298" t="s">
        <v>1174</v>
      </c>
      <c r="H298" t="s">
        <v>1174</v>
      </c>
    </row>
    <row r="299" spans="1:8" x14ac:dyDescent="0.25">
      <c r="A299" t="s">
        <v>105</v>
      </c>
      <c r="B299">
        <v>297</v>
      </c>
      <c r="D299" t="str">
        <f t="shared" si="9"/>
        <v>=Vlookup("297",Translations!F3:H800,1,0)</v>
      </c>
      <c r="E299" t="str">
        <f t="shared" si="8"/>
        <v>Comment (if yes, please provide information on the specific items that are at risk of stock-out or expiry and the mitigation measures in place or to be implemented)</v>
      </c>
      <c r="F299" t="s">
        <v>1175</v>
      </c>
      <c r="G299" t="s">
        <v>1175</v>
      </c>
      <c r="H299" t="s">
        <v>1175</v>
      </c>
    </row>
    <row r="300" spans="1:8" x14ac:dyDescent="0.25">
      <c r="A300" t="s">
        <v>105</v>
      </c>
      <c r="B300">
        <v>298</v>
      </c>
      <c r="D300" t="str">
        <f t="shared" si="9"/>
        <v>=Vlookup("298",Translations!F3:H800,1,0)</v>
      </c>
      <c r="E300" t="str">
        <f t="shared" si="8"/>
        <v>1. Anti-malaria medicines</v>
      </c>
      <c r="F300" t="s">
        <v>1164</v>
      </c>
      <c r="G300" t="s">
        <v>1164</v>
      </c>
      <c r="H300" t="s">
        <v>1164</v>
      </c>
    </row>
    <row r="301" spans="1:8" x14ac:dyDescent="0.25">
      <c r="A301" t="s">
        <v>105</v>
      </c>
      <c r="B301">
        <v>299</v>
      </c>
      <c r="D301" t="str">
        <f t="shared" si="9"/>
        <v>=Vlookup("299",Translations!F3:H800,1,0)</v>
      </c>
      <c r="E301" t="str">
        <f t="shared" si="8"/>
        <v>2. Bed nets</v>
      </c>
      <c r="F301" t="s">
        <v>1165</v>
      </c>
      <c r="G301" t="s">
        <v>1165</v>
      </c>
      <c r="H301" t="s">
        <v>1165</v>
      </c>
    </row>
    <row r="302" spans="1:8" x14ac:dyDescent="0.25">
      <c r="A302" t="s">
        <v>105</v>
      </c>
      <c r="B302">
        <v>300</v>
      </c>
      <c r="D302" t="str">
        <f t="shared" si="9"/>
        <v>=Vlookup("300",Translations!F3:H800,1,0)</v>
      </c>
      <c r="E302" t="str">
        <f t="shared" si="8"/>
        <v>3. In-Vitro Diagnostic Products</v>
      </c>
      <c r="F302" t="s">
        <v>1166</v>
      </c>
      <c r="G302" t="s">
        <v>1166</v>
      </c>
      <c r="H302" t="s">
        <v>1166</v>
      </c>
    </row>
    <row r="303" spans="1:8" x14ac:dyDescent="0.25">
      <c r="A303" t="s">
        <v>105</v>
      </c>
      <c r="B303">
        <v>301</v>
      </c>
      <c r="D303" t="str">
        <f t="shared" si="9"/>
        <v>=Vlookup("301",Translations!F3:H800,1,0)</v>
      </c>
      <c r="E303" t="str">
        <f t="shared" si="8"/>
        <v>4. Condoms</v>
      </c>
      <c r="F303" t="s">
        <v>1167</v>
      </c>
      <c r="G303" t="s">
        <v>1167</v>
      </c>
      <c r="H303" t="s">
        <v>1167</v>
      </c>
    </row>
    <row r="304" spans="1:8" x14ac:dyDescent="0.25">
      <c r="A304" t="s">
        <v>105</v>
      </c>
      <c r="B304">
        <v>302</v>
      </c>
      <c r="D304" t="str">
        <f t="shared" si="9"/>
        <v>=Vlookup("302",Translations!F3:H800,1,0)</v>
      </c>
      <c r="E304" t="str">
        <f t="shared" si="8"/>
        <v>5. Anti-retrovirals</v>
      </c>
      <c r="F304" t="s">
        <v>1168</v>
      </c>
      <c r="G304" t="s">
        <v>1168</v>
      </c>
      <c r="H304" t="s">
        <v>1168</v>
      </c>
    </row>
    <row r="305" spans="1:8" x14ac:dyDescent="0.25">
      <c r="A305" t="s">
        <v>105</v>
      </c>
      <c r="B305">
        <v>303</v>
      </c>
      <c r="D305" t="str">
        <f t="shared" si="9"/>
        <v>=Vlookup("303",Translations!F3:H800,1,0)</v>
      </c>
      <c r="E305" t="str">
        <f t="shared" si="8"/>
        <v>6. Anti-TB medicines</v>
      </c>
      <c r="F305" t="s">
        <v>1169</v>
      </c>
      <c r="G305" t="s">
        <v>1169</v>
      </c>
      <c r="H305" t="s">
        <v>1169</v>
      </c>
    </row>
    <row r="306" spans="1:8" x14ac:dyDescent="0.25">
      <c r="A306" t="s">
        <v>105</v>
      </c>
      <c r="B306">
        <v>304</v>
      </c>
      <c r="D306" t="str">
        <f t="shared" si="9"/>
        <v>=Vlookup("304",Translations!F3:H800,1,0)</v>
      </c>
      <c r="E306" t="str">
        <f t="shared" si="8"/>
        <v>7. Lab supplies (e.g. CD4, Viral Load, Cartridges…)</v>
      </c>
      <c r="F306" t="s">
        <v>1176</v>
      </c>
      <c r="G306" t="s">
        <v>1176</v>
      </c>
      <c r="H306" t="s">
        <v>1176</v>
      </c>
    </row>
    <row r="307" spans="1:8" x14ac:dyDescent="0.25">
      <c r="A307" t="s">
        <v>105</v>
      </c>
      <c r="B307">
        <v>305</v>
      </c>
      <c r="D307" t="str">
        <f t="shared" si="9"/>
        <v>=Vlookup("305",Translations!F3:H800,1,0)</v>
      </c>
      <c r="E307" t="str">
        <f t="shared" si="8"/>
        <v>8. Other (Please specify in the "Comment" column)</v>
      </c>
      <c r="F307" t="s">
        <v>1177</v>
      </c>
      <c r="G307" t="s">
        <v>1177</v>
      </c>
      <c r="H307" t="s">
        <v>1177</v>
      </c>
    </row>
    <row r="308" spans="1:8" x14ac:dyDescent="0.25">
      <c r="A308" t="s">
        <v>105</v>
      </c>
      <c r="B308">
        <v>306</v>
      </c>
      <c r="D308" t="str">
        <f t="shared" si="9"/>
        <v>=Vlookup("306",Translations!F3:H800,1,0)</v>
      </c>
      <c r="E308" t="str">
        <f t="shared" si="8"/>
        <v>3. LFA analysis of issues related to the procurement and supply management of pharmaceuticals and health products</v>
      </c>
      <c r="F308" t="s">
        <v>1178</v>
      </c>
      <c r="G308" t="s">
        <v>1178</v>
      </c>
      <c r="H308" t="s">
        <v>1178</v>
      </c>
    </row>
    <row r="309" spans="1:8" x14ac:dyDescent="0.25">
      <c r="A309" t="s">
        <v>3554</v>
      </c>
      <c r="B309">
        <v>307</v>
      </c>
      <c r="D309" t="str">
        <f t="shared" si="9"/>
        <v>=Vlookup("307",Translations!F3:H800,1,0)</v>
      </c>
      <c r="E309" t="str">
        <f t="shared" si="8"/>
        <v>Rapport périodique sur les résultats actuels et demande de décaissement</v>
      </c>
      <c r="F309" t="s">
        <v>3227</v>
      </c>
      <c r="G309" t="s">
        <v>3228</v>
      </c>
      <c r="H309" t="s">
        <v>3229</v>
      </c>
    </row>
    <row r="310" spans="1:8" x14ac:dyDescent="0.25">
      <c r="A310" t="s">
        <v>3554</v>
      </c>
      <c r="B310">
        <v>308</v>
      </c>
      <c r="D310" t="str">
        <f t="shared" si="9"/>
        <v>=Vlookup("308",Translations!F3:H800,1,0)</v>
      </c>
      <c r="E310" t="str">
        <f t="shared" si="8"/>
        <v>Section 4 : Gestion de subvention</v>
      </c>
      <c r="F310" t="s">
        <v>3555</v>
      </c>
      <c r="G310" t="s">
        <v>3556</v>
      </c>
      <c r="H310" t="s">
        <v>3557</v>
      </c>
    </row>
    <row r="311" spans="1:8" x14ac:dyDescent="0.25">
      <c r="A311" t="s">
        <v>3554</v>
      </c>
      <c r="B311">
        <v>309</v>
      </c>
      <c r="D311" t="str">
        <f t="shared" si="9"/>
        <v>=Vlookup("309",Translations!F3:H800,1,0)</v>
      </c>
      <c r="E311" t="str">
        <f t="shared" si="8"/>
        <v>A. Commentaires du récipiendaire principal et de l'agent local du Fonds sur la réalisation des exigences de la subvention conformément à l'accord de subvention</v>
      </c>
      <c r="F311" t="s">
        <v>3558</v>
      </c>
      <c r="G311" t="s">
        <v>3559</v>
      </c>
      <c r="H311" t="s">
        <v>3560</v>
      </c>
    </row>
    <row r="312" spans="1:8" ht="240" x14ac:dyDescent="0.25">
      <c r="A312" t="s">
        <v>3554</v>
      </c>
      <c r="B312">
        <v>310</v>
      </c>
      <c r="D312" t="str">
        <f t="shared" si="9"/>
        <v>=Vlookup("310",Translations!F3:H800,1,0)</v>
      </c>
      <c r="E312" t="str">
        <f t="shared" si="8"/>
        <v>!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v>
      </c>
      <c r="F312" s="731" t="s">
        <v>3561</v>
      </c>
      <c r="G312" s="731" t="s">
        <v>3562</v>
      </c>
      <c r="H312" s="731" t="s">
        <v>3563</v>
      </c>
    </row>
    <row r="313" spans="1:8" x14ac:dyDescent="0.25">
      <c r="A313" t="s">
        <v>3554</v>
      </c>
      <c r="B313">
        <v>311</v>
      </c>
      <c r="D313" t="str">
        <f t="shared" si="9"/>
        <v>=Vlookup("311",Translations!F3:H800,1,0)</v>
      </c>
      <c r="E313" t="str">
        <f t="shared" si="8"/>
        <v>Exigences de la Subvention</v>
      </c>
      <c r="F313" t="s">
        <v>1326</v>
      </c>
      <c r="G313" t="s">
        <v>3564</v>
      </c>
      <c r="H313" t="s">
        <v>3565</v>
      </c>
    </row>
    <row r="314" spans="1:8" x14ac:dyDescent="0.25">
      <c r="A314" t="s">
        <v>3554</v>
      </c>
      <c r="B314">
        <v>312</v>
      </c>
      <c r="D314" t="str">
        <f t="shared" si="9"/>
        <v>=Vlookup("312",Translations!F3:H800,1,0)</v>
      </c>
      <c r="E314" t="str">
        <f t="shared" si="8"/>
        <v>État</v>
      </c>
      <c r="F314" t="s">
        <v>1185</v>
      </c>
      <c r="G314" t="s">
        <v>3566</v>
      </c>
      <c r="H314" t="s">
        <v>3567</v>
      </c>
    </row>
    <row r="315" spans="1:8" x14ac:dyDescent="0.25">
      <c r="A315" t="s">
        <v>3554</v>
      </c>
      <c r="B315">
        <v>313</v>
      </c>
      <c r="D315" t="str">
        <f t="shared" si="9"/>
        <v>=Vlookup("313",Translations!F3:H800,1,0)</v>
      </c>
      <c r="E315" t="str">
        <f t="shared" si="8"/>
        <v>Commentaires du récipiendaire principal sur l'avancement de la mise en œuvre</v>
      </c>
      <c r="F315" t="s">
        <v>3568</v>
      </c>
      <c r="G315" t="s">
        <v>3569</v>
      </c>
      <c r="H315" t="s">
        <v>3570</v>
      </c>
    </row>
    <row r="316" spans="1:8" x14ac:dyDescent="0.25">
      <c r="A316" t="s">
        <v>3554</v>
      </c>
      <c r="B316">
        <v>314</v>
      </c>
      <c r="D316" t="str">
        <f t="shared" si="9"/>
        <v>=Vlookup("314",Translations!F3:H800,1,0)</v>
      </c>
      <c r="E316" t="str">
        <f t="shared" si="8"/>
        <v>For LFA Use Only</v>
      </c>
      <c r="F316" t="s">
        <v>1114</v>
      </c>
      <c r="G316" t="s">
        <v>1114</v>
      </c>
      <c r="H316" t="s">
        <v>1114</v>
      </c>
    </row>
    <row r="317" spans="1:8" x14ac:dyDescent="0.25">
      <c r="A317" t="s">
        <v>3554</v>
      </c>
      <c r="B317">
        <v>315</v>
      </c>
      <c r="D317" t="str">
        <f t="shared" si="9"/>
        <v>=Vlookup("315",Translations!F3:H800,1,0)</v>
      </c>
      <c r="E317" t="str">
        <f t="shared" si="8"/>
        <v>Status</v>
      </c>
      <c r="F317" t="s">
        <v>1185</v>
      </c>
      <c r="G317" t="s">
        <v>1185</v>
      </c>
      <c r="H317" t="s">
        <v>1185</v>
      </c>
    </row>
    <row r="318" spans="1:8" ht="45" x14ac:dyDescent="0.25">
      <c r="A318" t="s">
        <v>3554</v>
      </c>
      <c r="B318">
        <v>316</v>
      </c>
      <c r="D318" t="str">
        <f t="shared" si="9"/>
        <v>=Vlookup("316",Translations!F3:H800,1,0)</v>
      </c>
      <c r="E318" t="str">
        <f t="shared" si="8"/>
        <v>LFA Analysis
(this should not be a ""Copy and Paste"" of the comments provided by the PR)</v>
      </c>
      <c r="F318" s="731" t="s">
        <v>1186</v>
      </c>
      <c r="G318" s="731" t="s">
        <v>1186</v>
      </c>
      <c r="H318" t="s">
        <v>1330</v>
      </c>
    </row>
    <row r="319" spans="1:8" x14ac:dyDescent="0.25">
      <c r="A319" t="s">
        <v>3554</v>
      </c>
      <c r="B319">
        <v>317</v>
      </c>
      <c r="D319" t="str">
        <f t="shared" si="9"/>
        <v>=Vlookup("317",Translations!F3:H800,1,0)</v>
      </c>
      <c r="E319" t="str">
        <f t="shared" si="8"/>
        <v>B.  Examen par le RP et l'ALF de l'état d'avancement de la mise en œuvre des mesures de gestion en suspens depuis les décaissements précédents</v>
      </c>
      <c r="F319" t="s">
        <v>3571</v>
      </c>
      <c r="G319" t="s">
        <v>3572</v>
      </c>
      <c r="H319" t="s">
        <v>3573</v>
      </c>
    </row>
    <row r="320" spans="1:8" x14ac:dyDescent="0.25">
      <c r="A320" t="s">
        <v>3554</v>
      </c>
      <c r="B320">
        <v>318</v>
      </c>
      <c r="D320" t="str">
        <f t="shared" si="9"/>
        <v>=Vlookup("318",Translations!F3:H800,1,0)</v>
      </c>
      <c r="E320" t="str">
        <f t="shared" si="8"/>
        <v>!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v>
      </c>
      <c r="F320" t="s">
        <v>3574</v>
      </c>
      <c r="G320" t="s">
        <v>3575</v>
      </c>
      <c r="H320" t="s">
        <v>3576</v>
      </c>
    </row>
    <row r="321" spans="1:8" x14ac:dyDescent="0.25">
      <c r="A321" t="s">
        <v>3554</v>
      </c>
      <c r="B321">
        <v>319</v>
      </c>
      <c r="D321" t="str">
        <f t="shared" si="9"/>
        <v>=Vlookup("319",Translations!F3:H800,1,0)</v>
      </c>
      <c r="E321" t="str">
        <f t="shared" si="8"/>
        <v>Mesures de gestion recommandées par le Fonds mondial</v>
      </c>
      <c r="F321" t="s">
        <v>3577</v>
      </c>
      <c r="G321" t="s">
        <v>3578</v>
      </c>
      <c r="H321" t="s">
        <v>3579</v>
      </c>
    </row>
    <row r="322" spans="1:8" x14ac:dyDescent="0.25">
      <c r="A322" t="s">
        <v>3554</v>
      </c>
      <c r="B322">
        <v>320</v>
      </c>
      <c r="D322" t="str">
        <f t="shared" si="9"/>
        <v>=Vlookup("320",Translations!F3:H800,1,0)</v>
      </c>
      <c r="E322" t="str">
        <f t="shared" si="8"/>
        <v>État</v>
      </c>
      <c r="F322" t="s">
        <v>1185</v>
      </c>
      <c r="G322" t="s">
        <v>3566</v>
      </c>
      <c r="H322" t="s">
        <v>3567</v>
      </c>
    </row>
    <row r="323" spans="1:8" x14ac:dyDescent="0.25">
      <c r="A323" t="s">
        <v>3554</v>
      </c>
      <c r="B323">
        <v>321</v>
      </c>
      <c r="D323" t="str">
        <f t="shared" si="9"/>
        <v>=Vlookup("321",Translations!F3:H800,1,0)</v>
      </c>
      <c r="E323" t="str">
        <f t="shared" ref="E323:E386" si="10">IF(LangOffset=0,F323,IF(LangOffset=1,G323,IF(LangOffset=2,H323)))</f>
        <v>^Commentaires du RP sur l'avancement de la mise en œuvre</v>
      </c>
      <c r="F323" t="s">
        <v>3568</v>
      </c>
      <c r="G323" t="s">
        <v>3580</v>
      </c>
      <c r="H323" t="s">
        <v>3570</v>
      </c>
    </row>
    <row r="324" spans="1:8" x14ac:dyDescent="0.25">
      <c r="A324" t="s">
        <v>3554</v>
      </c>
      <c r="B324">
        <v>322</v>
      </c>
      <c r="D324" t="str">
        <f t="shared" ref="D324:D387" si="11">"=Vlookup("""&amp;B324&amp;""",Translations!F3:H800,1,0)"</f>
        <v>=Vlookup("322",Translations!F3:H800,1,0)</v>
      </c>
      <c r="E324" t="str">
        <f t="shared" si="10"/>
        <v>For LFA Use Only</v>
      </c>
      <c r="F324" t="s">
        <v>1114</v>
      </c>
      <c r="G324" t="s">
        <v>1114</v>
      </c>
      <c r="H324" t="s">
        <v>1114</v>
      </c>
    </row>
    <row r="325" spans="1:8" x14ac:dyDescent="0.25">
      <c r="A325" t="s">
        <v>3554</v>
      </c>
      <c r="B325">
        <v>323</v>
      </c>
      <c r="D325" t="str">
        <f t="shared" si="11"/>
        <v>=Vlookup("323",Translations!F3:H800,1,0)</v>
      </c>
      <c r="E325" t="str">
        <f t="shared" si="10"/>
        <v>Status</v>
      </c>
      <c r="F325" t="s">
        <v>1185</v>
      </c>
      <c r="G325" t="s">
        <v>1185</v>
      </c>
      <c r="H325" t="s">
        <v>1185</v>
      </c>
    </row>
    <row r="326" spans="1:8" x14ac:dyDescent="0.25">
      <c r="A326" t="s">
        <v>3554</v>
      </c>
      <c r="B326">
        <v>324</v>
      </c>
      <c r="D326" t="str">
        <f t="shared" si="11"/>
        <v>=Vlookup("324",Translations!F3:H800,1,0)</v>
      </c>
      <c r="E326" t="str">
        <f t="shared" si="10"/>
        <v xml:space="preserve">LFA Review of PR Progress on Global Fund Management Actions </v>
      </c>
      <c r="F326" t="s">
        <v>3581</v>
      </c>
      <c r="G326" t="s">
        <v>3581</v>
      </c>
      <c r="H326" t="s">
        <v>3581</v>
      </c>
    </row>
    <row r="327" spans="1:8" x14ac:dyDescent="0.25">
      <c r="A327" t="s">
        <v>3554</v>
      </c>
      <c r="B327">
        <v>325</v>
      </c>
      <c r="D327" t="str">
        <f t="shared" si="11"/>
        <v>=Vlookup("325",Translations!F3:H800,1,0)</v>
      </c>
      <c r="E327" t="str">
        <f t="shared" si="10"/>
        <v>C.  Commentaires sur les exigences de rapport annuel concernant la subvention</v>
      </c>
      <c r="F327" t="s">
        <v>3582</v>
      </c>
      <c r="G327" t="s">
        <v>3583</v>
      </c>
      <c r="H327" t="s">
        <v>3584</v>
      </c>
    </row>
    <row r="328" spans="1:8" x14ac:dyDescent="0.25">
      <c r="A328" t="s">
        <v>3554</v>
      </c>
      <c r="B328">
        <v>326</v>
      </c>
      <c r="D328" t="str">
        <f t="shared" si="11"/>
        <v>=Vlookup("326",Translations!F3:H800,1,0)</v>
      </c>
      <c r="E328" t="str">
        <f t="shared" si="10"/>
        <v>! Veuillez indiquer l'échéance du rapport à présenter. Si un rapport est en retard, indiquez l'échéance originale et le motif du retard.</v>
      </c>
      <c r="F328" t="s">
        <v>3585</v>
      </c>
      <c r="G328" t="s">
        <v>3586</v>
      </c>
      <c r="H328" t="s">
        <v>3587</v>
      </c>
    </row>
    <row r="329" spans="1:8" x14ac:dyDescent="0.25">
      <c r="A329" t="s">
        <v>3554</v>
      </c>
      <c r="B329">
        <v>327</v>
      </c>
      <c r="D329" t="str">
        <f t="shared" si="11"/>
        <v>=Vlookup("327",Translations!F3:H800,1,0)</v>
      </c>
      <c r="E329" t="str">
        <f t="shared" si="10"/>
        <v>Documentation requise</v>
      </c>
      <c r="F329" t="s">
        <v>3588</v>
      </c>
      <c r="G329" t="s">
        <v>3589</v>
      </c>
      <c r="H329" t="s">
        <v>3590</v>
      </c>
    </row>
    <row r="330" spans="1:8" ht="30" x14ac:dyDescent="0.25">
      <c r="A330" t="s">
        <v>3554</v>
      </c>
      <c r="B330">
        <v>328</v>
      </c>
      <c r="D330" t="str">
        <f t="shared" si="11"/>
        <v>=Vlookup("328",Translations!F3:H800,1,0)</v>
      </c>
      <c r="E330" t="str">
        <f t="shared" si="10"/>
        <v>Échéance 
(jj-mmm-aa)</v>
      </c>
      <c r="F330" s="731" t="s">
        <v>3591</v>
      </c>
      <c r="G330" s="731" t="s">
        <v>3592</v>
      </c>
      <c r="H330" s="731" t="s">
        <v>3593</v>
      </c>
    </row>
    <row r="331" spans="1:8" x14ac:dyDescent="0.25">
      <c r="A331" t="s">
        <v>3554</v>
      </c>
      <c r="B331">
        <v>329</v>
      </c>
      <c r="D331" t="str">
        <f t="shared" si="11"/>
        <v>=Vlookup("329",Translations!F3:H800,1,0)</v>
      </c>
      <c r="E331" t="str">
        <f t="shared" si="10"/>
        <v>État</v>
      </c>
      <c r="F331" t="s">
        <v>1185</v>
      </c>
      <c r="G331" t="s">
        <v>3566</v>
      </c>
      <c r="H331" t="s">
        <v>3567</v>
      </c>
    </row>
    <row r="332" spans="1:8" x14ac:dyDescent="0.25">
      <c r="A332" t="s">
        <v>3554</v>
      </c>
      <c r="B332">
        <v>330</v>
      </c>
      <c r="D332" t="str">
        <f t="shared" si="11"/>
        <v>=Vlookup("330",Translations!F3:H800,1,0)</v>
      </c>
      <c r="E332" t="str">
        <f t="shared" si="10"/>
        <v>Commentaires</v>
      </c>
      <c r="F332" t="s">
        <v>160</v>
      </c>
      <c r="G332" t="s">
        <v>3373</v>
      </c>
      <c r="H332" t="s">
        <v>3374</v>
      </c>
    </row>
    <row r="333" spans="1:8" x14ac:dyDescent="0.25">
      <c r="A333" t="s">
        <v>3554</v>
      </c>
      <c r="B333">
        <v>331</v>
      </c>
      <c r="D333" t="str">
        <f t="shared" si="11"/>
        <v>=Vlookup("331",Translations!F3:H800,1,0)</v>
      </c>
      <c r="E333" t="str">
        <f t="shared" si="10"/>
        <v>For LFA Use Only</v>
      </c>
      <c r="F333" t="s">
        <v>1114</v>
      </c>
      <c r="G333" t="s">
        <v>1114</v>
      </c>
      <c r="H333" t="s">
        <v>1114</v>
      </c>
    </row>
    <row r="334" spans="1:8" ht="30" x14ac:dyDescent="0.25">
      <c r="A334" t="s">
        <v>3554</v>
      </c>
      <c r="B334">
        <v>332</v>
      </c>
      <c r="D334" t="str">
        <f t="shared" si="11"/>
        <v>=Vlookup("332",Translations!F3:H800,1,0)</v>
      </c>
      <c r="E334" t="str">
        <f t="shared" si="10"/>
        <v>Due date
(dd-mmm-yy)</v>
      </c>
      <c r="F334" s="731" t="s">
        <v>1323</v>
      </c>
      <c r="G334" s="731" t="s">
        <v>1323</v>
      </c>
      <c r="H334" s="731" t="s">
        <v>1323</v>
      </c>
    </row>
    <row r="335" spans="1:8" x14ac:dyDescent="0.25">
      <c r="A335" t="s">
        <v>3554</v>
      </c>
      <c r="B335">
        <v>333</v>
      </c>
      <c r="D335" t="str">
        <f t="shared" si="11"/>
        <v>=Vlookup("333",Translations!F3:H800,1,0)</v>
      </c>
      <c r="E335" t="str">
        <f t="shared" si="10"/>
        <v>Status</v>
      </c>
      <c r="F335" t="s">
        <v>1185</v>
      </c>
      <c r="G335" t="s">
        <v>1185</v>
      </c>
      <c r="H335" t="s">
        <v>1185</v>
      </c>
    </row>
    <row r="336" spans="1:8" x14ac:dyDescent="0.25">
      <c r="A336" t="s">
        <v>3554</v>
      </c>
      <c r="B336">
        <v>334</v>
      </c>
      <c r="D336" t="str">
        <f t="shared" si="11"/>
        <v>=Vlookup("334",Translations!F3:H800,1,0)</v>
      </c>
      <c r="E336" t="str">
        <f t="shared" si="10"/>
        <v>Comments</v>
      </c>
      <c r="F336" t="s">
        <v>160</v>
      </c>
      <c r="G336" t="s">
        <v>160</v>
      </c>
      <c r="H336" t="s">
        <v>160</v>
      </c>
    </row>
    <row r="337" spans="1:8" x14ac:dyDescent="0.25">
      <c r="A337" t="s">
        <v>3554</v>
      </c>
      <c r="B337">
        <v>335</v>
      </c>
      <c r="D337" t="str">
        <f t="shared" si="11"/>
        <v>=Vlookup("335",Translations!F3:H800,1,0)</v>
      </c>
      <c r="E337" t="str">
        <f t="shared" si="10"/>
        <v>Rapport d'audit du RP</v>
      </c>
      <c r="F337" t="s">
        <v>3594</v>
      </c>
      <c r="G337" t="s">
        <v>3595</v>
      </c>
      <c r="H337" t="s">
        <v>3596</v>
      </c>
    </row>
    <row r="338" spans="1:8" x14ac:dyDescent="0.25">
      <c r="A338" t="s">
        <v>3554</v>
      </c>
      <c r="B338">
        <v>336</v>
      </c>
      <c r="D338" t="str">
        <f t="shared" si="11"/>
        <v>=Vlookup("336",Translations!F3:H800,1,0)</v>
      </c>
      <c r="E338" t="str">
        <f t="shared" si="10"/>
        <v>Rapport financier annuel / Rapport financier renforcé</v>
      </c>
      <c r="F338" t="s">
        <v>3597</v>
      </c>
      <c r="G338" t="s">
        <v>3598</v>
      </c>
      <c r="H338" t="s">
        <v>3599</v>
      </c>
    </row>
    <row r="339" spans="1:8" x14ac:dyDescent="0.25">
      <c r="A339" t="s">
        <v>109</v>
      </c>
      <c r="B339">
        <v>337</v>
      </c>
      <c r="D339" t="str">
        <f t="shared" si="11"/>
        <v>=Vlookup("337",Translations!F3:H800,1,0)</v>
      </c>
      <c r="E339" t="str">
        <f t="shared" si="10"/>
        <v>Rapport périodique sur les résultats actuels et demande de décaissement</v>
      </c>
      <c r="F339" t="s">
        <v>3227</v>
      </c>
      <c r="G339" t="s">
        <v>3228</v>
      </c>
      <c r="H339" t="s">
        <v>3229</v>
      </c>
    </row>
    <row r="340" spans="1:8" x14ac:dyDescent="0.25">
      <c r="A340" t="s">
        <v>109</v>
      </c>
      <c r="B340">
        <v>338</v>
      </c>
      <c r="D340" t="str">
        <f t="shared" si="11"/>
        <v>=Vlookup("338",Translations!F3:H800,1,0)</v>
      </c>
      <c r="E340" t="str">
        <f t="shared" si="10"/>
        <v>Section 5 : Évaluation des résultats globaux par le récipiendaire principal et l'agent local du Fonds</v>
      </c>
      <c r="F340" t="s">
        <v>3600</v>
      </c>
      <c r="G340" t="s">
        <v>3601</v>
      </c>
      <c r="H340" t="s">
        <v>3602</v>
      </c>
    </row>
    <row r="341" spans="1:8" x14ac:dyDescent="0.25">
      <c r="A341" t="s">
        <v>109</v>
      </c>
      <c r="B341">
        <v>339</v>
      </c>
      <c r="D341" t="str">
        <f t="shared" si="11"/>
        <v>=Vlookup("339",Translations!F3:H800,1,0)</v>
      </c>
      <c r="E341" t="str">
        <f t="shared" si="10"/>
        <v>A. Autoévaluation globale des résultats de la subvention par le RP (y compris un résumé des liens entre les résultats financiers et programmatiques)</v>
      </c>
      <c r="F341" t="s">
        <v>3603</v>
      </c>
      <c r="G341" t="s">
        <v>3604</v>
      </c>
      <c r="H341" t="s">
        <v>3605</v>
      </c>
    </row>
    <row r="342" spans="1:8" x14ac:dyDescent="0.25">
      <c r="A342" t="s">
        <v>109</v>
      </c>
      <c r="B342">
        <v>340</v>
      </c>
      <c r="D342" t="str">
        <f t="shared" si="11"/>
        <v>=Vlookup("340",Translations!F3:H800,1,0)</v>
      </c>
      <c r="E342" t="str">
        <f t="shared" si="10"/>
        <v>!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v>
      </c>
      <c r="F342" t="s">
        <v>3606</v>
      </c>
      <c r="G342" t="s">
        <v>3607</v>
      </c>
      <c r="H342" t="s">
        <v>3608</v>
      </c>
    </row>
    <row r="343" spans="1:8" x14ac:dyDescent="0.25">
      <c r="A343" t="s">
        <v>109</v>
      </c>
      <c r="B343">
        <v>341</v>
      </c>
      <c r="D343" t="str">
        <f t="shared" si="11"/>
        <v>=Vlookup("341",Translations!F3:H800,1,0)</v>
      </c>
      <c r="E343" t="str">
        <f t="shared" si="10"/>
        <v>B. Modifications prévues du programme, le cas échéant</v>
      </c>
      <c r="F343" t="s">
        <v>3609</v>
      </c>
      <c r="G343" t="s">
        <v>3610</v>
      </c>
      <c r="H343" t="s">
        <v>3611</v>
      </c>
    </row>
    <row r="344" spans="1:8" x14ac:dyDescent="0.25">
      <c r="A344" t="s">
        <v>109</v>
      </c>
      <c r="B344">
        <v>342</v>
      </c>
      <c r="D344" t="str">
        <f t="shared" si="11"/>
        <v>=Vlookup("342",Translations!F3:H800,1,0)</v>
      </c>
      <c r="E344" t="str">
        <f t="shared" si="10"/>
        <v>C.  Facteurs externes échappant au contrôle du récipiendaire principal et ayant eu ou étant susceptibles d’avoir une incidence sur le programme</v>
      </c>
      <c r="F344" t="s">
        <v>3612</v>
      </c>
      <c r="G344" t="s">
        <v>3613</v>
      </c>
      <c r="H344" t="s">
        <v>3614</v>
      </c>
    </row>
    <row r="345" spans="1:8" x14ac:dyDescent="0.25">
      <c r="A345" t="s">
        <v>109</v>
      </c>
      <c r="B345">
        <v>343</v>
      </c>
      <c r="D345" t="str">
        <f t="shared" si="11"/>
        <v>=Vlookup("343",Translations!F3:H800,1,0)</v>
      </c>
      <c r="E345" t="str">
        <f t="shared" si="10"/>
        <v>C.  Facteurs externes échappant au contrôle du récipiendaire principal et ayant eu ou étant susceptibles d’avoir une incidence sur le programme</v>
      </c>
      <c r="F345" t="s">
        <v>3612</v>
      </c>
      <c r="G345" t="s">
        <v>3613</v>
      </c>
      <c r="H345" t="s">
        <v>3614</v>
      </c>
    </row>
    <row r="346" spans="1:8" x14ac:dyDescent="0.25">
      <c r="A346" t="s">
        <v>109</v>
      </c>
      <c r="B346">
        <v>344</v>
      </c>
      <c r="D346" t="str">
        <f t="shared" si="11"/>
        <v>=Vlookup("344",Translations!F3:H800,1,0)</v>
      </c>
      <c r="E346" t="str">
        <f t="shared" si="10"/>
        <v>For LFA Use Only</v>
      </c>
      <c r="F346" t="s">
        <v>1114</v>
      </c>
      <c r="G346" t="s">
        <v>1114</v>
      </c>
      <c r="H346" t="s">
        <v>1114</v>
      </c>
    </row>
    <row r="347" spans="1:8" x14ac:dyDescent="0.25">
      <c r="A347" t="s">
        <v>109</v>
      </c>
      <c r="B347">
        <v>345</v>
      </c>
      <c r="D347" t="str">
        <f t="shared" si="11"/>
        <v>=Vlookup("345",Translations!F3:H800,1,0)</v>
      </c>
      <c r="E347" t="str">
        <f t="shared" si="10"/>
        <v>A. LFA  Overall Evaluation and Rating of Grant Performance (including a summary of how financial performance is linked to programmatic achievements)</v>
      </c>
      <c r="F347" t="s">
        <v>2214</v>
      </c>
      <c r="G347" t="s">
        <v>2214</v>
      </c>
      <c r="H347" t="s">
        <v>2214</v>
      </c>
    </row>
    <row r="348" spans="1:8" x14ac:dyDescent="0.25">
      <c r="A348" t="s">
        <v>109</v>
      </c>
      <c r="B348">
        <v>346</v>
      </c>
      <c r="D348" t="str">
        <f t="shared" si="11"/>
        <v>=Vlookup("346",Translations!F3:H800,1,0)</v>
      </c>
      <c r="E348"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t="s">
        <v>3615</v>
      </c>
      <c r="G348" t="s">
        <v>3615</v>
      </c>
      <c r="H348" t="s">
        <v>3615</v>
      </c>
    </row>
    <row r="349" spans="1:8" x14ac:dyDescent="0.25">
      <c r="A349" t="s">
        <v>109</v>
      </c>
      <c r="B349">
        <v>347</v>
      </c>
      <c r="D349" t="str">
        <f t="shared" si="11"/>
        <v>=Vlookup("347",Translations!F3:H800,1,0)</v>
      </c>
      <c r="E349" t="str">
        <f t="shared" si="10"/>
        <v>Indicator rating</v>
      </c>
      <c r="F349" t="s">
        <v>2216</v>
      </c>
      <c r="G349" t="s">
        <v>2216</v>
      </c>
      <c r="H349" t="s">
        <v>2216</v>
      </c>
    </row>
    <row r="350" spans="1:8" x14ac:dyDescent="0.25">
      <c r="A350" t="s">
        <v>109</v>
      </c>
      <c r="B350">
        <v>348</v>
      </c>
      <c r="D350" t="str">
        <f t="shared" si="11"/>
        <v>=Vlookup("348",Translations!F3:H800,1,0)</v>
      </c>
      <c r="E350" t="str">
        <f t="shared" si="10"/>
        <v>Any major management issues resulting in downgrade?</v>
      </c>
      <c r="F350" t="s">
        <v>2217</v>
      </c>
      <c r="G350" t="s">
        <v>2217</v>
      </c>
      <c r="H350" t="s">
        <v>2217</v>
      </c>
    </row>
    <row r="351" spans="1:8" x14ac:dyDescent="0.25">
      <c r="A351" t="s">
        <v>109</v>
      </c>
      <c r="B351">
        <v>349</v>
      </c>
      <c r="D351" t="str">
        <f t="shared" si="11"/>
        <v>=Vlookup("349",Translations!F3:H800,1,0)</v>
      </c>
      <c r="E351" t="str">
        <f t="shared" si="10"/>
        <v>Overall Grant Rating</v>
      </c>
      <c r="F351" t="s">
        <v>2218</v>
      </c>
      <c r="G351" t="s">
        <v>2218</v>
      </c>
      <c r="H351" t="s">
        <v>2218</v>
      </c>
    </row>
    <row r="352" spans="1:8" x14ac:dyDescent="0.25">
      <c r="A352" t="s">
        <v>109</v>
      </c>
      <c r="B352">
        <v>350</v>
      </c>
      <c r="D352" t="str">
        <f t="shared" si="11"/>
        <v>=Vlookup("350",Translations!F3:H800,1,0)</v>
      </c>
      <c r="E352" t="str">
        <f t="shared" si="10"/>
        <v>B.  LFA comments on the Principal Recipient planned changes in the program, if any</v>
      </c>
      <c r="F352" t="s">
        <v>3616</v>
      </c>
      <c r="G352" t="s">
        <v>3616</v>
      </c>
      <c r="H352" t="s">
        <v>3616</v>
      </c>
    </row>
    <row r="353" spans="1:8" x14ac:dyDescent="0.25">
      <c r="A353" t="s">
        <v>109</v>
      </c>
      <c r="B353">
        <v>351</v>
      </c>
      <c r="D353" t="str">
        <f t="shared" si="11"/>
        <v>=Vlookup("351",Translations!F3:H800,1,0)</v>
      </c>
      <c r="E353" t="str">
        <f t="shared" si="10"/>
        <v>C.  LFA Comments on External Factors Beyond Control of the Principal Recipients that have impacted or may impact program</v>
      </c>
      <c r="F353" t="s">
        <v>2220</v>
      </c>
      <c r="G353" t="s">
        <v>2220</v>
      </c>
      <c r="H353" t="s">
        <v>2220</v>
      </c>
    </row>
    <row r="354" spans="1:8" x14ac:dyDescent="0.25">
      <c r="A354" t="s">
        <v>99</v>
      </c>
      <c r="B354">
        <v>352</v>
      </c>
      <c r="D354" t="str">
        <f t="shared" si="11"/>
        <v>=Vlookup("352",Translations!F3:H800,1,0)</v>
      </c>
      <c r="E354" t="str">
        <f t="shared" si="10"/>
        <v>Rapport périodique sur les résultats actuels et demande de décaissement</v>
      </c>
      <c r="F354" t="s">
        <v>3227</v>
      </c>
      <c r="G354" t="s">
        <v>3228</v>
      </c>
      <c r="H354" t="s">
        <v>3227</v>
      </c>
    </row>
    <row r="355" spans="1:8" x14ac:dyDescent="0.25">
      <c r="A355" t="s">
        <v>99</v>
      </c>
      <c r="B355">
        <v>353</v>
      </c>
      <c r="D355" t="str">
        <f t="shared" si="11"/>
        <v>=Vlookup("353",Translations!F3:H800,1,0)</v>
      </c>
      <c r="E355" t="str">
        <f t="shared" si="10"/>
        <v>For LFA Use Only</v>
      </c>
      <c r="F355" t="s">
        <v>1114</v>
      </c>
      <c r="G355" t="s">
        <v>1114</v>
      </c>
      <c r="H355" t="s">
        <v>1114</v>
      </c>
    </row>
    <row r="356" spans="1:8" x14ac:dyDescent="0.25">
      <c r="A356" t="s">
        <v>99</v>
      </c>
      <c r="B356">
        <v>354</v>
      </c>
      <c r="D356" t="str">
        <f t="shared" si="11"/>
        <v>=Vlookup("354",Translations!F3:H800,1,0)</v>
      </c>
      <c r="E356" t="str">
        <f t="shared" si="10"/>
        <v xml:space="preserve">Section 6: LFA Findings &amp; Recommendations  </v>
      </c>
      <c r="F356" t="s">
        <v>2225</v>
      </c>
      <c r="G356" t="s">
        <v>2225</v>
      </c>
      <c r="H356" t="s">
        <v>2225</v>
      </c>
    </row>
    <row r="357" spans="1:8" ht="240" x14ac:dyDescent="0.25">
      <c r="A357" t="s">
        <v>99</v>
      </c>
      <c r="B357">
        <v>355</v>
      </c>
      <c r="D357" t="str">
        <f t="shared" si="11"/>
        <v>=Vlookup("355",Translations!F3:H800,1,0)</v>
      </c>
      <c r="E357"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731" t="s">
        <v>3617</v>
      </c>
      <c r="G357" s="731" t="s">
        <v>3617</v>
      </c>
      <c r="H357" s="731" t="s">
        <v>3617</v>
      </c>
    </row>
    <row r="358" spans="1:8" x14ac:dyDescent="0.25">
      <c r="A358" t="s">
        <v>99</v>
      </c>
      <c r="B358">
        <v>356</v>
      </c>
      <c r="D358" t="str">
        <f t="shared" si="11"/>
        <v>=Vlookup("356",Translations!F3:H800,1,0)</v>
      </c>
      <c r="E358" t="str">
        <f t="shared" si="10"/>
        <v>Functional Areas</v>
      </c>
      <c r="F358" t="s">
        <v>3618</v>
      </c>
      <c r="G358" t="s">
        <v>3618</v>
      </c>
      <c r="H358" t="s">
        <v>3618</v>
      </c>
    </row>
    <row r="359" spans="1:8" ht="30" x14ac:dyDescent="0.25">
      <c r="A359" t="s">
        <v>99</v>
      </c>
      <c r="B359">
        <v>357</v>
      </c>
      <c r="D359" t="str">
        <f t="shared" si="11"/>
        <v>=Vlookup("357",Translations!F3:H800,1,0)</v>
      </c>
      <c r="E359" t="str">
        <f t="shared" si="10"/>
        <v>Description of Identified Issues 
(in order of importance)</v>
      </c>
      <c r="F359" s="731" t="s">
        <v>3619</v>
      </c>
      <c r="G359" s="731" t="s">
        <v>3619</v>
      </c>
      <c r="H359" s="731" t="s">
        <v>3619</v>
      </c>
    </row>
    <row r="360" spans="1:8" ht="30" x14ac:dyDescent="0.25">
      <c r="A360" t="s">
        <v>99</v>
      </c>
      <c r="B360">
        <v>358</v>
      </c>
      <c r="D360" t="str">
        <f t="shared" si="11"/>
        <v>=Vlookup("358",Translations!F3:H800,1,0)</v>
      </c>
      <c r="E360" t="str">
        <f t="shared" si="10"/>
        <v>LFA Recommendations 
(in order of importance)</v>
      </c>
      <c r="F360" s="731" t="s">
        <v>3620</v>
      </c>
      <c r="G360" s="731" t="s">
        <v>3620</v>
      </c>
      <c r="H360" s="731" t="s">
        <v>3620</v>
      </c>
    </row>
    <row r="361" spans="1:8" x14ac:dyDescent="0.25">
      <c r="A361" t="s">
        <v>3621</v>
      </c>
      <c r="B361">
        <v>359</v>
      </c>
      <c r="D361" t="str">
        <f t="shared" si="11"/>
        <v>=Vlookup("359",Translations!F3:H800,1,0)</v>
      </c>
      <c r="E361" t="str">
        <f t="shared" si="10"/>
        <v>Rapport périodique sur les résultats actuels et demande de décaissement</v>
      </c>
      <c r="F361" t="s">
        <v>3227</v>
      </c>
      <c r="G361" t="s">
        <v>3228</v>
      </c>
      <c r="H361" t="s">
        <v>3229</v>
      </c>
    </row>
    <row r="362" spans="1:8" x14ac:dyDescent="0.25">
      <c r="A362" t="s">
        <v>3621</v>
      </c>
      <c r="B362">
        <v>360</v>
      </c>
      <c r="D362" t="str">
        <f t="shared" si="11"/>
        <v>=Vlookup("360",Translations!F3:H800,1,0)</v>
      </c>
      <c r="E362" t="str">
        <f t="shared" si="10"/>
        <v>Section 8A : Modèle de prévision annuelle du Fonds mondial</v>
      </c>
      <c r="F362" t="s">
        <v>3062</v>
      </c>
      <c r="G362" t="s">
        <v>3622</v>
      </c>
      <c r="H362" t="s">
        <v>3623</v>
      </c>
    </row>
    <row r="363" spans="1:8" x14ac:dyDescent="0.25">
      <c r="A363" t="s">
        <v>3621</v>
      </c>
      <c r="B363">
        <v>361</v>
      </c>
      <c r="D363" t="str">
        <f t="shared" si="11"/>
        <v>=Vlookup("361",Translations!F3:H800,1,0)</v>
      </c>
      <c r="E363" t="str">
        <f t="shared" si="10"/>
        <v>Demande de décaissement  - période de prévision:</v>
      </c>
      <c r="F363" t="s">
        <v>3303</v>
      </c>
      <c r="G363" t="s">
        <v>3304</v>
      </c>
      <c r="H363" t="s">
        <v>3305</v>
      </c>
    </row>
    <row r="364" spans="1:8" x14ac:dyDescent="0.25">
      <c r="A364" t="s">
        <v>3621</v>
      </c>
      <c r="B364">
        <v>362</v>
      </c>
      <c r="D364" t="str">
        <f t="shared" si="11"/>
        <v>=Vlookup("362",Translations!F3:H800,1,0)</v>
      </c>
      <c r="E364" t="str">
        <f t="shared" si="10"/>
        <v>Date de fin :</v>
      </c>
      <c r="F364" t="s">
        <v>3283</v>
      </c>
      <c r="G364" t="s">
        <v>3297</v>
      </c>
      <c r="H364" t="s">
        <v>3285</v>
      </c>
    </row>
    <row r="365" spans="1:8" x14ac:dyDescent="0.25">
      <c r="A365" t="s">
        <v>3621</v>
      </c>
      <c r="B365">
        <v>363</v>
      </c>
      <c r="D365" t="str">
        <f t="shared" si="11"/>
        <v>=Vlookup("363",Translations!F3:H800,1,0)</v>
      </c>
      <c r="E365" t="str">
        <f t="shared" si="10"/>
        <v>Demande de décaissement  - Période additionnelle convenue:</v>
      </c>
      <c r="F365" t="s">
        <v>3309</v>
      </c>
      <c r="G365" t="s">
        <v>3310</v>
      </c>
      <c r="H365" t="s">
        <v>3624</v>
      </c>
    </row>
    <row r="366" spans="1:8" x14ac:dyDescent="0.25">
      <c r="A366" t="s">
        <v>3621</v>
      </c>
      <c r="B366">
        <v>364</v>
      </c>
      <c r="D366" t="str">
        <f t="shared" si="11"/>
        <v>=Vlookup("364",Translations!F3:H800,1,0)</v>
      </c>
      <c r="E366" t="str">
        <f t="shared" si="10"/>
        <v>Date de fin :</v>
      </c>
      <c r="F366" t="s">
        <v>3283</v>
      </c>
      <c r="G366" t="s">
        <v>3297</v>
      </c>
      <c r="H366" t="s">
        <v>3285</v>
      </c>
    </row>
    <row r="367" spans="1:8" x14ac:dyDescent="0.25">
      <c r="A367" t="s">
        <v>3621</v>
      </c>
      <c r="B367">
        <v>365</v>
      </c>
      <c r="D367" t="str">
        <f t="shared" si="11"/>
        <v>=Vlookup("365",Translations!F3:H800,1,0)</v>
      </c>
      <c r="E367" t="str">
        <f t="shared" si="10"/>
        <v>Has the LFA Verified the Principal Recipient Forecast?</v>
      </c>
      <c r="F367" t="s">
        <v>2945</v>
      </c>
      <c r="G367" t="s">
        <v>2945</v>
      </c>
      <c r="H367" t="s">
        <v>2945</v>
      </c>
    </row>
    <row r="368" spans="1:8" x14ac:dyDescent="0.25">
      <c r="A368" t="s">
        <v>3621</v>
      </c>
      <c r="B368">
        <v>366</v>
      </c>
      <c r="D368" t="str">
        <f t="shared" si="11"/>
        <v>=Vlookup("366",Translations!F3:H800,1,0)</v>
      </c>
      <c r="E368" t="str">
        <f t="shared" si="10"/>
        <v>Ventilation récapitulative par groupes de coûts</v>
      </c>
      <c r="F368" t="s">
        <v>3063</v>
      </c>
      <c r="G368" t="s">
        <v>3625</v>
      </c>
      <c r="H368" t="s">
        <v>3626</v>
      </c>
    </row>
    <row r="369" spans="1:8" x14ac:dyDescent="0.25">
      <c r="A369" t="s">
        <v>3621</v>
      </c>
      <c r="B369">
        <v>367</v>
      </c>
      <c r="D369" t="str">
        <f t="shared" si="11"/>
        <v>=Vlookup("367",Translations!F3:H800,1,0)</v>
      </c>
      <c r="E369" t="str">
        <f t="shared" si="10"/>
        <v>'Évaluation des coûts (groupes de coûts)</v>
      </c>
      <c r="F369" t="s">
        <v>2667</v>
      </c>
      <c r="G369" t="s">
        <v>3627</v>
      </c>
      <c r="H369" t="s">
        <v>3628</v>
      </c>
    </row>
    <row r="370" spans="1:8" x14ac:dyDescent="0.25">
      <c r="A370" t="s">
        <v>3621</v>
      </c>
      <c r="B370">
        <v>368</v>
      </c>
      <c r="D370" t="str">
        <f t="shared" si="11"/>
        <v>=Vlookup("368",Translations!F3:H800,1,0)</v>
      </c>
      <c r="E370" t="str">
        <f t="shared" si="10"/>
        <v>Budget pour la période de prévision</v>
      </c>
      <c r="F370" t="s">
        <v>3065</v>
      </c>
      <c r="G370" t="s">
        <v>3629</v>
      </c>
      <c r="H370" t="s">
        <v>3630</v>
      </c>
    </row>
    <row r="371" spans="1:8" x14ac:dyDescent="0.25">
      <c r="A371" t="s">
        <v>3621</v>
      </c>
      <c r="B371">
        <v>369</v>
      </c>
      <c r="D371" t="str">
        <f t="shared" si="11"/>
        <v>=Vlookup("369",Translations!F3:H800,1,0)</v>
      </c>
      <c r="E371" t="str">
        <f t="shared" si="10"/>
        <v>Montant prévu pour la période de prévision</v>
      </c>
      <c r="F371" t="s">
        <v>3066</v>
      </c>
      <c r="G371" t="s">
        <v>3631</v>
      </c>
      <c r="H371" t="s">
        <v>3632</v>
      </c>
    </row>
    <row r="372" spans="1:8" x14ac:dyDescent="0.25">
      <c r="A372" t="s">
        <v>3621</v>
      </c>
      <c r="B372">
        <v>370</v>
      </c>
      <c r="D372" t="str">
        <f t="shared" si="11"/>
        <v>=Vlookup("370",Translations!F3:H800,1,0)</v>
      </c>
      <c r="E372" t="str">
        <f t="shared" si="10"/>
        <v>Budget pour la période additionnelle</v>
      </c>
      <c r="F372" t="s">
        <v>3067</v>
      </c>
      <c r="G372" t="s">
        <v>3633</v>
      </c>
      <c r="H372" t="s">
        <v>3634</v>
      </c>
    </row>
    <row r="373" spans="1:8" x14ac:dyDescent="0.25">
      <c r="A373" t="s">
        <v>3621</v>
      </c>
      <c r="B373">
        <v>371</v>
      </c>
      <c r="D373" t="str">
        <f t="shared" si="11"/>
        <v>=Vlookup("371",Translations!F3:H800,1,0)</v>
      </c>
      <c r="E373" t="str">
        <f t="shared" si="10"/>
        <v>Montant prévu pour la période additionnelle</v>
      </c>
      <c r="F373" t="s">
        <v>3068</v>
      </c>
      <c r="G373" t="s">
        <v>3635</v>
      </c>
      <c r="H373" t="s">
        <v>3636</v>
      </c>
    </row>
    <row r="374" spans="1:8" x14ac:dyDescent="0.25">
      <c r="A374" t="s">
        <v>3621</v>
      </c>
      <c r="B374">
        <v>372</v>
      </c>
      <c r="D374" t="str">
        <f t="shared" si="11"/>
        <v>=Vlookup("372",Translations!F3:H800,1,0)</v>
      </c>
      <c r="E374" t="str">
        <f t="shared" si="10"/>
        <v>Budget total disponible (période additionnelle comprise)</v>
      </c>
      <c r="F374" t="s">
        <v>3069</v>
      </c>
      <c r="G374" t="s">
        <v>3637</v>
      </c>
      <c r="H374" t="s">
        <v>3638</v>
      </c>
    </row>
    <row r="375" spans="1:8" x14ac:dyDescent="0.25">
      <c r="A375" t="s">
        <v>3621</v>
      </c>
      <c r="B375">
        <v>373</v>
      </c>
      <c r="D375" t="str">
        <f t="shared" si="11"/>
        <v>=Vlookup("373",Translations!F3:H800,1,0)</v>
      </c>
      <c r="E375" t="str">
        <f t="shared" si="10"/>
        <v>Commentaires</v>
      </c>
      <c r="F375" t="s">
        <v>160</v>
      </c>
      <c r="G375" t="s">
        <v>3373</v>
      </c>
      <c r="H375" t="s">
        <v>3374</v>
      </c>
    </row>
    <row r="376" spans="1:8" x14ac:dyDescent="0.25">
      <c r="A376" t="s">
        <v>3621</v>
      </c>
      <c r="B376">
        <v>374</v>
      </c>
      <c r="D376" t="str">
        <f t="shared" si="11"/>
        <v>=Vlookup("374",Translations!F3:H800,1,0)</v>
      </c>
      <c r="E376" t="str">
        <f t="shared" si="10"/>
        <v>Total général</v>
      </c>
      <c r="F376" t="s">
        <v>2449</v>
      </c>
      <c r="G376" t="s">
        <v>3639</v>
      </c>
      <c r="H376" t="s">
        <v>3640</v>
      </c>
    </row>
    <row r="377" spans="1:8" x14ac:dyDescent="0.25">
      <c r="A377" t="s">
        <v>3621</v>
      </c>
      <c r="B377">
        <v>375</v>
      </c>
      <c r="D377" t="str">
        <f t="shared" si="11"/>
        <v>=Vlookup("375",Translations!F3:H800,1,0)</v>
      </c>
      <c r="E377" t="str">
        <f t="shared" si="10"/>
        <v>Local Fund Agent Adjusted Principal Recipient Forecast for the period (not including the Buffer)</v>
      </c>
      <c r="F377" t="s">
        <v>2946</v>
      </c>
      <c r="G377" t="s">
        <v>2946</v>
      </c>
      <c r="H377" t="s">
        <v>2946</v>
      </c>
    </row>
    <row r="378" spans="1:8" x14ac:dyDescent="0.25">
      <c r="A378" t="s">
        <v>3621</v>
      </c>
      <c r="B378">
        <v>376</v>
      </c>
      <c r="D378" t="str">
        <f t="shared" si="11"/>
        <v>=Vlookup("376",Translations!F3:H800,1,0)</v>
      </c>
      <c r="E378" t="str">
        <f t="shared" si="10"/>
        <v>Local Fund Agent Adjusted Principal Recipient Forecast for the Buffer Period</v>
      </c>
      <c r="F378" t="s">
        <v>2947</v>
      </c>
      <c r="G378" t="s">
        <v>2947</v>
      </c>
      <c r="H378" t="s">
        <v>2947</v>
      </c>
    </row>
    <row r="379" spans="1:8" x14ac:dyDescent="0.25">
      <c r="A379" t="s">
        <v>3621</v>
      </c>
      <c r="B379">
        <v>377</v>
      </c>
      <c r="D379" t="str">
        <f t="shared" si="11"/>
        <v>=Vlookup("377",Translations!F3:H800,1,0)</v>
      </c>
      <c r="E379" t="str">
        <f t="shared" si="10"/>
        <v>Local Fund Agent - Adjusted Forecast (including the buffer)</v>
      </c>
      <c r="F379" t="s">
        <v>2948</v>
      </c>
      <c r="G379" t="s">
        <v>2948</v>
      </c>
      <c r="H379" t="s">
        <v>2948</v>
      </c>
    </row>
    <row r="380" spans="1:8" x14ac:dyDescent="0.25">
      <c r="A380" t="s">
        <v>3621</v>
      </c>
      <c r="B380">
        <v>378</v>
      </c>
      <c r="D380" t="str">
        <f t="shared" si="11"/>
        <v>=Vlookup("378",Translations!F3:H800,1,0)</v>
      </c>
      <c r="E380" t="str">
        <f t="shared" si="10"/>
        <v>LFA Comments</v>
      </c>
      <c r="F380" t="s">
        <v>160</v>
      </c>
      <c r="G380" t="s">
        <v>1249</v>
      </c>
      <c r="H380" t="s">
        <v>160</v>
      </c>
    </row>
    <row r="381" spans="1:8" x14ac:dyDescent="0.25">
      <c r="A381" t="s">
        <v>3621</v>
      </c>
      <c r="B381">
        <v>379</v>
      </c>
      <c r="D381" t="str">
        <f t="shared" si="11"/>
        <v>=Vlookup("379",Translations!F3:H800,1,0)</v>
      </c>
      <c r="E381" t="str">
        <f t="shared" si="10"/>
        <v>B. RFA RÉCAPITULATIF - VENTILATION PAR INTERVENTIONS</v>
      </c>
      <c r="F381" t="s">
        <v>3098</v>
      </c>
      <c r="G381" t="s">
        <v>3641</v>
      </c>
      <c r="H381" t="s">
        <v>3642</v>
      </c>
    </row>
    <row r="382" spans="1:8" x14ac:dyDescent="0.25">
      <c r="A382" t="s">
        <v>3621</v>
      </c>
      <c r="B382">
        <v>380</v>
      </c>
      <c r="D382" t="str">
        <f t="shared" si="11"/>
        <v>=Vlookup("380",Translations!F3:H800,1,0)</v>
      </c>
      <c r="E382" t="str">
        <f t="shared" si="10"/>
        <v>Démarche modulaire - Modules</v>
      </c>
      <c r="F382" t="s">
        <v>2778</v>
      </c>
      <c r="G382" t="s">
        <v>3643</v>
      </c>
      <c r="H382" t="s">
        <v>3644</v>
      </c>
    </row>
    <row r="383" spans="1:8" x14ac:dyDescent="0.25">
      <c r="A383" t="s">
        <v>3621</v>
      </c>
      <c r="B383">
        <v>381</v>
      </c>
      <c r="D383" t="str">
        <f t="shared" si="11"/>
        <v>=Vlookup("381",Translations!F3:H800,1,0)</v>
      </c>
      <c r="E383" t="str">
        <f t="shared" si="10"/>
        <v>Démarche modulaire - Interventions</v>
      </c>
      <c r="F383" t="s">
        <v>2779</v>
      </c>
      <c r="G383" t="s">
        <v>3645</v>
      </c>
      <c r="H383" t="s">
        <v>3646</v>
      </c>
    </row>
    <row r="384" spans="1:8" x14ac:dyDescent="0.25">
      <c r="A384" t="s">
        <v>3621</v>
      </c>
      <c r="B384">
        <v>382</v>
      </c>
      <c r="D384" t="str">
        <f t="shared" si="11"/>
        <v>=Vlookup("382",Translations!F3:H800,1,0)</v>
      </c>
      <c r="E384" t="str">
        <f t="shared" si="10"/>
        <v>Budget pour la période de prévision</v>
      </c>
      <c r="F384" t="s">
        <v>3065</v>
      </c>
      <c r="G384" t="s">
        <v>3629</v>
      </c>
      <c r="H384" t="s">
        <v>3630</v>
      </c>
    </row>
    <row r="385" spans="1:8" x14ac:dyDescent="0.25">
      <c r="A385" t="s">
        <v>3621</v>
      </c>
      <c r="B385">
        <v>383</v>
      </c>
      <c r="D385" t="str">
        <f t="shared" si="11"/>
        <v>=Vlookup("383",Translations!F3:H800,1,0)</v>
      </c>
      <c r="E385" t="str">
        <f t="shared" si="10"/>
        <v>Montant prévu pour la période de prévision</v>
      </c>
      <c r="F385" t="s">
        <v>3066</v>
      </c>
      <c r="G385" t="s">
        <v>3631</v>
      </c>
      <c r="H385" t="s">
        <v>3632</v>
      </c>
    </row>
    <row r="386" spans="1:8" x14ac:dyDescent="0.25">
      <c r="A386" t="s">
        <v>3621</v>
      </c>
      <c r="B386">
        <v>384</v>
      </c>
      <c r="D386" t="str">
        <f t="shared" si="11"/>
        <v>=Vlookup("384",Translations!F3:H800,1,0)</v>
      </c>
      <c r="E386" t="str">
        <f t="shared" si="10"/>
        <v>Budget pour la période additionnelle</v>
      </c>
      <c r="F386" t="s">
        <v>3067</v>
      </c>
      <c r="G386" t="s">
        <v>3633</v>
      </c>
      <c r="H386" t="s">
        <v>3634</v>
      </c>
    </row>
    <row r="387" spans="1:8" x14ac:dyDescent="0.25">
      <c r="A387" t="s">
        <v>3621</v>
      </c>
      <c r="B387">
        <v>385</v>
      </c>
      <c r="D387" t="str">
        <f t="shared" si="11"/>
        <v>=Vlookup("385",Translations!F3:H800,1,0)</v>
      </c>
      <c r="E387" t="str">
        <f t="shared" ref="E387:E450" si="12">IF(LangOffset=0,F387,IF(LangOffset=1,G387,IF(LangOffset=2,H387)))</f>
        <v>Montant prévu pour la période additionnelle</v>
      </c>
      <c r="F387" t="s">
        <v>3068</v>
      </c>
      <c r="G387" t="s">
        <v>3635</v>
      </c>
      <c r="H387" t="s">
        <v>3636</v>
      </c>
    </row>
    <row r="388" spans="1:8" x14ac:dyDescent="0.25">
      <c r="A388" t="s">
        <v>3621</v>
      </c>
      <c r="B388">
        <v>386</v>
      </c>
      <c r="D388" t="str">
        <f t="shared" ref="D388:D451" si="13">"=Vlookup("""&amp;B388&amp;""",Translations!F3:H800,1,0)"</f>
        <v>=Vlookup("386",Translations!F3:H800,1,0)</v>
      </c>
      <c r="E388" t="str">
        <f t="shared" si="12"/>
        <v>Budget total disponible (période additionnelle comprise)</v>
      </c>
      <c r="F388" t="s">
        <v>3069</v>
      </c>
      <c r="G388" t="s">
        <v>3637</v>
      </c>
      <c r="H388" t="s">
        <v>3638</v>
      </c>
    </row>
    <row r="389" spans="1:8" x14ac:dyDescent="0.25">
      <c r="A389" t="s">
        <v>3621</v>
      </c>
      <c r="B389">
        <v>387</v>
      </c>
      <c r="D389" t="str">
        <f t="shared" si="13"/>
        <v>=Vlookup("387",Translations!F3:H800,1,0)</v>
      </c>
      <c r="E389" t="str">
        <f t="shared" si="12"/>
        <v>Commentaires</v>
      </c>
      <c r="F389" t="s">
        <v>160</v>
      </c>
      <c r="G389" t="s">
        <v>3373</v>
      </c>
      <c r="H389" t="s">
        <v>3374</v>
      </c>
    </row>
    <row r="390" spans="1:8" x14ac:dyDescent="0.25">
      <c r="A390" t="s">
        <v>3621</v>
      </c>
      <c r="B390">
        <v>388</v>
      </c>
      <c r="D390" t="str">
        <f t="shared" si="13"/>
        <v>=Vlookup("388",Translations!F3:H800,1,0)</v>
      </c>
      <c r="E390" t="str">
        <f t="shared" si="12"/>
        <v>Local Fund Agent Adjusted Principal Recipient Forecast for the period (not including the Buffer)</v>
      </c>
      <c r="F390" t="s">
        <v>2946</v>
      </c>
      <c r="G390" t="s">
        <v>2946</v>
      </c>
      <c r="H390" t="s">
        <v>2946</v>
      </c>
    </row>
    <row r="391" spans="1:8" x14ac:dyDescent="0.25">
      <c r="A391" t="s">
        <v>3621</v>
      </c>
      <c r="B391">
        <v>389</v>
      </c>
      <c r="D391" t="str">
        <f t="shared" si="13"/>
        <v>=Vlookup("389",Translations!F3:H800,1,0)</v>
      </c>
      <c r="E391" t="str">
        <f t="shared" si="12"/>
        <v>Local Fund Agent Adjusted Principal Recipient Forecast for the Buffer Period</v>
      </c>
      <c r="F391" t="s">
        <v>2947</v>
      </c>
      <c r="G391" t="s">
        <v>2947</v>
      </c>
      <c r="H391" t="s">
        <v>2947</v>
      </c>
    </row>
    <row r="392" spans="1:8" x14ac:dyDescent="0.25">
      <c r="A392" t="s">
        <v>3621</v>
      </c>
      <c r="B392">
        <v>390</v>
      </c>
      <c r="D392" t="str">
        <f t="shared" si="13"/>
        <v>=Vlookup("390",Translations!F3:H800,1,0)</v>
      </c>
      <c r="E392" t="str">
        <f t="shared" si="12"/>
        <v>Local Fund Agent - Adjusted Forecast (including the buffer)</v>
      </c>
      <c r="F392" t="s">
        <v>2948</v>
      </c>
      <c r="G392" t="s">
        <v>2948</v>
      </c>
      <c r="H392" t="s">
        <v>2948</v>
      </c>
    </row>
    <row r="393" spans="1:8" x14ac:dyDescent="0.25">
      <c r="A393" t="s">
        <v>3621</v>
      </c>
      <c r="B393">
        <v>391</v>
      </c>
      <c r="D393" t="str">
        <f t="shared" si="13"/>
        <v>=Vlookup("391",Translations!F3:H800,1,0)</v>
      </c>
      <c r="E393" t="str">
        <f t="shared" si="12"/>
        <v>LFA Comments</v>
      </c>
      <c r="F393" t="s">
        <v>160</v>
      </c>
      <c r="G393" t="s">
        <v>1249</v>
      </c>
      <c r="H393" t="s">
        <v>160</v>
      </c>
    </row>
    <row r="394" spans="1:8" x14ac:dyDescent="0.25">
      <c r="A394" t="s">
        <v>3621</v>
      </c>
      <c r="B394">
        <v>392</v>
      </c>
      <c r="D394" t="str">
        <f t="shared" si="13"/>
        <v>=Vlookup("392",Translations!F3:H800,1,0)</v>
      </c>
      <c r="E394" t="str">
        <f t="shared" si="12"/>
        <v>C. RFA RÉCAPITULATIF - VENTILATION PAR ENTITÉ DE MISE EN ŒUVRE</v>
      </c>
      <c r="F394" t="s">
        <v>3175</v>
      </c>
      <c r="G394" t="s">
        <v>3647</v>
      </c>
      <c r="H394" t="s">
        <v>3648</v>
      </c>
    </row>
    <row r="395" spans="1:8" x14ac:dyDescent="0.25">
      <c r="A395" t="s">
        <v>3621</v>
      </c>
      <c r="B395">
        <v>393</v>
      </c>
      <c r="D395" t="str">
        <f t="shared" si="13"/>
        <v>=Vlookup("393",Translations!F3:H800,1,0)</v>
      </c>
      <c r="E395" t="str">
        <f t="shared" si="12"/>
        <v>Entité de mise en œuvre</v>
      </c>
      <c r="F395" t="s">
        <v>2891</v>
      </c>
      <c r="G395" t="s">
        <v>3649</v>
      </c>
      <c r="H395" t="s">
        <v>3650</v>
      </c>
    </row>
    <row r="396" spans="1:8" x14ac:dyDescent="0.25">
      <c r="A396" t="s">
        <v>3621</v>
      </c>
      <c r="B396">
        <v>394</v>
      </c>
      <c r="D396" t="str">
        <f t="shared" si="13"/>
        <v>=Vlookup("394",Translations!F3:H800,1,0)</v>
      </c>
      <c r="E396" t="str">
        <f t="shared" si="12"/>
        <v>Budget pour la période de prévision</v>
      </c>
      <c r="F396" t="s">
        <v>3065</v>
      </c>
      <c r="G396" t="s">
        <v>3629</v>
      </c>
      <c r="H396" t="s">
        <v>3630</v>
      </c>
    </row>
    <row r="397" spans="1:8" x14ac:dyDescent="0.25">
      <c r="A397" t="s">
        <v>3621</v>
      </c>
      <c r="B397">
        <v>395</v>
      </c>
      <c r="D397" t="str">
        <f t="shared" si="13"/>
        <v>=Vlookup("395",Translations!F3:H800,1,0)</v>
      </c>
      <c r="E397" t="str">
        <f t="shared" si="12"/>
        <v>Montant prévu pour la période de prévision</v>
      </c>
      <c r="F397" t="s">
        <v>3066</v>
      </c>
      <c r="G397" t="s">
        <v>3631</v>
      </c>
      <c r="H397" t="s">
        <v>3632</v>
      </c>
    </row>
    <row r="398" spans="1:8" x14ac:dyDescent="0.25">
      <c r="A398" t="s">
        <v>3621</v>
      </c>
      <c r="B398">
        <v>396</v>
      </c>
      <c r="D398" t="str">
        <f t="shared" si="13"/>
        <v>=Vlookup("396",Translations!F3:H800,1,0)</v>
      </c>
      <c r="E398" t="str">
        <f t="shared" si="12"/>
        <v>Budget pour la période additionnelle</v>
      </c>
      <c r="F398" t="s">
        <v>3067</v>
      </c>
      <c r="G398" t="s">
        <v>3633</v>
      </c>
      <c r="H398" t="s">
        <v>3634</v>
      </c>
    </row>
    <row r="399" spans="1:8" x14ac:dyDescent="0.25">
      <c r="A399" t="s">
        <v>3621</v>
      </c>
      <c r="B399">
        <v>397</v>
      </c>
      <c r="D399" t="str">
        <f t="shared" si="13"/>
        <v>=Vlookup("397",Translations!F3:H800,1,0)</v>
      </c>
      <c r="E399" t="str">
        <f t="shared" si="12"/>
        <v>Montant prévu pour la période additionnelle</v>
      </c>
      <c r="F399" t="s">
        <v>3068</v>
      </c>
      <c r="G399" t="s">
        <v>3635</v>
      </c>
      <c r="H399" t="s">
        <v>3636</v>
      </c>
    </row>
    <row r="400" spans="1:8" x14ac:dyDescent="0.25">
      <c r="A400" t="s">
        <v>3621</v>
      </c>
      <c r="B400">
        <v>398</v>
      </c>
      <c r="D400" t="str">
        <f t="shared" si="13"/>
        <v>=Vlookup("398",Translations!F3:H800,1,0)</v>
      </c>
      <c r="E400" t="str">
        <f t="shared" si="12"/>
        <v>Budget total disponible (période additionnelle comprise)</v>
      </c>
      <c r="F400" t="s">
        <v>3069</v>
      </c>
      <c r="G400" t="s">
        <v>3637</v>
      </c>
      <c r="H400" t="s">
        <v>3638</v>
      </c>
    </row>
    <row r="401" spans="1:8" x14ac:dyDescent="0.25">
      <c r="A401" t="s">
        <v>3621</v>
      </c>
      <c r="B401">
        <v>399</v>
      </c>
      <c r="D401" t="str">
        <f t="shared" si="13"/>
        <v>=Vlookup("399",Translations!F3:H800,1,0)</v>
      </c>
      <c r="E401" t="str">
        <f t="shared" si="12"/>
        <v>Commentaires</v>
      </c>
      <c r="F401" t="s">
        <v>160</v>
      </c>
      <c r="G401" t="s">
        <v>3373</v>
      </c>
      <c r="H401" t="s">
        <v>3374</v>
      </c>
    </row>
    <row r="402" spans="1:8" x14ac:dyDescent="0.25">
      <c r="A402" t="s">
        <v>3621</v>
      </c>
      <c r="B402">
        <v>400</v>
      </c>
      <c r="D402" t="str">
        <f t="shared" si="13"/>
        <v>=Vlookup("400",Translations!F3:H800,1,0)</v>
      </c>
      <c r="E402" t="str">
        <f t="shared" si="12"/>
        <v>Local Fund Agent Adjusted Principal Recipient Forecast for the period (not including the Buffer)</v>
      </c>
      <c r="F402" t="s">
        <v>2946</v>
      </c>
      <c r="G402" t="s">
        <v>2946</v>
      </c>
      <c r="H402" t="s">
        <v>2946</v>
      </c>
    </row>
    <row r="403" spans="1:8" x14ac:dyDescent="0.25">
      <c r="A403" t="s">
        <v>3621</v>
      </c>
      <c r="B403">
        <v>401</v>
      </c>
      <c r="D403" t="str">
        <f t="shared" si="13"/>
        <v>=Vlookup("401",Translations!F3:H800,1,0)</v>
      </c>
      <c r="E403" t="str">
        <f t="shared" si="12"/>
        <v>Local Fund Agent Adjusted Principal Recipient Forecast for the Buffer Period</v>
      </c>
      <c r="F403" t="s">
        <v>2947</v>
      </c>
      <c r="G403" t="s">
        <v>2947</v>
      </c>
      <c r="H403" t="s">
        <v>2947</v>
      </c>
    </row>
    <row r="404" spans="1:8" x14ac:dyDescent="0.25">
      <c r="A404" t="s">
        <v>3621</v>
      </c>
      <c r="B404">
        <v>402</v>
      </c>
      <c r="D404" t="str">
        <f t="shared" si="13"/>
        <v>=Vlookup("402",Translations!F3:H800,1,0)</v>
      </c>
      <c r="E404" t="str">
        <f t="shared" si="12"/>
        <v>Local Fund Agent - Adjusted Forecast (including the buffer)</v>
      </c>
      <c r="F404" t="s">
        <v>2948</v>
      </c>
      <c r="G404" t="s">
        <v>2948</v>
      </c>
      <c r="H404" t="s">
        <v>2948</v>
      </c>
    </row>
    <row r="405" spans="1:8" x14ac:dyDescent="0.25">
      <c r="A405" t="s">
        <v>3621</v>
      </c>
      <c r="B405">
        <v>403</v>
      </c>
      <c r="D405" t="str">
        <f t="shared" si="13"/>
        <v>=Vlookup("403",Translations!F3:H800,1,0)</v>
      </c>
      <c r="E405" t="str">
        <f t="shared" si="12"/>
        <v>LFA Comments</v>
      </c>
      <c r="F405" t="s">
        <v>160</v>
      </c>
      <c r="G405" t="s">
        <v>1249</v>
      </c>
      <c r="H405" t="s">
        <v>160</v>
      </c>
    </row>
    <row r="406" spans="1:8" x14ac:dyDescent="0.25">
      <c r="A406" t="s">
        <v>3621</v>
      </c>
      <c r="B406">
        <v>404</v>
      </c>
      <c r="D406" t="str">
        <f t="shared" si="13"/>
        <v>=Vlookup("404",Translations!F3:H800,1,0)</v>
      </c>
      <c r="E406" t="str">
        <f t="shared" si="12"/>
        <v xml:space="preserve">Validation du total général </v>
      </c>
      <c r="F406" t="s">
        <v>2666</v>
      </c>
      <c r="G406" t="s">
        <v>3651</v>
      </c>
      <c r="H406" t="s">
        <v>2666</v>
      </c>
    </row>
    <row r="407" spans="1:8" x14ac:dyDescent="0.25">
      <c r="A407" t="s">
        <v>3621</v>
      </c>
      <c r="B407">
        <v>405</v>
      </c>
      <c r="D407" t="str">
        <f t="shared" si="13"/>
        <v>=Vlookup("405",Translations!F3:H800,1,0)</v>
      </c>
      <c r="E407" t="str">
        <f t="shared" si="12"/>
        <v>Summary Breakdown by Quarter</v>
      </c>
      <c r="F407" t="s">
        <v>3052</v>
      </c>
      <c r="G407" t="s">
        <v>3052</v>
      </c>
      <c r="H407" t="s">
        <v>3052</v>
      </c>
    </row>
    <row r="408" spans="1:8" x14ac:dyDescent="0.25">
      <c r="A408" t="s">
        <v>3621</v>
      </c>
      <c r="B408">
        <v>406</v>
      </c>
      <c r="D408" t="str">
        <f t="shared" si="13"/>
        <v>=Vlookup("406",Translations!F3:H800,1,0)</v>
      </c>
      <c r="E408" t="str">
        <f t="shared" si="12"/>
        <v xml:space="preserve">Calendar Period </v>
      </c>
      <c r="F408" t="s">
        <v>3053</v>
      </c>
      <c r="G408" t="s">
        <v>3053</v>
      </c>
      <c r="H408" t="s">
        <v>3053</v>
      </c>
    </row>
    <row r="409" spans="1:8" x14ac:dyDescent="0.25">
      <c r="A409" t="s">
        <v>3621</v>
      </c>
      <c r="B409">
        <v>407</v>
      </c>
      <c r="D409" t="str">
        <f t="shared" si="13"/>
        <v>=Vlookup("407",Translations!F3:H800,1,0)</v>
      </c>
      <c r="E409" t="str">
        <f t="shared" si="12"/>
        <v>Principal Recipient</v>
      </c>
      <c r="F409" t="s">
        <v>1085</v>
      </c>
      <c r="G409" t="s">
        <v>1085</v>
      </c>
      <c r="H409" t="s">
        <v>1085</v>
      </c>
    </row>
    <row r="410" spans="1:8" x14ac:dyDescent="0.25">
      <c r="A410" t="s">
        <v>3621</v>
      </c>
      <c r="B410">
        <v>408</v>
      </c>
      <c r="D410" t="str">
        <f t="shared" si="13"/>
        <v>=Vlookup("408",Translations!F3:H800,1,0)</v>
      </c>
      <c r="E410" t="str">
        <f t="shared" si="12"/>
        <v>Total</v>
      </c>
      <c r="F410" t="s">
        <v>947</v>
      </c>
      <c r="G410" t="s">
        <v>947</v>
      </c>
      <c r="H410" t="s">
        <v>947</v>
      </c>
    </row>
    <row r="411" spans="1:8" x14ac:dyDescent="0.25">
      <c r="A411" t="s">
        <v>3621</v>
      </c>
      <c r="B411">
        <v>409</v>
      </c>
      <c r="D411" t="str">
        <f t="shared" si="13"/>
        <v>=Vlookup("409",Translations!F3:H800,1,0)</v>
      </c>
      <c r="E411" t="str">
        <f t="shared" si="12"/>
        <v>Local Fund Agent</v>
      </c>
      <c r="F411" t="s">
        <v>3058</v>
      </c>
      <c r="G411" t="s">
        <v>3058</v>
      </c>
      <c r="H411" t="s">
        <v>3058</v>
      </c>
    </row>
    <row r="412" spans="1:8" x14ac:dyDescent="0.25">
      <c r="A412" t="s">
        <v>3621</v>
      </c>
      <c r="B412">
        <v>410</v>
      </c>
      <c r="D412" t="str">
        <f t="shared" si="13"/>
        <v>=Vlookup("410",Translations!F3:H800,1,0)</v>
      </c>
      <c r="E412" t="str">
        <f t="shared" si="12"/>
        <v>Total</v>
      </c>
      <c r="F412" t="s">
        <v>947</v>
      </c>
      <c r="G412" t="s">
        <v>947</v>
      </c>
      <c r="H412" t="s">
        <v>947</v>
      </c>
    </row>
    <row r="413" spans="1:8" x14ac:dyDescent="0.25">
      <c r="A413" t="s">
        <v>3621</v>
      </c>
      <c r="B413">
        <v>411</v>
      </c>
      <c r="D413" t="str">
        <f t="shared" si="13"/>
        <v>=Vlookup("411",Translations!F3:H800,1,0)</v>
      </c>
      <c r="E413" t="str">
        <f t="shared" si="12"/>
        <v xml:space="preserve">Validation du total général </v>
      </c>
      <c r="F413" t="s">
        <v>3059</v>
      </c>
      <c r="G413" t="s">
        <v>3651</v>
      </c>
      <c r="H413" t="s">
        <v>3652</v>
      </c>
    </row>
    <row r="414" spans="1:8" x14ac:dyDescent="0.25">
      <c r="A414" t="s">
        <v>3621</v>
      </c>
      <c r="B414">
        <v>412</v>
      </c>
      <c r="D414" t="str">
        <f t="shared" si="13"/>
        <v>=Vlookup("412",Translations!F3:H800,1,0)</v>
      </c>
      <c r="E414" t="str">
        <f t="shared" si="12"/>
        <v xml:space="preserve">Validation of Local Fund Agent Grand Total </v>
      </c>
      <c r="F414" t="s">
        <v>3060</v>
      </c>
      <c r="G414" t="s">
        <v>3060</v>
      </c>
      <c r="H414" t="s">
        <v>3060</v>
      </c>
    </row>
    <row r="415" spans="1:8" x14ac:dyDescent="0.25">
      <c r="A415" t="s">
        <v>106</v>
      </c>
      <c r="B415">
        <v>413</v>
      </c>
      <c r="D415" t="str">
        <f t="shared" si="13"/>
        <v>=Vlookup("413",Translations!F3:H800,1,0)</v>
      </c>
      <c r="E415" t="str">
        <f t="shared" si="12"/>
        <v>Progress Report with Disbursement Request</v>
      </c>
      <c r="F415" t="s">
        <v>3227</v>
      </c>
      <c r="G415" t="s">
        <v>3227</v>
      </c>
      <c r="H415" t="s">
        <v>3227</v>
      </c>
    </row>
    <row r="416" spans="1:8" x14ac:dyDescent="0.25">
      <c r="A416" t="s">
        <v>106</v>
      </c>
      <c r="B416">
        <v>414</v>
      </c>
      <c r="D416" t="str">
        <f t="shared" si="13"/>
        <v>=Vlookup("414",Translations!F3:H800,1,0)</v>
      </c>
      <c r="E416" t="str">
        <f t="shared" si="12"/>
        <v>Section 8B. Demande de décaissement et recommandation</v>
      </c>
      <c r="F416" t="s">
        <v>3653</v>
      </c>
      <c r="G416" t="s">
        <v>3654</v>
      </c>
      <c r="H416" t="s">
        <v>3655</v>
      </c>
    </row>
    <row r="417" spans="1:8" x14ac:dyDescent="0.25">
      <c r="A417" t="s">
        <v>106</v>
      </c>
      <c r="B417">
        <v>415</v>
      </c>
      <c r="D417" t="str">
        <f t="shared" si="13"/>
        <v>=Vlookup("415",Translations!F3:H800,1,0)</v>
      </c>
      <c r="E417" t="str">
        <f t="shared" si="12"/>
        <v>Disbursement Request Execution Period</v>
      </c>
      <c r="F417" t="s">
        <v>3303</v>
      </c>
      <c r="G417" t="s">
        <v>3303</v>
      </c>
      <c r="H417" t="s">
        <v>3303</v>
      </c>
    </row>
    <row r="418" spans="1:8" x14ac:dyDescent="0.25">
      <c r="A418" t="s">
        <v>106</v>
      </c>
      <c r="B418">
        <v>416</v>
      </c>
      <c r="D418" t="str">
        <f t="shared" si="13"/>
        <v>=Vlookup("416",Translations!F3:H800,1,0)</v>
      </c>
      <c r="E418" t="str">
        <f t="shared" si="12"/>
        <v>End Date:</v>
      </c>
      <c r="F418" t="s">
        <v>3283</v>
      </c>
      <c r="G418" t="s">
        <v>3283</v>
      </c>
      <c r="H418" t="s">
        <v>3283</v>
      </c>
    </row>
    <row r="419" spans="1:8" x14ac:dyDescent="0.25">
      <c r="A419" t="s">
        <v>106</v>
      </c>
      <c r="B419">
        <v>417</v>
      </c>
      <c r="D419" t="str">
        <f t="shared" si="13"/>
        <v>=Vlookup("417",Translations!F3:H800,1,0)</v>
      </c>
      <c r="E419" t="str">
        <f t="shared" si="12"/>
        <v>Disbursement Request Buffer Period</v>
      </c>
      <c r="F419" t="s">
        <v>3309</v>
      </c>
      <c r="G419" t="s">
        <v>3309</v>
      </c>
      <c r="H419" t="s">
        <v>3309</v>
      </c>
    </row>
    <row r="420" spans="1:8" x14ac:dyDescent="0.25">
      <c r="A420" t="s">
        <v>106</v>
      </c>
      <c r="B420">
        <v>418</v>
      </c>
      <c r="D420" t="str">
        <f t="shared" si="13"/>
        <v>=Vlookup("418",Translations!F3:H800,1,0)</v>
      </c>
      <c r="E420" t="str">
        <f t="shared" si="12"/>
        <v>End Date:</v>
      </c>
      <c r="F420" t="s">
        <v>3283</v>
      </c>
      <c r="G420" t="s">
        <v>3283</v>
      </c>
      <c r="H420" t="s">
        <v>3283</v>
      </c>
    </row>
    <row r="421" spans="1:8" x14ac:dyDescent="0.25">
      <c r="A421" t="s">
        <v>106</v>
      </c>
      <c r="B421">
        <v>419</v>
      </c>
      <c r="D421" t="str">
        <f t="shared" si="13"/>
        <v>=Vlookup("419",Translations!F3:H800,1,0)</v>
      </c>
      <c r="E421" t="str">
        <f t="shared" si="12"/>
        <v>Total forecasted net cash expenditures by the Principal Recipient for the period immediately following the period covered by the Progress Update:</v>
      </c>
      <c r="F421" t="s">
        <v>3656</v>
      </c>
      <c r="G421" t="s">
        <v>3656</v>
      </c>
      <c r="H421" t="s">
        <v>3656</v>
      </c>
    </row>
    <row r="422" spans="1:8" x14ac:dyDescent="0.25">
      <c r="A422" t="s">
        <v>106</v>
      </c>
      <c r="B422">
        <v>420</v>
      </c>
      <c r="D422" t="str">
        <f t="shared" si="13"/>
        <v>=Vlookup("420",Translations!F3:H800,1,0)</v>
      </c>
      <c r="E422" t="str">
        <f t="shared" si="12"/>
        <v>Principal RECIPIENT</v>
      </c>
      <c r="F422" t="s">
        <v>3657</v>
      </c>
      <c r="G422" t="s">
        <v>3657</v>
      </c>
      <c r="H422" t="s">
        <v>3657</v>
      </c>
    </row>
    <row r="423" spans="1:8" x14ac:dyDescent="0.25">
      <c r="A423" t="s">
        <v>106</v>
      </c>
      <c r="B423">
        <v>421</v>
      </c>
      <c r="D423" t="str">
        <f t="shared" si="13"/>
        <v>=Vlookup("421",Translations!F3:H800,1,0)</v>
      </c>
      <c r="E423"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t="s">
        <v>3658</v>
      </c>
      <c r="G423" t="s">
        <v>3658</v>
      </c>
      <c r="H423" t="s">
        <v>3658</v>
      </c>
    </row>
    <row r="424" spans="1:8" x14ac:dyDescent="0.25">
      <c r="A424" t="s">
        <v>106</v>
      </c>
      <c r="B424">
        <v>422</v>
      </c>
      <c r="D424" t="str">
        <f t="shared" si="13"/>
        <v>=Vlookup("422",Translations!F3:H800,1,0)</v>
      </c>
      <c r="E424" t="str">
        <f t="shared" si="12"/>
        <v>Execution Period</v>
      </c>
      <c r="F424" t="s">
        <v>3659</v>
      </c>
      <c r="G424" t="s">
        <v>3659</v>
      </c>
      <c r="H424" t="s">
        <v>3659</v>
      </c>
    </row>
    <row r="425" spans="1:8" x14ac:dyDescent="0.25">
      <c r="A425" t="s">
        <v>106</v>
      </c>
      <c r="B425">
        <v>423</v>
      </c>
      <c r="D425" t="str">
        <f t="shared" si="13"/>
        <v>=Vlookup("423",Translations!F3:H800,1,0)</v>
      </c>
      <c r="E425" t="str">
        <f t="shared" si="12"/>
        <v>Total</v>
      </c>
      <c r="F425" t="s">
        <v>947</v>
      </c>
      <c r="G425" t="s">
        <v>947</v>
      </c>
      <c r="H425" t="s">
        <v>947</v>
      </c>
    </row>
    <row r="426" spans="1:8" x14ac:dyDescent="0.25">
      <c r="A426" t="s">
        <v>106</v>
      </c>
      <c r="B426">
        <v>424</v>
      </c>
      <c r="D426" t="str">
        <f t="shared" si="13"/>
        <v>=Vlookup("424",Translations!F3:H800,1,0)</v>
      </c>
      <c r="E426" t="str">
        <f t="shared" si="12"/>
        <v>Buffer Period</v>
      </c>
      <c r="F426" t="s">
        <v>3660</v>
      </c>
      <c r="G426" t="s">
        <v>3660</v>
      </c>
      <c r="H426" t="s">
        <v>3660</v>
      </c>
    </row>
    <row r="427" spans="1:8" x14ac:dyDescent="0.25">
      <c r="A427" t="s">
        <v>106</v>
      </c>
      <c r="B427">
        <v>425</v>
      </c>
      <c r="D427" t="str">
        <f t="shared" si="13"/>
        <v>=Vlookup("425",Translations!F3:H800,1,0)</v>
      </c>
      <c r="E427" t="str">
        <f t="shared" si="12"/>
        <v>Total</v>
      </c>
      <c r="F427" t="s">
        <v>947</v>
      </c>
      <c r="G427" t="s">
        <v>947</v>
      </c>
      <c r="H427" t="s">
        <v>947</v>
      </c>
    </row>
    <row r="428" spans="1:8" x14ac:dyDescent="0.25">
      <c r="A428" t="s">
        <v>106</v>
      </c>
      <c r="B428">
        <v>426</v>
      </c>
      <c r="D428" t="str">
        <f t="shared" si="13"/>
        <v>=Vlookup("426",Translations!F3:H800,1,0)</v>
      </c>
      <c r="E428" t="str">
        <f t="shared" si="12"/>
        <v>Calendar Period</v>
      </c>
      <c r="F428" t="s">
        <v>3661</v>
      </c>
      <c r="G428" t="s">
        <v>3661</v>
      </c>
      <c r="H428" t="s">
        <v>3661</v>
      </c>
    </row>
    <row r="429" spans="1:8" x14ac:dyDescent="0.25">
      <c r="A429" t="s">
        <v>106</v>
      </c>
      <c r="B429">
        <v>427</v>
      </c>
      <c r="D429" t="str">
        <f t="shared" si="13"/>
        <v>=Vlookup("427",Translations!F3:H800,1,0)</v>
      </c>
      <c r="E429" t="str">
        <f t="shared" si="12"/>
        <v>Approved Budget</v>
      </c>
      <c r="F429" t="s">
        <v>3054</v>
      </c>
      <c r="G429" t="s">
        <v>3054</v>
      </c>
      <c r="H429" t="s">
        <v>3054</v>
      </c>
    </row>
    <row r="430" spans="1:8" x14ac:dyDescent="0.25">
      <c r="A430" t="s">
        <v>106</v>
      </c>
      <c r="B430">
        <v>428</v>
      </c>
      <c r="D430" t="str">
        <f t="shared" si="13"/>
        <v>=Vlookup("428",Translations!F3:H800,1,0)</v>
      </c>
      <c r="E430" t="str">
        <f t="shared" si="12"/>
        <v>Principal Recipient Forecast</v>
      </c>
      <c r="F430" t="s">
        <v>3662</v>
      </c>
      <c r="G430" t="s">
        <v>3662</v>
      </c>
      <c r="H430" t="s">
        <v>3662</v>
      </c>
    </row>
    <row r="431" spans="1:8" x14ac:dyDescent="0.25">
      <c r="A431" t="s">
        <v>106</v>
      </c>
      <c r="B431">
        <v>429</v>
      </c>
      <c r="D431" t="str">
        <f t="shared" si="13"/>
        <v>=Vlookup("429",Translations!F3:H800,1,0)</v>
      </c>
      <c r="E431" t="str">
        <f t="shared" si="12"/>
        <v>Solde de trésorerie : fin de la période couverte par le rapport sur les résultats actuels (ligne 5.3 du rapprochement de la trésorerie du récipiendaire principal).</v>
      </c>
      <c r="F431" t="s">
        <v>3663</v>
      </c>
      <c r="G431" t="s">
        <v>3664</v>
      </c>
      <c r="H431" t="s">
        <v>3665</v>
      </c>
    </row>
    <row r="432" spans="1:8" x14ac:dyDescent="0.25">
      <c r="A432" t="s">
        <v>106</v>
      </c>
      <c r="B432">
        <v>430</v>
      </c>
      <c r="D432" t="str">
        <f t="shared" si="13"/>
        <v>=Vlookup("430",Translations!F3:H800,1,0)</v>
      </c>
      <c r="E432" t="str">
        <f t="shared" si="12"/>
        <v xml:space="preserve">Fonds en transit pour la période de rapport (décaissements  effectués en faveur du récipiendaire principal). </v>
      </c>
      <c r="F432" t="s">
        <v>3666</v>
      </c>
      <c r="G432" t="s">
        <v>3667</v>
      </c>
      <c r="H432" t="s">
        <v>3668</v>
      </c>
    </row>
    <row r="433" spans="1:8" x14ac:dyDescent="0.25">
      <c r="A433" t="s">
        <v>106</v>
      </c>
      <c r="B433">
        <v>431</v>
      </c>
      <c r="D433" t="str">
        <f t="shared" si="13"/>
        <v>=Vlookup("431",Translations!F3:H800,1,0)</v>
      </c>
      <c r="E433" t="str">
        <f t="shared" si="12"/>
        <v xml:space="preserve">Fonds en transit pour la période de rapport (décaissements effectués a un tiers). </v>
      </c>
      <c r="F433" t="s">
        <v>3669</v>
      </c>
      <c r="G433" t="s">
        <v>3670</v>
      </c>
      <c r="H433" t="s">
        <v>3671</v>
      </c>
    </row>
    <row r="434" spans="1:8" x14ac:dyDescent="0.25">
      <c r="A434" t="s">
        <v>106</v>
      </c>
      <c r="B434">
        <v>432</v>
      </c>
      <c r="D434" t="str">
        <f t="shared" si="13"/>
        <v>=Vlookup("432",Translations!F3:H800,1,0)</v>
      </c>
      <c r="E434" t="str">
        <f t="shared" si="12"/>
        <v>Fonds en transit après la période de rapport en cours : (décaissements  effectués en faveur du récipiendaire principal).</v>
      </c>
      <c r="F434" t="s">
        <v>3672</v>
      </c>
      <c r="G434" t="s">
        <v>3673</v>
      </c>
      <c r="H434" t="s">
        <v>3674</v>
      </c>
    </row>
    <row r="435" spans="1:8" x14ac:dyDescent="0.25">
      <c r="A435" t="s">
        <v>106</v>
      </c>
      <c r="B435">
        <v>433</v>
      </c>
      <c r="D435" t="str">
        <f t="shared" si="13"/>
        <v>=Vlookup("433",Translations!F3:H800,1,0)</v>
      </c>
      <c r="E435" t="str">
        <f t="shared" si="12"/>
        <v>Fonds en transit après la période de rapport en cours » : (décaissements effectués en faveur d’un tiers au nom du récipiendaire principal).</v>
      </c>
      <c r="F435" t="s">
        <v>3675</v>
      </c>
      <c r="G435" t="s">
        <v>3676</v>
      </c>
      <c r="H435" t="s">
        <v>3677</v>
      </c>
    </row>
    <row r="436" spans="1:8" x14ac:dyDescent="0.25">
      <c r="A436" t="s">
        <v>106</v>
      </c>
      <c r="B436">
        <v>434</v>
      </c>
      <c r="D436" t="str">
        <f t="shared" si="13"/>
        <v>=Vlookup("434",Translations!F3:H800,1,0)</v>
      </c>
      <c r="E436" t="str">
        <f t="shared" si="12"/>
        <v>Demande de décaissement</v>
      </c>
      <c r="F436" t="s">
        <v>86</v>
      </c>
      <c r="G436" t="s">
        <v>3678</v>
      </c>
      <c r="H436" t="s">
        <v>3679</v>
      </c>
    </row>
    <row r="437" spans="1:8" x14ac:dyDescent="0.25">
      <c r="A437" t="s">
        <v>106</v>
      </c>
      <c r="B437">
        <v>435</v>
      </c>
      <c r="D437" t="str">
        <f t="shared" si="13"/>
        <v>=Vlookup("435",Translations!F3:H800,1,0)</v>
      </c>
      <c r="E437" t="str">
        <f t="shared" si="12"/>
        <v>Forecasted Disbursement to Principal Recipient</v>
      </c>
      <c r="F437" t="s">
        <v>3056</v>
      </c>
      <c r="G437" t="s">
        <v>3056</v>
      </c>
      <c r="H437" t="s">
        <v>3056</v>
      </c>
    </row>
    <row r="438" spans="1:8" x14ac:dyDescent="0.25">
      <c r="A438" t="s">
        <v>106</v>
      </c>
      <c r="B438">
        <v>436</v>
      </c>
      <c r="D438" t="str">
        <f t="shared" si="13"/>
        <v>=Vlookup("436",Translations!F3:H800,1,0)</v>
      </c>
      <c r="E438" t="str">
        <f t="shared" si="12"/>
        <v>Forecasted Direct Disbursement</v>
      </c>
      <c r="F438" t="s">
        <v>3055</v>
      </c>
      <c r="G438" t="s">
        <v>3055</v>
      </c>
      <c r="H438" t="s">
        <v>3055</v>
      </c>
    </row>
    <row r="439" spans="1:8" x14ac:dyDescent="0.25">
      <c r="A439" t="s">
        <v>106</v>
      </c>
      <c r="B439">
        <v>437</v>
      </c>
      <c r="D439" t="str">
        <f t="shared" si="13"/>
        <v>=Vlookup("437",Translations!F3:H800,1,0)</v>
      </c>
      <c r="E439" t="str">
        <f t="shared" si="12"/>
        <v>PPM/Wambo.org  forecasted disbursement</v>
      </c>
      <c r="F439" t="s">
        <v>3680</v>
      </c>
      <c r="G439" t="s">
        <v>3680</v>
      </c>
      <c r="H439" t="s">
        <v>3680</v>
      </c>
    </row>
    <row r="440" spans="1:8" x14ac:dyDescent="0.25">
      <c r="A440" t="s">
        <v>106</v>
      </c>
      <c r="B440">
        <v>438</v>
      </c>
      <c r="D440" t="str">
        <f t="shared" si="13"/>
        <v>=Vlookup("438",Translations!F3:H800,1,0)</v>
      </c>
      <c r="E440" t="str">
        <f t="shared" si="12"/>
        <v>Disbursement Request</v>
      </c>
      <c r="F440" t="s">
        <v>86</v>
      </c>
      <c r="G440" t="s">
        <v>86</v>
      </c>
      <c r="H440" t="s">
        <v>86</v>
      </c>
    </row>
    <row r="441" spans="1:8" x14ac:dyDescent="0.25">
      <c r="A441" t="s">
        <v>106</v>
      </c>
      <c r="B441">
        <v>439</v>
      </c>
      <c r="D441" t="str">
        <f t="shared" si="13"/>
        <v>=Vlookup("439",Translations!F3:H800,1,0)</v>
      </c>
      <c r="E441" t="str">
        <f t="shared" si="12"/>
        <v>For LFA Use Only</v>
      </c>
      <c r="F441" t="s">
        <v>1114</v>
      </c>
      <c r="G441" t="s">
        <v>1114</v>
      </c>
      <c r="H441" t="s">
        <v>1114</v>
      </c>
    </row>
    <row r="442" spans="1:8" x14ac:dyDescent="0.25">
      <c r="A442" t="s">
        <v>106</v>
      </c>
      <c r="B442">
        <v>440</v>
      </c>
      <c r="D442" t="str">
        <f t="shared" si="13"/>
        <v>=Vlookup("440",Translations!F3:H800,1,0)</v>
      </c>
      <c r="E442" t="str">
        <f t="shared" si="12"/>
        <v>LFA comments on PR's explanation of any significant variance between forecasted amounts and amounts as originally budgeted.</v>
      </c>
      <c r="F442" t="s">
        <v>3681</v>
      </c>
      <c r="G442" t="s">
        <v>3681</v>
      </c>
      <c r="H442" t="s">
        <v>3681</v>
      </c>
    </row>
    <row r="443" spans="1:8" x14ac:dyDescent="0.25">
      <c r="A443" t="s">
        <v>106</v>
      </c>
      <c r="B443">
        <v>441</v>
      </c>
      <c r="D443" t="str">
        <f t="shared" si="13"/>
        <v>=Vlookup("441",Translations!F3:H800,1,0)</v>
      </c>
      <c r="E443" t="str">
        <f t="shared" si="12"/>
        <v>Execution Period</v>
      </c>
      <c r="F443" t="s">
        <v>3659</v>
      </c>
      <c r="G443" t="s">
        <v>3659</v>
      </c>
      <c r="H443" t="s">
        <v>3659</v>
      </c>
    </row>
    <row r="444" spans="1:8" x14ac:dyDescent="0.25">
      <c r="A444" t="s">
        <v>106</v>
      </c>
      <c r="B444">
        <v>442</v>
      </c>
      <c r="D444" t="str">
        <f t="shared" si="13"/>
        <v>=Vlookup("442",Translations!F3:H800,1,0)</v>
      </c>
      <c r="E444" t="str">
        <f t="shared" si="12"/>
        <v>Total</v>
      </c>
      <c r="F444" t="s">
        <v>947</v>
      </c>
      <c r="G444" t="s">
        <v>947</v>
      </c>
      <c r="H444" t="s">
        <v>947</v>
      </c>
    </row>
    <row r="445" spans="1:8" x14ac:dyDescent="0.25">
      <c r="A445" t="s">
        <v>106</v>
      </c>
      <c r="B445">
        <v>443</v>
      </c>
      <c r="D445" t="str">
        <f t="shared" si="13"/>
        <v>=Vlookup("443",Translations!F3:H800,1,0)</v>
      </c>
      <c r="E445" t="str">
        <f t="shared" si="12"/>
        <v>Buffer Period</v>
      </c>
      <c r="F445" t="s">
        <v>3660</v>
      </c>
      <c r="G445" t="s">
        <v>3660</v>
      </c>
      <c r="H445" t="s">
        <v>3660</v>
      </c>
    </row>
    <row r="446" spans="1:8" x14ac:dyDescent="0.25">
      <c r="A446" t="s">
        <v>106</v>
      </c>
      <c r="B446">
        <v>444</v>
      </c>
      <c r="D446" t="str">
        <f t="shared" si="13"/>
        <v>=Vlookup("444",Translations!F3:H800,1,0)</v>
      </c>
      <c r="E446" t="str">
        <f t="shared" si="12"/>
        <v>Total</v>
      </c>
      <c r="F446" t="s">
        <v>947</v>
      </c>
      <c r="G446" t="s">
        <v>947</v>
      </c>
      <c r="H446" t="s">
        <v>947</v>
      </c>
    </row>
    <row r="447" spans="1:8" x14ac:dyDescent="0.25">
      <c r="A447" t="s">
        <v>106</v>
      </c>
      <c r="B447">
        <v>445</v>
      </c>
      <c r="D447" t="str">
        <f t="shared" si="13"/>
        <v>=Vlookup("445",Translations!F3:H800,1,0)</v>
      </c>
      <c r="E447" t="str">
        <f t="shared" si="12"/>
        <v>Calendar Period</v>
      </c>
      <c r="F447" t="s">
        <v>3661</v>
      </c>
      <c r="G447" t="s">
        <v>3661</v>
      </c>
      <c r="H447" t="s">
        <v>3661</v>
      </c>
    </row>
    <row r="448" spans="1:8" x14ac:dyDescent="0.25">
      <c r="A448" t="s">
        <v>106</v>
      </c>
      <c r="B448">
        <v>446</v>
      </c>
      <c r="D448" t="str">
        <f t="shared" si="13"/>
        <v>=Vlookup("446",Translations!F3:H800,1,0)</v>
      </c>
      <c r="E448" t="str">
        <f t="shared" si="12"/>
        <v>Approved Budget</v>
      </c>
      <c r="F448" t="s">
        <v>3054</v>
      </c>
      <c r="G448" t="s">
        <v>3054</v>
      </c>
      <c r="H448" t="s">
        <v>3054</v>
      </c>
    </row>
    <row r="449" spans="1:8" x14ac:dyDescent="0.25">
      <c r="A449" t="s">
        <v>106</v>
      </c>
      <c r="B449">
        <v>447</v>
      </c>
      <c r="D449" t="str">
        <f t="shared" si="13"/>
        <v>=Vlookup("447",Translations!F3:H800,1,0)</v>
      </c>
      <c r="E449" t="str">
        <f t="shared" si="12"/>
        <v>Local Fund Agent  Forecast</v>
      </c>
      <c r="F449" t="s">
        <v>3682</v>
      </c>
      <c r="G449" t="s">
        <v>3682</v>
      </c>
      <c r="H449" t="s">
        <v>3682</v>
      </c>
    </row>
    <row r="450" spans="1:8" x14ac:dyDescent="0.25">
      <c r="A450" t="s">
        <v>106</v>
      </c>
      <c r="B450">
        <v>448</v>
      </c>
      <c r="D450" t="str">
        <f t="shared" si="13"/>
        <v>=Vlookup("448",Translations!F3:H800,1,0)</v>
      </c>
      <c r="E450" t="str">
        <f t="shared" si="12"/>
        <v>Cash Balance: End of period covered by Progress Update (Item 5.3 in PRLFA Cash Reconciliation):</v>
      </c>
      <c r="F450" t="s">
        <v>3663</v>
      </c>
      <c r="G450" t="s">
        <v>3663</v>
      </c>
      <c r="H450" t="s">
        <v>3663</v>
      </c>
    </row>
    <row r="451" spans="1:8" x14ac:dyDescent="0.25">
      <c r="A451" t="s">
        <v>106</v>
      </c>
      <c r="B451">
        <v>449</v>
      </c>
      <c r="D451" t="str">
        <f t="shared" si="13"/>
        <v>=Vlookup("449",Translations!F3:H800,1,0)</v>
      </c>
      <c r="E451" t="str">
        <f t="shared" ref="E451:E508" si="14">IF(LangOffset=0,F451,IF(LangOffset=1,G451,IF(LangOffset=2,H451)))</f>
        <v>Cash in Transit for the reporting period (Disbursements to PR:</v>
      </c>
      <c r="F451" t="s">
        <v>3666</v>
      </c>
      <c r="G451" t="s">
        <v>3666</v>
      </c>
      <c r="H451" t="s">
        <v>3666</v>
      </c>
    </row>
    <row r="452" spans="1:8" x14ac:dyDescent="0.25">
      <c r="A452" t="s">
        <v>106</v>
      </c>
      <c r="B452">
        <v>450</v>
      </c>
      <c r="D452" t="str">
        <f t="shared" ref="D452:D515" si="15">"=Vlookup("""&amp;B452&amp;""",Translations!F3:H800,1,0)"</f>
        <v>=Vlookup("450",Translations!F3:H800,1,0)</v>
      </c>
      <c r="E452" t="str">
        <f t="shared" si="14"/>
        <v>Cash in Transit for the reporting period (Third party disbursements):</v>
      </c>
      <c r="F452" t="s">
        <v>3669</v>
      </c>
      <c r="G452" t="s">
        <v>3669</v>
      </c>
      <c r="H452" t="s">
        <v>3669</v>
      </c>
    </row>
    <row r="453" spans="1:8" x14ac:dyDescent="0.25">
      <c r="A453" t="s">
        <v>106</v>
      </c>
      <c r="B453">
        <v>451</v>
      </c>
      <c r="D453" t="str">
        <f t="shared" si="15"/>
        <v>=Vlookup("451",Translations!F3:H800,1,0)</v>
      </c>
      <c r="E453" t="str">
        <f t="shared" si="14"/>
        <v>Cash in Transit after the current reporting period (Disbursements to PR:</v>
      </c>
      <c r="F453" t="s">
        <v>3683</v>
      </c>
      <c r="G453" t="s">
        <v>3683</v>
      </c>
      <c r="H453" t="s">
        <v>3672</v>
      </c>
    </row>
    <row r="454" spans="1:8" x14ac:dyDescent="0.25">
      <c r="A454" t="s">
        <v>106</v>
      </c>
      <c r="B454">
        <v>452</v>
      </c>
      <c r="D454" t="str">
        <f t="shared" si="15"/>
        <v>=Vlookup("452",Translations!F3:H800,1,0)</v>
      </c>
      <c r="E454" t="str">
        <f t="shared" si="14"/>
        <v>Cash in Transit after the current reporting period (Third party disbursements) :</v>
      </c>
      <c r="F454" t="s">
        <v>3675</v>
      </c>
      <c r="G454" t="s">
        <v>3675</v>
      </c>
      <c r="H454" t="s">
        <v>3675</v>
      </c>
    </row>
    <row r="455" spans="1:8" x14ac:dyDescent="0.25">
      <c r="A455" t="s">
        <v>106</v>
      </c>
      <c r="B455">
        <v>453</v>
      </c>
      <c r="D455" t="str">
        <f t="shared" si="15"/>
        <v>=Vlookup("453",Translations!F3:H800,1,0)</v>
      </c>
      <c r="E455" t="str">
        <f t="shared" si="14"/>
        <v>Disbursement Request</v>
      </c>
      <c r="F455" t="s">
        <v>86</v>
      </c>
      <c r="G455" t="s">
        <v>86</v>
      </c>
      <c r="H455" t="s">
        <v>86</v>
      </c>
    </row>
    <row r="456" spans="1:8" x14ac:dyDescent="0.25">
      <c r="A456" t="s">
        <v>106</v>
      </c>
      <c r="B456">
        <v>454</v>
      </c>
      <c r="D456" t="str">
        <f t="shared" si="15"/>
        <v>=Vlookup("454",Translations!F3:H800,1,0)</v>
      </c>
      <c r="E456" t="str">
        <f t="shared" si="14"/>
        <v>Forecasted Disbursement to Principal Recipient</v>
      </c>
      <c r="F456" t="s">
        <v>3056</v>
      </c>
      <c r="G456" t="s">
        <v>3056</v>
      </c>
      <c r="H456" t="s">
        <v>3056</v>
      </c>
    </row>
    <row r="457" spans="1:8" x14ac:dyDescent="0.25">
      <c r="A457" t="s">
        <v>106</v>
      </c>
      <c r="B457">
        <v>455</v>
      </c>
      <c r="D457" t="str">
        <f t="shared" si="15"/>
        <v>=Vlookup("455",Translations!F3:H800,1,0)</v>
      </c>
      <c r="E457" t="str">
        <f t="shared" si="14"/>
        <v>Forecasted Direct Disbursement</v>
      </c>
      <c r="F457" t="s">
        <v>3055</v>
      </c>
      <c r="G457" t="s">
        <v>3055</v>
      </c>
      <c r="H457" t="s">
        <v>3055</v>
      </c>
    </row>
    <row r="458" spans="1:8" x14ac:dyDescent="0.25">
      <c r="A458" t="s">
        <v>106</v>
      </c>
      <c r="B458">
        <v>456</v>
      </c>
      <c r="D458" t="str">
        <f t="shared" si="15"/>
        <v>=Vlookup("456",Translations!F3:H800,1,0)</v>
      </c>
      <c r="E458" t="str">
        <f t="shared" si="14"/>
        <v>PPM/Wambo.org  forecasted disbursement</v>
      </c>
      <c r="F458" t="s">
        <v>3680</v>
      </c>
      <c r="G458" t="s">
        <v>3680</v>
      </c>
      <c r="H458" t="s">
        <v>3680</v>
      </c>
    </row>
    <row r="459" spans="1:8" x14ac:dyDescent="0.25">
      <c r="A459" t="s">
        <v>106</v>
      </c>
      <c r="B459">
        <v>457</v>
      </c>
      <c r="D459" t="str">
        <f t="shared" si="15"/>
        <v>=Vlookup("457",Translations!F3:H800,1,0)</v>
      </c>
      <c r="E459" t="str">
        <f t="shared" si="14"/>
        <v>Disbursement Request</v>
      </c>
      <c r="F459" t="s">
        <v>86</v>
      </c>
      <c r="G459" t="s">
        <v>86</v>
      </c>
      <c r="H459" t="s">
        <v>86</v>
      </c>
    </row>
    <row r="460" spans="1:8" x14ac:dyDescent="0.25">
      <c r="A460" t="s">
        <v>106</v>
      </c>
      <c r="B460">
        <v>458</v>
      </c>
      <c r="D460" t="str">
        <f t="shared" si="15"/>
        <v>=Vlookup("458",Translations!F3:H800,1,0)</v>
      </c>
      <c r="E460" t="str">
        <f t="shared" si="14"/>
        <v>Exchange Rate</v>
      </c>
      <c r="F460" t="s">
        <v>3684</v>
      </c>
      <c r="G460" t="s">
        <v>3684</v>
      </c>
      <c r="H460" t="s">
        <v>3684</v>
      </c>
    </row>
    <row r="461" spans="1:8" x14ac:dyDescent="0.25">
      <c r="A461" t="s">
        <v>106</v>
      </c>
      <c r="B461">
        <v>459</v>
      </c>
      <c r="D461" t="str">
        <f t="shared" si="15"/>
        <v>=Vlookup("459",Translations!F3:H800,1,0)</v>
      </c>
      <c r="E461" t="str">
        <f t="shared" si="14"/>
        <v>Rates used by the PR</v>
      </c>
      <c r="F461" t="s">
        <v>3685</v>
      </c>
      <c r="G461" t="s">
        <v>3685</v>
      </c>
      <c r="H461" t="s">
        <v>3685</v>
      </c>
    </row>
    <row r="462" spans="1:8" x14ac:dyDescent="0.25">
      <c r="A462" t="s">
        <v>106</v>
      </c>
      <c r="B462">
        <v>460</v>
      </c>
      <c r="D462" t="str">
        <f t="shared" si="15"/>
        <v>=Vlookup("460",Translations!F3:H800,1,0)</v>
      </c>
      <c r="E462" t="str">
        <f t="shared" si="14"/>
        <v>LFA-verified rates</v>
      </c>
      <c r="F462" t="s">
        <v>3686</v>
      </c>
      <c r="G462" t="s">
        <v>3686</v>
      </c>
      <c r="H462" t="s">
        <v>3686</v>
      </c>
    </row>
    <row r="463" spans="1:8" x14ac:dyDescent="0.25">
      <c r="A463" t="s">
        <v>106</v>
      </c>
      <c r="B463">
        <v>461</v>
      </c>
      <c r="D463" t="str">
        <f t="shared" si="15"/>
        <v>=Vlookup("461",Translations!F3:H800,1,0)</v>
      </c>
      <c r="E463" t="str">
        <f t="shared" si="14"/>
        <v xml:space="preserve">Name of local currency, date and source of the exchange rate, and other comments (if appropriate) </v>
      </c>
      <c r="F463" t="s">
        <v>3687</v>
      </c>
      <c r="G463" t="s">
        <v>3687</v>
      </c>
      <c r="H463" t="s">
        <v>3687</v>
      </c>
    </row>
    <row r="464" spans="1:8" x14ac:dyDescent="0.25">
      <c r="A464" t="s">
        <v>106</v>
      </c>
      <c r="B464">
        <v>462</v>
      </c>
      <c r="D464" t="str">
        <f t="shared" si="15"/>
        <v>=Vlookup("462",Translations!F3:H800,1,0)</v>
      </c>
      <c r="E464" t="str">
        <f t="shared" si="14"/>
        <v>LFA comments on the exchange rates used by the PR</v>
      </c>
      <c r="F464" t="s">
        <v>3688</v>
      </c>
      <c r="G464" t="s">
        <v>3688</v>
      </c>
      <c r="H464" t="s">
        <v>3688</v>
      </c>
    </row>
    <row r="465" spans="1:8" x14ac:dyDescent="0.25">
      <c r="A465" t="s">
        <v>106</v>
      </c>
      <c r="B465">
        <v>463</v>
      </c>
      <c r="D465" t="str">
        <f t="shared" si="15"/>
        <v>=Vlookup("463",Translations!F3:H800,1,0)</v>
      </c>
      <c r="E465" t="str">
        <f t="shared" si="14"/>
        <v>'- used to convert Opening Cash Balance</v>
      </c>
      <c r="F465" t="s">
        <v>3689</v>
      </c>
      <c r="G465" t="s">
        <v>3689</v>
      </c>
      <c r="H465" t="s">
        <v>3689</v>
      </c>
    </row>
    <row r="466" spans="1:8" x14ac:dyDescent="0.25">
      <c r="A466" t="s">
        <v>106</v>
      </c>
      <c r="B466">
        <v>464</v>
      </c>
      <c r="D466" t="str">
        <f t="shared" si="15"/>
        <v>=Vlookup("464",Translations!F3:H800,1,0)</v>
      </c>
      <c r="E466" t="e">
        <f t="shared" si="14"/>
        <v>#NAME?</v>
      </c>
      <c r="F466" t="e">
        <f>- used to convert Closing Cash Balance</f>
        <v>#NAME?</v>
      </c>
      <c r="G466" t="e">
        <f>- used to convert Closing Cash Balance</f>
        <v>#NAME?</v>
      </c>
      <c r="H466" t="e">
        <f>- used to convert Closing Cash Balance</f>
        <v>#NAME?</v>
      </c>
    </row>
    <row r="467" spans="1:8" x14ac:dyDescent="0.25">
      <c r="A467" t="s">
        <v>106</v>
      </c>
      <c r="B467">
        <v>465</v>
      </c>
      <c r="D467" t="str">
        <f t="shared" si="15"/>
        <v>=Vlookup("465",Translations!F3:H800,1,0)</v>
      </c>
      <c r="E467" t="e">
        <f t="shared" si="14"/>
        <v>#NAME?</v>
      </c>
      <c r="F467" t="e">
        <f>- used to convert Total PR Cash Outflow for the Progress Update Period</f>
        <v>#NAME?</v>
      </c>
      <c r="G467" t="e">
        <f>- used to convert Total PR Cash Outflow for the Progress Update Period</f>
        <v>#NAME?</v>
      </c>
      <c r="H467" t="e">
        <f>- used to convert Total PR Cash Outflow for the Progress Update Period</f>
        <v>#NAME?</v>
      </c>
    </row>
    <row r="468" spans="1:8" x14ac:dyDescent="0.25">
      <c r="A468" t="s">
        <v>3690</v>
      </c>
      <c r="B468">
        <v>466</v>
      </c>
      <c r="D468" t="str">
        <f t="shared" si="15"/>
        <v>=Vlookup("466",Translations!F3:H800,1,0)</v>
      </c>
      <c r="E468" t="str">
        <f t="shared" si="14"/>
        <v>Rapport périodique sur les résultats actuels et demande de décaissement</v>
      </c>
      <c r="F468" t="s">
        <v>3227</v>
      </c>
      <c r="G468" t="s">
        <v>3228</v>
      </c>
      <c r="H468" t="s">
        <v>3227</v>
      </c>
    </row>
    <row r="469" spans="1:8" x14ac:dyDescent="0.25">
      <c r="A469" t="s">
        <v>3690</v>
      </c>
      <c r="B469">
        <v>467</v>
      </c>
      <c r="D469" t="str">
        <f t="shared" si="15"/>
        <v>=Vlookup("467",Translations!F3:H800,1,0)</v>
      </c>
      <c r="E469" t="str">
        <f t="shared" si="14"/>
        <v>Section 9A.  Autorisation du récipiendaire principal</v>
      </c>
      <c r="F469" t="s">
        <v>3691</v>
      </c>
      <c r="G469" t="s">
        <v>3692</v>
      </c>
      <c r="H469" t="s">
        <v>3693</v>
      </c>
    </row>
    <row r="470" spans="1:8" x14ac:dyDescent="0.25">
      <c r="A470" t="s">
        <v>3690</v>
      </c>
      <c r="B470">
        <v>468</v>
      </c>
      <c r="D470" t="str">
        <f t="shared" si="15"/>
        <v>=Vlookup("468",Translations!F3:H800,1,0)</v>
      </c>
      <c r="E470" t="str">
        <f t="shared" si="14"/>
        <v>Nom/numéro de la subvention :</v>
      </c>
      <c r="F470" t="s">
        <v>3694</v>
      </c>
      <c r="G470" t="s">
        <v>3248</v>
      </c>
      <c r="H470" t="s">
        <v>3249</v>
      </c>
    </row>
    <row r="471" spans="1:8" x14ac:dyDescent="0.25">
      <c r="A471" t="s">
        <v>3690</v>
      </c>
      <c r="B471">
        <v>469</v>
      </c>
      <c r="D471" t="str">
        <f t="shared" si="15"/>
        <v>=Vlookup("469",Translations!F3:H800,1,0)</v>
      </c>
      <c r="E471" t="str">
        <f t="shared" si="14"/>
        <v>Période couverte par le rapport sur les résultats actuels :</v>
      </c>
      <c r="F471" t="s">
        <v>3695</v>
      </c>
      <c r="G471" t="s">
        <v>3276</v>
      </c>
      <c r="H471" t="s">
        <v>3277</v>
      </c>
    </row>
    <row r="472" spans="1:8" x14ac:dyDescent="0.25">
      <c r="A472" t="s">
        <v>3690</v>
      </c>
      <c r="B472">
        <v>470</v>
      </c>
      <c r="D472" t="str">
        <f t="shared" si="15"/>
        <v>=Vlookup("470",Translations!F3:H800,1,0)</v>
      </c>
      <c r="E472" t="str">
        <f t="shared" si="14"/>
        <v>Date de début :</v>
      </c>
      <c r="F472" t="s">
        <v>3279</v>
      </c>
      <c r="G472" t="s">
        <v>3295</v>
      </c>
      <c r="H472" t="s">
        <v>3281</v>
      </c>
    </row>
    <row r="473" spans="1:8" x14ac:dyDescent="0.25">
      <c r="A473" t="s">
        <v>3690</v>
      </c>
      <c r="B473">
        <v>471</v>
      </c>
      <c r="D473" t="str">
        <f t="shared" si="15"/>
        <v>=Vlookup("471",Translations!F3:H800,1,0)</v>
      </c>
      <c r="E473" t="str">
        <f t="shared" si="14"/>
        <v>Date de fin :</v>
      </c>
      <c r="F473" t="s">
        <v>3283</v>
      </c>
      <c r="G473" t="s">
        <v>3297</v>
      </c>
      <c r="H473" t="s">
        <v>3285</v>
      </c>
    </row>
    <row r="474" spans="1:8" x14ac:dyDescent="0.25">
      <c r="A474" t="s">
        <v>3690</v>
      </c>
      <c r="B474">
        <v>472</v>
      </c>
      <c r="D474" t="str">
        <f t="shared" si="15"/>
        <v>=Vlookup("472",Translations!F3:H800,1,0)</v>
      </c>
      <c r="E474" t="str">
        <f t="shared" si="14"/>
        <v>Demande de décaissement  - période de prévision:</v>
      </c>
      <c r="F474" t="s">
        <v>3303</v>
      </c>
      <c r="G474" t="s">
        <v>3304</v>
      </c>
      <c r="H474" t="s">
        <v>3305</v>
      </c>
    </row>
    <row r="475" spans="1:8" x14ac:dyDescent="0.25">
      <c r="A475" t="s">
        <v>3690</v>
      </c>
      <c r="B475">
        <v>473</v>
      </c>
      <c r="D475" t="str">
        <f t="shared" si="15"/>
        <v>=Vlookup("473",Translations!F3:H800,1,0)</v>
      </c>
      <c r="E475" t="str">
        <f t="shared" si="14"/>
        <v>Date de début :</v>
      </c>
      <c r="F475" t="s">
        <v>3279</v>
      </c>
      <c r="G475" t="s">
        <v>3295</v>
      </c>
      <c r="H475" t="s">
        <v>3281</v>
      </c>
    </row>
    <row r="476" spans="1:8" x14ac:dyDescent="0.25">
      <c r="A476" t="s">
        <v>3690</v>
      </c>
      <c r="B476">
        <v>474</v>
      </c>
      <c r="D476" t="str">
        <f t="shared" si="15"/>
        <v>=Vlookup("474",Translations!F3:H800,1,0)</v>
      </c>
      <c r="E476" t="str">
        <f t="shared" si="14"/>
        <v>Date de fin :</v>
      </c>
      <c r="F476" t="s">
        <v>3283</v>
      </c>
      <c r="G476" t="s">
        <v>3297</v>
      </c>
      <c r="H476" t="s">
        <v>3285</v>
      </c>
    </row>
    <row r="477" spans="1:8" x14ac:dyDescent="0.25">
      <c r="A477" t="s">
        <v>3690</v>
      </c>
      <c r="B477">
        <v>475</v>
      </c>
      <c r="D477" t="str">
        <f t="shared" si="15"/>
        <v>=Vlookup("475",Translations!F3:H800,1,0)</v>
      </c>
      <c r="E477" t="str">
        <f t="shared" si="14"/>
        <v>Demande de décaissement  - Période additionnelle convenue:</v>
      </c>
      <c r="F477" t="s">
        <v>3309</v>
      </c>
      <c r="G477" t="s">
        <v>3310</v>
      </c>
      <c r="H477" t="s">
        <v>3624</v>
      </c>
    </row>
    <row r="478" spans="1:8" x14ac:dyDescent="0.25">
      <c r="A478" t="s">
        <v>3690</v>
      </c>
      <c r="B478">
        <v>476</v>
      </c>
      <c r="D478" t="str">
        <f t="shared" si="15"/>
        <v>=Vlookup("476",Translations!F3:H800,1,0)</v>
      </c>
      <c r="E478" t="str">
        <f t="shared" si="14"/>
        <v>Date de début :</v>
      </c>
      <c r="F478" t="s">
        <v>3279</v>
      </c>
      <c r="G478" t="s">
        <v>3295</v>
      </c>
      <c r="H478" t="s">
        <v>3281</v>
      </c>
    </row>
    <row r="479" spans="1:8" x14ac:dyDescent="0.25">
      <c r="A479" t="s">
        <v>3690</v>
      </c>
      <c r="B479">
        <v>477</v>
      </c>
      <c r="D479" t="str">
        <f t="shared" si="15"/>
        <v>=Vlookup("477",Translations!F3:H800,1,0)</v>
      </c>
      <c r="E479" t="str">
        <f t="shared" si="14"/>
        <v>Date de fin :</v>
      </c>
      <c r="F479" t="s">
        <v>3283</v>
      </c>
      <c r="G479" t="s">
        <v>3297</v>
      </c>
      <c r="H479" t="s">
        <v>3285</v>
      </c>
    </row>
    <row r="480" spans="1:8" x14ac:dyDescent="0.25">
      <c r="A480" t="s">
        <v>3690</v>
      </c>
      <c r="B480">
        <v>478</v>
      </c>
      <c r="D480" t="str">
        <f t="shared" si="15"/>
        <v>=Vlookup("478",Translations!F3:H800,1,0)</v>
      </c>
      <c r="E480" t="str">
        <f t="shared" si="14"/>
        <v>Monnaie Subvention :</v>
      </c>
      <c r="F480" t="s">
        <v>3696</v>
      </c>
      <c r="G480" t="s">
        <v>3264</v>
      </c>
      <c r="H480" t="s">
        <v>3265</v>
      </c>
    </row>
    <row r="481" spans="1:8" ht="30" x14ac:dyDescent="0.25">
      <c r="A481" t="s">
        <v>3690</v>
      </c>
      <c r="B481">
        <v>479</v>
      </c>
      <c r="D481" t="str">
        <f t="shared" si="15"/>
        <v>=Vlookup("479",Translations!F3:H800,1,0)</v>
      </c>
      <c r="E481" t="str">
        <f t="shared" si="14"/>
        <v xml:space="preserve">Montant de la demande de décaissement
</v>
      </c>
      <c r="F481" t="s">
        <v>3697</v>
      </c>
      <c r="G481" s="731" t="s">
        <v>3698</v>
      </c>
      <c r="H481" t="s">
        <v>3699</v>
      </c>
    </row>
    <row r="482" spans="1:8" x14ac:dyDescent="0.25">
      <c r="A482" t="s">
        <v>3690</v>
      </c>
      <c r="B482">
        <v>480</v>
      </c>
      <c r="D482" t="str">
        <f t="shared" si="15"/>
        <v>=Vlookup("480",Translations!F3:H800,1,0)</v>
      </c>
      <c r="E482" t="str">
        <f t="shared" si="14"/>
        <v>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v>
      </c>
      <c r="F482" t="s">
        <v>3700</v>
      </c>
      <c r="G482" t="s">
        <v>3701</v>
      </c>
      <c r="H482" t="s">
        <v>3702</v>
      </c>
    </row>
    <row r="483" spans="1:8" ht="60" x14ac:dyDescent="0.25">
      <c r="A483" t="s">
        <v>3690</v>
      </c>
      <c r="B483">
        <v>481</v>
      </c>
      <c r="D483" t="str">
        <f t="shared" si="15"/>
        <v>=Vlookup("481",Translations!F3:H800,1,0)</v>
      </c>
      <c r="E483" t="str">
        <f t="shared" si="14"/>
        <v>Signé au nom du récipiendaire principal :
(signature du représentant désigné dûment autorisé)</v>
      </c>
      <c r="F483" s="731" t="s">
        <v>3703</v>
      </c>
      <c r="G483" s="731" t="s">
        <v>3704</v>
      </c>
      <c r="H483" s="731" t="s">
        <v>3705</v>
      </c>
    </row>
    <row r="484" spans="1:8" x14ac:dyDescent="0.25">
      <c r="A484" t="s">
        <v>3690</v>
      </c>
      <c r="B484">
        <v>482</v>
      </c>
      <c r="D484" t="str">
        <f t="shared" si="15"/>
        <v>=Vlookup("482",Translations!F3:H800,1,0)</v>
      </c>
      <c r="E484" t="str">
        <f t="shared" si="14"/>
        <v>Nom :</v>
      </c>
      <c r="F484" t="s">
        <v>3706</v>
      </c>
      <c r="G484" t="s">
        <v>3707</v>
      </c>
      <c r="H484" t="s">
        <v>3708</v>
      </c>
    </row>
    <row r="485" spans="1:8" x14ac:dyDescent="0.25">
      <c r="A485" t="s">
        <v>3690</v>
      </c>
      <c r="B485">
        <v>483</v>
      </c>
      <c r="D485" t="str">
        <f t="shared" si="15"/>
        <v>=Vlookup("483",Translations!F3:H800,1,0)</v>
      </c>
      <c r="E485" t="str">
        <f t="shared" si="14"/>
        <v>Titre :</v>
      </c>
      <c r="F485" t="s">
        <v>3709</v>
      </c>
      <c r="G485" t="s">
        <v>3710</v>
      </c>
      <c r="H485" t="s">
        <v>3711</v>
      </c>
    </row>
    <row r="486" spans="1:8" x14ac:dyDescent="0.25">
      <c r="A486" t="s">
        <v>3690</v>
      </c>
      <c r="B486">
        <v>484</v>
      </c>
      <c r="D486" t="str">
        <f t="shared" si="15"/>
        <v>=Vlookup("484",Translations!F3:H800,1,0)</v>
      </c>
      <c r="E486" t="str">
        <f t="shared" si="14"/>
        <v>Lieu et date :</v>
      </c>
      <c r="F486" t="s">
        <v>3712</v>
      </c>
      <c r="G486" t="s">
        <v>3713</v>
      </c>
      <c r="H486" t="s">
        <v>3714</v>
      </c>
    </row>
    <row r="487" spans="1:8" x14ac:dyDescent="0.25">
      <c r="A487" t="s">
        <v>3715</v>
      </c>
      <c r="B487">
        <v>485</v>
      </c>
      <c r="D487" t="str">
        <f t="shared" si="15"/>
        <v>=Vlookup("485",Translations!F3:H800,1,0)</v>
      </c>
      <c r="E487" t="str">
        <f t="shared" si="14"/>
        <v>Rapport périodique sur les résultats actuels et demande de décaissement</v>
      </c>
      <c r="F487" t="s">
        <v>3227</v>
      </c>
      <c r="G487" t="s">
        <v>3228</v>
      </c>
      <c r="H487" t="s">
        <v>3227</v>
      </c>
    </row>
    <row r="488" spans="1:8" x14ac:dyDescent="0.25">
      <c r="A488" t="s">
        <v>3715</v>
      </c>
      <c r="B488">
        <v>486</v>
      </c>
      <c r="D488" t="str">
        <f t="shared" si="15"/>
        <v>=Vlookup("486",Translations!F3:H800,1,0)</v>
      </c>
      <c r="E488" t="str">
        <f t="shared" si="14"/>
        <v>For LFA Use Only</v>
      </c>
      <c r="F488" t="s">
        <v>1114</v>
      </c>
      <c r="G488" t="s">
        <v>1114</v>
      </c>
      <c r="H488" t="s">
        <v>1114</v>
      </c>
    </row>
    <row r="489" spans="1:8" x14ac:dyDescent="0.25">
      <c r="A489" t="s">
        <v>3715</v>
      </c>
      <c r="B489">
        <v>487</v>
      </c>
      <c r="D489" t="str">
        <f t="shared" si="15"/>
        <v>=Vlookup("487",Translations!F3:H800,1,0)</v>
      </c>
      <c r="E489" t="str">
        <f t="shared" si="14"/>
        <v>Section 9B.  LFA Authorization</v>
      </c>
      <c r="F489" t="s">
        <v>3716</v>
      </c>
      <c r="G489" t="s">
        <v>3716</v>
      </c>
      <c r="H489" t="s">
        <v>3716</v>
      </c>
    </row>
    <row r="490" spans="1:8" x14ac:dyDescent="0.25">
      <c r="A490" t="s">
        <v>3715</v>
      </c>
      <c r="B490">
        <v>488</v>
      </c>
      <c r="D490" t="str">
        <f t="shared" si="15"/>
        <v>=Vlookup("488",Translations!F3:H800,1,0)</v>
      </c>
      <c r="E490" t="str">
        <f t="shared" si="14"/>
        <v>Grant Name:</v>
      </c>
      <c r="F490" t="s">
        <v>3694</v>
      </c>
      <c r="G490" t="s">
        <v>3694</v>
      </c>
      <c r="H490" t="s">
        <v>3694</v>
      </c>
    </row>
    <row r="491" spans="1:8" x14ac:dyDescent="0.25">
      <c r="A491" t="s">
        <v>3715</v>
      </c>
      <c r="B491">
        <v>489</v>
      </c>
      <c r="D491" t="str">
        <f t="shared" si="15"/>
        <v>=Vlookup("489",Translations!F3:H800,1,0)</v>
      </c>
      <c r="E491" t="str">
        <f t="shared" si="14"/>
        <v>Principal Recipient Reporting - Period Covered:</v>
      </c>
      <c r="F491" t="s">
        <v>3695</v>
      </c>
      <c r="G491" t="s">
        <v>3695</v>
      </c>
      <c r="H491" t="s">
        <v>3695</v>
      </c>
    </row>
    <row r="492" spans="1:8" x14ac:dyDescent="0.25">
      <c r="A492" t="s">
        <v>3715</v>
      </c>
      <c r="B492">
        <v>490</v>
      </c>
      <c r="D492" t="str">
        <f t="shared" si="15"/>
        <v>=Vlookup("490",Translations!F3:H800,1,0)</v>
      </c>
      <c r="E492" t="str">
        <f t="shared" si="14"/>
        <v>Beginning Date:</v>
      </c>
      <c r="F492" t="s">
        <v>3279</v>
      </c>
      <c r="G492" t="s">
        <v>3279</v>
      </c>
      <c r="H492" t="s">
        <v>3279</v>
      </c>
    </row>
    <row r="493" spans="1:8" x14ac:dyDescent="0.25">
      <c r="A493" t="s">
        <v>3715</v>
      </c>
      <c r="B493">
        <v>491</v>
      </c>
      <c r="D493" t="str">
        <f t="shared" si="15"/>
        <v>=Vlookup("491",Translations!F3:H800,1,0)</v>
      </c>
      <c r="E493" t="str">
        <f t="shared" si="14"/>
        <v>End Date:</v>
      </c>
      <c r="F493" t="s">
        <v>3283</v>
      </c>
      <c r="G493" t="s">
        <v>3283</v>
      </c>
      <c r="H493" t="s">
        <v>3283</v>
      </c>
    </row>
    <row r="494" spans="1:8" x14ac:dyDescent="0.25">
      <c r="A494" t="s">
        <v>3715</v>
      </c>
      <c r="B494">
        <v>492</v>
      </c>
      <c r="D494" t="str">
        <f t="shared" si="15"/>
        <v>=Vlookup("492",Translations!F3:H800,1,0)</v>
      </c>
      <c r="E494" t="str">
        <f t="shared" si="14"/>
        <v>Disbursement Request  - Period Covered:</v>
      </c>
      <c r="F494" t="s">
        <v>3717</v>
      </c>
      <c r="G494" t="s">
        <v>3717</v>
      </c>
      <c r="H494" t="s">
        <v>3717</v>
      </c>
    </row>
    <row r="495" spans="1:8" x14ac:dyDescent="0.25">
      <c r="A495" t="s">
        <v>3715</v>
      </c>
      <c r="B495">
        <v>493</v>
      </c>
      <c r="D495" t="str">
        <f t="shared" si="15"/>
        <v>=Vlookup("493",Translations!F3:H800,1,0)</v>
      </c>
      <c r="E495" t="str">
        <f t="shared" si="14"/>
        <v>Beginning Date:</v>
      </c>
      <c r="F495" t="s">
        <v>3279</v>
      </c>
      <c r="G495" t="s">
        <v>3279</v>
      </c>
      <c r="H495" t="s">
        <v>3279</v>
      </c>
    </row>
    <row r="496" spans="1:8" x14ac:dyDescent="0.25">
      <c r="A496" t="s">
        <v>3715</v>
      </c>
      <c r="B496">
        <v>494</v>
      </c>
      <c r="D496" t="str">
        <f t="shared" si="15"/>
        <v>=Vlookup("494",Translations!F3:H800,1,0)</v>
      </c>
      <c r="E496" t="str">
        <f t="shared" si="14"/>
        <v>End Date:</v>
      </c>
      <c r="F496" t="s">
        <v>3283</v>
      </c>
      <c r="G496" t="s">
        <v>3283</v>
      </c>
      <c r="H496" t="s">
        <v>3283</v>
      </c>
    </row>
    <row r="497" spans="1:8" x14ac:dyDescent="0.25">
      <c r="A497" t="s">
        <v>3715</v>
      </c>
      <c r="B497">
        <v>495</v>
      </c>
      <c r="D497" t="str">
        <f t="shared" si="15"/>
        <v>=Vlookup("495",Translations!F3:H800,1,0)</v>
      </c>
      <c r="E497" t="str">
        <f t="shared" si="14"/>
        <v>Demande de décaissement  - Période additionnelle convenue:</v>
      </c>
      <c r="F497" t="s">
        <v>3309</v>
      </c>
      <c r="G497" t="s">
        <v>3310</v>
      </c>
      <c r="H497" t="s">
        <v>3624</v>
      </c>
    </row>
    <row r="498" spans="1:8" x14ac:dyDescent="0.25">
      <c r="A498" t="s">
        <v>3715</v>
      </c>
      <c r="B498">
        <v>496</v>
      </c>
      <c r="D498" t="str">
        <f t="shared" si="15"/>
        <v>=Vlookup("496",Translations!F3:H800,1,0)</v>
      </c>
      <c r="E498" t="str">
        <f t="shared" si="14"/>
        <v>Beginning Date:</v>
      </c>
      <c r="F498" t="s">
        <v>3279</v>
      </c>
      <c r="G498" t="s">
        <v>3279</v>
      </c>
      <c r="H498" t="s">
        <v>3279</v>
      </c>
    </row>
    <row r="499" spans="1:8" x14ac:dyDescent="0.25">
      <c r="A499" t="s">
        <v>3715</v>
      </c>
      <c r="B499">
        <v>497</v>
      </c>
      <c r="D499" t="str">
        <f t="shared" si="15"/>
        <v>=Vlookup("497",Translations!F3:H800,1,0)</v>
      </c>
      <c r="E499" t="str">
        <f t="shared" si="14"/>
        <v>End Date:</v>
      </c>
      <c r="F499" t="s">
        <v>3283</v>
      </c>
      <c r="G499" t="s">
        <v>3283</v>
      </c>
      <c r="H499" t="s">
        <v>3283</v>
      </c>
    </row>
    <row r="500" spans="1:8" x14ac:dyDescent="0.25">
      <c r="A500" t="s">
        <v>3715</v>
      </c>
      <c r="B500">
        <v>498</v>
      </c>
      <c r="D500" t="str">
        <f t="shared" si="15"/>
        <v>=Vlookup("498",Translations!F3:H800,1,0)</v>
      </c>
      <c r="E500" t="str">
        <f t="shared" si="14"/>
        <v>Currency:</v>
      </c>
      <c r="F500" t="s">
        <v>3696</v>
      </c>
      <c r="G500" t="s">
        <v>3696</v>
      </c>
      <c r="H500" t="s">
        <v>3696</v>
      </c>
    </row>
    <row r="501" spans="1:8" x14ac:dyDescent="0.25">
      <c r="A501" t="s">
        <v>3715</v>
      </c>
      <c r="B501">
        <v>499</v>
      </c>
      <c r="D501" t="str">
        <f t="shared" si="15"/>
        <v>=Vlookup("499",Translations!F3:H800,1,0)</v>
      </c>
      <c r="E501" t="str">
        <f t="shared" si="14"/>
        <v>Disbursement Recommendation Amount:</v>
      </c>
      <c r="F501" t="s">
        <v>3718</v>
      </c>
      <c r="G501" t="s">
        <v>3718</v>
      </c>
      <c r="H501" t="s">
        <v>3718</v>
      </c>
    </row>
    <row r="502" spans="1:8" x14ac:dyDescent="0.25">
      <c r="A502" t="s">
        <v>3715</v>
      </c>
      <c r="B502">
        <v>500</v>
      </c>
      <c r="D502" t="str">
        <f t="shared" si="15"/>
        <v>=Vlookup("500",Translations!F3:H800,1,0)</v>
      </c>
      <c r="E502" t="str">
        <f t="shared" si="14"/>
        <v>Summary of the LFA's approach used for verification of financial, programmatic and procurement data and Quality Assurance undertaken by the LFA</v>
      </c>
      <c r="F502" t="s">
        <v>3719</v>
      </c>
      <c r="G502" t="s">
        <v>3719</v>
      </c>
      <c r="H502" t="s">
        <v>3719</v>
      </c>
    </row>
    <row r="503" spans="1:8" x14ac:dyDescent="0.25">
      <c r="A503" t="s">
        <v>3715</v>
      </c>
      <c r="B503">
        <v>501</v>
      </c>
      <c r="D503" t="str">
        <f t="shared" si="15"/>
        <v>=Vlookup("501",Translations!F3:H800,1,0)</v>
      </c>
      <c r="E503"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t="s">
        <v>3720</v>
      </c>
      <c r="G503" t="s">
        <v>3720</v>
      </c>
      <c r="H503" t="s">
        <v>3720</v>
      </c>
    </row>
    <row r="504" spans="1:8" x14ac:dyDescent="0.25">
      <c r="A504" t="s">
        <v>3715</v>
      </c>
      <c r="B504">
        <v>502</v>
      </c>
      <c r="D504" t="str">
        <f t="shared" si="15"/>
        <v>=Vlookup("502",Translations!F3:H800,1,0)</v>
      </c>
      <c r="E504" t="str">
        <f t="shared" si="14"/>
        <v>The LFA should sign a printed version of the verified PU/DR and send it to the Secretariat as a pdf file by email, or include an electronic signature in the Excel file to be submitted to the Global Fund.</v>
      </c>
      <c r="F504" t="s">
        <v>3721</v>
      </c>
      <c r="G504" t="s">
        <v>3721</v>
      </c>
      <c r="H504" t="s">
        <v>3721</v>
      </c>
    </row>
    <row r="505" spans="1:8" x14ac:dyDescent="0.25">
      <c r="A505" t="s">
        <v>3715</v>
      </c>
      <c r="B505">
        <v>503</v>
      </c>
      <c r="D505" t="str">
        <f t="shared" si="15"/>
        <v>=Vlookup("503",Translations!F3:H800,1,0)</v>
      </c>
      <c r="E505" t="str">
        <f t="shared" si="14"/>
        <v>Signed on behalf of the LFA:</v>
      </c>
      <c r="F505" t="s">
        <v>3722</v>
      </c>
      <c r="G505" t="s">
        <v>3722</v>
      </c>
      <c r="H505" t="s">
        <v>3722</v>
      </c>
    </row>
    <row r="506" spans="1:8" x14ac:dyDescent="0.25">
      <c r="A506" t="s">
        <v>3715</v>
      </c>
      <c r="B506">
        <v>504</v>
      </c>
      <c r="D506" t="str">
        <f t="shared" si="15"/>
        <v>=Vlookup("504",Translations!F3:H800,1,0)</v>
      </c>
      <c r="E506" t="str">
        <f t="shared" si="14"/>
        <v>Name:</v>
      </c>
      <c r="F506" t="s">
        <v>3706</v>
      </c>
      <c r="G506" t="s">
        <v>3706</v>
      </c>
      <c r="H506" t="s">
        <v>3706</v>
      </c>
    </row>
    <row r="507" spans="1:8" x14ac:dyDescent="0.25">
      <c r="A507" t="s">
        <v>3715</v>
      </c>
      <c r="B507">
        <v>505</v>
      </c>
      <c r="D507" t="str">
        <f t="shared" si="15"/>
        <v>=Vlookup("505",Translations!F3:H800,1,0)</v>
      </c>
      <c r="E507" t="str">
        <f t="shared" si="14"/>
        <v>Title:</v>
      </c>
      <c r="F507" t="s">
        <v>3709</v>
      </c>
      <c r="G507" t="s">
        <v>3709</v>
      </c>
      <c r="H507" t="s">
        <v>3709</v>
      </c>
    </row>
    <row r="508" spans="1:8" x14ac:dyDescent="0.25">
      <c r="A508" t="s">
        <v>3715</v>
      </c>
      <c r="B508">
        <v>506</v>
      </c>
      <c r="D508" t="str">
        <f t="shared" si="15"/>
        <v>=Vlookup("506",Translations!F3:H800,1,0)</v>
      </c>
      <c r="E508" t="str">
        <f t="shared" si="14"/>
        <v>Title:</v>
      </c>
      <c r="F508" t="s">
        <v>3709</v>
      </c>
      <c r="G508" t="s">
        <v>3709</v>
      </c>
      <c r="H508" t="s">
        <v>3709</v>
      </c>
    </row>
    <row r="509" spans="1:8" x14ac:dyDescent="0.25">
      <c r="B509">
        <v>507</v>
      </c>
      <c r="D509" t="str">
        <f t="shared" si="15"/>
        <v>=Vlookup("507",Translations!F3:H800,1,0)</v>
      </c>
      <c r="E509" t="str">
        <f t="shared" ref="E509:E530" si="16">IF(LangOffset=0,F509,IF(LangOffset=1,G509,IF(LangOffset=2,H509)))</f>
        <v>État de rapprochement du solde de trésorerie</v>
      </c>
      <c r="F509" t="s">
        <v>3723</v>
      </c>
      <c r="G509" t="s">
        <v>3724</v>
      </c>
      <c r="H509" t="s">
        <v>3725</v>
      </c>
    </row>
    <row r="510" spans="1:8" x14ac:dyDescent="0.25">
      <c r="B510">
        <v>508</v>
      </c>
      <c r="D510" t="str">
        <f t="shared" si="15"/>
        <v>=Vlookup("508",Translations!F3:H800,1,0)</v>
      </c>
      <c r="E510" t="str">
        <f t="shared" si="16"/>
        <v xml:space="preserve"> Section 1. Rapprochement par le récipiendaire principal du solde de trésorerie final dans la monnaie de la subvention</v>
      </c>
      <c r="F510" t="s">
        <v>3726</v>
      </c>
      <c r="G510" t="s">
        <v>3727</v>
      </c>
      <c r="H510" t="s">
        <v>3728</v>
      </c>
    </row>
    <row r="511" spans="1:8" x14ac:dyDescent="0.25">
      <c r="B511">
        <v>509</v>
      </c>
      <c r="D511" t="str">
        <f t="shared" si="15"/>
        <v>=Vlookup("509",Translations!F3:H800,1,0)</v>
      </c>
      <c r="E511" t="str">
        <f t="shared" si="16"/>
        <v>PÉRIODE DE COMMUNICATION DE L’INFORMATION FINANCIÈRE</v>
      </c>
      <c r="F511" t="s">
        <v>3287</v>
      </c>
      <c r="G511" t="s">
        <v>3729</v>
      </c>
      <c r="H511" t="s">
        <v>3730</v>
      </c>
    </row>
    <row r="512" spans="1:8" x14ac:dyDescent="0.25">
      <c r="B512">
        <v>510</v>
      </c>
      <c r="D512" t="str">
        <f t="shared" si="15"/>
        <v>=Vlookup("510",Translations!F3:H800,1,0)</v>
      </c>
      <c r="E512" t="str">
        <f t="shared" si="16"/>
        <v>Période de communication de l’information financière</v>
      </c>
      <c r="F512" t="s">
        <v>3291</v>
      </c>
      <c r="G512" t="s">
        <v>3731</v>
      </c>
      <c r="H512" t="s">
        <v>3732</v>
      </c>
    </row>
    <row r="513" spans="2:8" x14ac:dyDescent="0.25">
      <c r="B513">
        <v>511</v>
      </c>
      <c r="D513" t="str">
        <f t="shared" si="15"/>
        <v>=Vlookup("511",Translations!F3:H800,1,0)</v>
      </c>
      <c r="E513" t="str">
        <f t="shared" si="16"/>
        <v>Date de début :</v>
      </c>
      <c r="F513" t="s">
        <v>3279</v>
      </c>
      <c r="G513" t="s">
        <v>3295</v>
      </c>
      <c r="H513" t="s">
        <v>3281</v>
      </c>
    </row>
    <row r="514" spans="2:8" x14ac:dyDescent="0.25">
      <c r="B514">
        <v>512</v>
      </c>
      <c r="D514" t="str">
        <f t="shared" si="15"/>
        <v>=Vlookup("512",Translations!F3:H800,1,0)</v>
      </c>
      <c r="E514" t="str">
        <f t="shared" si="16"/>
        <v>Date de fin :</v>
      </c>
      <c r="F514" t="s">
        <v>3283</v>
      </c>
      <c r="G514" t="s">
        <v>3297</v>
      </c>
      <c r="H514" t="s">
        <v>3733</v>
      </c>
    </row>
    <row r="515" spans="2:8" x14ac:dyDescent="0.25">
      <c r="B515">
        <v>513</v>
      </c>
      <c r="D515" t="str">
        <f t="shared" si="15"/>
        <v>=Vlookup("513",Translations!F3:H800,1,0)</v>
      </c>
      <c r="E515" t="str">
        <f t="shared" si="16"/>
        <v>Récipiendaire principal</v>
      </c>
      <c r="F515" t="s">
        <v>1085</v>
      </c>
      <c r="G515" t="s">
        <v>3481</v>
      </c>
      <c r="H515" t="s">
        <v>3734</v>
      </c>
    </row>
    <row r="516" spans="2:8" x14ac:dyDescent="0.25">
      <c r="B516">
        <v>514</v>
      </c>
      <c r="D516" t="str">
        <f t="shared" ref="D516:D579" si="17">"=Vlookup("""&amp;B516&amp;""",Translations!F3:H800,1,0)"</f>
        <v>=Vlookup("514",Translations!F3:H800,1,0)</v>
      </c>
      <c r="E516" t="str">
        <f t="shared" si="16"/>
        <v xml:space="preserve">Réservé à l’agent local du Fonds </v>
      </c>
      <c r="F516" t="s">
        <v>791</v>
      </c>
      <c r="G516" t="s">
        <v>3735</v>
      </c>
      <c r="H516" t="s">
        <v>3736</v>
      </c>
    </row>
    <row r="517" spans="2:8" x14ac:dyDescent="0.25">
      <c r="B517">
        <v>515</v>
      </c>
      <c r="D517" t="str">
        <f t="shared" si="17"/>
        <v>=Vlookup("515",Translations!F3:H800,1,0)</v>
      </c>
      <c r="E517" t="str">
        <f t="shared" si="16"/>
        <v>Réservé au Fonds mondial</v>
      </c>
      <c r="F517" t="s">
        <v>792</v>
      </c>
      <c r="G517" t="s">
        <v>3737</v>
      </c>
      <c r="H517" t="s">
        <v>3738</v>
      </c>
    </row>
    <row r="518" spans="2:8" x14ac:dyDescent="0.25">
      <c r="B518">
        <v>516</v>
      </c>
      <c r="D518" t="str">
        <f t="shared" si="17"/>
        <v>=Vlookup("516",Translations!F3:H800,1,0)</v>
      </c>
      <c r="E518" t="str">
        <f t="shared" si="16"/>
        <v>Période visée par le rapport</v>
      </c>
      <c r="F518" t="s">
        <v>2906</v>
      </c>
      <c r="G518" t="s">
        <v>3739</v>
      </c>
      <c r="H518" t="s">
        <v>3740</v>
      </c>
    </row>
    <row r="519" spans="2:8" x14ac:dyDescent="0.25">
      <c r="B519">
        <v>517</v>
      </c>
      <c r="D519" t="str">
        <f t="shared" si="17"/>
        <v>=Vlookup("517",Translations!F3:H800,1,0)</v>
      </c>
      <c r="E519" t="str">
        <f t="shared" si="16"/>
        <v>Commentaires</v>
      </c>
      <c r="F519" t="s">
        <v>160</v>
      </c>
      <c r="G519" t="s">
        <v>3373</v>
      </c>
      <c r="H519" t="s">
        <v>3374</v>
      </c>
    </row>
    <row r="520" spans="2:8" x14ac:dyDescent="0.25">
      <c r="B520">
        <v>518</v>
      </c>
      <c r="D520" t="str">
        <f t="shared" si="17"/>
        <v>=Vlookup("518",Translations!F3:H800,1,0)</v>
      </c>
      <c r="E520" t="str">
        <f t="shared" si="16"/>
        <v>Ajustements par l’agent local du Fonds pour la période visée par le rapport</v>
      </c>
      <c r="F520" t="s">
        <v>796</v>
      </c>
      <c r="G520" t="s">
        <v>3741</v>
      </c>
      <c r="H520" t="s">
        <v>3742</v>
      </c>
    </row>
    <row r="521" spans="2:8" x14ac:dyDescent="0.25">
      <c r="B521">
        <v>519</v>
      </c>
      <c r="D521" t="str">
        <f t="shared" si="17"/>
        <v>=Vlookup("519",Translations!F3:H800,1,0)</v>
      </c>
      <c r="E521" t="str">
        <f t="shared" si="16"/>
        <v>Vérifié par l’agent local du Fonds</v>
      </c>
      <c r="F521" t="s">
        <v>797</v>
      </c>
      <c r="G521" t="s">
        <v>3743</v>
      </c>
      <c r="H521" t="s">
        <v>3744</v>
      </c>
    </row>
    <row r="522" spans="2:8" x14ac:dyDescent="0.25">
      <c r="B522">
        <v>520</v>
      </c>
      <c r="D522" t="str">
        <f t="shared" si="17"/>
        <v>=Vlookup("520",Translations!F3:H800,1,0)</v>
      </c>
      <c r="E522" t="str">
        <f t="shared" si="16"/>
        <v>Commentaires</v>
      </c>
      <c r="F522" t="s">
        <v>160</v>
      </c>
      <c r="G522" t="s">
        <v>3373</v>
      </c>
      <c r="H522" t="s">
        <v>3374</v>
      </c>
    </row>
    <row r="523" spans="2:8" x14ac:dyDescent="0.25">
      <c r="B523">
        <v>521</v>
      </c>
      <c r="D523" t="str">
        <f t="shared" si="17"/>
        <v>=Vlookup("521",Translations!F3:H800,1,0)</v>
      </c>
      <c r="E523" t="str">
        <f t="shared" si="16"/>
        <v>Ajustements par l’équipe de pays</v>
      </c>
      <c r="F523" t="s">
        <v>828</v>
      </c>
      <c r="G523" t="s">
        <v>3745</v>
      </c>
      <c r="H523" t="s">
        <v>3746</v>
      </c>
    </row>
    <row r="524" spans="2:8" x14ac:dyDescent="0.25">
      <c r="B524">
        <v>522</v>
      </c>
      <c r="D524" t="str">
        <f t="shared" si="17"/>
        <v>=Vlookup("522",Translations!F3:H800,1,0)</v>
      </c>
      <c r="E524" t="str">
        <f t="shared" si="16"/>
        <v>Chiffres validés par le Fonds mondial</v>
      </c>
      <c r="F524" t="s">
        <v>799</v>
      </c>
      <c r="G524" t="s">
        <v>3747</v>
      </c>
      <c r="H524" t="s">
        <v>3748</v>
      </c>
    </row>
    <row r="525" spans="2:8" x14ac:dyDescent="0.25">
      <c r="B525">
        <v>523</v>
      </c>
      <c r="D525" t="str">
        <f t="shared" si="17"/>
        <v>=Vlookup("523",Translations!F3:H800,1,0)</v>
      </c>
      <c r="E525" t="str">
        <f t="shared" si="16"/>
        <v>Commentaires</v>
      </c>
      <c r="F525" t="s">
        <v>160</v>
      </c>
      <c r="G525" t="s">
        <v>3373</v>
      </c>
      <c r="H525" t="s">
        <v>3374</v>
      </c>
    </row>
    <row r="526" spans="2:8" x14ac:dyDescent="0.25">
      <c r="B526">
        <v>524</v>
      </c>
      <c r="D526" t="str">
        <f t="shared" si="17"/>
        <v>=Vlookup("524",Translations!F3:H800,1,0)</v>
      </c>
      <c r="E526" t="str">
        <f t="shared" si="16"/>
        <v>Total du solde de trésorerie figurant dans le dernier rapport sur les résultats actuels</v>
      </c>
      <c r="F526" t="s">
        <v>3749</v>
      </c>
      <c r="G526" t="s">
        <v>3750</v>
      </c>
      <c r="H526" t="s">
        <v>3751</v>
      </c>
    </row>
    <row r="527" spans="2:8" x14ac:dyDescent="0.25">
      <c r="B527">
        <v>525</v>
      </c>
      <c r="D527" t="str">
        <f t="shared" si="17"/>
        <v>=Vlookup("525",Translations!F3:H800,1,0)</v>
      </c>
      <c r="E527" t="str">
        <f t="shared" si="16"/>
        <v>2. Recettes de la subvention</v>
      </c>
      <c r="F527" t="s">
        <v>3752</v>
      </c>
      <c r="G527" t="s">
        <v>3753</v>
      </c>
      <c r="H527" t="s">
        <v>3754</v>
      </c>
    </row>
    <row r="528" spans="2:8" x14ac:dyDescent="0.25">
      <c r="B528">
        <v>526</v>
      </c>
      <c r="D528" t="str">
        <f t="shared" si="17"/>
        <v>=Vlookup("526",Translations!F3:H800,1,0)</v>
      </c>
      <c r="E528" t="str">
        <f t="shared" si="16"/>
        <v>Décaissement au récipiendaire principal</v>
      </c>
      <c r="F528" t="s">
        <v>3755</v>
      </c>
      <c r="G528" t="s">
        <v>3756</v>
      </c>
      <c r="H528" t="s">
        <v>3757</v>
      </c>
    </row>
    <row r="529" spans="2:8" x14ac:dyDescent="0.25">
      <c r="B529">
        <v>527</v>
      </c>
      <c r="D529" t="str">
        <f t="shared" si="17"/>
        <v>=Vlookup("527",Translations!F3:H800,1,0)</v>
      </c>
      <c r="E529" t="str">
        <f t="shared" si="16"/>
        <v>Décaissements à des tiers par le Fonds mondial au nom du récipiendaire principal</v>
      </c>
      <c r="F529" t="s">
        <v>3758</v>
      </c>
      <c r="G529" t="s">
        <v>3759</v>
      </c>
      <c r="H529" t="s">
        <v>3760</v>
      </c>
    </row>
    <row r="530" spans="2:8" x14ac:dyDescent="0.25">
      <c r="B530">
        <v>528</v>
      </c>
      <c r="D530" t="str">
        <f t="shared" si="17"/>
        <v>=Vlookup("528",Translations!F3:H800,1,0)</v>
      </c>
      <c r="E530" t="str">
        <f t="shared" si="16"/>
        <v>Autres recettes, le cas échéant (par ex. remboursements de TVA/d’autres impôts, produit de la cession d’actifs, etc.)</v>
      </c>
      <c r="F530" t="s">
        <v>3761</v>
      </c>
      <c r="G530" t="s">
        <v>3762</v>
      </c>
      <c r="H530" t="s">
        <v>3763</v>
      </c>
    </row>
    <row r="531" spans="2:8" x14ac:dyDescent="0.25">
      <c r="B531">
        <v>529</v>
      </c>
      <c r="D531" t="str">
        <f t="shared" si="17"/>
        <v>=Vlookup("529",Translations!F3:H800,1,0)</v>
      </c>
      <c r="E531" t="str">
        <f t="shared" ref="E531:E604" si="18">IF(LangOffset=0,F531,IF(LangOffset=1,G531,IF(LangOffset=2,H531)))</f>
        <v>Rapport sur les dépenses de clôture</v>
      </c>
      <c r="F531" t="s">
        <v>3764</v>
      </c>
      <c r="G531" t="s">
        <v>3765</v>
      </c>
      <c r="H531" t="s">
        <v>3766</v>
      </c>
    </row>
    <row r="532" spans="2:8" x14ac:dyDescent="0.25">
      <c r="B532">
        <v>530</v>
      </c>
      <c r="D532" t="str">
        <f t="shared" si="17"/>
        <v>=Vlookup("530",Translations!F3:H800,1,0)</v>
      </c>
      <c r="E532" t="str">
        <f t="shared" si="18"/>
        <v>Section 3A. Rapport sur les dépenses du récipiendaire principal rempli par ce dernier</v>
      </c>
      <c r="F532" t="s">
        <v>3767</v>
      </c>
      <c r="G532" t="s">
        <v>3768</v>
      </c>
      <c r="H532" t="s">
        <v>3769</v>
      </c>
    </row>
    <row r="533" spans="2:8" x14ac:dyDescent="0.25">
      <c r="B533">
        <v>531</v>
      </c>
      <c r="D533" t="str">
        <f t="shared" si="17"/>
        <v>=Vlookup("531",Translations!F3:H800,1,0)</v>
      </c>
      <c r="E533" t="str">
        <f t="shared" si="18"/>
        <v>Période couverte par le rapport sur les information financière</v>
      </c>
      <c r="F533" t="s">
        <v>3291</v>
      </c>
      <c r="G533" t="s">
        <v>3292</v>
      </c>
      <c r="H533" t="s">
        <v>3293</v>
      </c>
    </row>
    <row r="534" spans="2:8" x14ac:dyDescent="0.25">
      <c r="B534">
        <v>532</v>
      </c>
      <c r="D534" t="str">
        <f t="shared" si="17"/>
        <v>=Vlookup("532",Translations!F3:H800,1,0)</v>
      </c>
      <c r="E534" t="str">
        <f t="shared" si="18"/>
        <v>Date de début :</v>
      </c>
      <c r="F534" t="s">
        <v>3279</v>
      </c>
      <c r="G534" t="s">
        <v>3295</v>
      </c>
      <c r="H534" t="s">
        <v>3281</v>
      </c>
    </row>
    <row r="535" spans="2:8" x14ac:dyDescent="0.25">
      <c r="B535">
        <v>533</v>
      </c>
      <c r="D535" t="str">
        <f t="shared" si="17"/>
        <v>=Vlookup("533",Translations!F3:H800,1,0)</v>
      </c>
      <c r="E535" t="str">
        <f t="shared" si="18"/>
        <v>Date de fin :</v>
      </c>
      <c r="F535" t="s">
        <v>3283</v>
      </c>
      <c r="G535" t="s">
        <v>3297</v>
      </c>
      <c r="H535" t="s">
        <v>3733</v>
      </c>
    </row>
    <row r="536" spans="2:8" x14ac:dyDescent="0.25">
      <c r="B536">
        <v>534</v>
      </c>
      <c r="D536" t="str">
        <f t="shared" si="17"/>
        <v>=Vlookup("534",Translations!F3:H800,1,0)</v>
      </c>
      <c r="E536" t="str">
        <f t="shared" si="18"/>
        <v>Période cumulative de rapport sur les dépenses</v>
      </c>
      <c r="F536" t="s">
        <v>3770</v>
      </c>
      <c r="G536" t="s">
        <v>3771</v>
      </c>
      <c r="H536" t="s">
        <v>3772</v>
      </c>
    </row>
    <row r="537" spans="2:8" x14ac:dyDescent="0.25">
      <c r="B537">
        <v>535</v>
      </c>
      <c r="D537" t="str">
        <f t="shared" si="17"/>
        <v>=Vlookup("535",Translations!F3:H800,1,0)</v>
      </c>
      <c r="E537" t="str">
        <f t="shared" si="18"/>
        <v>Date de début :</v>
      </c>
      <c r="F537" t="s">
        <v>3279</v>
      </c>
      <c r="G537" t="s">
        <v>3295</v>
      </c>
      <c r="H537" t="s">
        <v>3281</v>
      </c>
    </row>
    <row r="538" spans="2:8" x14ac:dyDescent="0.25">
      <c r="B538">
        <v>536</v>
      </c>
      <c r="D538" t="str">
        <f t="shared" si="17"/>
        <v>=Vlookup("536",Translations!F3:H800,1,0)</v>
      </c>
      <c r="E538" t="str">
        <f t="shared" si="18"/>
        <v>Date de fin :</v>
      </c>
      <c r="F538" t="s">
        <v>3283</v>
      </c>
      <c r="G538" t="s">
        <v>3297</v>
      </c>
      <c r="H538" t="s">
        <v>3733</v>
      </c>
    </row>
    <row r="539" spans="2:8" x14ac:dyDescent="0.25">
      <c r="B539">
        <v>537</v>
      </c>
      <c r="D539" t="str">
        <f t="shared" si="17"/>
        <v>=Vlookup("537",Translations!F3:H800,1,0)</v>
      </c>
      <c r="E539" t="str">
        <f t="shared" si="18"/>
        <v>B. VENTILATION PAR GROUPES DE COÛTS</v>
      </c>
      <c r="F539" t="s">
        <v>3773</v>
      </c>
      <c r="G539" t="s">
        <v>3774</v>
      </c>
      <c r="H539" t="s">
        <v>3775</v>
      </c>
    </row>
    <row r="540" spans="2:8" x14ac:dyDescent="0.25">
      <c r="B540">
        <v>538</v>
      </c>
      <c r="D540" t="str">
        <f t="shared" si="17"/>
        <v>=Vlookup("538",Translations!F3:H800,1,0)</v>
      </c>
      <c r="E540" t="str">
        <f t="shared" si="18"/>
        <v>Période de rapport en cours</v>
      </c>
      <c r="F540" t="s">
        <v>2906</v>
      </c>
      <c r="G540" t="s">
        <v>3776</v>
      </c>
      <c r="H540" t="s">
        <v>3777</v>
      </c>
    </row>
    <row r="541" spans="2:8" x14ac:dyDescent="0.25">
      <c r="B541">
        <v>539</v>
      </c>
      <c r="D541" t="str">
        <f t="shared" si="17"/>
        <v>=Vlookup("539",Translations!F3:H800,1,0)</v>
      </c>
      <c r="E541" t="str">
        <f t="shared" si="18"/>
        <v>Données cumulées pour la période de mise en œuvre</v>
      </c>
      <c r="F541" t="s">
        <v>2907</v>
      </c>
      <c r="G541" t="s">
        <v>3778</v>
      </c>
      <c r="H541" t="s">
        <v>3779</v>
      </c>
    </row>
    <row r="542" spans="2:8" x14ac:dyDescent="0.25">
      <c r="B542">
        <v>540</v>
      </c>
      <c r="D542" t="str">
        <f t="shared" si="17"/>
        <v>=Vlookup("540",Translations!F3:H800,1,0)</v>
      </c>
      <c r="E542" t="str">
        <f t="shared" si="18"/>
        <v>'Évaluation des coûts (groupes de coûts)</v>
      </c>
      <c r="F542" t="s">
        <v>2667</v>
      </c>
      <c r="G542" t="s">
        <v>3627</v>
      </c>
      <c r="H542" t="s">
        <v>3628</v>
      </c>
    </row>
    <row r="543" spans="2:8" x14ac:dyDescent="0.25">
      <c r="B543">
        <v>541</v>
      </c>
      <c r="D543" t="str">
        <f t="shared" si="17"/>
        <v>=Vlookup("541",Translations!F3:H800,1,0)</v>
      </c>
      <c r="E543" t="str">
        <f t="shared" si="18"/>
        <v>Budget pour la période de rapport</v>
      </c>
      <c r="F543" t="s">
        <v>1117</v>
      </c>
      <c r="G543" t="s">
        <v>3483</v>
      </c>
      <c r="H543" t="s">
        <v>3780</v>
      </c>
    </row>
    <row r="544" spans="2:8" x14ac:dyDescent="0.25">
      <c r="B544">
        <v>542</v>
      </c>
      <c r="D544" t="str">
        <f t="shared" si="17"/>
        <v>=Vlookup("542",Translations!F3:H800,1,0)</v>
      </c>
      <c r="E544" t="str">
        <f t="shared" si="18"/>
        <v>Dépenses réelles</v>
      </c>
      <c r="F544" t="s">
        <v>2668</v>
      </c>
      <c r="G544" t="s">
        <v>3781</v>
      </c>
      <c r="H544" t="s">
        <v>3782</v>
      </c>
    </row>
    <row r="545" spans="2:8" x14ac:dyDescent="0.25">
      <c r="B545">
        <v>543</v>
      </c>
      <c r="D545" t="str">
        <f t="shared" si="17"/>
        <v>=Vlookup("543",Translations!F3:H800,1,0)</v>
      </c>
      <c r="E545" t="str">
        <f t="shared" si="18"/>
        <v>Écarts budget - dépenses réelles</v>
      </c>
      <c r="F545" t="s">
        <v>1119</v>
      </c>
      <c r="G545" t="s">
        <v>3783</v>
      </c>
      <c r="H545" t="s">
        <v>3489</v>
      </c>
    </row>
    <row r="546" spans="2:8" x14ac:dyDescent="0.25">
      <c r="B546">
        <v>544</v>
      </c>
      <c r="D546" t="str">
        <f t="shared" si="17"/>
        <v>=Vlookup("544",Translations!F3:H800,1,0)</v>
      </c>
      <c r="E546" t="str">
        <f t="shared" si="18"/>
        <v>Taux d’absorption</v>
      </c>
      <c r="F546" t="s">
        <v>2669</v>
      </c>
      <c r="G546" t="s">
        <v>3784</v>
      </c>
      <c r="H546" t="s">
        <v>3785</v>
      </c>
    </row>
    <row r="547" spans="2:8" x14ac:dyDescent="0.25">
      <c r="B547">
        <v>545</v>
      </c>
      <c r="D547" t="str">
        <f t="shared" si="17"/>
        <v>=Vlookup("545",Translations!F3:H800,1,0)</v>
      </c>
      <c r="E547" t="str">
        <f t="shared" si="18"/>
        <v>Explication des écarts (obligatoire si les dépenses sont inférieures ou supérieures au budget de plus de 5 %)</v>
      </c>
      <c r="F547" t="s">
        <v>2670</v>
      </c>
      <c r="G547" t="s">
        <v>3786</v>
      </c>
      <c r="H547" t="s">
        <v>3787</v>
      </c>
    </row>
    <row r="548" spans="2:8" x14ac:dyDescent="0.25">
      <c r="B548">
        <v>546</v>
      </c>
      <c r="D548" t="str">
        <f t="shared" si="17"/>
        <v>=Vlookup("546",Translations!F3:H800,1,0)</v>
      </c>
      <c r="E548" t="str">
        <f t="shared" si="18"/>
        <v>Budget cumulé</v>
      </c>
      <c r="F548" t="s">
        <v>2671</v>
      </c>
      <c r="G548" t="s">
        <v>3788</v>
      </c>
      <c r="H548" t="s">
        <v>3789</v>
      </c>
    </row>
    <row r="549" spans="2:8" x14ac:dyDescent="0.25">
      <c r="B549">
        <v>547</v>
      </c>
      <c r="D549" t="str">
        <f t="shared" si="17"/>
        <v>=Vlookup("547",Translations!F3:H800,1,0)</v>
      </c>
      <c r="E549" t="str">
        <f t="shared" si="18"/>
        <v>Dépenses réelles cumulées</v>
      </c>
      <c r="F549" t="s">
        <v>2672</v>
      </c>
      <c r="G549" t="s">
        <v>3790</v>
      </c>
      <c r="H549" t="s">
        <v>3791</v>
      </c>
    </row>
    <row r="550" spans="2:8" x14ac:dyDescent="0.25">
      <c r="B550">
        <v>548</v>
      </c>
      <c r="D550" t="str">
        <f t="shared" si="17"/>
        <v>=Vlookup("548",Translations!F3:H800,1,0)</v>
      </c>
      <c r="E550" t="str">
        <f t="shared" si="18"/>
        <v>Écarts budget cumulé - dép. réelles cumulées</v>
      </c>
      <c r="F550" t="s">
        <v>1124</v>
      </c>
      <c r="G550" t="s">
        <v>3792</v>
      </c>
      <c r="H550" t="s">
        <v>3793</v>
      </c>
    </row>
    <row r="551" spans="2:8" x14ac:dyDescent="0.25">
      <c r="B551">
        <v>549</v>
      </c>
      <c r="D551" t="str">
        <f t="shared" si="17"/>
        <v>=Vlookup("549",Translations!F3:H800,1,0)</v>
      </c>
      <c r="E551" t="str">
        <f t="shared" si="18"/>
        <v>Taux d’absorption</v>
      </c>
      <c r="F551" t="s">
        <v>2669</v>
      </c>
      <c r="G551" t="s">
        <v>3784</v>
      </c>
      <c r="H551" t="s">
        <v>3785</v>
      </c>
    </row>
    <row r="552" spans="2:8" x14ac:dyDescent="0.25">
      <c r="B552">
        <v>550</v>
      </c>
      <c r="D552" t="str">
        <f t="shared" si="17"/>
        <v>=Vlookup("550",Translations!F3:H800,1,0)</v>
      </c>
      <c r="E552" t="str">
        <f t="shared" si="18"/>
        <v>Total Général</v>
      </c>
      <c r="F552" t="s">
        <v>2449</v>
      </c>
      <c r="G552" t="s">
        <v>3794</v>
      </c>
      <c r="H552" t="s">
        <v>3795</v>
      </c>
    </row>
    <row r="553" spans="2:8" x14ac:dyDescent="0.25">
      <c r="B553">
        <v>551</v>
      </c>
      <c r="D553" t="str">
        <f t="shared" si="17"/>
        <v>=Vlookup("551",Translations!F3:H800,1,0)</v>
      </c>
      <c r="E553" t="str">
        <f t="shared" si="18"/>
        <v>Recettes totales de la subvention</v>
      </c>
      <c r="F553" t="s">
        <v>3796</v>
      </c>
      <c r="G553" t="s">
        <v>3797</v>
      </c>
      <c r="H553" t="s">
        <v>3798</v>
      </c>
    </row>
    <row r="554" spans="2:8" x14ac:dyDescent="0.25">
      <c r="B554">
        <v>552</v>
      </c>
      <c r="D554" t="str">
        <f t="shared" si="17"/>
        <v>=Vlookup("552",Translations!F3:H800,1,0)</v>
      </c>
      <c r="E554" t="str">
        <f t="shared" si="18"/>
        <v>3. Engagements financiers</v>
      </c>
      <c r="F554" t="s">
        <v>3799</v>
      </c>
      <c r="G554" t="s">
        <v>3800</v>
      </c>
      <c r="H554" t="s">
        <v>3801</v>
      </c>
    </row>
    <row r="555" spans="2:8" x14ac:dyDescent="0.25">
      <c r="B555">
        <v>553</v>
      </c>
      <c r="D555" t="str">
        <f t="shared" si="17"/>
        <v>=Vlookup("553",Translations!F3:H800,1,0)</v>
      </c>
      <c r="E555" t="str">
        <f t="shared" si="18"/>
        <v>Engagements financiers figurant dans le dernier rapport sur les résultats actuels</v>
      </c>
      <c r="F555" t="s">
        <v>3802</v>
      </c>
      <c r="G555" t="s">
        <v>3803</v>
      </c>
      <c r="H555" t="s">
        <v>3804</v>
      </c>
    </row>
    <row r="556" spans="2:8" x14ac:dyDescent="0.25">
      <c r="B556">
        <v>554</v>
      </c>
      <c r="D556" t="str">
        <f t="shared" si="17"/>
        <v>=Vlookup("554",Translations!F3:H800,1,0)</v>
      </c>
      <c r="E556" t="str">
        <f t="shared" si="18"/>
        <v>Ajustements aux engagements financiers</v>
      </c>
      <c r="F556" t="s">
        <v>3805</v>
      </c>
      <c r="G556" t="s">
        <v>3806</v>
      </c>
      <c r="H556" t="s">
        <v>3807</v>
      </c>
    </row>
    <row r="557" spans="2:8" x14ac:dyDescent="0.25">
      <c r="B557">
        <v>555</v>
      </c>
      <c r="D557" t="str">
        <f t="shared" si="17"/>
        <v>=Vlookup("555",Translations!F3:H800,1,0)</v>
      </c>
      <c r="E557" t="str">
        <f t="shared" si="18"/>
        <v>Total des engagements financiers</v>
      </c>
      <c r="F557" t="s">
        <v>3808</v>
      </c>
      <c r="G557" t="s">
        <v>3809</v>
      </c>
      <c r="H557" t="s">
        <v>3810</v>
      </c>
    </row>
    <row r="558" spans="2:8" x14ac:dyDescent="0.25">
      <c r="B558">
        <v>556</v>
      </c>
      <c r="D558" t="str">
        <f t="shared" si="17"/>
        <v>=Vlookup("556",Translations!F3:H800,1,0)</v>
      </c>
      <c r="E558" t="str">
        <f t="shared" si="18"/>
        <v>4. Sorties de fonds de la subvention</v>
      </c>
      <c r="F558" t="s">
        <v>3811</v>
      </c>
      <c r="G558" t="s">
        <v>3812</v>
      </c>
      <c r="H558" t="s">
        <v>3813</v>
      </c>
    </row>
    <row r="559" spans="2:8" x14ac:dyDescent="0.25">
      <c r="B559">
        <v>557</v>
      </c>
      <c r="D559" t="str">
        <f t="shared" si="17"/>
        <v>=Vlookup("557",Translations!F3:H800,1,0)</v>
      </c>
      <c r="E559" t="str">
        <f t="shared" si="18"/>
        <v>Dépenses du récipiendaire principal et des sous-récipiendaires (y compris les paiements effectués au regard des engagements financiers)</v>
      </c>
      <c r="F559" t="s">
        <v>3814</v>
      </c>
      <c r="G559" t="s">
        <v>3815</v>
      </c>
      <c r="H559" t="s">
        <v>3816</v>
      </c>
    </row>
    <row r="560" spans="2:8" x14ac:dyDescent="0.25">
      <c r="B560">
        <v>558</v>
      </c>
      <c r="D560" t="str">
        <f t="shared" si="17"/>
        <v>=Vlookup("558",Translations!F3:H800,1,0)</v>
      </c>
      <c r="E560" t="str">
        <f t="shared" si="18"/>
        <v>Sorties de fonds totales de la subvention</v>
      </c>
      <c r="F560" t="s">
        <v>3817</v>
      </c>
      <c r="G560" t="s">
        <v>3818</v>
      </c>
      <c r="H560" t="s">
        <v>3819</v>
      </c>
    </row>
    <row r="561" spans="2:8" x14ac:dyDescent="0.25">
      <c r="B561">
        <v>559</v>
      </c>
      <c r="D561" t="str">
        <f t="shared" si="17"/>
        <v>=Vlookup("559",Translations!F3:H800,1,0)</v>
      </c>
      <c r="E561" t="str">
        <f t="shared" si="18"/>
        <v>5. Ajustements de rapprochement</v>
      </c>
      <c r="F561" t="s">
        <v>3820</v>
      </c>
      <c r="G561" t="s">
        <v>3821</v>
      </c>
      <c r="H561" t="s">
        <v>3822</v>
      </c>
    </row>
    <row r="562" spans="2:8" x14ac:dyDescent="0.25">
      <c r="B562">
        <v>560</v>
      </c>
      <c r="D562" t="str">
        <f t="shared" si="17"/>
        <v>=Vlookup("560",Translations!F3:H800,1,0)</v>
      </c>
      <c r="E562" t="str">
        <f t="shared" si="18"/>
        <v>Autres ajustements de rapprochement (y compris pour les périodes précédentes)</v>
      </c>
      <c r="F562" t="s">
        <v>3823</v>
      </c>
      <c r="G562" t="s">
        <v>3824</v>
      </c>
      <c r="H562" t="s">
        <v>3825</v>
      </c>
    </row>
    <row r="563" spans="2:8" x14ac:dyDescent="0.25">
      <c r="B563">
        <v>561</v>
      </c>
      <c r="D563" t="str">
        <f t="shared" si="17"/>
        <v>=Vlookup("561",Translations!F3:H800,1,0)</v>
      </c>
      <c r="E563" t="str">
        <f t="shared" si="18"/>
        <v>Transactions non recevables de périodes précédentes dont la justification a été approuvée par le Fonds mondial</v>
      </c>
      <c r="F563" t="s">
        <v>3826</v>
      </c>
      <c r="G563" t="s">
        <v>3827</v>
      </c>
      <c r="H563" t="s">
        <v>3828</v>
      </c>
    </row>
    <row r="564" spans="2:8" x14ac:dyDescent="0.25">
      <c r="B564">
        <v>562</v>
      </c>
      <c r="D564" t="str">
        <f t="shared" si="17"/>
        <v>=Vlookup("562",Translations!F3:H800,1,0)</v>
      </c>
      <c r="E564" t="str">
        <f t="shared" si="18"/>
        <v>Remboursement de transactions non recevables des périodes précédentes</v>
      </c>
      <c r="F564" t="s">
        <v>3829</v>
      </c>
      <c r="G564" t="s">
        <v>3830</v>
      </c>
      <c r="H564" t="s">
        <v>3831</v>
      </c>
    </row>
    <row r="565" spans="2:8" x14ac:dyDescent="0.25">
      <c r="B565">
        <v>563</v>
      </c>
      <c r="D565" t="str">
        <f t="shared" si="17"/>
        <v>=Vlookup("563",Translations!F3:H800,1,0)</v>
      </c>
      <c r="E565" t="str">
        <f t="shared" si="18"/>
        <v>6. Solde de trésorerie</v>
      </c>
      <c r="F565" t="s">
        <v>3832</v>
      </c>
      <c r="G565" t="s">
        <v>3833</v>
      </c>
      <c r="H565" t="s">
        <v>3834</v>
      </c>
    </row>
    <row r="566" spans="2:8" x14ac:dyDescent="0.25">
      <c r="B566">
        <v>564</v>
      </c>
      <c r="D566" t="str">
        <f t="shared" si="17"/>
        <v>=Vlookup("564",Translations!F3:H800,1,0)</v>
      </c>
      <c r="E566" t="str">
        <f t="shared" si="18"/>
        <v>Total du solde de trésorerie pour la période de mise en œuvre</v>
      </c>
      <c r="F566" t="s">
        <v>3835</v>
      </c>
      <c r="G566" t="s">
        <v>3836</v>
      </c>
      <c r="H566" t="s">
        <v>3837</v>
      </c>
    </row>
    <row r="567" spans="2:8" x14ac:dyDescent="0.25">
      <c r="B567">
        <v>565</v>
      </c>
      <c r="D567" t="str">
        <f t="shared" si="17"/>
        <v>=Vlookup("565",Translations!F3:H800,1,0)</v>
      </c>
      <c r="E567" t="str">
        <f t="shared" si="18"/>
        <v>Paiement anticipé pour la prochaine période de mise en œuvre</v>
      </c>
      <c r="F567" t="s">
        <v>3838</v>
      </c>
      <c r="G567" t="s">
        <v>3839</v>
      </c>
      <c r="H567" t="s">
        <v>3840</v>
      </c>
    </row>
    <row r="568" spans="2:8" x14ac:dyDescent="0.25">
      <c r="B568">
        <v>566</v>
      </c>
      <c r="D568" t="str">
        <f t="shared" si="17"/>
        <v>=Vlookup("566",Translations!F3:H800,1,0)</v>
      </c>
      <c r="E568" t="str">
        <f t="shared" si="18"/>
        <v>Solde final de trésorerie à la clôture de la période de mise en œuvre</v>
      </c>
      <c r="F568" t="s">
        <v>3841</v>
      </c>
      <c r="G568" t="s">
        <v>3842</v>
      </c>
      <c r="H568" t="s">
        <v>3843</v>
      </c>
    </row>
    <row r="569" spans="2:8" x14ac:dyDescent="0.25">
      <c r="B569">
        <v>567</v>
      </c>
      <c r="D569" t="str">
        <f t="shared" si="17"/>
        <v>=Vlookup("567",Translations!F3:H800,1,0)</v>
      </c>
      <c r="E569" t="str">
        <f t="shared" si="18"/>
        <v xml:space="preserve">Transactions non recevables du récipiendaire principal dans la monnaie de la subvention </v>
      </c>
      <c r="F569" t="s">
        <v>3844</v>
      </c>
      <c r="G569" t="s">
        <v>3845</v>
      </c>
      <c r="H569" t="s">
        <v>3846</v>
      </c>
    </row>
    <row r="570" spans="2:8" x14ac:dyDescent="0.25">
      <c r="B570">
        <v>568</v>
      </c>
      <c r="D570" t="str">
        <f t="shared" si="17"/>
        <v>=Vlookup("568",Translations!F3:H800,1,0)</v>
      </c>
      <c r="E570" t="str">
        <f t="shared" si="18"/>
        <v>Récipiendaire principal</v>
      </c>
      <c r="F570" t="s">
        <v>1085</v>
      </c>
      <c r="G570" t="s">
        <v>3481</v>
      </c>
      <c r="H570" t="s">
        <v>3734</v>
      </c>
    </row>
    <row r="571" spans="2:8" x14ac:dyDescent="0.25">
      <c r="B571">
        <v>569</v>
      </c>
      <c r="D571" t="str">
        <f t="shared" si="17"/>
        <v>=Vlookup("569",Translations!F3:H800,1,0)</v>
      </c>
      <c r="E571" t="str">
        <f t="shared" si="18"/>
        <v xml:space="preserve">Réservé à l’agent local du Fonds </v>
      </c>
      <c r="F571" t="s">
        <v>791</v>
      </c>
      <c r="G571" t="s">
        <v>3735</v>
      </c>
      <c r="H571" t="s">
        <v>3736</v>
      </c>
    </row>
    <row r="572" spans="2:8" x14ac:dyDescent="0.25">
      <c r="B572">
        <v>570</v>
      </c>
      <c r="D572" t="str">
        <f t="shared" si="17"/>
        <v>=Vlookup("570",Translations!F3:H800,1,0)</v>
      </c>
      <c r="E572" t="str">
        <f t="shared" si="18"/>
        <v>Réservé au Fonds mondial</v>
      </c>
      <c r="F572" t="s">
        <v>792</v>
      </c>
      <c r="G572" t="s">
        <v>3737</v>
      </c>
      <c r="H572" t="s">
        <v>3738</v>
      </c>
    </row>
    <row r="573" spans="2:8" x14ac:dyDescent="0.25">
      <c r="B573">
        <v>571</v>
      </c>
      <c r="D573" t="str">
        <f t="shared" si="17"/>
        <v>=Vlookup("571",Translations!F3:H800,1,0)</v>
      </c>
      <c r="E573" t="str">
        <f t="shared" si="18"/>
        <v>Montant cumulé pour les périodes précédentes</v>
      </c>
      <c r="F573" t="s">
        <v>3847</v>
      </c>
      <c r="G573" t="s">
        <v>3848</v>
      </c>
      <c r="H573" t="s">
        <v>3849</v>
      </c>
    </row>
    <row r="574" spans="2:8" x14ac:dyDescent="0.25">
      <c r="B574">
        <v>572</v>
      </c>
      <c r="D574" t="str">
        <f t="shared" si="17"/>
        <v>=Vlookup("572",Translations!F3:H800,1,0)</v>
      </c>
      <c r="E574" t="str">
        <f t="shared" si="18"/>
        <v>Période visée par le rapport</v>
      </c>
      <c r="F574" t="s">
        <v>2906</v>
      </c>
      <c r="G574" t="s">
        <v>3739</v>
      </c>
      <c r="H574" t="s">
        <v>3740</v>
      </c>
    </row>
    <row r="575" spans="2:8" x14ac:dyDescent="0.25">
      <c r="B575">
        <v>573</v>
      </c>
      <c r="D575" t="str">
        <f t="shared" si="17"/>
        <v>=Vlookup("573",Translations!F3:H800,1,0)</v>
      </c>
      <c r="E575" t="str">
        <f t="shared" si="18"/>
        <v>Commentaires</v>
      </c>
      <c r="F575" t="s">
        <v>160</v>
      </c>
      <c r="G575" t="s">
        <v>3373</v>
      </c>
      <c r="H575" t="s">
        <v>3374</v>
      </c>
    </row>
    <row r="576" spans="2:8" x14ac:dyDescent="0.25">
      <c r="B576">
        <v>574</v>
      </c>
      <c r="D576" t="str">
        <f t="shared" si="17"/>
        <v>=Vlookup("574",Translations!F3:H800,1,0)</v>
      </c>
      <c r="E576" t="str">
        <f t="shared" si="18"/>
        <v>Montant cumulé pour les périodes précédentes validé par le Fonds mondial</v>
      </c>
      <c r="F576" t="s">
        <v>795</v>
      </c>
      <c r="G576" t="s">
        <v>3850</v>
      </c>
      <c r="H576" t="s">
        <v>3851</v>
      </c>
    </row>
    <row r="577" spans="2:8" x14ac:dyDescent="0.25">
      <c r="B577">
        <v>575</v>
      </c>
      <c r="D577" t="str">
        <f t="shared" si="17"/>
        <v>=Vlookup("575",Translations!F3:H800,1,0)</v>
      </c>
      <c r="E577" t="str">
        <f t="shared" si="18"/>
        <v>Ajustements par l’agent local du Fonds pour la période visée par le rapport</v>
      </c>
      <c r="F577" t="s">
        <v>796</v>
      </c>
      <c r="G577" t="s">
        <v>3741</v>
      </c>
      <c r="H577" t="s">
        <v>3852</v>
      </c>
    </row>
    <row r="578" spans="2:8" x14ac:dyDescent="0.25">
      <c r="B578">
        <v>576</v>
      </c>
      <c r="D578" t="str">
        <f t="shared" si="17"/>
        <v>=Vlookup("576",Translations!F3:H800,1,0)</v>
      </c>
      <c r="E578" t="str">
        <f t="shared" si="18"/>
        <v>Vérifié par l’agent local du Fonds</v>
      </c>
      <c r="F578" t="s">
        <v>797</v>
      </c>
      <c r="G578" t="s">
        <v>3743</v>
      </c>
      <c r="H578" t="s">
        <v>3744</v>
      </c>
    </row>
    <row r="579" spans="2:8" x14ac:dyDescent="0.25">
      <c r="B579">
        <v>577</v>
      </c>
      <c r="D579" t="str">
        <f t="shared" si="17"/>
        <v>=Vlookup("577",Translations!F3:H800,1,0)</v>
      </c>
      <c r="E579" t="str">
        <f t="shared" si="18"/>
        <v>Commentaires</v>
      </c>
      <c r="F579" t="s">
        <v>160</v>
      </c>
      <c r="G579" t="s">
        <v>3373</v>
      </c>
      <c r="H579" t="s">
        <v>3374</v>
      </c>
    </row>
    <row r="580" spans="2:8" x14ac:dyDescent="0.25">
      <c r="B580">
        <v>578</v>
      </c>
      <c r="D580" t="str">
        <f t="shared" ref="D580:D587" si="19">"=Vlookup("""&amp;B580&amp;""",Translations!F3:H800,1,0)"</f>
        <v>=Vlookup("578",Translations!F3:H800,1,0)</v>
      </c>
      <c r="E580" t="str">
        <f t="shared" si="18"/>
        <v>Ajustements par l’équipe de pays</v>
      </c>
      <c r="F580" t="s">
        <v>828</v>
      </c>
      <c r="G580" t="s">
        <v>3745</v>
      </c>
      <c r="H580" t="s">
        <v>3746</v>
      </c>
    </row>
    <row r="581" spans="2:8" x14ac:dyDescent="0.25">
      <c r="B581">
        <v>579</v>
      </c>
      <c r="D581" t="str">
        <f t="shared" si="19"/>
        <v>=Vlookup("579",Translations!F3:H800,1,0)</v>
      </c>
      <c r="E581" t="str">
        <f t="shared" si="18"/>
        <v>Chiffres validés par le Fonds mondial</v>
      </c>
      <c r="F581" t="s">
        <v>799</v>
      </c>
      <c r="G581" t="s">
        <v>3747</v>
      </c>
      <c r="H581" t="s">
        <v>3748</v>
      </c>
    </row>
    <row r="582" spans="2:8" x14ac:dyDescent="0.25">
      <c r="B582">
        <v>580</v>
      </c>
      <c r="D582" t="str">
        <f t="shared" si="19"/>
        <v>=Vlookup("580",Translations!F3:H800,1,0)</v>
      </c>
      <c r="E582" t="str">
        <f t="shared" si="18"/>
        <v>Commentaires</v>
      </c>
      <c r="F582" t="s">
        <v>160</v>
      </c>
      <c r="G582" t="s">
        <v>3373</v>
      </c>
      <c r="H582" t="s">
        <v>3374</v>
      </c>
    </row>
    <row r="583" spans="2:8" x14ac:dyDescent="0.25">
      <c r="B583">
        <v>581</v>
      </c>
      <c r="D583" t="str">
        <f t="shared" si="19"/>
        <v>=Vlookup("581",Translations!F3:H800,1,0)</v>
      </c>
      <c r="E583" t="str">
        <f t="shared" si="18"/>
        <v>Transactions non recevables validées pour la période de rapport</v>
      </c>
      <c r="F583" t="s">
        <v>3853</v>
      </c>
      <c r="G583" t="s">
        <v>3854</v>
      </c>
      <c r="H583" t="s">
        <v>3855</v>
      </c>
    </row>
    <row r="584" spans="2:8" x14ac:dyDescent="0.25">
      <c r="B584">
        <v>582</v>
      </c>
      <c r="D584" t="str">
        <f t="shared" si="19"/>
        <v>=Vlookup("582",Translations!F3:H800,1,0)</v>
      </c>
      <c r="E584" t="str">
        <f t="shared" si="18"/>
        <v>Transactions non recevables des périodes précédentes dont la justification a été approuvée par le Fonds mondial</v>
      </c>
      <c r="F584" t="s">
        <v>3826</v>
      </c>
      <c r="G584" t="s">
        <v>3856</v>
      </c>
      <c r="H584" t="s">
        <v>3828</v>
      </c>
    </row>
    <row r="585" spans="2:8" x14ac:dyDescent="0.25">
      <c r="B585">
        <v>583</v>
      </c>
      <c r="D585" t="str">
        <f t="shared" si="19"/>
        <v>=Vlookup("583",Translations!F3:H800,1,0)</v>
      </c>
      <c r="E585" t="str">
        <f t="shared" si="18"/>
        <v>Remboursement de transactions non recevables des périodes précédentes</v>
      </c>
      <c r="F585" t="s">
        <v>3857</v>
      </c>
      <c r="G585" t="s">
        <v>3830</v>
      </c>
      <c r="H585" t="s">
        <v>3831</v>
      </c>
    </row>
    <row r="586" spans="2:8" x14ac:dyDescent="0.25">
      <c r="B586">
        <v>584</v>
      </c>
      <c r="D586" t="str">
        <f t="shared" si="19"/>
        <v>=Vlookup("584",Translations!F3:H800,1,0)</v>
      </c>
      <c r="E586" t="str">
        <f t="shared" si="18"/>
        <v>Transactions non recevables cumulées pour la période de mise en œuvre</v>
      </c>
      <c r="F586" t="s">
        <v>3858</v>
      </c>
      <c r="G586" t="s">
        <v>3859</v>
      </c>
      <c r="H586" t="s">
        <v>3860</v>
      </c>
    </row>
    <row r="587" spans="2:8" x14ac:dyDescent="0.25">
      <c r="B587">
        <v>585</v>
      </c>
      <c r="D587" t="str">
        <f t="shared" si="19"/>
        <v>=Vlookup("585",Translations!F3:H800,1,0)</v>
      </c>
      <c r="E587" t="str">
        <f t="shared" si="18"/>
        <v>Transactions non recevables ouvertes à justifier et/ou rembourser</v>
      </c>
      <c r="F587" t="s">
        <v>3861</v>
      </c>
      <c r="G587" t="s">
        <v>3862</v>
      </c>
      <c r="H587" t="s">
        <v>3863</v>
      </c>
    </row>
    <row r="588" spans="2:8" x14ac:dyDescent="0.25">
      <c r="B588">
        <v>586</v>
      </c>
      <c r="D588" t="str">
        <f>"=Vlookup("""&amp;B588&amp;""",Translations!B3:H800,1,0)"</f>
        <v>=Vlookup("586",Translations!B3:H800,1,0)</v>
      </c>
      <c r="E588" t="str">
        <f t="shared" si="18"/>
        <v>Géographie</v>
      </c>
      <c r="F588" t="s">
        <v>159</v>
      </c>
      <c r="G588" t="s">
        <v>3864</v>
      </c>
      <c r="H588" t="s">
        <v>3865</v>
      </c>
    </row>
    <row r="589" spans="2:8" x14ac:dyDescent="0.25">
      <c r="B589">
        <v>587</v>
      </c>
      <c r="D589" t="str">
        <f>"=Vlookup("""&amp;B589&amp;""",Translations!B3:H800,1,0)"</f>
        <v>=Vlookup("587",Translations!B3:H800,1,0)</v>
      </c>
      <c r="E589" t="str">
        <f t="shared" si="18"/>
        <v>Langue</v>
      </c>
      <c r="F589" t="s">
        <v>3866</v>
      </c>
      <c r="G589" t="s">
        <v>3867</v>
      </c>
      <c r="H589" t="s">
        <v>3868</v>
      </c>
    </row>
    <row r="590" spans="2:8" x14ac:dyDescent="0.25">
      <c r="B590">
        <v>588</v>
      </c>
      <c r="E590" t="str">
        <f t="shared" si="18"/>
        <v>Solde de trésorerie : Début de la période</v>
      </c>
      <c r="F590" t="s">
        <v>3869</v>
      </c>
      <c r="G590" t="s">
        <v>3870</v>
      </c>
      <c r="H590" t="s">
        <v>3871</v>
      </c>
    </row>
    <row r="591" spans="2:8" x14ac:dyDescent="0.25">
      <c r="B591">
        <v>589</v>
      </c>
      <c r="E591" t="str">
        <f t="shared" si="18"/>
        <v xml:space="preserve">Plus : </v>
      </c>
      <c r="F591" t="s">
        <v>3872</v>
      </c>
      <c r="G591" t="s">
        <v>3873</v>
      </c>
      <c r="H591" t="s">
        <v>3874</v>
      </c>
    </row>
    <row r="592" spans="2:8" x14ac:dyDescent="0.25">
      <c r="B592">
        <v>590</v>
      </c>
      <c r="E592" t="str">
        <f t="shared" si="18"/>
        <v>Intérêts perçus sur compte bancaire</v>
      </c>
      <c r="F592" t="s">
        <v>3875</v>
      </c>
      <c r="G592" t="s">
        <v>3876</v>
      </c>
      <c r="H592" t="s">
        <v>3877</v>
      </c>
    </row>
    <row r="593" spans="2:8" x14ac:dyDescent="0.25">
      <c r="B593">
        <v>591</v>
      </c>
      <c r="E593" t="str">
        <f t="shared" si="18"/>
        <v>Produit des activités génératrices de revenu (le cas échéant)</v>
      </c>
      <c r="F593" t="s">
        <v>3878</v>
      </c>
      <c r="G593" t="s">
        <v>3879</v>
      </c>
      <c r="H593" t="s">
        <v>3880</v>
      </c>
    </row>
    <row r="594" spans="2:8" x14ac:dyDescent="0.25">
      <c r="B594">
        <v>592</v>
      </c>
      <c r="E594" t="str">
        <f t="shared" si="18"/>
        <v>3. Engagements financiers</v>
      </c>
      <c r="F594" t="s">
        <v>3799</v>
      </c>
      <c r="G594" t="s">
        <v>3800</v>
      </c>
      <c r="H594" t="s">
        <v>3801</v>
      </c>
    </row>
    <row r="595" spans="2:8" x14ac:dyDescent="0.25">
      <c r="B595">
        <v>593</v>
      </c>
      <c r="E595" t="str">
        <f t="shared" si="18"/>
        <v>Moins :</v>
      </c>
      <c r="F595" t="s">
        <v>3881</v>
      </c>
      <c r="G595" t="s">
        <v>3882</v>
      </c>
      <c r="H595" t="s">
        <v>3883</v>
      </c>
    </row>
    <row r="596" spans="2:8" x14ac:dyDescent="0.25">
      <c r="B596">
        <v>594</v>
      </c>
      <c r="E596" t="str">
        <f t="shared" si="18"/>
        <v>Dépenses du récipiendaire principal (y compris les paiements et autres avances)</v>
      </c>
      <c r="F596" t="s">
        <v>3884</v>
      </c>
      <c r="G596" t="s">
        <v>3885</v>
      </c>
      <c r="H596" t="s">
        <v>3886</v>
      </c>
    </row>
    <row r="597" spans="2:8" x14ac:dyDescent="0.25">
      <c r="B597">
        <v>595</v>
      </c>
      <c r="E597" t="str">
        <f t="shared" si="18"/>
        <v xml:space="preserve">Décaissements à des tiers par le Fonds mondial au nom du récipiendaire principal </v>
      </c>
      <c r="F597" t="s">
        <v>3887</v>
      </c>
      <c r="G597" t="s">
        <v>3888</v>
      </c>
      <c r="H597" t="s">
        <v>3889</v>
      </c>
    </row>
    <row r="598" spans="2:8" x14ac:dyDescent="0.25">
      <c r="B598">
        <v>596</v>
      </c>
      <c r="E598" t="str">
        <f t="shared" si="18"/>
        <v>Décaissements du récipiendaire principal en faveur des sous-récipiendaires</v>
      </c>
      <c r="F598" t="s">
        <v>3890</v>
      </c>
      <c r="G598" t="s">
        <v>3891</v>
      </c>
      <c r="H598" t="s">
        <v>3891</v>
      </c>
    </row>
    <row r="599" spans="2:8" x14ac:dyDescent="0.25">
      <c r="B599">
        <v>597</v>
      </c>
      <c r="E599" t="str">
        <f t="shared" si="18"/>
        <v>Frais bancaires relatifs aux décaissements et paiements</v>
      </c>
      <c r="F599" t="s">
        <v>3892</v>
      </c>
      <c r="G599" t="s">
        <v>3893</v>
      </c>
      <c r="H599" t="s">
        <v>3894</v>
      </c>
    </row>
    <row r="600" spans="2:8" x14ac:dyDescent="0.25">
      <c r="B600">
        <v>598</v>
      </c>
      <c r="E600" t="str">
        <f t="shared" si="18"/>
        <v>Sorties de fonds totales de la subvention</v>
      </c>
      <c r="F600" t="s">
        <v>3817</v>
      </c>
      <c r="G600" t="s">
        <v>3818</v>
      </c>
      <c r="H600" t="s">
        <v>3819</v>
      </c>
    </row>
    <row r="601" spans="2:8" x14ac:dyDescent="0.25">
      <c r="B601">
        <v>599</v>
      </c>
      <c r="E601" t="str">
        <f t="shared" si="18"/>
        <v>4. Ajustements de rapprochement</v>
      </c>
      <c r="F601" t="s">
        <v>3895</v>
      </c>
      <c r="G601" t="s">
        <v>3896</v>
      </c>
      <c r="H601" t="s">
        <v>3897</v>
      </c>
    </row>
    <row r="602" spans="2:8" x14ac:dyDescent="0.25">
      <c r="B602">
        <v>600</v>
      </c>
      <c r="E602" t="str">
        <f t="shared" si="18"/>
        <v>Gains/pertes de change nets liés à la conversion des soldes</v>
      </c>
      <c r="F602" t="s">
        <v>3898</v>
      </c>
      <c r="G602" t="s">
        <v>3899</v>
      </c>
      <c r="H602" t="s">
        <v>3828</v>
      </c>
    </row>
    <row r="603" spans="2:8" x14ac:dyDescent="0.25">
      <c r="B603">
        <v>601</v>
      </c>
      <c r="E603" t="str">
        <f t="shared" si="18"/>
        <v>5. Soldes de trésorerie totaux : fin de la période de rapport</v>
      </c>
      <c r="F603" t="s">
        <v>3900</v>
      </c>
      <c r="G603" t="s">
        <v>3901</v>
      </c>
      <c r="H603" t="s">
        <v>3902</v>
      </c>
    </row>
    <row r="604" spans="2:8" x14ac:dyDescent="0.25">
      <c r="B604">
        <v>602</v>
      </c>
      <c r="E604" t="str">
        <f t="shared" si="18"/>
        <v>Solde de trésorerie du récipiendaire principal</v>
      </c>
      <c r="F604" t="s">
        <v>3903</v>
      </c>
      <c r="G604" t="s">
        <v>3904</v>
      </c>
      <c r="H604" t="s">
        <v>3905</v>
      </c>
    </row>
    <row r="605" spans="2:8" x14ac:dyDescent="0.25">
      <c r="B605">
        <v>603</v>
      </c>
      <c r="E605" t="str">
        <f t="shared" ref="E605:E651" si="20">IF(LangOffset=0,F605,IF(LangOffset=1,G605,IF(LangOffset=2,H605)))</f>
        <v>Solde de trésorerie des sous-récipiendaires</v>
      </c>
      <c r="F605" t="s">
        <v>3906</v>
      </c>
      <c r="G605" t="s">
        <v>3907</v>
      </c>
      <c r="H605" t="s">
        <v>3908</v>
      </c>
    </row>
    <row r="606" spans="2:8" x14ac:dyDescent="0.25">
      <c r="B606">
        <v>604</v>
      </c>
      <c r="E606" t="str">
        <f t="shared" si="20"/>
        <v>Solde de trésorerie total</v>
      </c>
      <c r="F606" t="s">
        <v>3909</v>
      </c>
      <c r="G606" t="s">
        <v>3910</v>
      </c>
      <c r="H606" t="s">
        <v>3911</v>
      </c>
    </row>
    <row r="607" spans="2:8" x14ac:dyDescent="0.25">
      <c r="B607">
        <v>605</v>
      </c>
      <c r="E607" t="str">
        <f t="shared" si="20"/>
        <v>B. Solde des relevés bancaires du récipiendaire principal et fonds en transit dans la monnaie de la subvention</v>
      </c>
      <c r="F607" t="s">
        <v>3912</v>
      </c>
      <c r="G607" t="s">
        <v>3913</v>
      </c>
      <c r="H607" t="s">
        <v>3914</v>
      </c>
    </row>
    <row r="608" spans="2:8" x14ac:dyDescent="0.25">
      <c r="B608">
        <v>606</v>
      </c>
      <c r="E608" t="str">
        <f t="shared" si="20"/>
        <v>Solde de trésorerie du récipiendaire principal tel que figurant sur ses relevés bancaires (à titre indicatif uniquement) :</v>
      </c>
      <c r="F608" t="s">
        <v>3915</v>
      </c>
      <c r="G608" t="s">
        <v>3916</v>
      </c>
      <c r="H608" t="s">
        <v>3917</v>
      </c>
    </row>
    <row r="609" spans="2:8" x14ac:dyDescent="0.25">
      <c r="B609">
        <v>607</v>
      </c>
      <c r="E609" t="str">
        <f t="shared" si="20"/>
        <v>Fonds en transit pour la période de rapport</v>
      </c>
      <c r="F609" t="s">
        <v>3918</v>
      </c>
      <c r="G609" t="s">
        <v>3919</v>
      </c>
      <c r="H609" t="s">
        <v>3920</v>
      </c>
    </row>
    <row r="610" spans="2:8" x14ac:dyDescent="0.25">
      <c r="B610">
        <v>608</v>
      </c>
      <c r="E610" t="str">
        <f t="shared" si="20"/>
        <v>Fonds en transit après la période de rapport en cours</v>
      </c>
      <c r="F610" t="s">
        <v>3921</v>
      </c>
      <c r="G610" t="s">
        <v>3922</v>
      </c>
      <c r="H610" t="s">
        <v>3923</v>
      </c>
    </row>
    <row r="611" spans="2:8" x14ac:dyDescent="0.25">
      <c r="B611">
        <v>609</v>
      </c>
      <c r="E611" t="str">
        <f t="shared" si="20"/>
        <v>D. Transactions non recevables du récipiendaire principal dans la monnaie de la subvention</v>
      </c>
      <c r="F611" t="s">
        <v>3924</v>
      </c>
      <c r="G611" t="s">
        <v>3925</v>
      </c>
      <c r="H611" t="s">
        <v>3926</v>
      </c>
    </row>
    <row r="612" spans="2:8" x14ac:dyDescent="0.25">
      <c r="B612">
        <v>610</v>
      </c>
      <c r="E612" t="str">
        <f t="shared" si="20"/>
        <v>Engagements financiers</v>
      </c>
      <c r="F612" t="s">
        <v>3927</v>
      </c>
      <c r="G612" t="s">
        <v>3928</v>
      </c>
      <c r="H612" t="s">
        <v>3929</v>
      </c>
    </row>
    <row r="613" spans="2:8" x14ac:dyDescent="0.25">
      <c r="B613">
        <v>611</v>
      </c>
      <c r="E613" t="str">
        <f t="shared" si="20"/>
        <v>C. Engagements financiers et obligations financières du récipiendaire principal</v>
      </c>
      <c r="F613" t="s">
        <v>3930</v>
      </c>
      <c r="G613" t="s">
        <v>3931</v>
      </c>
      <c r="H613" s="742" t="s">
        <v>3932</v>
      </c>
    </row>
    <row r="614" spans="2:8" x14ac:dyDescent="0.25">
      <c r="B614">
        <v>612</v>
      </c>
      <c r="E614" t="str">
        <f t="shared" si="20"/>
        <v xml:space="preserve">Obligations financières </v>
      </c>
      <c r="F614" t="s">
        <v>3933</v>
      </c>
      <c r="G614" t="s">
        <v>3934</v>
      </c>
      <c r="H614" t="s">
        <v>3935</v>
      </c>
    </row>
    <row r="615" spans="2:8" x14ac:dyDescent="0.25">
      <c r="B615">
        <v>613</v>
      </c>
      <c r="E615" t="str">
        <f t="shared" si="20"/>
        <v>Total des engagements et obligations</v>
      </c>
      <c r="F615" t="s">
        <v>3936</v>
      </c>
      <c r="G615" t="s">
        <v>3937</v>
      </c>
      <c r="H615" t="s">
        <v>3938</v>
      </c>
    </row>
    <row r="616" spans="2:8" x14ac:dyDescent="0.25">
      <c r="B616">
        <v>614</v>
      </c>
      <c r="E616" t="str">
        <f t="shared" si="20"/>
        <v>Rapport sur les engagements et les exceptions approuvées</v>
      </c>
      <c r="F616" t="s">
        <v>3939</v>
      </c>
      <c r="G616" t="s">
        <v>3940</v>
      </c>
      <c r="H616" t="s">
        <v>3941</v>
      </c>
    </row>
    <row r="617" spans="2:8" x14ac:dyDescent="0.25">
      <c r="B617">
        <v>615</v>
      </c>
      <c r="E617" t="str">
        <f t="shared" si="20"/>
        <v>Section 2. Engagements et exceptions approuvées du récipiendaire principal remplis par ce dernier et par l’agent local du Fonds</v>
      </c>
      <c r="F617" t="s">
        <v>3942</v>
      </c>
      <c r="G617" t="s">
        <v>3943</v>
      </c>
      <c r="H617" t="s">
        <v>3944</v>
      </c>
    </row>
    <row r="618" spans="2:8" x14ac:dyDescent="0.25">
      <c r="B618">
        <v>616</v>
      </c>
      <c r="E618" t="str">
        <f t="shared" si="20"/>
        <v>Engagements financiers</v>
      </c>
      <c r="F618" t="s">
        <v>3927</v>
      </c>
      <c r="G618" t="s">
        <v>3928</v>
      </c>
      <c r="H618" t="s">
        <v>3945</v>
      </c>
    </row>
    <row r="619" spans="2:8" x14ac:dyDescent="0.25">
      <c r="B619">
        <v>617</v>
      </c>
      <c r="E619" t="str">
        <f t="shared" si="20"/>
        <v>Récipiendaire principal</v>
      </c>
      <c r="F619" t="s">
        <v>1085</v>
      </c>
      <c r="G619" t="s">
        <v>3481</v>
      </c>
      <c r="H619" t="s">
        <v>3734</v>
      </c>
    </row>
    <row r="620" spans="2:8" x14ac:dyDescent="0.25">
      <c r="B620">
        <v>618</v>
      </c>
      <c r="E620" t="str">
        <f t="shared" si="20"/>
        <v xml:space="preserve">Réservé à l’agent local du Fonds </v>
      </c>
      <c r="F620" t="s">
        <v>791</v>
      </c>
      <c r="G620" t="s">
        <v>3735</v>
      </c>
      <c r="H620" t="s">
        <v>3736</v>
      </c>
    </row>
    <row r="621" spans="2:8" x14ac:dyDescent="0.25">
      <c r="B621">
        <v>619</v>
      </c>
      <c r="E621" t="str">
        <f t="shared" si="20"/>
        <v>Réservé au Fonds mondial</v>
      </c>
      <c r="F621" t="s">
        <v>792</v>
      </c>
      <c r="G621" t="s">
        <v>3737</v>
      </c>
      <c r="H621" t="s">
        <v>3738</v>
      </c>
    </row>
    <row r="622" spans="2:8" x14ac:dyDescent="0.25">
      <c r="B622">
        <v>620</v>
      </c>
      <c r="E622" t="str">
        <f t="shared" si="20"/>
        <v xml:space="preserve">Module </v>
      </c>
      <c r="F622" t="s">
        <v>3946</v>
      </c>
      <c r="G622" t="s">
        <v>3946</v>
      </c>
      <c r="H622" t="s">
        <v>3947</v>
      </c>
    </row>
    <row r="623" spans="2:8" x14ac:dyDescent="0.25">
      <c r="B623">
        <v>621</v>
      </c>
      <c r="E623" t="str">
        <f t="shared" si="20"/>
        <v>Intervention</v>
      </c>
      <c r="F623" t="s">
        <v>2944</v>
      </c>
      <c r="G623" t="s">
        <v>2944</v>
      </c>
      <c r="H623" t="s">
        <v>3948</v>
      </c>
    </row>
    <row r="624" spans="2:8" x14ac:dyDescent="0.25">
      <c r="B624">
        <v>622</v>
      </c>
      <c r="E624" t="str">
        <f t="shared" si="20"/>
        <v>Description de l'activité</v>
      </c>
      <c r="F624" t="s">
        <v>3949</v>
      </c>
      <c r="G624" t="s">
        <v>3950</v>
      </c>
      <c r="H624" t="s">
        <v>3951</v>
      </c>
    </row>
    <row r="625" spans="2:8" x14ac:dyDescent="0.25">
      <c r="B625">
        <v>623</v>
      </c>
      <c r="E625" t="str">
        <f t="shared" si="20"/>
        <v xml:space="preserve">Entrées de coûts </v>
      </c>
      <c r="F625" t="s">
        <v>3952</v>
      </c>
      <c r="G625" t="s">
        <v>3953</v>
      </c>
      <c r="H625" t="s">
        <v>3954</v>
      </c>
    </row>
    <row r="626" spans="2:8" x14ac:dyDescent="0.25">
      <c r="B626">
        <v>624</v>
      </c>
      <c r="E626" t="str">
        <f t="shared" si="20"/>
        <v>Montant en monnaie de la subvention</v>
      </c>
      <c r="F626" t="s">
        <v>3955</v>
      </c>
      <c r="G626" t="s">
        <v>3956</v>
      </c>
      <c r="H626" t="s">
        <v>3957</v>
      </c>
    </row>
    <row r="627" spans="2:8" x14ac:dyDescent="0.25">
      <c r="B627">
        <v>625</v>
      </c>
      <c r="E627" t="str">
        <f t="shared" si="20"/>
        <v>Date de livraison</v>
      </c>
      <c r="F627" t="s">
        <v>3958</v>
      </c>
      <c r="G627" t="s">
        <v>3959</v>
      </c>
      <c r="H627" t="s">
        <v>3960</v>
      </c>
    </row>
    <row r="628" spans="2:8" x14ac:dyDescent="0.25">
      <c r="B628">
        <v>626</v>
      </c>
      <c r="E628" t="str">
        <f t="shared" si="20"/>
        <v>Date de paiement effective</v>
      </c>
      <c r="F628" t="s">
        <v>3961</v>
      </c>
      <c r="G628" t="s">
        <v>3962</v>
      </c>
      <c r="H628" t="s">
        <v>3963</v>
      </c>
    </row>
    <row r="629" spans="2:8" x14ac:dyDescent="0.25">
      <c r="B629">
        <v>627</v>
      </c>
      <c r="E629" t="str">
        <f t="shared" si="20"/>
        <v>Commentaires</v>
      </c>
      <c r="F629" t="s">
        <v>160</v>
      </c>
      <c r="G629" t="s">
        <v>3373</v>
      </c>
      <c r="H629" t="s">
        <v>3374</v>
      </c>
    </row>
    <row r="630" spans="2:8" x14ac:dyDescent="0.25">
      <c r="B630">
        <v>628</v>
      </c>
      <c r="E630" t="str">
        <f t="shared" si="20"/>
        <v>Récipiendaire principal</v>
      </c>
      <c r="F630" t="s">
        <v>1085</v>
      </c>
      <c r="G630" t="s">
        <v>3481</v>
      </c>
      <c r="H630" t="s">
        <v>3734</v>
      </c>
    </row>
    <row r="631" spans="2:8" x14ac:dyDescent="0.25">
      <c r="B631">
        <v>629</v>
      </c>
      <c r="E631" t="str">
        <f t="shared" si="20"/>
        <v>Date de paiement prévue</v>
      </c>
      <c r="F631" t="s">
        <v>3964</v>
      </c>
      <c r="G631" s="731" t="s">
        <v>3965</v>
      </c>
      <c r="H631" t="s">
        <v>3966</v>
      </c>
    </row>
    <row r="632" spans="2:8" x14ac:dyDescent="0.25">
      <c r="B632">
        <v>630</v>
      </c>
      <c r="E632" t="str">
        <f t="shared" si="20"/>
        <v>Section 7A.Rapport financier annuel complété par le récipiendaire principal</v>
      </c>
      <c r="F632" t="s">
        <v>3967</v>
      </c>
      <c r="G632" t="s">
        <v>3968</v>
      </c>
      <c r="H632" s="731"/>
    </row>
    <row r="633" spans="2:8" x14ac:dyDescent="0.25">
      <c r="B633">
        <v>631</v>
      </c>
      <c r="E633" t="str">
        <f t="shared" si="20"/>
        <v>B. VENTILATION PAR GROUPES DE COÛTS</v>
      </c>
      <c r="F633" t="s">
        <v>3773</v>
      </c>
      <c r="G633" t="s">
        <v>3774</v>
      </c>
      <c r="H633" t="s">
        <v>3775</v>
      </c>
    </row>
    <row r="634" spans="2:8" x14ac:dyDescent="0.25">
      <c r="B634">
        <v>632</v>
      </c>
      <c r="E634" t="str">
        <f t="shared" si="20"/>
        <v>Évaluation des coûts (groupes de coûts)</v>
      </c>
      <c r="F634" t="s">
        <v>2908</v>
      </c>
      <c r="G634" t="s">
        <v>3969</v>
      </c>
      <c r="H634" t="s">
        <v>3628</v>
      </c>
    </row>
    <row r="635" spans="2:8" x14ac:dyDescent="0.25">
      <c r="B635">
        <v>633</v>
      </c>
      <c r="E635" t="str">
        <f t="shared" si="20"/>
        <v>Budget pour la période de rapport</v>
      </c>
      <c r="F635" t="s">
        <v>1117</v>
      </c>
      <c r="G635" t="s">
        <v>3483</v>
      </c>
      <c r="H635" t="s">
        <v>3970</v>
      </c>
    </row>
    <row r="636" spans="2:8" x14ac:dyDescent="0.25">
      <c r="B636">
        <v>634</v>
      </c>
      <c r="E636" t="str">
        <f t="shared" si="20"/>
        <v>Dépenses réelles</v>
      </c>
      <c r="F636" t="s">
        <v>2668</v>
      </c>
      <c r="G636" t="s">
        <v>3781</v>
      </c>
      <c r="H636" t="s">
        <v>3782</v>
      </c>
    </row>
    <row r="637" spans="2:8" x14ac:dyDescent="0.25">
      <c r="B637">
        <v>635</v>
      </c>
      <c r="E637" t="str">
        <f t="shared" si="20"/>
        <v>Écarts budget - dépenses réelles</v>
      </c>
      <c r="F637" t="s">
        <v>1119</v>
      </c>
      <c r="G637" t="s">
        <v>3783</v>
      </c>
      <c r="H637" t="s">
        <v>3489</v>
      </c>
    </row>
    <row r="638" spans="2:8" x14ac:dyDescent="0.25">
      <c r="B638">
        <v>636</v>
      </c>
      <c r="E638" t="str">
        <f t="shared" si="20"/>
        <v>Explication des écarts (obligatoire si les dépenses sont inférieures ou supérieures au budget de plus de 5 %)</v>
      </c>
      <c r="F638" t="s">
        <v>2670</v>
      </c>
      <c r="G638" t="s">
        <v>3786</v>
      </c>
      <c r="H638" t="s">
        <v>3787</v>
      </c>
    </row>
    <row r="639" spans="2:8" x14ac:dyDescent="0.25">
      <c r="B639">
        <v>637</v>
      </c>
      <c r="E639" t="str">
        <f t="shared" si="20"/>
        <v>Budget cumulé</v>
      </c>
      <c r="F639" t="s">
        <v>2671</v>
      </c>
      <c r="G639" t="s">
        <v>3788</v>
      </c>
      <c r="H639" t="s">
        <v>3789</v>
      </c>
    </row>
    <row r="640" spans="2:8" x14ac:dyDescent="0.25">
      <c r="B640">
        <v>638</v>
      </c>
      <c r="E640" t="str">
        <f t="shared" si="20"/>
        <v>Dépenses réelles cumulées</v>
      </c>
      <c r="F640" t="s">
        <v>2672</v>
      </c>
      <c r="G640" t="s">
        <v>3790</v>
      </c>
      <c r="H640" t="s">
        <v>3791</v>
      </c>
    </row>
    <row r="641" spans="2:8" x14ac:dyDescent="0.25">
      <c r="B641">
        <v>639</v>
      </c>
      <c r="E641" t="str">
        <f t="shared" si="20"/>
        <v>Écarts budget cumulé - dép. réelles cumulées</v>
      </c>
      <c r="F641" t="s">
        <v>1124</v>
      </c>
      <c r="G641" t="s">
        <v>3792</v>
      </c>
      <c r="H641" t="s">
        <v>3793</v>
      </c>
    </row>
    <row r="642" spans="2:8" x14ac:dyDescent="0.25">
      <c r="B642">
        <v>640</v>
      </c>
      <c r="E642" t="str">
        <f t="shared" si="20"/>
        <v>Données cumulées pour la période de mise en œuvre</v>
      </c>
      <c r="F642" t="s">
        <v>2907</v>
      </c>
      <c r="G642" t="s">
        <v>3778</v>
      </c>
      <c r="H642" t="s">
        <v>3779</v>
      </c>
    </row>
    <row r="643" spans="2:8" x14ac:dyDescent="0.25">
      <c r="B643">
        <v>641</v>
      </c>
      <c r="E643" t="str">
        <f t="shared" si="20"/>
        <v>Période de rapport en cours</v>
      </c>
      <c r="F643" t="s">
        <v>2906</v>
      </c>
      <c r="G643" t="s">
        <v>3776</v>
      </c>
      <c r="H643" t="s">
        <v>3777</v>
      </c>
    </row>
    <row r="644" spans="2:8" x14ac:dyDescent="0.25">
      <c r="B644">
        <v>642</v>
      </c>
      <c r="E644" t="str">
        <f t="shared" si="20"/>
        <v>Taux d’absorption</v>
      </c>
      <c r="F644" t="s">
        <v>2669</v>
      </c>
      <c r="G644" t="s">
        <v>3784</v>
      </c>
      <c r="H644" t="s">
        <v>3971</v>
      </c>
    </row>
    <row r="645" spans="2:8" x14ac:dyDescent="0.25">
      <c r="B645">
        <v>643</v>
      </c>
      <c r="E645" t="str">
        <f t="shared" si="20"/>
        <v>Démarche modulaire - Modules</v>
      </c>
      <c r="F645" t="s">
        <v>2778</v>
      </c>
      <c r="G645" t="s">
        <v>3643</v>
      </c>
      <c r="H645" t="s">
        <v>3644</v>
      </c>
    </row>
    <row r="646" spans="2:8" x14ac:dyDescent="0.25">
      <c r="B646">
        <v>644</v>
      </c>
      <c r="E646" t="str">
        <f t="shared" si="20"/>
        <v>Démarche modulaire - Interventions</v>
      </c>
      <c r="F646" t="s">
        <v>2779</v>
      </c>
      <c r="G646" t="s">
        <v>3645</v>
      </c>
      <c r="H646" t="s">
        <v>3646</v>
      </c>
    </row>
    <row r="647" spans="2:8" x14ac:dyDescent="0.25">
      <c r="B647">
        <v>645</v>
      </c>
      <c r="E647" t="str">
        <f t="shared" si="20"/>
        <v>Entité de mise en œuvre</v>
      </c>
      <c r="F647" t="s">
        <v>2891</v>
      </c>
      <c r="G647" t="s">
        <v>3649</v>
      </c>
      <c r="H647" t="s">
        <v>3650</v>
      </c>
    </row>
    <row r="648" spans="2:8" x14ac:dyDescent="0.25">
      <c r="B648">
        <v>646</v>
      </c>
      <c r="E648" t="str">
        <f t="shared" si="20"/>
        <v>Type of Implementing Entity</v>
      </c>
      <c r="F648" t="s">
        <v>2611</v>
      </c>
      <c r="G648" t="s">
        <v>2611</v>
      </c>
      <c r="H648" t="s">
        <v>2611</v>
      </c>
    </row>
    <row r="649" spans="2:8" x14ac:dyDescent="0.25">
      <c r="B649">
        <v>647</v>
      </c>
      <c r="E649" t="str">
        <f t="shared" si="20"/>
        <v>B. VENTILATION PAR INTERVENTIONS</v>
      </c>
      <c r="F649" t="s">
        <v>2922</v>
      </c>
      <c r="G649" t="s">
        <v>3972</v>
      </c>
      <c r="H649" t="s">
        <v>3973</v>
      </c>
    </row>
    <row r="650" spans="2:8" x14ac:dyDescent="0.25">
      <c r="B650">
        <v>648</v>
      </c>
      <c r="E650" t="str">
        <f t="shared" si="20"/>
        <v>C. VENTILATION PAR ENTITÉ DE MISE EN ŒUVRE</v>
      </c>
      <c r="F650" t="s">
        <v>2939</v>
      </c>
      <c r="G650" t="s">
        <v>3974</v>
      </c>
      <c r="H650" t="s">
        <v>3975</v>
      </c>
    </row>
    <row r="651" spans="2:8" x14ac:dyDescent="0.25">
      <c r="B651">
        <v>649</v>
      </c>
      <c r="E651" t="str">
        <f t="shared" si="20"/>
        <v>A. État de rapprochement de la trésorerie du récipiendaire principal dans la monnaie de la subvention</v>
      </c>
      <c r="F651" t="s">
        <v>3976</v>
      </c>
      <c r="G651" t="s">
        <v>3977</v>
      </c>
      <c r="H651" t="s">
        <v>3978</v>
      </c>
    </row>
  </sheetData>
  <autoFilter ref="A3:H589" xr:uid="{00000000-0009-0000-0000-00002300000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rgb="FF3FAF01"/>
  </sheetPr>
  <dimension ref="A1:X121"/>
  <sheetViews>
    <sheetView topLeftCell="A15" zoomScale="70" zoomScaleNormal="70" zoomScaleSheetLayoutView="40" workbookViewId="0">
      <selection activeCell="D32" sqref="D32"/>
    </sheetView>
  </sheetViews>
  <sheetFormatPr baseColWidth="10" defaultColWidth="9.140625" defaultRowHeight="12.75" x14ac:dyDescent="0.2"/>
  <cols>
    <col min="1" max="1" width="46.5703125" style="61" customWidth="1"/>
    <col min="2" max="2" width="15.85546875" style="61" customWidth="1"/>
    <col min="3" max="3" width="18.85546875" style="61" customWidth="1"/>
    <col min="4" max="4" width="18.42578125" style="61" customWidth="1"/>
    <col min="5" max="5" width="16.85546875" style="61" bestFit="1" customWidth="1"/>
    <col min="6" max="6" width="17.140625" style="61" customWidth="1"/>
    <col min="7" max="7" width="1.85546875" style="61" customWidth="1"/>
    <col min="8" max="8" width="17" style="61" customWidth="1"/>
    <col min="9" max="9" width="19.85546875" style="61" customWidth="1"/>
    <col min="10" max="10" width="20.85546875" style="61" customWidth="1"/>
    <col min="11" max="11" width="20.5703125" style="61" customWidth="1"/>
    <col min="12" max="12" width="19.42578125" style="61" customWidth="1"/>
    <col min="13" max="21" width="9.140625" style="61"/>
    <col min="22" max="24" width="8.85546875" style="103" customWidth="1"/>
    <col min="25" max="16384" width="9.140625" style="61"/>
  </cols>
  <sheetData>
    <row r="1" spans="1:24" ht="25.5" customHeight="1" x14ac:dyDescent="0.35">
      <c r="A1" s="1831" t="str">
        <f>CoverSheet!A1</f>
        <v>Rapport périodique sur les résultats actuels et demande de décaissement</v>
      </c>
      <c r="B1" s="1831"/>
      <c r="C1" s="1831"/>
      <c r="D1" s="1831"/>
      <c r="E1" s="1831"/>
      <c r="F1" s="1831"/>
      <c r="G1" s="1831"/>
      <c r="H1" s="1831"/>
      <c r="I1" s="1831"/>
      <c r="J1" s="1831"/>
      <c r="K1" s="1831"/>
      <c r="L1" s="1831"/>
      <c r="M1" s="1831"/>
      <c r="N1" s="1831"/>
      <c r="O1" s="1831"/>
      <c r="P1" s="1831"/>
      <c r="Q1" s="1831"/>
      <c r="R1" s="1831"/>
      <c r="S1" s="103"/>
      <c r="T1" s="103"/>
      <c r="U1" s="103"/>
    </row>
    <row r="2" spans="1:24" ht="13.5" thickBot="1" x14ac:dyDescent="0.25">
      <c r="A2" s="103"/>
      <c r="B2" s="103"/>
      <c r="C2" s="103"/>
      <c r="D2" s="103"/>
      <c r="E2" s="103"/>
      <c r="F2" s="103"/>
      <c r="G2" s="103"/>
      <c r="H2" s="103"/>
      <c r="I2" s="103"/>
      <c r="J2" s="103"/>
      <c r="K2" s="103"/>
      <c r="L2" s="103"/>
      <c r="M2" s="103"/>
      <c r="N2" s="103"/>
      <c r="O2" s="103"/>
      <c r="P2" s="103"/>
      <c r="Q2" s="103"/>
      <c r="R2" s="103"/>
      <c r="S2" s="103"/>
      <c r="T2" s="103"/>
      <c r="U2" s="103"/>
    </row>
    <row r="3" spans="1:24" ht="37.5" customHeight="1" thickBot="1" x14ac:dyDescent="0.25">
      <c r="A3" s="1838" t="str">
        <f>VLOOKUP(Translations!B416,Translations!B3:H508,4,0)</f>
        <v>Section 8B. Demande de décaissement et recommandation</v>
      </c>
      <c r="B3" s="1839"/>
      <c r="C3" s="1839"/>
      <c r="D3" s="1840"/>
      <c r="E3" s="1832" t="str">
        <f>CoverSheet!F15</f>
        <v>Demande de décaissement  - période de prévision:</v>
      </c>
      <c r="F3" s="1833"/>
      <c r="G3" s="1833"/>
      <c r="H3" s="1833"/>
      <c r="I3" s="606" t="str">
        <f>CoverSheet!I15</f>
        <v>Date de début:</v>
      </c>
      <c r="J3" s="517">
        <f>CoverSheet!J15</f>
        <v>43831</v>
      </c>
      <c r="K3" s="608" t="str">
        <f>CoverSheet!K15</f>
        <v>Date de fin:</v>
      </c>
      <c r="L3" s="517">
        <f>CoverSheet!L15</f>
        <v>44196</v>
      </c>
      <c r="M3" s="601"/>
      <c r="N3" s="601"/>
      <c r="O3" s="601"/>
      <c r="P3" s="542"/>
      <c r="Q3" s="542"/>
      <c r="R3" s="542"/>
      <c r="S3" s="542"/>
      <c r="T3" s="542"/>
      <c r="U3" s="542"/>
      <c r="V3" s="542"/>
      <c r="W3" s="542"/>
      <c r="X3" s="602"/>
    </row>
    <row r="4" spans="1:24" ht="37.5" customHeight="1" thickBot="1" x14ac:dyDescent="0.25">
      <c r="A4" s="1841"/>
      <c r="B4" s="1842"/>
      <c r="C4" s="1842"/>
      <c r="D4" s="1843"/>
      <c r="E4" s="1834" t="str">
        <f>CoverSheet!F16</f>
        <v>Demande de décaissement  - Période additionnelle convenue:</v>
      </c>
      <c r="F4" s="1835"/>
      <c r="G4" s="1835"/>
      <c r="H4" s="1835"/>
      <c r="I4" s="607" t="str">
        <f>CoverSheet!I15</f>
        <v>Date de début:</v>
      </c>
      <c r="J4" s="517" t="str">
        <f>CoverSheet!J16</f>
        <v>n/a</v>
      </c>
      <c r="K4" s="609" t="str">
        <f>CoverSheet!K15</f>
        <v>Date de fin:</v>
      </c>
      <c r="L4" s="517" t="str">
        <f>CoverSheet!L16</f>
        <v>n/a</v>
      </c>
      <c r="M4" s="603"/>
      <c r="N4" s="603"/>
      <c r="O4" s="603"/>
      <c r="P4" s="604"/>
      <c r="Q4" s="604"/>
      <c r="R4" s="604"/>
      <c r="S4" s="604"/>
      <c r="T4" s="604"/>
      <c r="U4" s="604"/>
      <c r="V4" s="604"/>
      <c r="W4" s="604"/>
      <c r="X4" s="605"/>
    </row>
    <row r="5" spans="1:24" ht="18" x14ac:dyDescent="0.25">
      <c r="A5" s="600" t="str">
        <f>VLOOKUP(Translations!B421,Translations!B3:H508,4,0)</f>
        <v>Total forecasted net cash expenditures by the Principal Recipient for the period immediately following the period covered by the Progress Update:</v>
      </c>
      <c r="B5" s="599"/>
      <c r="C5" s="599"/>
      <c r="D5" s="599"/>
      <c r="E5" s="599"/>
      <c r="F5" s="599"/>
      <c r="G5" s="599"/>
      <c r="H5" s="599"/>
      <c r="I5" s="599"/>
      <c r="K5" s="103"/>
      <c r="L5" s="103"/>
      <c r="M5" s="103"/>
      <c r="N5" s="103"/>
      <c r="O5" s="103"/>
      <c r="P5" s="103"/>
      <c r="Q5" s="103"/>
      <c r="R5" s="103"/>
      <c r="S5" s="103"/>
      <c r="T5" s="103"/>
      <c r="U5" s="103"/>
    </row>
    <row r="6" spans="1:24" x14ac:dyDescent="0.2">
      <c r="A6" s="103"/>
      <c r="B6" s="103"/>
      <c r="C6" s="103"/>
      <c r="D6" s="103"/>
      <c r="E6" s="103"/>
      <c r="F6" s="103"/>
      <c r="G6" s="103"/>
      <c r="H6" s="103"/>
      <c r="I6" s="103"/>
      <c r="J6" s="103"/>
      <c r="K6" s="103"/>
      <c r="L6" s="103"/>
      <c r="M6" s="103"/>
      <c r="N6" s="103"/>
      <c r="O6" s="103"/>
      <c r="P6" s="103"/>
      <c r="Q6" s="103"/>
      <c r="R6" s="103"/>
      <c r="S6" s="103"/>
      <c r="T6" s="103"/>
      <c r="U6" s="103"/>
    </row>
    <row r="7" spans="1:24" ht="26.1" customHeight="1" x14ac:dyDescent="0.2">
      <c r="A7" s="1836" t="str">
        <f>VLOOKUP(Translations!B422,Translations!B3:H508,4,0)</f>
        <v>Principal RECIPIENT</v>
      </c>
      <c r="B7" s="1836"/>
      <c r="C7" s="1836"/>
      <c r="D7" s="1836"/>
      <c r="E7" s="1836"/>
      <c r="F7" s="1836"/>
      <c r="G7" s="1836"/>
      <c r="H7" s="1836"/>
      <c r="I7" s="1836"/>
      <c r="J7" s="1836"/>
      <c r="K7" s="1836"/>
      <c r="L7" s="1836"/>
      <c r="M7" s="1836"/>
      <c r="N7" s="1836"/>
      <c r="O7" s="1836"/>
      <c r="P7" s="1836"/>
      <c r="Q7" s="1836"/>
      <c r="R7" s="1836"/>
      <c r="S7" s="1836"/>
      <c r="T7" s="1836"/>
      <c r="U7" s="1836"/>
      <c r="V7" s="1836"/>
      <c r="W7" s="1836"/>
      <c r="X7" s="1836"/>
    </row>
    <row r="8" spans="1:24" ht="80.099999999999994" customHeight="1" x14ac:dyDescent="0.2">
      <c r="A8" s="103"/>
      <c r="B8" s="598"/>
      <c r="C8" s="598"/>
      <c r="D8" s="598"/>
      <c r="E8" s="598"/>
      <c r="F8" s="598"/>
      <c r="G8" s="598"/>
      <c r="H8" s="598"/>
      <c r="I8" s="598"/>
      <c r="J8" s="598"/>
      <c r="K8" s="103"/>
      <c r="L8" s="103"/>
      <c r="M8" s="103"/>
      <c r="N8" s="103"/>
      <c r="O8" s="103"/>
      <c r="P8" s="1837"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8" s="1837"/>
      <c r="R8" s="1837"/>
      <c r="S8" s="1837"/>
      <c r="T8" s="1837"/>
      <c r="U8" s="1837"/>
      <c r="V8" s="1837"/>
      <c r="W8" s="1837"/>
      <c r="X8" s="1837"/>
    </row>
    <row r="9" spans="1:24" x14ac:dyDescent="0.2">
      <c r="A9" s="103"/>
      <c r="B9" s="103"/>
      <c r="C9" s="103"/>
      <c r="D9" s="103"/>
      <c r="E9" s="103"/>
      <c r="F9" s="103"/>
      <c r="G9" s="103"/>
      <c r="H9" s="103"/>
      <c r="I9" s="103"/>
      <c r="J9" s="103"/>
      <c r="K9" s="103"/>
      <c r="L9" s="103"/>
      <c r="M9" s="103"/>
      <c r="N9" s="103"/>
      <c r="O9" s="103"/>
      <c r="P9" s="103"/>
      <c r="Q9" s="103"/>
      <c r="R9" s="103"/>
      <c r="S9" s="103"/>
      <c r="T9" s="103"/>
      <c r="U9" s="103"/>
    </row>
    <row r="10" spans="1:24" ht="18.75" thickBot="1" x14ac:dyDescent="0.3">
      <c r="A10" s="44"/>
      <c r="B10" s="1851" t="str">
        <f>VLOOKUP(Translations!B424,Translations!B3:H508,4,0)</f>
        <v>Execution Period</v>
      </c>
      <c r="C10" s="1851"/>
      <c r="D10" s="1851"/>
      <c r="E10" s="1851"/>
      <c r="F10" s="1367" t="s">
        <v>947</v>
      </c>
      <c r="G10" s="587"/>
      <c r="H10" s="1851" t="s">
        <v>3660</v>
      </c>
      <c r="I10" s="1851"/>
      <c r="J10" s="1368" t="s">
        <v>947</v>
      </c>
      <c r="K10" s="103"/>
      <c r="L10" s="103"/>
      <c r="M10" s="103"/>
      <c r="N10" s="103"/>
      <c r="O10" s="103"/>
      <c r="P10" s="1849"/>
      <c r="Q10" s="1849"/>
      <c r="R10" s="1849"/>
      <c r="S10" s="1849"/>
      <c r="T10" s="1849"/>
      <c r="U10" s="1849"/>
      <c r="V10" s="1849"/>
      <c r="W10" s="1849"/>
      <c r="X10" s="1849"/>
    </row>
    <row r="11" spans="1:24" ht="28.5" customHeight="1" thickBot="1" x14ac:dyDescent="0.25">
      <c r="A11" s="586" t="s">
        <v>3661</v>
      </c>
      <c r="B11" s="585" t="str">
        <f>'Cash Forecast_8A'!E199</f>
        <v/>
      </c>
      <c r="C11" s="596" t="str">
        <f>'Cash Forecast_8A'!F199</f>
        <v/>
      </c>
      <c r="D11" s="596" t="str">
        <f>'Cash Forecast_8A'!G199</f>
        <v/>
      </c>
      <c r="E11" s="596" t="str">
        <f>'Cash Forecast_8A'!H199</f>
        <v/>
      </c>
      <c r="F11" s="597"/>
      <c r="G11" s="62"/>
      <c r="H11" s="585" t="str">
        <f>'Cash Forecast_8A'!J199</f>
        <v/>
      </c>
      <c r="I11" s="596" t="str">
        <f>'Cash Forecast_8A'!K199</f>
        <v/>
      </c>
      <c r="J11" s="595"/>
      <c r="K11" s="103"/>
      <c r="L11" s="103"/>
      <c r="M11" s="103"/>
      <c r="N11" s="103"/>
      <c r="O11" s="103"/>
      <c r="P11" s="1849"/>
      <c r="Q11" s="1849"/>
      <c r="R11" s="1849"/>
      <c r="S11" s="1849"/>
      <c r="T11" s="1849"/>
      <c r="U11" s="1849"/>
      <c r="V11" s="1849"/>
      <c r="W11" s="1849"/>
      <c r="X11" s="1849"/>
    </row>
    <row r="12" spans="1:24" ht="15" thickBot="1" x14ac:dyDescent="0.25">
      <c r="A12" s="576" t="s">
        <v>3054</v>
      </c>
      <c r="B12" s="582">
        <f>B101</f>
        <v>11853739.9001719</v>
      </c>
      <c r="C12" s="581">
        <f>C101</f>
        <v>1281214.8905080999</v>
      </c>
      <c r="D12" s="578">
        <f>D101</f>
        <v>1196212.7447736899</v>
      </c>
      <c r="E12" s="583">
        <f>E101</f>
        <v>1298959.38738459</v>
      </c>
      <c r="F12" s="580">
        <f>SUM(B12:E12)</f>
        <v>15630126.92283828</v>
      </c>
      <c r="G12" s="44"/>
      <c r="H12" s="594">
        <f>G101</f>
        <v>0</v>
      </c>
      <c r="I12" s="578">
        <f>H101</f>
        <v>0</v>
      </c>
      <c r="J12" s="580">
        <f>SUM(H12:I12)</f>
        <v>0</v>
      </c>
      <c r="K12" s="560">
        <f>F12+J12</f>
        <v>15630126.92283828</v>
      </c>
      <c r="L12" s="103"/>
      <c r="M12" s="103"/>
      <c r="N12" s="103"/>
      <c r="O12" s="103"/>
      <c r="P12" s="1849"/>
      <c r="Q12" s="1849"/>
      <c r="R12" s="1849"/>
      <c r="S12" s="1849"/>
      <c r="T12" s="1849"/>
      <c r="U12" s="1849"/>
      <c r="V12" s="1849"/>
      <c r="W12" s="1849"/>
      <c r="X12" s="1849"/>
    </row>
    <row r="13" spans="1:24" ht="15" thickBot="1" x14ac:dyDescent="0.25">
      <c r="A13" s="576" t="s">
        <v>3662</v>
      </c>
      <c r="B13" s="577">
        <f>'Cash Forecast_8A'!E204</f>
        <v>14441773.68</v>
      </c>
      <c r="C13" s="579">
        <f>'Cash Forecast_8A'!F204</f>
        <v>1281214.8899999999</v>
      </c>
      <c r="D13" s="577">
        <f>'Cash Forecast_8A'!G204</f>
        <v>1196212.74</v>
      </c>
      <c r="E13" s="579">
        <f>'Cash Forecast_8A'!H204</f>
        <v>1298959.3899999999</v>
      </c>
      <c r="F13" s="580">
        <f>SUM(B13:E13)</f>
        <v>18218160.699999999</v>
      </c>
      <c r="G13" s="44"/>
      <c r="H13" s="577">
        <f>'Cash Forecast_8A'!J204</f>
        <v>0</v>
      </c>
      <c r="I13" s="579">
        <f>'Cash Forecast_8A'!K204</f>
        <v>0</v>
      </c>
      <c r="J13" s="580">
        <f>SUM(H13:I13)</f>
        <v>0</v>
      </c>
      <c r="K13" s="560">
        <f>F13+J13</f>
        <v>18218160.699999999</v>
      </c>
      <c r="L13" s="103"/>
      <c r="M13" s="103"/>
      <c r="N13" s="559"/>
      <c r="O13" s="103"/>
      <c r="P13" s="1849"/>
      <c r="Q13" s="1849"/>
      <c r="R13" s="1849"/>
      <c r="S13" s="1849"/>
      <c r="T13" s="1849"/>
      <c r="U13" s="1849"/>
      <c r="V13" s="1849"/>
      <c r="W13" s="1849"/>
      <c r="X13" s="1849"/>
    </row>
    <row r="14" spans="1:24" ht="65.45" customHeight="1" x14ac:dyDescent="0.2">
      <c r="A14" s="576" t="str">
        <f>VLOOKUP(Translations!B431,Translations!B3:H508,4,0)</f>
        <v>Solde de trésorerie : fin de la période couverte par le rapport sur les résultats actuels (ligne 5.3 du rapprochement de la trésorerie du récipiendaire principal).</v>
      </c>
      <c r="B14" s="577">
        <f>'PR Cash Reconciliation_2A,B,C,D'!D32</f>
        <v>9282923.5600000042</v>
      </c>
      <c r="C14" s="1369"/>
      <c r="D14" s="1369"/>
      <c r="E14" s="1369"/>
      <c r="F14" s="1370"/>
      <c r="G14" s="44"/>
      <c r="H14" s="977"/>
      <c r="I14" s="1369"/>
      <c r="J14" s="1370"/>
      <c r="K14" s="103"/>
      <c r="L14" s="103"/>
      <c r="M14" s="103"/>
      <c r="N14" s="103"/>
      <c r="O14" s="103"/>
      <c r="P14" s="1849"/>
      <c r="Q14" s="1849"/>
      <c r="R14" s="1849"/>
      <c r="S14" s="1849"/>
      <c r="T14" s="1849"/>
      <c r="U14" s="1849"/>
      <c r="V14" s="1849"/>
      <c r="W14" s="1849"/>
      <c r="X14" s="1849"/>
    </row>
    <row r="15" spans="1:24" ht="48" customHeight="1" x14ac:dyDescent="0.2">
      <c r="A15" s="576" t="str">
        <f>VLOOKUP(Translations!B432,Translations!B3:H508,4,0)</f>
        <v xml:space="preserve">Fonds en transit pour la période de rapport (décaissements  effectués en faveur du récipiendaire principal). </v>
      </c>
      <c r="B15" s="575"/>
      <c r="C15" s="1369"/>
      <c r="D15" s="1369"/>
      <c r="E15" s="1369"/>
      <c r="F15" s="1370"/>
      <c r="G15" s="44"/>
      <c r="H15" s="977"/>
      <c r="I15" s="1369"/>
      <c r="J15" s="1370"/>
      <c r="K15" s="574"/>
      <c r="L15" s="1850" t="str">
        <f>IF(AND(ROUND(SUM(B15:B16),0)=ROUND('PR Cash Reconciliation_2A,B,C,D'!D38,0)),"Cash in Transit OK","WARNING - Cash in Transit not matching")</f>
        <v>Cash in Transit OK</v>
      </c>
      <c r="M15" s="573"/>
      <c r="N15" s="573"/>
      <c r="O15" s="572"/>
      <c r="P15" s="1849"/>
      <c r="Q15" s="1849"/>
      <c r="R15" s="1849"/>
      <c r="S15" s="1849"/>
      <c r="T15" s="1849"/>
      <c r="U15" s="1849"/>
      <c r="V15" s="1849"/>
      <c r="W15" s="1849"/>
      <c r="X15" s="1849"/>
    </row>
    <row r="16" spans="1:24" ht="39" customHeight="1" x14ac:dyDescent="0.2">
      <c r="A16" s="576" t="str">
        <f>VLOOKUP(Translations!B433,Translations!B3:H508,4,0)</f>
        <v xml:space="preserve">Fonds en transit pour la période de rapport (décaissements effectués a un tiers). </v>
      </c>
      <c r="B16" s="575"/>
      <c r="C16" s="1371"/>
      <c r="D16" s="1371"/>
      <c r="E16" s="1371"/>
      <c r="F16" s="1372"/>
      <c r="G16" s="44"/>
      <c r="H16" s="1373"/>
      <c r="I16" s="1371"/>
      <c r="J16" s="1372"/>
      <c r="K16" s="103"/>
      <c r="L16" s="1850"/>
      <c r="M16" s="573"/>
      <c r="N16" s="573"/>
      <c r="O16" s="572"/>
      <c r="P16" s="1849"/>
      <c r="Q16" s="1849"/>
      <c r="R16" s="1849"/>
      <c r="S16" s="1849"/>
      <c r="T16" s="1849"/>
      <c r="U16" s="1849"/>
      <c r="V16" s="1849"/>
      <c r="W16" s="1849"/>
      <c r="X16" s="1849"/>
    </row>
    <row r="17" spans="1:24" ht="62.45" customHeight="1" x14ac:dyDescent="0.2">
      <c r="A17" s="576" t="str">
        <f>VLOOKUP(Translations!B434,Translations!B3:H508,4,0)</f>
        <v>Fonds en transit après la période de rapport en cours : (décaissements  effectués en faveur du récipiendaire principal).</v>
      </c>
      <c r="B17" s="575">
        <v>4483586</v>
      </c>
      <c r="C17" s="1371"/>
      <c r="D17" s="1371"/>
      <c r="E17" s="1371"/>
      <c r="F17" s="1372"/>
      <c r="G17" s="44"/>
      <c r="H17" s="1373"/>
      <c r="I17" s="1371"/>
      <c r="J17" s="1372"/>
      <c r="K17" s="574"/>
      <c r="L17" s="1850" t="str">
        <f>IF(AND(ROUND(SUM(B17:B18),0)=ROUND('PR Cash Reconciliation_2A,B,C,D'!D39,0)),"Cash in Transit OK","WARNING - Cash in Transit not matching")</f>
        <v>Cash in Transit OK</v>
      </c>
      <c r="M17" s="573"/>
      <c r="N17" s="573"/>
      <c r="O17" s="572"/>
      <c r="P17" s="1849"/>
      <c r="Q17" s="1849"/>
      <c r="R17" s="1849"/>
      <c r="S17" s="1849"/>
      <c r="T17" s="1849"/>
      <c r="U17" s="1849"/>
      <c r="V17" s="1849"/>
      <c r="W17" s="1849"/>
      <c r="X17" s="1849"/>
    </row>
    <row r="18" spans="1:24" ht="68.099999999999994" customHeight="1" thickBot="1" x14ac:dyDescent="0.25">
      <c r="A18" s="576" t="str">
        <f>VLOOKUP(Translations!B435,Translations!B3:H508,4,0)</f>
        <v>Fonds en transit après la période de rapport en cours » : (décaissements effectués en faveur d’un tiers au nom du récipiendaire principal).</v>
      </c>
      <c r="B18" s="575"/>
      <c r="C18" s="1371"/>
      <c r="D18" s="1371"/>
      <c r="E18" s="1371"/>
      <c r="F18" s="1372"/>
      <c r="G18" s="44"/>
      <c r="H18" s="1373"/>
      <c r="I18" s="1371"/>
      <c r="J18" s="1372"/>
      <c r="K18" s="574"/>
      <c r="L18" s="1850"/>
      <c r="M18" s="573"/>
      <c r="N18" s="573"/>
      <c r="O18" s="572"/>
      <c r="P18" s="1849"/>
      <c r="Q18" s="1849"/>
      <c r="R18" s="1849"/>
      <c r="S18" s="1849"/>
      <c r="T18" s="1849"/>
      <c r="U18" s="1849"/>
      <c r="V18" s="1849"/>
      <c r="W18" s="1849"/>
      <c r="X18" s="1849"/>
    </row>
    <row r="19" spans="1:24" ht="15" thickBot="1" x14ac:dyDescent="0.25">
      <c r="A19" s="564" t="str">
        <f>VLOOKUP(Translations!B436,Translations!B3:H508,4,0)</f>
        <v>Demande de décaissement</v>
      </c>
      <c r="B19" s="1374">
        <f>IF(B13=0,0,IF(AND(B103-$B$14-$B$15-$B$17&lt;=0,B25+B26&lt;=0),0,IF(AND(B103-$B$14-$B$15-$B$17&lt;=0,B25+B26&gt;0),B25+B26,IF(AND(B13-$B$14-$B$15-$B$17&lt;=B25+B26,B25+B26&gt;0),B25+B26,B103-$B$14-$B$15-$B$17+B25+B26))))</f>
        <v>675264.11730821244</v>
      </c>
      <c r="C19" s="1375">
        <f>IF(C13=0,0,IF(AND(B103+C103-$B$14-$B$15-$B$17&lt;=0,C25+C26&lt;=0),0,IF(AND(B103+C103-$B$14-$B$15-$B$17&lt;=0,C25+C26&gt;0),C25+C26,IF(AND(B13+C13-$B$14-$B$15-$B$17&lt;=C25+C26,C25+C26&gt;0),C25+C26,B103+C103-$B$14-$B$15-$B$17-B24+C25+C26))))</f>
        <v>1281214.8905081004</v>
      </c>
      <c r="D19" s="1375">
        <f>IF(D13=0,0,IF(AND(B103+C103+D103-$B$14-$B$15-$B$17&lt;=0,D25+D26&lt;=0),0,IF(AND(B103+C103+D103-$B$14-$B$15-$B$17&lt;=0,D25+D26&gt;0),D25+D26,IF(AND(B13+C13+D13-$B$14-$B$15-$B$17&lt;=D25+D26,D25+D26&gt;0),D25+D26,B103+C103+D103-$B$14-$B$15-$B$17-B24-C24+D25+D26))))</f>
        <v>1196212.7447736859</v>
      </c>
      <c r="E19" s="1375">
        <f>IF(E13=0,0,IF(AND(B103+C103+D103+E103-$B$14-$B$15-$B$17&lt;=0,E25+E26&lt;=0),0,IF(AND(B103+C103+D103+E103-$B$14-$B$15-$B$17&lt;=0,E25+E26&gt;0),E25+E26,IF(AND(B13+C13+D13+E13-$B$14-$B$15-$B$17&lt;=E25+E26,E25+E26&gt;0),E25+E26,B103+C103+D103+E103-$B$14-$B$15-$B$17-B24-C24-D24+E25+E26))))</f>
        <v>1298959.3873845935</v>
      </c>
      <c r="F19" s="1376">
        <f>SUM(B19:E20)</f>
        <v>4451651.1399745923</v>
      </c>
      <c r="G19" s="44"/>
      <c r="H19" s="1374">
        <f>IF(H13=0,0,IF(AND(B103+C103+D103+E103+G103-$B$14-$B$15-$B$17&lt;=0,H25+H26&lt;=0),0,IF(AND(B103+C103+D103+E103+G103-$B$14-$B$15-$B$17&lt;=0,H25+H26&gt;0),H25+H26,IF(AND(B13+C13+D13+E13+H13-$B$14-$B$15-$B$17&lt;=H25+H26,H25+H26&gt;0),H25+H26,B103+C103+D103+E103+G103-$B$14-$B$15-$B$17-B24-C24-D24-E24+H25+H26))))</f>
        <v>0</v>
      </c>
      <c r="I19" s="1375">
        <f>IF(I13=0,0,IF(AND(B103+C103+D103+E103+G103+H103-$B$14-$B$15-$B$17&lt;=0,I25+I26&lt;=0),0,IF(AND(B103+C103+D103+E103+G103+H103-$B$14-$B$15-$B$17&lt;=0,I25+I26&gt;0),I25+I26,IF(AND(B13+C13+D13+E13+H13+I13-$B$14-$B$15-$B$17&lt;=I25+I26,I25+I26&gt;0),I25+I26,B103+C103+D103+E103+G103+H103-$B$14-$B$15-$B$17-B24-C24-D24-E24-H24+I25+I26))))</f>
        <v>0</v>
      </c>
      <c r="J19" s="1376">
        <f>SUM(H19:I19)</f>
        <v>0</v>
      </c>
      <c r="K19" s="560">
        <f>J19+F19</f>
        <v>4451651.1399745923</v>
      </c>
      <c r="L19" s="103"/>
      <c r="M19" s="103"/>
      <c r="N19" s="103"/>
      <c r="O19" s="103"/>
      <c r="P19" s="1849"/>
      <c r="Q19" s="1849"/>
      <c r="R19" s="1849"/>
      <c r="S19" s="1849"/>
      <c r="T19" s="1849"/>
      <c r="U19" s="1849"/>
      <c r="V19" s="1849"/>
      <c r="W19" s="1849"/>
      <c r="X19" s="1849"/>
    </row>
    <row r="20" spans="1:24" x14ac:dyDescent="0.2">
      <c r="A20" s="103"/>
      <c r="B20" s="593"/>
      <c r="C20" s="103"/>
      <c r="D20" s="103"/>
      <c r="E20" s="103"/>
      <c r="F20" s="103"/>
      <c r="G20" s="103"/>
      <c r="H20" s="103"/>
      <c r="I20" s="103"/>
      <c r="J20" s="103"/>
      <c r="K20" s="103"/>
      <c r="L20" s="103"/>
      <c r="M20" s="103"/>
      <c r="N20" s="103"/>
      <c r="O20" s="103"/>
      <c r="P20" s="1849"/>
      <c r="Q20" s="1849"/>
      <c r="R20" s="1849"/>
      <c r="S20" s="1849"/>
      <c r="T20" s="1849"/>
      <c r="U20" s="1849"/>
      <c r="V20" s="1849"/>
      <c r="W20" s="1849"/>
      <c r="X20" s="1849"/>
    </row>
    <row r="21" spans="1:24" x14ac:dyDescent="0.2">
      <c r="A21" s="571"/>
      <c r="B21" s="559"/>
      <c r="C21" s="559"/>
      <c r="D21" s="559"/>
      <c r="E21" s="559"/>
      <c r="F21" s="103"/>
      <c r="G21" s="559"/>
      <c r="H21" s="559"/>
      <c r="I21" s="559"/>
      <c r="J21" s="103"/>
      <c r="K21" s="570"/>
      <c r="L21" s="103"/>
      <c r="M21" s="103"/>
      <c r="N21" s="103"/>
      <c r="O21" s="103"/>
      <c r="P21" s="1849"/>
      <c r="Q21" s="1849"/>
      <c r="R21" s="1849"/>
      <c r="S21" s="1849"/>
      <c r="T21" s="1849"/>
      <c r="U21" s="1849"/>
      <c r="V21" s="1849"/>
      <c r="W21" s="1849"/>
      <c r="X21" s="1849"/>
    </row>
    <row r="22" spans="1:24" x14ac:dyDescent="0.2">
      <c r="A22" s="103"/>
      <c r="B22" s="559"/>
      <c r="C22" s="559"/>
      <c r="D22" s="559"/>
      <c r="E22" s="559"/>
      <c r="F22" s="559"/>
      <c r="G22" s="103"/>
      <c r="H22" s="559"/>
      <c r="I22" s="559"/>
      <c r="J22" s="103"/>
      <c r="K22" s="103"/>
      <c r="L22" s="103"/>
      <c r="M22" s="103"/>
      <c r="N22" s="103"/>
      <c r="O22" s="103"/>
      <c r="P22" s="1849"/>
      <c r="Q22" s="1849"/>
      <c r="R22" s="1849"/>
      <c r="S22" s="1849"/>
      <c r="T22" s="1849"/>
      <c r="U22" s="1849"/>
      <c r="V22" s="1849"/>
      <c r="W22" s="1849"/>
      <c r="X22" s="1849"/>
    </row>
    <row r="23" spans="1:24" ht="13.5" thickBot="1" x14ac:dyDescent="0.25">
      <c r="A23" s="103"/>
      <c r="B23" s="103"/>
      <c r="C23" s="103"/>
      <c r="D23" s="103"/>
      <c r="E23" s="103"/>
      <c r="F23" s="103"/>
      <c r="G23" s="103"/>
      <c r="H23" s="103"/>
      <c r="I23" s="103"/>
      <c r="J23" s="103"/>
      <c r="K23" s="103"/>
      <c r="L23" s="103"/>
      <c r="M23" s="103"/>
      <c r="N23" s="103"/>
      <c r="O23" s="103"/>
      <c r="P23" s="1849"/>
      <c r="Q23" s="1849"/>
      <c r="R23" s="1849"/>
      <c r="S23" s="1849"/>
      <c r="T23" s="1849"/>
      <c r="U23" s="1849"/>
      <c r="V23" s="1849"/>
      <c r="W23" s="1849"/>
      <c r="X23" s="1849"/>
    </row>
    <row r="24" spans="1:24" ht="28.5" x14ac:dyDescent="0.2">
      <c r="A24" s="569" t="s">
        <v>3056</v>
      </c>
      <c r="B24" s="568">
        <f>IF(B19=0,0,B19-SUM(B25:B26))</f>
        <v>675264.11730821244</v>
      </c>
      <c r="C24" s="567">
        <f>IF(C19=0,0,C19-SUM(C25:C26))</f>
        <v>1281214.8905081004</v>
      </c>
      <c r="D24" s="567">
        <f>IF(D19=0,0,D19-SUM(D25:D26))</f>
        <v>1196212.7447736859</v>
      </c>
      <c r="E24" s="567">
        <f>IF(E19=0,0,E19-SUM(E25:E26))</f>
        <v>1298959.3873845935</v>
      </c>
      <c r="F24" s="565">
        <f>SUM(B24:E24)</f>
        <v>4451651.1399745923</v>
      </c>
      <c r="G24" s="44"/>
      <c r="H24" s="568">
        <f>H19-SUM(H25:H26)</f>
        <v>0</v>
      </c>
      <c r="I24" s="567">
        <f>I19-SUM(I25:I26)</f>
        <v>0</v>
      </c>
      <c r="J24" s="565">
        <f>SUM(H24:I24)</f>
        <v>0</v>
      </c>
      <c r="K24" s="46" t="str">
        <f>IF(AND(ROUND(F24+J24,0)=ROUND(F103+I103-B14-B15-B17,0)),"OK","WARNING - Sum not matching")</f>
        <v>OK</v>
      </c>
      <c r="L24" s="103"/>
      <c r="M24" s="103"/>
      <c r="N24" s="103"/>
      <c r="O24" s="103"/>
      <c r="P24" s="1849"/>
      <c r="Q24" s="1849"/>
      <c r="R24" s="1849"/>
      <c r="S24" s="1849"/>
      <c r="T24" s="1849"/>
      <c r="U24" s="1849"/>
      <c r="V24" s="1849"/>
      <c r="W24" s="1849"/>
      <c r="X24" s="1849"/>
    </row>
    <row r="25" spans="1:24" ht="14.25" x14ac:dyDescent="0.2">
      <c r="A25" s="566" t="s">
        <v>3055</v>
      </c>
      <c r="B25" s="978">
        <f>IF('Request and Recommendation_8B'!B102-$B$16-$B$18&lt;=0,0,'Request and Recommendation_8B'!B102-$B$16-$B$18)</f>
        <v>0</v>
      </c>
      <c r="C25" s="1326">
        <f>IF(('Request and Recommendation_8B'!C102+'Request and Recommendation_8B'!B102)-$B$16-$B$18&lt;=0,0,('Request and Recommendation_8B'!C102+'Request and Recommendation_8B'!B102)-B25-$B$16-$B$18)</f>
        <v>0</v>
      </c>
      <c r="D25" s="1326">
        <f>IF(('Request and Recommendation_8B'!D102+'Request and Recommendation_8B'!C102+'Request and Recommendation_8B'!B102)-$B$16-$B$18&lt;=0,0,('Request and Recommendation_8B'!D102+'Request and Recommendation_8B'!C102+'Request and Recommendation_8B'!B102)-B25-C25-$B$16-$B$18)</f>
        <v>0</v>
      </c>
      <c r="E25" s="1326">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0</v>
      </c>
      <c r="F25" s="1377">
        <f>SUM(B25:E25)</f>
        <v>0</v>
      </c>
      <c r="G25" s="44"/>
      <c r="H25" s="978">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0</v>
      </c>
      <c r="I25" s="1326">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0</v>
      </c>
      <c r="J25" s="1377">
        <f>SUM(H25:I25)</f>
        <v>0</v>
      </c>
      <c r="K25" s="46" t="str">
        <f>IF(AND(ROUND(F25+J25,0)=ROUND(F102+I102-B16-B18,0)),"OK","WARNING - Sum not matching")</f>
        <v>OK</v>
      </c>
      <c r="L25" s="103"/>
      <c r="M25" s="103"/>
      <c r="N25" s="103"/>
      <c r="O25" s="103"/>
      <c r="P25" s="1849"/>
      <c r="Q25" s="1849"/>
      <c r="R25" s="1849"/>
      <c r="S25" s="1849"/>
      <c r="T25" s="1849"/>
      <c r="U25" s="1849"/>
      <c r="V25" s="1849"/>
      <c r="W25" s="1849"/>
      <c r="X25" s="1849"/>
    </row>
    <row r="26" spans="1:24" ht="29.25" thickBot="1" x14ac:dyDescent="0.25">
      <c r="A26" s="566" t="s">
        <v>3680</v>
      </c>
      <c r="B26" s="1374">
        <f>'Request and Recommendation_8B'!B104</f>
        <v>0</v>
      </c>
      <c r="C26" s="1375">
        <f>'Request and Recommendation_8B'!C104</f>
        <v>0</v>
      </c>
      <c r="D26" s="1375">
        <f>'Request and Recommendation_8B'!D104</f>
        <v>0</v>
      </c>
      <c r="E26" s="1375">
        <f>'Request and Recommendation_8B'!E104</f>
        <v>0</v>
      </c>
      <c r="F26" s="1376">
        <f>SUM(B26:E26)</f>
        <v>0</v>
      </c>
      <c r="G26" s="44"/>
      <c r="H26" s="1374">
        <f>'Request and Recommendation_8B'!G104</f>
        <v>0</v>
      </c>
      <c r="I26" s="1375">
        <f>'Request and Recommendation_8B'!H104</f>
        <v>0</v>
      </c>
      <c r="J26" s="1376">
        <f>SUM(H26:I26)</f>
        <v>0</v>
      </c>
      <c r="K26" s="46" t="str">
        <f>IF(AND(ROUND(F26+J26,0)=ROUND(F104+I104,0)),"OK","WARNING - Sum not matching")</f>
        <v>OK</v>
      </c>
      <c r="L26" s="103"/>
      <c r="M26" s="103"/>
      <c r="N26" s="103"/>
      <c r="O26" s="103"/>
      <c r="P26" s="1849"/>
      <c r="Q26" s="1849"/>
      <c r="R26" s="1849"/>
      <c r="S26" s="1849"/>
      <c r="T26" s="1849"/>
      <c r="U26" s="1849"/>
      <c r="V26" s="1849"/>
      <c r="W26" s="1849"/>
      <c r="X26" s="1849"/>
    </row>
    <row r="27" spans="1:24" ht="15" thickBot="1" x14ac:dyDescent="0.25">
      <c r="A27" s="564" t="s">
        <v>86</v>
      </c>
      <c r="B27" s="592">
        <f>SUM(B24:B26)</f>
        <v>675264.11730821244</v>
      </c>
      <c r="C27" s="590">
        <f>SUM(C24:C26)</f>
        <v>1281214.8905081004</v>
      </c>
      <c r="D27" s="590">
        <f>SUM(D24:D26)</f>
        <v>1196212.7447736859</v>
      </c>
      <c r="E27" s="590">
        <f>SUM(E24:E26)</f>
        <v>1298959.3873845935</v>
      </c>
      <c r="F27" s="561">
        <f>SUM(F24:F26)</f>
        <v>4451651.1399745923</v>
      </c>
      <c r="G27" s="44"/>
      <c r="H27" s="591">
        <f>SUM(H24:H26)</f>
        <v>0</v>
      </c>
      <c r="I27" s="590">
        <f>SUM(I24:I26)</f>
        <v>0</v>
      </c>
      <c r="J27" s="561">
        <f>SUM(J24:J26)</f>
        <v>0</v>
      </c>
      <c r="K27" s="560">
        <f>F27+J27</f>
        <v>4451651.1399745923</v>
      </c>
      <c r="L27" s="103"/>
      <c r="M27" s="103"/>
      <c r="N27" s="559"/>
      <c r="O27" s="103"/>
      <c r="P27" s="1849"/>
      <c r="Q27" s="1849"/>
      <c r="R27" s="1849"/>
      <c r="S27" s="1849"/>
      <c r="T27" s="1849"/>
      <c r="U27" s="1849"/>
      <c r="V27" s="1849"/>
      <c r="W27" s="1849"/>
      <c r="X27" s="1849"/>
    </row>
    <row r="28" spans="1:24" x14ac:dyDescent="0.2">
      <c r="A28" s="103"/>
      <c r="B28" s="103"/>
      <c r="C28" s="103"/>
      <c r="D28" s="103"/>
      <c r="E28" s="103"/>
      <c r="F28" s="103"/>
      <c r="G28" s="103"/>
      <c r="H28" s="103"/>
      <c r="I28" s="103"/>
      <c r="J28" s="103"/>
      <c r="K28" s="103"/>
      <c r="L28" s="103"/>
      <c r="M28" s="103"/>
      <c r="N28" s="103"/>
      <c r="O28" s="103"/>
      <c r="P28" s="103"/>
      <c r="Q28" s="103"/>
      <c r="R28" s="103"/>
      <c r="S28" s="103"/>
      <c r="T28" s="103"/>
      <c r="U28" s="103"/>
    </row>
    <row r="29" spans="1:24" ht="14.25" x14ac:dyDescent="0.2">
      <c r="A29" s="103"/>
      <c r="B29" s="103"/>
      <c r="C29" s="103"/>
      <c r="D29" s="103"/>
      <c r="E29" s="103"/>
      <c r="F29" s="103"/>
      <c r="G29" s="103"/>
      <c r="H29" s="103"/>
      <c r="I29" s="103"/>
      <c r="J29" s="103"/>
      <c r="K29" s="46" t="str">
        <f>IF(AND(ROUND(K19,0)=ROUND(K27,0)),"OK","WARNING - Sum not matching")</f>
        <v>OK</v>
      </c>
      <c r="L29" s="103"/>
      <c r="M29" s="103"/>
      <c r="N29" s="103"/>
      <c r="O29" s="103"/>
      <c r="P29" s="103"/>
      <c r="Q29" s="103"/>
      <c r="R29" s="103"/>
      <c r="S29" s="103"/>
      <c r="T29" s="103"/>
      <c r="U29" s="103"/>
    </row>
    <row r="30" spans="1:24" x14ac:dyDescent="0.2">
      <c r="A30" s="589"/>
      <c r="B30" s="588"/>
      <c r="C30" s="103"/>
      <c r="D30" s="103"/>
      <c r="E30" s="103"/>
      <c r="F30" s="103"/>
      <c r="G30" s="103"/>
      <c r="H30" s="559"/>
      <c r="I30" s="103"/>
      <c r="J30" s="103"/>
      <c r="K30" s="103"/>
      <c r="L30" s="103"/>
      <c r="M30" s="103"/>
      <c r="N30" s="103"/>
      <c r="O30" s="103"/>
      <c r="P30" s="103"/>
      <c r="Q30" s="103"/>
      <c r="R30" s="103"/>
      <c r="S30" s="103"/>
      <c r="T30" s="103"/>
      <c r="U30" s="103"/>
    </row>
    <row r="31" spans="1:24" x14ac:dyDescent="0.2">
      <c r="A31" s="103"/>
      <c r="B31" s="103"/>
      <c r="C31" s="103"/>
      <c r="D31" s="559"/>
      <c r="E31" s="103"/>
      <c r="F31" s="103"/>
      <c r="G31" s="103"/>
      <c r="H31" s="103"/>
      <c r="I31" s="103"/>
      <c r="J31" s="103"/>
      <c r="K31" s="103"/>
      <c r="L31" s="103"/>
      <c r="M31" s="103"/>
      <c r="N31" s="103"/>
      <c r="O31" s="103"/>
      <c r="P31" s="103"/>
      <c r="Q31" s="103"/>
      <c r="R31" s="103"/>
      <c r="S31" s="103"/>
      <c r="T31" s="103"/>
      <c r="U31" s="103"/>
    </row>
    <row r="32" spans="1:24" ht="32.450000000000003" customHeight="1" x14ac:dyDescent="0.2">
      <c r="A32" s="103"/>
      <c r="B32" s="103"/>
      <c r="C32" s="103"/>
      <c r="D32" s="103"/>
      <c r="E32" s="103"/>
      <c r="F32" s="103"/>
      <c r="G32" s="103"/>
      <c r="H32" s="103"/>
      <c r="I32" s="103"/>
      <c r="J32" s="103"/>
      <c r="K32" s="103"/>
      <c r="L32" s="103"/>
      <c r="M32" s="103"/>
      <c r="N32" s="103"/>
      <c r="O32" s="103"/>
      <c r="P32" s="103"/>
      <c r="Q32" s="103"/>
      <c r="R32" s="103"/>
      <c r="S32" s="103"/>
      <c r="T32" s="103"/>
      <c r="U32" s="103"/>
    </row>
    <row r="33" spans="1:24" ht="30" x14ac:dyDescent="0.2">
      <c r="A33" s="1844" t="s">
        <v>1114</v>
      </c>
      <c r="B33" s="1844"/>
      <c r="C33" s="1844"/>
      <c r="D33" s="1844"/>
      <c r="E33" s="1844"/>
      <c r="F33" s="1844"/>
      <c r="G33" s="1844"/>
      <c r="H33" s="1844"/>
      <c r="I33" s="1844"/>
      <c r="J33" s="1844"/>
      <c r="K33" s="1844"/>
      <c r="L33" s="1844"/>
      <c r="M33" s="1844"/>
      <c r="N33" s="1844"/>
      <c r="O33" s="1844"/>
      <c r="P33" s="1844"/>
      <c r="Q33" s="1844"/>
      <c r="R33" s="1844"/>
      <c r="S33" s="1844"/>
      <c r="T33" s="1844"/>
      <c r="U33" s="1844"/>
      <c r="V33" s="1844"/>
      <c r="W33" s="1844"/>
      <c r="X33" s="1844"/>
    </row>
    <row r="34" spans="1:24" ht="23.25" customHeight="1" x14ac:dyDescent="0.2">
      <c r="A34" s="103"/>
      <c r="B34" s="103"/>
      <c r="C34" s="103"/>
      <c r="D34" s="103"/>
      <c r="E34" s="103"/>
      <c r="F34" s="103"/>
      <c r="G34" s="103"/>
      <c r="H34" s="103"/>
      <c r="I34" s="103"/>
      <c r="J34" s="103"/>
      <c r="K34" s="103"/>
      <c r="L34" s="103"/>
      <c r="M34" s="103"/>
      <c r="N34" s="103"/>
      <c r="O34" s="103"/>
      <c r="P34" s="1837" t="str">
        <f>VLOOKUP(Translations!B442,Translations!B3:H508,4,0)</f>
        <v>LFA comments on PR's explanation of any significant variance between forecasted amounts and amounts as originally budgeted.</v>
      </c>
      <c r="Q34" s="1837"/>
      <c r="R34" s="1837"/>
      <c r="S34" s="1837"/>
      <c r="T34" s="1837"/>
      <c r="U34" s="1837"/>
      <c r="V34" s="1837"/>
      <c r="W34" s="1837"/>
      <c r="X34" s="1837"/>
    </row>
    <row r="35" spans="1:24" ht="30.75" customHeight="1" x14ac:dyDescent="0.2">
      <c r="A35" s="103"/>
      <c r="B35" s="103"/>
      <c r="C35" s="103"/>
      <c r="D35" s="103"/>
      <c r="E35" s="103"/>
      <c r="F35" s="103"/>
      <c r="G35" s="103"/>
      <c r="H35" s="103"/>
      <c r="I35" s="103"/>
      <c r="J35" s="103"/>
      <c r="K35" s="103"/>
      <c r="L35" s="103"/>
      <c r="M35" s="103"/>
      <c r="N35" s="103"/>
      <c r="O35" s="103"/>
      <c r="P35" s="44"/>
      <c r="Q35" s="44"/>
      <c r="R35" s="44"/>
      <c r="S35" s="44"/>
      <c r="T35" s="44"/>
      <c r="U35" s="44"/>
      <c r="V35" s="44"/>
      <c r="W35" s="44"/>
      <c r="X35" s="44"/>
    </row>
    <row r="36" spans="1:24" ht="18.75" thickBot="1" x14ac:dyDescent="0.3">
      <c r="A36" s="44"/>
      <c r="B36" s="1845" t="s">
        <v>3659</v>
      </c>
      <c r="C36" s="1846"/>
      <c r="D36" s="1846"/>
      <c r="E36" s="1847"/>
      <c r="F36" s="1378" t="s">
        <v>947</v>
      </c>
      <c r="G36" s="587"/>
      <c r="H36" s="1848" t="s">
        <v>3660</v>
      </c>
      <c r="I36" s="1848"/>
      <c r="J36" s="1378" t="s">
        <v>947</v>
      </c>
      <c r="K36" s="103"/>
      <c r="L36" s="103"/>
      <c r="M36" s="103"/>
      <c r="N36" s="103"/>
      <c r="O36" s="103"/>
      <c r="P36" s="1849"/>
      <c r="Q36" s="1849"/>
      <c r="R36" s="1849"/>
      <c r="S36" s="1849"/>
      <c r="T36" s="1849"/>
      <c r="U36" s="1849"/>
      <c r="V36" s="1849"/>
      <c r="W36" s="1849"/>
      <c r="X36" s="1849"/>
    </row>
    <row r="37" spans="1:24" ht="33" customHeight="1" thickBot="1" x14ac:dyDescent="0.25">
      <c r="A37" s="586" t="s">
        <v>3661</v>
      </c>
      <c r="B37" s="585" t="str">
        <f>'Cash Forecast_8A'!E199</f>
        <v/>
      </c>
      <c r="C37" s="585" t="str">
        <f>'Cash Forecast_8A'!F199</f>
        <v/>
      </c>
      <c r="D37" s="585" t="str">
        <f>'Cash Forecast_8A'!G199</f>
        <v/>
      </c>
      <c r="E37" s="585" t="str">
        <f>'Cash Forecast_8A'!H199</f>
        <v/>
      </c>
      <c r="F37" s="584"/>
      <c r="G37" s="62"/>
      <c r="H37" s="585" t="str">
        <f>'Cash Forecast_8A'!J199</f>
        <v/>
      </c>
      <c r="I37" s="585" t="str">
        <f>'Cash Forecast_8A'!K199</f>
        <v/>
      </c>
      <c r="J37" s="584"/>
      <c r="K37" s="103"/>
      <c r="L37" s="103"/>
      <c r="M37" s="103"/>
      <c r="N37" s="103"/>
      <c r="O37" s="103"/>
      <c r="P37" s="1849"/>
      <c r="Q37" s="1849"/>
      <c r="R37" s="1849"/>
      <c r="S37" s="1849"/>
      <c r="T37" s="1849"/>
      <c r="U37" s="1849"/>
      <c r="V37" s="1849"/>
      <c r="W37" s="1849"/>
      <c r="X37" s="1849"/>
    </row>
    <row r="38" spans="1:24" ht="15" thickBot="1" x14ac:dyDescent="0.25">
      <c r="A38" s="576" t="s">
        <v>3054</v>
      </c>
      <c r="B38" s="582">
        <f>B101</f>
        <v>11853739.9001719</v>
      </c>
      <c r="C38" s="578">
        <f>C101</f>
        <v>1281214.8905080999</v>
      </c>
      <c r="D38" s="583">
        <f>D101</f>
        <v>1196212.7447736899</v>
      </c>
      <c r="E38" s="581">
        <f>E101</f>
        <v>1298959.38738459</v>
      </c>
      <c r="F38" s="580">
        <f>SUM(B38:E38)</f>
        <v>15630126.92283828</v>
      </c>
      <c r="G38" s="44"/>
      <c r="H38" s="582">
        <f>G101</f>
        <v>0</v>
      </c>
      <c r="I38" s="581">
        <f>H101</f>
        <v>0</v>
      </c>
      <c r="J38" s="578">
        <f>SUM(H38:I38)</f>
        <v>0</v>
      </c>
      <c r="K38" s="560">
        <f>J38+F38</f>
        <v>15630126.92283828</v>
      </c>
      <c r="L38" s="103"/>
      <c r="M38" s="103"/>
      <c r="N38" s="103"/>
      <c r="O38" s="103"/>
      <c r="P38" s="1849"/>
      <c r="Q38" s="1849"/>
      <c r="R38" s="1849"/>
      <c r="S38" s="1849"/>
      <c r="T38" s="1849"/>
      <c r="U38" s="1849"/>
      <c r="V38" s="1849"/>
      <c r="W38" s="1849"/>
      <c r="X38" s="1849"/>
    </row>
    <row r="39" spans="1:24" ht="15" thickBot="1" x14ac:dyDescent="0.25">
      <c r="A39" s="576" t="s">
        <v>3682</v>
      </c>
      <c r="B39" s="577">
        <f>'Cash Forecast_8A'!E208</f>
        <v>0</v>
      </c>
      <c r="C39" s="579">
        <f>'Cash Forecast_8A'!F208</f>
        <v>0</v>
      </c>
      <c r="D39" s="579">
        <f>'Cash Forecast_8A'!G208</f>
        <v>0</v>
      </c>
      <c r="E39" s="579">
        <f>'Cash Forecast_8A'!H208</f>
        <v>0</v>
      </c>
      <c r="F39" s="580">
        <f>SUM(B39:E39)</f>
        <v>0</v>
      </c>
      <c r="G39" s="44"/>
      <c r="H39" s="577">
        <f>'Cash Forecast_8A'!J208</f>
        <v>0</v>
      </c>
      <c r="I39" s="579">
        <f>'Cash Forecast_8A'!K208</f>
        <v>0</v>
      </c>
      <c r="J39" s="578">
        <f>SUM(H39:I39)</f>
        <v>0</v>
      </c>
      <c r="K39" s="560">
        <f>J39+F39</f>
        <v>0</v>
      </c>
      <c r="L39" s="103"/>
      <c r="M39" s="103"/>
      <c r="N39" s="103"/>
      <c r="O39" s="103"/>
      <c r="P39" s="1849"/>
      <c r="Q39" s="1849"/>
      <c r="R39" s="1849"/>
      <c r="S39" s="1849"/>
      <c r="T39" s="1849"/>
      <c r="U39" s="1849"/>
      <c r="V39" s="1849"/>
      <c r="W39" s="1849"/>
      <c r="X39" s="1849"/>
    </row>
    <row r="40" spans="1:24" ht="42.75" x14ac:dyDescent="0.2">
      <c r="A40" s="576" t="s">
        <v>3663</v>
      </c>
      <c r="B40" s="577">
        <f>'PR Cash Reconciliation_2A,B,C,D'!H32</f>
        <v>9282923.5600000042</v>
      </c>
      <c r="C40" s="1379"/>
      <c r="D40" s="1379"/>
      <c r="E40" s="1379"/>
      <c r="F40" s="1380"/>
      <c r="G40" s="44"/>
      <c r="H40" s="979"/>
      <c r="I40" s="1379"/>
      <c r="J40" s="1380"/>
      <c r="K40" s="103"/>
      <c r="L40" s="103"/>
      <c r="M40" s="103"/>
      <c r="N40" s="103"/>
      <c r="O40" s="103"/>
      <c r="P40" s="1849"/>
      <c r="Q40" s="1849"/>
      <c r="R40" s="1849"/>
      <c r="S40" s="1849"/>
      <c r="T40" s="1849"/>
      <c r="U40" s="1849"/>
      <c r="V40" s="1849"/>
      <c r="W40" s="1849"/>
      <c r="X40" s="1849"/>
    </row>
    <row r="41" spans="1:24" ht="38.25" customHeight="1" x14ac:dyDescent="0.2">
      <c r="A41" s="576" t="s">
        <v>3666</v>
      </c>
      <c r="B41" s="575"/>
      <c r="C41" s="1379"/>
      <c r="D41" s="1379"/>
      <c r="E41" s="1379"/>
      <c r="F41" s="1380"/>
      <c r="G41" s="44"/>
      <c r="H41" s="979"/>
      <c r="I41" s="1379"/>
      <c r="J41" s="1380"/>
      <c r="K41" s="574"/>
      <c r="L41" s="1850" t="str">
        <f>IF(AND(ROUND(SUM(B41:B42),0)=ROUND('PR Cash Reconciliation_2A,B,C,D'!H38,0)),"Cash in Transit OK","WARNING - Cash in Transit not matching")</f>
        <v>Cash in Transit OK</v>
      </c>
      <c r="M41" s="573"/>
      <c r="N41" s="573"/>
      <c r="O41" s="572"/>
      <c r="P41" s="1849"/>
      <c r="Q41" s="1849"/>
      <c r="R41" s="1849"/>
      <c r="S41" s="1849"/>
      <c r="T41" s="1849"/>
      <c r="U41" s="1849"/>
      <c r="V41" s="1849"/>
      <c r="W41" s="1849"/>
      <c r="X41" s="1849"/>
    </row>
    <row r="42" spans="1:24" ht="28.5" x14ac:dyDescent="0.2">
      <c r="A42" s="576" t="s">
        <v>3669</v>
      </c>
      <c r="B42" s="575"/>
      <c r="C42" s="1379"/>
      <c r="D42" s="1379"/>
      <c r="E42" s="1379"/>
      <c r="F42" s="1380"/>
      <c r="G42" s="44"/>
      <c r="H42" s="979"/>
      <c r="I42" s="1379"/>
      <c r="J42" s="1380"/>
      <c r="K42" s="103"/>
      <c r="L42" s="1850"/>
      <c r="M42" s="573"/>
      <c r="N42" s="573"/>
      <c r="O42" s="572"/>
      <c r="P42" s="1849"/>
      <c r="Q42" s="1849"/>
      <c r="R42" s="1849"/>
      <c r="S42" s="1849"/>
      <c r="T42" s="1849"/>
      <c r="U42" s="1849"/>
      <c r="V42" s="1849"/>
      <c r="W42" s="1849"/>
      <c r="X42" s="1849"/>
    </row>
    <row r="43" spans="1:24" ht="29.25" customHeight="1" x14ac:dyDescent="0.2">
      <c r="A43" s="576" t="s">
        <v>3683</v>
      </c>
      <c r="B43" s="575"/>
      <c r="C43" s="1379"/>
      <c r="D43" s="1379"/>
      <c r="E43" s="1379"/>
      <c r="F43" s="1380"/>
      <c r="G43" s="44"/>
      <c r="H43" s="979"/>
      <c r="I43" s="1379"/>
      <c r="J43" s="1380"/>
      <c r="K43" s="574"/>
      <c r="L43" s="1850" t="str">
        <f>IF(AND(ROUND(SUM(B43:B44),0)=ROUND('PR Cash Reconciliation_2A,B,C,D'!H39,0)),"Cash in Transit OK","WARNING - Cash in Transit not matching")</f>
        <v>WARNING - Cash in Transit not matching</v>
      </c>
      <c r="M43" s="573"/>
      <c r="N43" s="573"/>
      <c r="O43" s="572"/>
      <c r="P43" s="1849"/>
      <c r="Q43" s="1849"/>
      <c r="R43" s="1849"/>
      <c r="S43" s="1849"/>
      <c r="T43" s="1849"/>
      <c r="U43" s="1849"/>
      <c r="V43" s="1849"/>
      <c r="W43" s="1849"/>
      <c r="X43" s="1849"/>
    </row>
    <row r="44" spans="1:24" ht="43.5" thickBot="1" x14ac:dyDescent="0.25">
      <c r="A44" s="576" t="s">
        <v>3675</v>
      </c>
      <c r="B44" s="575"/>
      <c r="C44" s="1381"/>
      <c r="D44" s="1381"/>
      <c r="E44" s="1381"/>
      <c r="F44" s="1382"/>
      <c r="G44" s="44"/>
      <c r="H44" s="1383"/>
      <c r="I44" s="1381"/>
      <c r="J44" s="1382"/>
      <c r="K44" s="574"/>
      <c r="L44" s="1850"/>
      <c r="M44" s="573"/>
      <c r="N44" s="573"/>
      <c r="O44" s="572"/>
      <c r="P44" s="1849"/>
      <c r="Q44" s="1849"/>
      <c r="R44" s="1849"/>
      <c r="S44" s="1849"/>
      <c r="T44" s="1849"/>
      <c r="U44" s="1849"/>
      <c r="V44" s="1849"/>
      <c r="W44" s="1849"/>
      <c r="X44" s="1849"/>
    </row>
    <row r="45" spans="1:24" ht="15" thickBot="1" x14ac:dyDescent="0.25">
      <c r="A45" s="564" t="s">
        <v>86</v>
      </c>
      <c r="B45" s="1374">
        <f>IF(B39=0,0,IF(AND(B106-$B$40-$B$41-$B$43&lt;=0,B51+B52&lt;=0),0,IF(AND(B106-$B$40-$B$41-$B$43&lt;=0,B51+B52&gt;0),B51+B52,IF(AND(B39-$B$40-$B$41-$B$43&lt;=B51+B52,B51+B52&gt;0),B51+B52,B106-$B$40-$B$41-$B$43+B51+B52))))</f>
        <v>0</v>
      </c>
      <c r="C45" s="1375">
        <f>IF(C39=0,0,IF(AND(B106+C106-$B$40-$B$41-$B$43&lt;=0,C51+C52&lt;=0),0,IF(AND(B106+C106-$B$40-$B$41-$B$43&lt;=0,C51+C52&gt;0),C51+C52,IF(AND(B39+C39-$B$40-$B$41-$B$43&lt;=C51+C52,C51+C52&gt;0),C51+C52,B106+C106-$B$40-$B$41-$B$43-B50+C51+C52))))</f>
        <v>0</v>
      </c>
      <c r="D45" s="1375">
        <f>IF(D39=0,0,IF(AND(B106+C106+D106-$B$40-$B$41-$B$43&lt;=0,D51+D52&lt;=0),0,IF(AND(B106+C106+D106-$B$40-$B$41-$B$43&lt;=0,D51+D52&gt;0),D51+D52,IF(AND(B39+C39+D39-$B$40-$B$41-$B$43&lt;=D51+D52,D51+D52&gt;0),D51+D52,B106+C106+D106-$B$40-$B$41-$B$43-B50-C50+D51+D52))))</f>
        <v>0</v>
      </c>
      <c r="E45" s="1375">
        <f>IF(E39=0,0,IF(AND(B106+C106+D106+E106-$B$40-$B$41-$B$43&lt;=0,E51+E52&lt;=0),0,IF(AND(B106+C106+D106+E106-$B$40-$B$41-$B$43&lt;=0,E51+E52&gt;0),E51+E52,IF(AND(B39+C39+D39+E39-$B$40-$B$41-$B$43&lt;=E51+E52,E51+E52&gt;0),E51+E52,B106+C106+D106+E106-$B$40-$B$41-$B$43-B50-C50-D50+E51+E52))))</f>
        <v>0</v>
      </c>
      <c r="F45" s="1376">
        <f>SUM(B45:E45)</f>
        <v>0</v>
      </c>
      <c r="G45" s="44"/>
      <c r="H45" s="1374">
        <f>IF(H39=0,0,IF(AND(B106+C106+D106+E106+G106-$B$40-$B$41-$B$43&lt;=0,H51+H52&lt;=0),0,IF(AND(B106+C106+D106+E106+G106-$B$40-$B$41-$B$43&lt;=0,H51+H52&gt;0),H51+H52,IF(AND(B39+C39+D39+E39+H39-$B$40-$B$41-$B$43&lt;=H51+H52,H51+H52&gt;0),H51+H52,B106+C106+D106+E106+G106-$B$40-$B$41-$B$43-B50-C50-D50-E50+H51+H52))))</f>
        <v>0</v>
      </c>
      <c r="I45" s="1375">
        <f>IF(I39=0,0,IF(AND(B106+C106+D106+E106+G106+H106-$B$40-$B$41-$B$43&lt;=0,I51+I52&lt;=0),0,IF(AND(B106+C106+D106+E106+G106+H106-$B$40-$B$41-$B$43&lt;=0,I51+I52&gt;0),I51+I52,IF(AND(B39+C39+D39+E39+H39+I39-$B$40-$B$41-$B$43&lt;=I51+I52,I51+I52&gt;0),I51+I52,B106+C106+D106+E106+G106+H106-$B$40-$B$41-$B$43-B50-C50-D50-E50-H50+I51+I52))))</f>
        <v>0</v>
      </c>
      <c r="J45" s="1376">
        <f>SUM(H45:I45)</f>
        <v>0</v>
      </c>
      <c r="K45" s="560">
        <f>F45+J45</f>
        <v>0</v>
      </c>
      <c r="L45" s="103"/>
      <c r="M45" s="103"/>
      <c r="N45" s="103"/>
      <c r="O45" s="103"/>
      <c r="P45" s="1849"/>
      <c r="Q45" s="1849"/>
      <c r="R45" s="1849"/>
      <c r="S45" s="1849"/>
      <c r="T45" s="1849"/>
      <c r="U45" s="1849"/>
      <c r="V45" s="1849"/>
      <c r="W45" s="1849"/>
      <c r="X45" s="1849"/>
    </row>
    <row r="46" spans="1:24" x14ac:dyDescent="0.2">
      <c r="A46" s="103"/>
      <c r="B46" s="103"/>
      <c r="C46" s="103"/>
      <c r="D46" s="103"/>
      <c r="E46" s="103"/>
      <c r="F46" s="103"/>
      <c r="G46" s="103"/>
      <c r="H46" s="103"/>
      <c r="I46" s="103"/>
      <c r="J46" s="103"/>
      <c r="K46" s="103"/>
      <c r="L46" s="103"/>
      <c r="M46" s="103"/>
      <c r="N46" s="103"/>
      <c r="O46" s="103"/>
      <c r="P46" s="1849"/>
      <c r="Q46" s="1849"/>
      <c r="R46" s="1849"/>
      <c r="S46" s="1849"/>
      <c r="T46" s="1849"/>
      <c r="U46" s="1849"/>
      <c r="V46" s="1849"/>
      <c r="W46" s="1849"/>
      <c r="X46" s="1849"/>
    </row>
    <row r="47" spans="1:24" x14ac:dyDescent="0.2">
      <c r="A47" s="571"/>
      <c r="B47" s="559"/>
      <c r="C47" s="559"/>
      <c r="D47" s="559"/>
      <c r="E47" s="559"/>
      <c r="F47" s="103"/>
      <c r="G47" s="559"/>
      <c r="H47" s="559"/>
      <c r="I47" s="559"/>
      <c r="J47" s="103"/>
      <c r="K47" s="570"/>
      <c r="L47" s="103"/>
      <c r="M47" s="103"/>
      <c r="N47" s="103"/>
      <c r="O47" s="103"/>
      <c r="P47" s="1849"/>
      <c r="Q47" s="1849"/>
      <c r="R47" s="1849"/>
      <c r="S47" s="1849"/>
      <c r="T47" s="1849"/>
      <c r="U47" s="1849"/>
      <c r="V47" s="1849"/>
      <c r="W47" s="1849"/>
      <c r="X47" s="1849"/>
    </row>
    <row r="48" spans="1:24" x14ac:dyDescent="0.2">
      <c r="A48" s="103"/>
      <c r="B48" s="559"/>
      <c r="C48" s="559"/>
      <c r="D48" s="559"/>
      <c r="E48" s="559"/>
      <c r="F48" s="103"/>
      <c r="G48" s="103"/>
      <c r="H48" s="103"/>
      <c r="I48" s="103"/>
      <c r="J48" s="103"/>
      <c r="K48" s="103"/>
      <c r="L48" s="103"/>
      <c r="M48" s="103"/>
      <c r="N48" s="103"/>
      <c r="O48" s="103"/>
      <c r="P48" s="1849"/>
      <c r="Q48" s="1849"/>
      <c r="R48" s="1849"/>
      <c r="S48" s="1849"/>
      <c r="T48" s="1849"/>
      <c r="U48" s="1849"/>
      <c r="V48" s="1849"/>
      <c r="W48" s="1849"/>
      <c r="X48" s="1849"/>
    </row>
    <row r="49" spans="1:24" ht="13.5" thickBot="1" x14ac:dyDescent="0.25">
      <c r="A49" s="103"/>
      <c r="B49" s="103"/>
      <c r="C49" s="103"/>
      <c r="D49" s="103"/>
      <c r="E49" s="103"/>
      <c r="F49" s="103"/>
      <c r="G49" s="103"/>
      <c r="H49" s="103"/>
      <c r="I49" s="103"/>
      <c r="J49" s="103"/>
      <c r="K49" s="103"/>
      <c r="L49" s="103"/>
      <c r="M49" s="103"/>
      <c r="N49" s="103"/>
      <c r="O49" s="103"/>
      <c r="P49" s="1849"/>
      <c r="Q49" s="1849"/>
      <c r="R49" s="1849"/>
      <c r="S49" s="1849"/>
      <c r="T49" s="1849"/>
      <c r="U49" s="1849"/>
      <c r="V49" s="1849"/>
      <c r="W49" s="1849"/>
      <c r="X49" s="1849"/>
    </row>
    <row r="50" spans="1:24" s="103" customFormat="1" ht="42.75" x14ac:dyDescent="0.2">
      <c r="A50" s="569" t="s">
        <v>3056</v>
      </c>
      <c r="B50" s="568">
        <f>B45-SUM(B51:B52)</f>
        <v>0</v>
      </c>
      <c r="C50" s="567">
        <f>C45-SUM(C51:C52)</f>
        <v>0</v>
      </c>
      <c r="D50" s="567">
        <f>D45-SUM(D51:D52)</f>
        <v>0</v>
      </c>
      <c r="E50" s="567">
        <f>E45-SUM(E51:E52)</f>
        <v>0</v>
      </c>
      <c r="F50" s="565">
        <f>SUM(B50:E50)</f>
        <v>0</v>
      </c>
      <c r="G50" s="44"/>
      <c r="H50" s="568">
        <f>H45-SUM(H51:H52)</f>
        <v>0</v>
      </c>
      <c r="I50" s="567">
        <f>I45-SUM(I51:I52)</f>
        <v>0</v>
      </c>
      <c r="J50" s="565">
        <f>SUM(H50:I50)</f>
        <v>0</v>
      </c>
      <c r="K50" s="46" t="str">
        <f>IF(AND(ROUND(F50+J50,0)=ROUND(F106+I106-B40-B41-B43,0)),"OK","WARNING - Sum not matching")</f>
        <v>WARNING - Sum not matching</v>
      </c>
      <c r="P50" s="1849"/>
      <c r="Q50" s="1849"/>
      <c r="R50" s="1849"/>
      <c r="S50" s="1849"/>
      <c r="T50" s="1849"/>
      <c r="U50" s="1849"/>
      <c r="V50" s="1849"/>
      <c r="W50" s="1849"/>
      <c r="X50" s="1849"/>
    </row>
    <row r="51" spans="1:24" s="103" customFormat="1" ht="14.25" x14ac:dyDescent="0.2">
      <c r="A51" s="566" t="s">
        <v>3055</v>
      </c>
      <c r="B51" s="978">
        <f>IF('Request and Recommendation_8B'!B105-$B$42-$B$44&lt;=0,0,'Request and Recommendation_8B'!B105-$B$42-$B$44)</f>
        <v>0</v>
      </c>
      <c r="C51" s="1326">
        <f>IF('Request and Recommendation_8B'!B105+'Request and Recommendation_8B'!C105-$B$42-$B$44&lt;=0,0,'Request and Recommendation_8B'!B105+'Request and Recommendation_8B'!C105-B51-$B$42-$B$44)</f>
        <v>0</v>
      </c>
      <c r="D51" s="1326">
        <f>IF('Request and Recommendation_8B'!B105+'Request and Recommendation_8B'!C105+'Request and Recommendation_8B'!D105-$B$42-$B$44&lt;=0,0,'Request and Recommendation_8B'!B105+'Request and Recommendation_8B'!C105+'Request and Recommendation_8B'!D105-C51-B51-$B$42-$B$44)</f>
        <v>0</v>
      </c>
      <c r="E51" s="1326">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1377">
        <f>SUM(B51:E51)</f>
        <v>0</v>
      </c>
      <c r="G51" s="44"/>
      <c r="H51" s="978">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1326">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1377">
        <f>SUM(H51:I51)</f>
        <v>0</v>
      </c>
      <c r="K51" s="46" t="str">
        <f>IF(AND(ROUND(F51+J51,0)=ROUND(F105+I105-B42-B44,0)),"OK","WARNING - Sum not matching")</f>
        <v>OK</v>
      </c>
      <c r="P51" s="1849"/>
      <c r="Q51" s="1849"/>
      <c r="R51" s="1849"/>
      <c r="S51" s="1849"/>
      <c r="T51" s="1849"/>
      <c r="U51" s="1849"/>
      <c r="V51" s="1849"/>
      <c r="W51" s="1849"/>
      <c r="X51" s="1849"/>
    </row>
    <row r="52" spans="1:24" s="103" customFormat="1" ht="29.25" thickBot="1" x14ac:dyDescent="0.25">
      <c r="A52" s="566" t="s">
        <v>3680</v>
      </c>
      <c r="B52" s="1374">
        <f>'Request and Recommendation_8B'!B107</f>
        <v>0</v>
      </c>
      <c r="C52" s="1375">
        <f>'Request and Recommendation_8B'!C107</f>
        <v>0</v>
      </c>
      <c r="D52" s="1375">
        <f>'Request and Recommendation_8B'!D107</f>
        <v>0</v>
      </c>
      <c r="E52" s="1375">
        <f>'Request and Recommendation_8B'!E107</f>
        <v>0</v>
      </c>
      <c r="F52" s="1376">
        <f>SUM(B52:E52)</f>
        <v>0</v>
      </c>
      <c r="G52" s="44"/>
      <c r="H52" s="1374">
        <f>'Request and Recommendation_8B'!G107</f>
        <v>0</v>
      </c>
      <c r="I52" s="1375">
        <f>'Request and Recommendation_8B'!H107</f>
        <v>0</v>
      </c>
      <c r="J52" s="1376">
        <f>SUM(H52:I52)</f>
        <v>0</v>
      </c>
      <c r="K52" s="46" t="str">
        <f>IF(AND(ROUND(F52+J52,0)=ROUND(F107+I107,0)),"OK","WARNING - Sum not matching")</f>
        <v>OK</v>
      </c>
      <c r="P52" s="1849"/>
      <c r="Q52" s="1849"/>
      <c r="R52" s="1849"/>
      <c r="S52" s="1849"/>
      <c r="T52" s="1849"/>
      <c r="U52" s="1849"/>
      <c r="V52" s="1849"/>
      <c r="W52" s="1849"/>
      <c r="X52" s="1849"/>
    </row>
    <row r="53" spans="1:24" s="103" customFormat="1" ht="15" thickBot="1" x14ac:dyDescent="0.25">
      <c r="A53" s="564" t="s">
        <v>86</v>
      </c>
      <c r="B53" s="563">
        <f>SUM(B50:B52)</f>
        <v>0</v>
      </c>
      <c r="C53" s="562">
        <f>SUM(C50:C52)</f>
        <v>0</v>
      </c>
      <c r="D53" s="562">
        <f>SUM(D50:D52)</f>
        <v>0</v>
      </c>
      <c r="E53" s="562">
        <f>SUM(E50:E52)</f>
        <v>0</v>
      </c>
      <c r="F53" s="561">
        <f>SUM(F50:F52)</f>
        <v>0</v>
      </c>
      <c r="G53" s="44"/>
      <c r="H53" s="563">
        <f>SUM(H50:H52)</f>
        <v>0</v>
      </c>
      <c r="I53" s="562">
        <f>SUM(I50:I52)</f>
        <v>0</v>
      </c>
      <c r="J53" s="561">
        <f>SUM(J50:J52)</f>
        <v>0</v>
      </c>
      <c r="K53" s="560">
        <f>F53+J53</f>
        <v>0</v>
      </c>
      <c r="P53" s="1849"/>
      <c r="Q53" s="1849"/>
      <c r="R53" s="1849"/>
      <c r="S53" s="1849"/>
      <c r="T53" s="1849"/>
      <c r="U53" s="1849"/>
      <c r="V53" s="1849"/>
      <c r="W53" s="1849"/>
      <c r="X53" s="1849"/>
    </row>
    <row r="54" spans="1:24" s="103" customFormat="1" x14ac:dyDescent="0.2"/>
    <row r="55" spans="1:24" s="103" customFormat="1" ht="14.25" x14ac:dyDescent="0.2">
      <c r="K55" s="46" t="str">
        <f>IF(AND(ROUND(K45,0)=ROUND(K53,0)),"OK","WARNING - Sum not matching")</f>
        <v>OK</v>
      </c>
    </row>
    <row r="56" spans="1:24" x14ac:dyDescent="0.2">
      <c r="A56" s="103"/>
      <c r="B56" s="103"/>
      <c r="C56" s="103"/>
      <c r="D56" s="559"/>
      <c r="E56" s="103"/>
      <c r="F56" s="103"/>
      <c r="G56" s="103"/>
      <c r="H56" s="103"/>
      <c r="I56" s="103"/>
      <c r="J56" s="103"/>
      <c r="K56" s="103"/>
      <c r="L56" s="103"/>
      <c r="M56" s="103"/>
      <c r="N56" s="103"/>
      <c r="O56" s="103"/>
      <c r="P56" s="103"/>
      <c r="Q56" s="103"/>
      <c r="R56" s="103"/>
      <c r="S56" s="103"/>
      <c r="T56" s="103"/>
      <c r="U56" s="103"/>
    </row>
    <row r="57" spans="1:24" x14ac:dyDescent="0.2">
      <c r="A57" s="103"/>
      <c r="B57" s="103"/>
      <c r="C57" s="103"/>
      <c r="D57" s="103"/>
      <c r="E57" s="103"/>
      <c r="F57" s="103"/>
      <c r="G57" s="103"/>
      <c r="H57" s="103"/>
      <c r="I57" s="103"/>
      <c r="J57" s="103"/>
      <c r="K57" s="103"/>
      <c r="L57" s="103"/>
      <c r="M57" s="103"/>
      <c r="N57" s="103"/>
      <c r="O57" s="103"/>
      <c r="P57" s="103"/>
      <c r="Q57" s="103"/>
      <c r="R57" s="103"/>
      <c r="S57" s="103"/>
      <c r="T57" s="103"/>
      <c r="U57" s="103"/>
    </row>
    <row r="58" spans="1:24" x14ac:dyDescent="0.2">
      <c r="A58" s="103"/>
      <c r="B58" s="103"/>
      <c r="C58" s="103"/>
      <c r="D58" s="103"/>
      <c r="E58" s="103"/>
      <c r="F58" s="103"/>
      <c r="G58" s="103"/>
      <c r="H58" s="103"/>
      <c r="I58" s="103"/>
      <c r="J58" s="103"/>
      <c r="K58" s="103"/>
      <c r="L58" s="103"/>
      <c r="M58" s="103"/>
      <c r="N58" s="103"/>
      <c r="O58" s="103"/>
      <c r="P58" s="103"/>
      <c r="Q58" s="103"/>
      <c r="R58" s="103"/>
      <c r="S58" s="103"/>
      <c r="T58" s="103"/>
      <c r="U58" s="103"/>
    </row>
    <row r="59" spans="1:24" x14ac:dyDescent="0.2">
      <c r="A59" s="103"/>
      <c r="B59" s="103"/>
      <c r="C59" s="103"/>
      <c r="D59" s="103"/>
      <c r="E59" s="103"/>
      <c r="F59" s="103"/>
      <c r="G59" s="103"/>
      <c r="H59" s="103"/>
      <c r="I59" s="103"/>
      <c r="J59" s="103"/>
      <c r="K59" s="103"/>
      <c r="L59" s="103"/>
      <c r="M59" s="103"/>
      <c r="N59" s="103"/>
      <c r="O59" s="103"/>
      <c r="P59" s="103"/>
      <c r="Q59" s="103"/>
      <c r="R59" s="103"/>
      <c r="S59" s="103"/>
      <c r="T59" s="103"/>
      <c r="U59" s="103"/>
    </row>
    <row r="60" spans="1:24" ht="25.5" x14ac:dyDescent="0.35">
      <c r="A60" s="558" t="s">
        <v>3684</v>
      </c>
      <c r="B60" s="103"/>
      <c r="C60" s="103"/>
      <c r="D60" s="103"/>
      <c r="E60" s="103"/>
      <c r="F60" s="103"/>
      <c r="G60" s="103"/>
      <c r="H60" s="103"/>
      <c r="I60" s="103"/>
      <c r="J60" s="103"/>
      <c r="K60" s="103"/>
      <c r="L60" s="103"/>
      <c r="M60" s="103"/>
      <c r="N60" s="103"/>
      <c r="O60" s="103"/>
      <c r="P60" s="103"/>
      <c r="Q60" s="103"/>
      <c r="R60" s="103"/>
      <c r="S60" s="103"/>
      <c r="T60" s="103"/>
      <c r="U60" s="103"/>
    </row>
    <row r="61" spans="1:24" ht="30" customHeight="1" x14ac:dyDescent="0.2">
      <c r="A61" s="103"/>
      <c r="B61" s="1384" t="s">
        <v>3685</v>
      </c>
      <c r="C61" s="1385" t="s">
        <v>3686</v>
      </c>
      <c r="D61" s="44"/>
      <c r="E61" s="1386" t="s">
        <v>3687</v>
      </c>
      <c r="F61" s="44"/>
      <c r="G61" s="44"/>
      <c r="H61" s="44"/>
      <c r="I61" s="44"/>
      <c r="J61" s="44"/>
      <c r="K61" s="44"/>
      <c r="L61" s="44"/>
      <c r="M61" s="103"/>
      <c r="N61" s="103"/>
      <c r="O61" s="103"/>
      <c r="P61" s="103"/>
      <c r="Q61" s="103"/>
      <c r="R61" s="103"/>
      <c r="S61" s="103"/>
      <c r="T61" s="103"/>
      <c r="U61" s="103"/>
    </row>
    <row r="62" spans="1:24" x14ac:dyDescent="0.2">
      <c r="A62" s="44"/>
      <c r="B62" s="103"/>
      <c r="C62" s="103"/>
      <c r="D62" s="103"/>
      <c r="E62" s="103"/>
      <c r="F62" s="103"/>
      <c r="G62" s="103"/>
      <c r="H62" s="103"/>
      <c r="I62" s="103"/>
      <c r="J62" s="103"/>
      <c r="K62" s="103"/>
      <c r="L62" s="103"/>
      <c r="M62" s="103"/>
      <c r="N62" s="103"/>
      <c r="O62" s="103"/>
      <c r="P62" s="103"/>
      <c r="Q62" s="103"/>
      <c r="R62" s="103"/>
      <c r="S62" s="103"/>
      <c r="T62" s="103"/>
      <c r="U62" s="103"/>
    </row>
    <row r="63" spans="1:24" ht="14.25" x14ac:dyDescent="0.2">
      <c r="A63" s="1387" t="s">
        <v>3689</v>
      </c>
      <c r="B63" s="1388">
        <v>0</v>
      </c>
      <c r="C63" s="957">
        <v>0</v>
      </c>
      <c r="D63" s="103"/>
      <c r="E63" s="1852"/>
      <c r="F63" s="1852"/>
      <c r="G63" s="1852"/>
      <c r="H63" s="1852"/>
      <c r="I63" s="1852"/>
      <c r="J63" s="1852"/>
      <c r="K63" s="1852"/>
      <c r="L63" s="103"/>
      <c r="M63" s="103"/>
      <c r="N63" s="103"/>
      <c r="O63" s="103"/>
      <c r="P63" s="103"/>
      <c r="Q63" s="103"/>
      <c r="R63" s="103"/>
      <c r="S63" s="103"/>
      <c r="T63" s="103"/>
      <c r="U63" s="103"/>
    </row>
    <row r="64" spans="1:24" ht="14.25" x14ac:dyDescent="0.2">
      <c r="A64" s="1387" t="s">
        <v>3979</v>
      </c>
      <c r="B64" s="1388">
        <v>0</v>
      </c>
      <c r="C64" s="957">
        <v>0</v>
      </c>
      <c r="D64" s="103"/>
      <c r="E64" s="1852"/>
      <c r="F64" s="1852"/>
      <c r="G64" s="1852"/>
      <c r="H64" s="1852"/>
      <c r="I64" s="1852"/>
      <c r="J64" s="1852"/>
      <c r="K64" s="1852"/>
      <c r="L64" s="103"/>
      <c r="M64" s="103"/>
      <c r="N64" s="103"/>
      <c r="O64" s="103"/>
      <c r="P64" s="103"/>
      <c r="Q64" s="103"/>
      <c r="R64" s="103"/>
      <c r="S64" s="103"/>
      <c r="T64" s="103"/>
      <c r="U64" s="103"/>
    </row>
    <row r="65" spans="1:21" ht="28.5" x14ac:dyDescent="0.2">
      <c r="A65" s="1387" t="s">
        <v>3980</v>
      </c>
      <c r="B65" s="958">
        <v>0</v>
      </c>
      <c r="C65" s="957">
        <v>0</v>
      </c>
      <c r="D65" s="1389"/>
      <c r="E65" s="1852"/>
      <c r="F65" s="1852"/>
      <c r="G65" s="1852"/>
      <c r="H65" s="1852"/>
      <c r="I65" s="1852"/>
      <c r="J65" s="1852"/>
      <c r="K65" s="1852"/>
      <c r="L65" s="103"/>
      <c r="M65" s="103"/>
      <c r="N65" s="103"/>
      <c r="O65" s="103"/>
      <c r="P65" s="103"/>
      <c r="Q65" s="103"/>
      <c r="R65" s="103"/>
      <c r="S65" s="103"/>
      <c r="T65" s="103"/>
      <c r="U65" s="103"/>
    </row>
    <row r="66" spans="1:21" x14ac:dyDescent="0.2">
      <c r="A66" s="103"/>
      <c r="B66" s="959"/>
      <c r="C66" s="103"/>
      <c r="D66" s="103"/>
      <c r="E66" s="103"/>
      <c r="F66" s="103"/>
      <c r="G66" s="103"/>
      <c r="H66" s="103"/>
      <c r="I66" s="103"/>
      <c r="J66" s="103"/>
      <c r="K66" s="103"/>
      <c r="L66" s="103"/>
      <c r="M66" s="103"/>
      <c r="N66" s="103"/>
      <c r="O66" s="103"/>
      <c r="P66" s="103"/>
      <c r="Q66" s="103"/>
      <c r="R66" s="103"/>
      <c r="S66" s="103"/>
      <c r="T66" s="103"/>
      <c r="U66" s="103"/>
    </row>
    <row r="67" spans="1:21" x14ac:dyDescent="0.2">
      <c r="A67" s="103"/>
      <c r="B67" s="103"/>
      <c r="C67" s="103"/>
      <c r="D67" s="103"/>
      <c r="E67" s="103"/>
      <c r="F67" s="103"/>
      <c r="G67" s="103"/>
      <c r="H67" s="103"/>
      <c r="I67" s="103"/>
      <c r="J67" s="103"/>
      <c r="K67" s="103"/>
      <c r="L67" s="103"/>
      <c r="M67" s="103"/>
      <c r="N67" s="103"/>
      <c r="O67" s="103"/>
      <c r="P67" s="103"/>
      <c r="Q67" s="103"/>
      <c r="R67" s="103"/>
      <c r="S67" s="103"/>
      <c r="T67" s="103"/>
      <c r="U67" s="103"/>
    </row>
    <row r="68" spans="1:21" ht="14.25" x14ac:dyDescent="0.2">
      <c r="A68" s="103"/>
      <c r="B68" s="103"/>
      <c r="C68" s="103"/>
      <c r="D68" s="103"/>
      <c r="E68" s="1853" t="s">
        <v>3688</v>
      </c>
      <c r="F68" s="1854"/>
      <c r="G68" s="1854"/>
      <c r="H68" s="1854"/>
      <c r="I68" s="1854"/>
      <c r="J68" s="1855"/>
      <c r="K68" s="103"/>
      <c r="L68" s="103"/>
      <c r="M68" s="103"/>
      <c r="N68" s="103"/>
      <c r="O68" s="103"/>
      <c r="P68" s="103"/>
      <c r="Q68" s="103"/>
      <c r="R68" s="103"/>
      <c r="S68" s="103"/>
      <c r="T68" s="103"/>
      <c r="U68" s="103"/>
    </row>
    <row r="69" spans="1:21" x14ac:dyDescent="0.2">
      <c r="A69" s="103"/>
      <c r="B69" s="103"/>
      <c r="C69" s="103"/>
      <c r="D69" s="103"/>
      <c r="E69" s="103"/>
      <c r="F69" s="103"/>
      <c r="G69" s="103"/>
      <c r="H69" s="103"/>
      <c r="I69" s="103"/>
      <c r="J69" s="103"/>
      <c r="K69" s="103"/>
      <c r="L69" s="103"/>
      <c r="M69" s="103"/>
      <c r="N69" s="103"/>
      <c r="O69" s="103"/>
      <c r="P69" s="103"/>
      <c r="Q69" s="103"/>
      <c r="R69" s="103"/>
      <c r="S69" s="103"/>
      <c r="T69" s="103"/>
      <c r="U69" s="103"/>
    </row>
    <row r="70" spans="1:21" x14ac:dyDescent="0.2">
      <c r="A70" s="103"/>
      <c r="B70" s="103"/>
      <c r="C70" s="103"/>
      <c r="D70" s="103"/>
      <c r="E70" s="1849"/>
      <c r="F70" s="1849"/>
      <c r="G70" s="1849"/>
      <c r="H70" s="1849"/>
      <c r="I70" s="1849"/>
      <c r="J70" s="1849"/>
      <c r="K70" s="1849"/>
      <c r="L70" s="103"/>
      <c r="M70" s="103"/>
      <c r="N70" s="103"/>
      <c r="O70" s="103"/>
      <c r="P70" s="103"/>
      <c r="Q70" s="103"/>
      <c r="R70" s="103"/>
      <c r="S70" s="103"/>
      <c r="T70" s="103"/>
      <c r="U70" s="103"/>
    </row>
    <row r="71" spans="1:21" x14ac:dyDescent="0.2">
      <c r="A71" s="103"/>
      <c r="B71" s="103"/>
      <c r="C71" s="103"/>
      <c r="D71" s="103"/>
      <c r="E71" s="1849"/>
      <c r="F71" s="1849"/>
      <c r="G71" s="1849"/>
      <c r="H71" s="1849"/>
      <c r="I71" s="1849"/>
      <c r="J71" s="1849"/>
      <c r="K71" s="1849"/>
      <c r="L71" s="103"/>
      <c r="M71" s="103"/>
      <c r="N71" s="103"/>
      <c r="O71" s="103"/>
      <c r="P71" s="103"/>
      <c r="Q71" s="103"/>
      <c r="R71" s="103"/>
      <c r="S71" s="103"/>
      <c r="T71" s="103"/>
      <c r="U71" s="103"/>
    </row>
    <row r="72" spans="1:21" x14ac:dyDescent="0.2">
      <c r="A72" s="103"/>
      <c r="B72" s="103"/>
      <c r="C72" s="103"/>
      <c r="D72" s="103"/>
      <c r="E72" s="1849"/>
      <c r="F72" s="1849"/>
      <c r="G72" s="1849"/>
      <c r="H72" s="1849"/>
      <c r="I72" s="1849"/>
      <c r="J72" s="1849"/>
      <c r="K72" s="1849"/>
      <c r="L72" s="103"/>
      <c r="M72" s="103"/>
      <c r="N72" s="103"/>
      <c r="O72" s="103"/>
      <c r="P72" s="103"/>
      <c r="Q72" s="103"/>
      <c r="R72" s="103"/>
      <c r="S72" s="103"/>
      <c r="T72" s="103"/>
      <c r="U72" s="103"/>
    </row>
    <row r="73" spans="1:21" x14ac:dyDescent="0.2">
      <c r="A73" s="103"/>
      <c r="B73" s="103"/>
      <c r="C73" s="103"/>
      <c r="D73" s="103"/>
      <c r="E73" s="1849"/>
      <c r="F73" s="1849"/>
      <c r="G73" s="1849"/>
      <c r="H73" s="1849"/>
      <c r="I73" s="1849"/>
      <c r="J73" s="1849"/>
      <c r="K73" s="1849"/>
      <c r="L73" s="103"/>
      <c r="M73" s="103"/>
      <c r="N73" s="103"/>
      <c r="O73" s="103"/>
      <c r="P73" s="103"/>
      <c r="Q73" s="103"/>
      <c r="R73" s="103"/>
      <c r="S73" s="103"/>
      <c r="T73" s="103"/>
      <c r="U73" s="103"/>
    </row>
    <row r="74" spans="1:21" x14ac:dyDescent="0.2">
      <c r="A74" s="103"/>
      <c r="B74" s="103"/>
      <c r="C74" s="103"/>
      <c r="D74" s="103"/>
      <c r="E74" s="1849"/>
      <c r="F74" s="1849"/>
      <c r="G74" s="1849"/>
      <c r="H74" s="1849"/>
      <c r="I74" s="1849"/>
      <c r="J74" s="1849"/>
      <c r="K74" s="1849"/>
      <c r="L74" s="103"/>
      <c r="M74" s="103"/>
      <c r="N74" s="103"/>
      <c r="O74" s="103"/>
      <c r="P74" s="103"/>
      <c r="Q74" s="103"/>
      <c r="R74" s="103"/>
      <c r="S74" s="103"/>
      <c r="T74" s="103"/>
      <c r="U74" s="103"/>
    </row>
    <row r="75" spans="1:21" x14ac:dyDescent="0.2">
      <c r="A75" s="103"/>
      <c r="B75" s="103"/>
      <c r="C75" s="103"/>
      <c r="D75" s="103"/>
      <c r="E75" s="103"/>
      <c r="F75" s="103"/>
      <c r="G75" s="103"/>
      <c r="H75" s="103"/>
      <c r="I75" s="103"/>
      <c r="J75" s="103"/>
      <c r="K75" s="103"/>
      <c r="L75" s="103"/>
      <c r="M75" s="103"/>
      <c r="N75" s="103"/>
      <c r="O75" s="103"/>
      <c r="P75" s="103"/>
      <c r="Q75" s="103"/>
      <c r="R75" s="103"/>
      <c r="S75" s="103"/>
      <c r="T75" s="103"/>
      <c r="U75" s="103"/>
    </row>
    <row r="76" spans="1:21" x14ac:dyDescent="0.2">
      <c r="A76" s="103"/>
      <c r="B76" s="103"/>
      <c r="C76" s="103"/>
      <c r="D76" s="103"/>
      <c r="E76" s="103"/>
      <c r="F76" s="103"/>
      <c r="G76" s="103"/>
      <c r="H76" s="103"/>
      <c r="I76" s="103"/>
      <c r="J76" s="103"/>
      <c r="K76" s="103"/>
      <c r="L76" s="103"/>
      <c r="M76" s="103"/>
      <c r="N76" s="103"/>
      <c r="O76" s="103"/>
      <c r="P76" s="103"/>
      <c r="Q76" s="103"/>
      <c r="R76" s="103"/>
      <c r="S76" s="103"/>
      <c r="T76" s="103"/>
      <c r="U76" s="103"/>
    </row>
    <row r="77" spans="1:21" s="103" customFormat="1" x14ac:dyDescent="0.2"/>
    <row r="78" spans="1:21" s="103" customFormat="1" x14ac:dyDescent="0.2"/>
    <row r="79" spans="1:21" s="103" customFormat="1" x14ac:dyDescent="0.2"/>
    <row r="80" spans="1:21" s="103" customFormat="1" x14ac:dyDescent="0.2"/>
    <row r="81" s="103" customFormat="1" x14ac:dyDescent="0.2"/>
    <row r="82" s="103" customFormat="1" x14ac:dyDescent="0.2"/>
    <row r="83" s="103" customFormat="1" x14ac:dyDescent="0.2"/>
    <row r="84" s="103" customFormat="1" x14ac:dyDescent="0.2"/>
    <row r="85" s="103" customFormat="1" x14ac:dyDescent="0.2"/>
    <row r="86" s="103" customFormat="1" x14ac:dyDescent="0.2"/>
    <row r="87" s="103" customFormat="1" x14ac:dyDescent="0.2"/>
    <row r="88" s="103" customFormat="1" x14ac:dyDescent="0.2"/>
    <row r="89" s="103" customFormat="1" x14ac:dyDescent="0.2"/>
    <row r="90" s="103" customFormat="1" x14ac:dyDescent="0.2"/>
    <row r="91" s="103" customFormat="1" x14ac:dyDescent="0.2"/>
    <row r="92" s="103" customFormat="1" x14ac:dyDescent="0.2"/>
    <row r="93" s="103" customFormat="1" x14ac:dyDescent="0.2"/>
    <row r="94" s="103" customFormat="1" x14ac:dyDescent="0.2"/>
    <row r="95" s="103" customFormat="1" x14ac:dyDescent="0.2"/>
    <row r="96" s="103" customFormat="1" x14ac:dyDescent="0.2"/>
    <row r="97" spans="1:9" s="103" customFormat="1" ht="14.25" customHeight="1" x14ac:dyDescent="0.2">
      <c r="A97" s="557"/>
      <c r="B97" s="557"/>
      <c r="C97" s="557"/>
      <c r="D97" s="557"/>
      <c r="E97" s="557"/>
      <c r="F97" s="557"/>
      <c r="G97" s="557"/>
      <c r="H97" s="557"/>
      <c r="I97" s="557"/>
    </row>
    <row r="98" spans="1:9" s="103" customFormat="1" ht="14.25" customHeight="1" x14ac:dyDescent="0.2">
      <c r="A98" s="557"/>
      <c r="B98" s="557"/>
      <c r="C98" s="557"/>
      <c r="D98" s="557"/>
      <c r="E98" s="557"/>
      <c r="F98" s="557"/>
      <c r="G98" s="557"/>
      <c r="H98" s="557"/>
      <c r="I98" s="557"/>
    </row>
    <row r="99" spans="1:9" s="103" customFormat="1" ht="14.25" customHeight="1" x14ac:dyDescent="0.2">
      <c r="A99" s="557"/>
      <c r="B99" s="557"/>
      <c r="C99" s="557"/>
      <c r="D99" s="557"/>
      <c r="E99" s="557"/>
      <c r="F99" s="557"/>
      <c r="G99" s="557"/>
      <c r="H99" s="557"/>
      <c r="I99" s="557"/>
    </row>
    <row r="100" spans="1:9" s="103" customFormat="1" ht="14.25" customHeight="1" x14ac:dyDescent="0.2">
      <c r="A100" s="557"/>
      <c r="B100" s="557"/>
      <c r="C100" s="557"/>
      <c r="D100" s="557"/>
      <c r="E100" s="557"/>
      <c r="F100" s="557"/>
      <c r="G100" s="557"/>
      <c r="H100" s="557"/>
      <c r="I100" s="557"/>
    </row>
    <row r="101" spans="1:9" s="726" customFormat="1" ht="14.25" hidden="1" customHeight="1" x14ac:dyDescent="0.2">
      <c r="A101" s="1390" t="s">
        <v>3054</v>
      </c>
      <c r="B101" s="1391">
        <f>IFERROR(VLOOKUP($A101,'Cash Forecast_8A'!$D$200:$L$203,2,FALSE),"")</f>
        <v>11853739.9001719</v>
      </c>
      <c r="C101" s="1391">
        <f>IFERROR(VLOOKUP($A101,'Cash Forecast_8A'!$D$200:$L$203,3,FALSE),"")</f>
        <v>1281214.8905080999</v>
      </c>
      <c r="D101" s="1391">
        <f>IFERROR(VLOOKUP($A101,'Cash Forecast_8A'!$D$200:$L$203,4,FALSE),"")</f>
        <v>1196212.7447736899</v>
      </c>
      <c r="E101" s="1391">
        <f>IFERROR(VLOOKUP($A101,'Cash Forecast_8A'!$D$200:$L$203,5,FALSE),"")</f>
        <v>1298959.38738459</v>
      </c>
      <c r="F101" s="1391">
        <f>IFERROR(VLOOKUP($A101,'Cash Forecast_8A'!$D$200:$L$203,6,FALSE),"")</f>
        <v>15630126.92283828</v>
      </c>
      <c r="G101" s="1391">
        <f>IFERROR(VLOOKUP($A101,'Cash Forecast_8A'!$D$200:$L$203,7,FALSE),"")</f>
        <v>0</v>
      </c>
      <c r="H101" s="1391">
        <f>IFERROR(VLOOKUP($A101,'Cash Forecast_8A'!$D$200:$L$203,8,FALSE),"")</f>
        <v>0</v>
      </c>
      <c r="I101" s="1391">
        <f>IFERROR(VLOOKUP($A101,'Cash Forecast_8A'!$D$200:$L$203,9,FALSE),"")</f>
        <v>0</v>
      </c>
    </row>
    <row r="102" spans="1:9" s="726" customFormat="1" ht="14.25" hidden="1" customHeight="1" x14ac:dyDescent="0.2">
      <c r="A102" s="1390" t="s">
        <v>3055</v>
      </c>
      <c r="B102" s="1391">
        <f>IFERROR(VLOOKUP($A102,'Cash Forecast_8A'!$D$200:$L$203,2,FALSE),"")</f>
        <v>0</v>
      </c>
      <c r="C102" s="1391">
        <f>IFERROR(VLOOKUP($A102,'Cash Forecast_8A'!$D$200:$L$203,3,FALSE),"")</f>
        <v>0</v>
      </c>
      <c r="D102" s="1391">
        <f>IFERROR(VLOOKUP($A102,'Cash Forecast_8A'!$D$200:$L$203,4,FALSE),"")</f>
        <v>0</v>
      </c>
      <c r="E102" s="1391">
        <f>IFERROR(VLOOKUP($A102,'Cash Forecast_8A'!$D$200:$L$203,5,FALSE),"")</f>
        <v>0</v>
      </c>
      <c r="F102" s="1391">
        <f>IFERROR(VLOOKUP($A102,'Cash Forecast_8A'!$D$200:$L$203,6,FALSE),"")</f>
        <v>0</v>
      </c>
      <c r="G102" s="1391">
        <f>IFERROR(VLOOKUP($A102,'Cash Forecast_8A'!$D$200:$L$203,7,FALSE),"")</f>
        <v>0</v>
      </c>
      <c r="H102" s="1391">
        <f>IFERROR(VLOOKUP($A102,'Cash Forecast_8A'!$D$200:$L$203,8,FALSE),"")</f>
        <v>0</v>
      </c>
      <c r="I102" s="1391">
        <f>IFERROR(VLOOKUP($A102,'Cash Forecast_8A'!$D$200:$L$203,9,FALSE),"")</f>
        <v>0</v>
      </c>
    </row>
    <row r="103" spans="1:9" s="726" customFormat="1" ht="14.25" hidden="1" customHeight="1" x14ac:dyDescent="0.2">
      <c r="A103" s="1390" t="s">
        <v>3056</v>
      </c>
      <c r="B103" s="1391">
        <f>IFERROR(VLOOKUP($A103,'Cash Forecast_8A'!$D$200:$L$203,2,FALSE),"")</f>
        <v>14441773.677308217</v>
      </c>
      <c r="C103" s="1391">
        <f>IFERROR(VLOOKUP($A103,'Cash Forecast_8A'!$D$200:$L$203,3,FALSE),"")</f>
        <v>1281214.8905081009</v>
      </c>
      <c r="D103" s="1391">
        <f>IFERROR(VLOOKUP($A103,'Cash Forecast_8A'!$D$200:$L$203,4,FALSE),"")</f>
        <v>1196212.7447736876</v>
      </c>
      <c r="E103" s="1391">
        <f>IFERROR(VLOOKUP($A103,'Cash Forecast_8A'!$D$200:$L$203,5,FALSE),"")</f>
        <v>1298959.387384593</v>
      </c>
      <c r="F103" s="1391">
        <f>IFERROR(VLOOKUP($A103,'Cash Forecast_8A'!$D$200:$L$203,6,FALSE),"")</f>
        <v>18218160.699974597</v>
      </c>
      <c r="G103" s="1391">
        <f>IFERROR(VLOOKUP($A103,'Cash Forecast_8A'!$D$200:$L$203,7,FALSE),"")</f>
        <v>0</v>
      </c>
      <c r="H103" s="1391">
        <f>IFERROR(VLOOKUP($A103,'Cash Forecast_8A'!$D$200:$L$203,8,FALSE),"")</f>
        <v>0</v>
      </c>
      <c r="I103" s="1391">
        <f>IFERROR(VLOOKUP($A103,'Cash Forecast_8A'!$D$200:$L$203,9,FALSE),"")</f>
        <v>0</v>
      </c>
    </row>
    <row r="104" spans="1:9" s="726" customFormat="1" ht="14.25" hidden="1" x14ac:dyDescent="0.2">
      <c r="A104" s="1390" t="s">
        <v>3057</v>
      </c>
      <c r="B104" s="1391">
        <f>IFERROR(VLOOKUP($A104,'Cash Forecast_8A'!$D$200:$L$203,2,FALSE),"")</f>
        <v>0</v>
      </c>
      <c r="C104" s="1391">
        <f>IFERROR(VLOOKUP($A104,'Cash Forecast_8A'!$D$200:$L$203,3,FALSE),"")</f>
        <v>0</v>
      </c>
      <c r="D104" s="1391">
        <f>IFERROR(VLOOKUP($A104,'Cash Forecast_8A'!$D$200:$L$203,4,FALSE),"")</f>
        <v>0</v>
      </c>
      <c r="E104" s="1391">
        <f>IFERROR(VLOOKUP($A104,'Cash Forecast_8A'!$D$200:$L$203,5,FALSE),"")</f>
        <v>0</v>
      </c>
      <c r="F104" s="1391">
        <f>IFERROR(VLOOKUP($A104,'Cash Forecast_8A'!$D$200:$L$203,6,FALSE),"")</f>
        <v>0</v>
      </c>
      <c r="G104" s="1391">
        <f>IFERROR(VLOOKUP($A104,'Cash Forecast_8A'!$D$200:$L$203,7,FALSE),"")</f>
        <v>0</v>
      </c>
      <c r="H104" s="1391">
        <f>IFERROR(VLOOKUP($A104,'Cash Forecast_8A'!$D$200:$L$203,8,FALSE),"")</f>
        <v>0</v>
      </c>
      <c r="I104" s="1391">
        <f>IFERROR(VLOOKUP($A104,'Cash Forecast_8A'!$D$200:$L$203,9,FALSE),"")</f>
        <v>0</v>
      </c>
    </row>
    <row r="105" spans="1:9" s="726" customFormat="1" ht="14.25" hidden="1" x14ac:dyDescent="0.2">
      <c r="A105" s="1390" t="s">
        <v>3055</v>
      </c>
      <c r="B105" s="1391">
        <f>IFERROR(VLOOKUP($A105,'Cash Forecast_8A'!$D$205:$L$207,2,FALSE),"")</f>
        <v>0</v>
      </c>
      <c r="C105" s="1391">
        <f>IFERROR(VLOOKUP($A105,'Cash Forecast_8A'!$D$205:$L$207,3,FALSE),"")</f>
        <v>0</v>
      </c>
      <c r="D105" s="1391">
        <f>IFERROR(VLOOKUP($A105,'Cash Forecast_8A'!$D$205:$L$207,4,FALSE),"")</f>
        <v>0</v>
      </c>
      <c r="E105" s="1391">
        <f>IFERROR(VLOOKUP($A105,'Cash Forecast_8A'!$D$205:$L$207,5,FALSE),"")</f>
        <v>0</v>
      </c>
      <c r="F105" s="1391">
        <f>IFERROR(VLOOKUP($A105,'Cash Forecast_8A'!$D$205:$L$207,6,FALSE),"")</f>
        <v>0</v>
      </c>
      <c r="G105" s="1391">
        <f>IFERROR(VLOOKUP($A105,'Cash Forecast_8A'!$D$205:$L$207,7,FALSE),"")</f>
        <v>0</v>
      </c>
      <c r="H105" s="1391">
        <f>IFERROR(VLOOKUP($A105,'Cash Forecast_8A'!$D$205:$L$207,8,FALSE),"")</f>
        <v>0</v>
      </c>
      <c r="I105" s="1391">
        <f>IFERROR(VLOOKUP($A105,'Cash Forecast_8A'!$D$205:$L$207,9,FALSE),"")</f>
        <v>0</v>
      </c>
    </row>
    <row r="106" spans="1:9" s="726" customFormat="1" ht="14.25" hidden="1" x14ac:dyDescent="0.2">
      <c r="A106" s="1390" t="s">
        <v>3056</v>
      </c>
      <c r="B106" s="1391">
        <f>IFERROR(VLOOKUP($A106,'Cash Forecast_8A'!$D$205:$L$207,2,FALSE),"")</f>
        <v>0</v>
      </c>
      <c r="C106" s="1391">
        <f>IFERROR(VLOOKUP($A106,'Cash Forecast_8A'!$D$205:$L$207,3,FALSE),"")</f>
        <v>0</v>
      </c>
      <c r="D106" s="1391">
        <f>IFERROR(VLOOKUP($A106,'Cash Forecast_8A'!$D$205:$L$207,4,FALSE),"")</f>
        <v>0</v>
      </c>
      <c r="E106" s="1391">
        <f>IFERROR(VLOOKUP($A106,'Cash Forecast_8A'!$D$205:$L$207,5,FALSE),"")</f>
        <v>0</v>
      </c>
      <c r="F106" s="1391">
        <f>IFERROR(VLOOKUP($A106,'Cash Forecast_8A'!$D$205:$L$207,6,FALSE),"")</f>
        <v>0</v>
      </c>
      <c r="G106" s="1391">
        <f>IFERROR(VLOOKUP($A106,'Cash Forecast_8A'!$D$205:$L$207,7,FALSE),"")</f>
        <v>0</v>
      </c>
      <c r="H106" s="1391">
        <f>IFERROR(VLOOKUP($A106,'Cash Forecast_8A'!$D$205:$L$207,8,FALSE),"")</f>
        <v>0</v>
      </c>
      <c r="I106" s="1391">
        <f>IFERROR(VLOOKUP($A106,'Cash Forecast_8A'!$D$205:$L$207,9,FALSE),"")</f>
        <v>0</v>
      </c>
    </row>
    <row r="107" spans="1:9" s="726" customFormat="1" ht="14.25" hidden="1" x14ac:dyDescent="0.2">
      <c r="A107" s="1390" t="s">
        <v>3057</v>
      </c>
      <c r="B107" s="1391">
        <f>IFERROR(VLOOKUP($A107,'Cash Forecast_8A'!$D$205:$L$207,2,FALSE),"")</f>
        <v>0</v>
      </c>
      <c r="C107" s="1391">
        <f>IFERROR(VLOOKUP($A107,'Cash Forecast_8A'!$D$205:$L$207,3,FALSE),"")</f>
        <v>0</v>
      </c>
      <c r="D107" s="1391">
        <f>IFERROR(VLOOKUP($A107,'Cash Forecast_8A'!$D$205:$L$207,4,FALSE),"")</f>
        <v>0</v>
      </c>
      <c r="E107" s="1391">
        <f>IFERROR(VLOOKUP($A107,'Cash Forecast_8A'!$D$205:$L$207,5,FALSE),"")</f>
        <v>0</v>
      </c>
      <c r="F107" s="1391">
        <f>IFERROR(VLOOKUP($A107,'Cash Forecast_8A'!$D$205:$L$207,6,FALSE),"")</f>
        <v>0</v>
      </c>
      <c r="G107" s="1391">
        <f>IFERROR(VLOOKUP($A107,'Cash Forecast_8A'!$D$205:$L$207,7,FALSE),"")</f>
        <v>0</v>
      </c>
      <c r="H107" s="1391">
        <f>IFERROR(VLOOKUP($A107,'Cash Forecast_8A'!$D$205:$L$207,8,FALSE),"")</f>
        <v>0</v>
      </c>
      <c r="I107" s="1391">
        <f>IFERROR(VLOOKUP($A107,'Cash Forecast_8A'!$D$205:$L$207,9,FALSE),"")</f>
        <v>0</v>
      </c>
    </row>
    <row r="108" spans="1:9" s="103" customFormat="1" hidden="1" x14ac:dyDescent="0.2">
      <c r="A108" s="557"/>
      <c r="B108" s="557"/>
      <c r="C108" s="557"/>
      <c r="D108" s="557"/>
      <c r="E108" s="557"/>
      <c r="F108" s="557"/>
      <c r="G108" s="557"/>
      <c r="H108" s="557"/>
      <c r="I108" s="557"/>
    </row>
    <row r="109" spans="1:9" s="103" customFormat="1" x14ac:dyDescent="0.2">
      <c r="A109" s="557"/>
      <c r="B109" s="557"/>
      <c r="C109" s="557"/>
      <c r="D109" s="557"/>
      <c r="E109" s="557"/>
      <c r="F109" s="557"/>
      <c r="G109" s="557"/>
      <c r="H109" s="557"/>
      <c r="I109" s="557"/>
    </row>
    <row r="110" spans="1:9" s="103" customFormat="1" x14ac:dyDescent="0.2">
      <c r="A110" s="557"/>
      <c r="B110" s="557"/>
      <c r="C110" s="557"/>
      <c r="D110" s="557"/>
      <c r="E110" s="557"/>
      <c r="F110" s="557"/>
      <c r="G110" s="557"/>
      <c r="H110" s="557"/>
      <c r="I110" s="557"/>
    </row>
    <row r="111" spans="1:9" s="103" customFormat="1" x14ac:dyDescent="0.2">
      <c r="A111" s="557"/>
      <c r="B111" s="557"/>
      <c r="C111" s="557"/>
      <c r="D111" s="557"/>
      <c r="E111" s="557"/>
      <c r="F111" s="557"/>
      <c r="G111" s="557"/>
      <c r="H111" s="557"/>
      <c r="I111" s="557"/>
    </row>
    <row r="112" spans="1:9" s="103" customFormat="1" x14ac:dyDescent="0.2"/>
    <row r="113" spans="7:7" s="103" customFormat="1" x14ac:dyDescent="0.2"/>
    <row r="114" spans="7:7" s="103" customFormat="1" x14ac:dyDescent="0.2"/>
    <row r="115" spans="7:7" s="103" customFormat="1" x14ac:dyDescent="0.2"/>
    <row r="116" spans="7:7" s="103" customFormat="1" x14ac:dyDescent="0.2"/>
    <row r="117" spans="7:7" s="103" customFormat="1" x14ac:dyDescent="0.2"/>
    <row r="118" spans="7:7" x14ac:dyDescent="0.2">
      <c r="G118" s="103"/>
    </row>
    <row r="119" spans="7:7" x14ac:dyDescent="0.2">
      <c r="G119" s="103"/>
    </row>
    <row r="120" spans="7:7" x14ac:dyDescent="0.2">
      <c r="G120" s="103"/>
    </row>
    <row r="121" spans="7:7" x14ac:dyDescent="0.2">
      <c r="G121" s="103"/>
    </row>
  </sheetData>
  <sheetProtection algorithmName="SHA-512" hashValue="Obhsraxec0MTSO5mAECvVR1G8ZTsY3UABEMJlOoUWJrIGwKvHpnl3k4017BCMfs7hRFTNARPpqw7PGwXYwohPg==" saltValue="CemSDFviMujMPnpPyeH7Jw==" spinCount="100000" sheet="1" formatColumns="0" formatRows="0" sort="0" autoFilter="0"/>
  <mergeCells count="23">
    <mergeCell ref="E63:K63"/>
    <mergeCell ref="E64:K64"/>
    <mergeCell ref="E65:K65"/>
    <mergeCell ref="E68:J68"/>
    <mergeCell ref="E70:K74"/>
    <mergeCell ref="B10:E10"/>
    <mergeCell ref="H10:I10"/>
    <mergeCell ref="P10:X27"/>
    <mergeCell ref="L15:L16"/>
    <mergeCell ref="L17:L18"/>
    <mergeCell ref="A33:X33"/>
    <mergeCell ref="P34:X34"/>
    <mergeCell ref="B36:E36"/>
    <mergeCell ref="H36:I36"/>
    <mergeCell ref="P36:X53"/>
    <mergeCell ref="L41:L42"/>
    <mergeCell ref="L43:L44"/>
    <mergeCell ref="A1:R1"/>
    <mergeCell ref="E3:H3"/>
    <mergeCell ref="E4:H4"/>
    <mergeCell ref="A7:X7"/>
    <mergeCell ref="P8:X8"/>
    <mergeCell ref="A3:D4"/>
  </mergeCells>
  <conditionalFormatting sqref="L15:L16">
    <cfRule type="expression" dxfId="34" priority="19">
      <formula>L15="WARNING - Cash in Transit not matching"</formula>
    </cfRule>
  </conditionalFormatting>
  <conditionalFormatting sqref="L17:L18">
    <cfRule type="expression" dxfId="33" priority="18">
      <formula>L17="WARNING - Cash in Transit not matching"</formula>
    </cfRule>
  </conditionalFormatting>
  <conditionalFormatting sqref="K24">
    <cfRule type="expression" dxfId="32" priority="17">
      <formula>K24="WARNING - Sum not matching"</formula>
    </cfRule>
  </conditionalFormatting>
  <conditionalFormatting sqref="K24">
    <cfRule type="expression" dxfId="31" priority="16">
      <formula>K24="WARNING - Sum not matching"</formula>
    </cfRule>
  </conditionalFormatting>
  <conditionalFormatting sqref="K25">
    <cfRule type="expression" dxfId="30" priority="15">
      <formula>K25="WARNING - Sum not matching"</formula>
    </cfRule>
  </conditionalFormatting>
  <conditionalFormatting sqref="K25">
    <cfRule type="expression" dxfId="29" priority="14">
      <formula>K25="WARNING - Sum not matching"</formula>
    </cfRule>
  </conditionalFormatting>
  <conditionalFormatting sqref="K26">
    <cfRule type="expression" dxfId="28" priority="13">
      <formula>K26="WARNING - Sum not matching"</formula>
    </cfRule>
  </conditionalFormatting>
  <conditionalFormatting sqref="K26">
    <cfRule type="expression" dxfId="27" priority="12">
      <formula>K26="WARNING - Sum not matching"</formula>
    </cfRule>
  </conditionalFormatting>
  <conditionalFormatting sqref="K29">
    <cfRule type="expression" dxfId="26" priority="11">
      <formula>K29="WARNING - Sum not matching"</formula>
    </cfRule>
  </conditionalFormatting>
  <conditionalFormatting sqref="L41:L42">
    <cfRule type="expression" dxfId="25" priority="10">
      <formula>L41="WARNING - Cash in Transit not matching"</formula>
    </cfRule>
  </conditionalFormatting>
  <conditionalFormatting sqref="L43:L44">
    <cfRule type="expression" dxfId="24" priority="9">
      <formula>L43="WARNING - Cash in Transit not matching"</formula>
    </cfRule>
  </conditionalFormatting>
  <conditionalFormatting sqref="K50">
    <cfRule type="expression" dxfId="23" priority="8">
      <formula>K50="WARNING - Sum not matching"</formula>
    </cfRule>
  </conditionalFormatting>
  <conditionalFormatting sqref="K50">
    <cfRule type="expression" dxfId="22" priority="7">
      <formula>K50="WARNING - Sum not matching"</formula>
    </cfRule>
  </conditionalFormatting>
  <conditionalFormatting sqref="K51">
    <cfRule type="expression" dxfId="21" priority="6">
      <formula>K51="WARNING - Sum not matching"</formula>
    </cfRule>
  </conditionalFormatting>
  <conditionalFormatting sqref="K51">
    <cfRule type="expression" dxfId="20" priority="5">
      <formula>K51="WARNING - Sum not matching"</formula>
    </cfRule>
  </conditionalFormatting>
  <conditionalFormatting sqref="K52">
    <cfRule type="expression" dxfId="19" priority="4">
      <formula>K52="WARNING - Sum not matching"</formula>
    </cfRule>
  </conditionalFormatting>
  <conditionalFormatting sqref="K52">
    <cfRule type="expression" dxfId="18" priority="3">
      <formula>K52="WARNING - Sum not matching"</formula>
    </cfRule>
  </conditionalFormatting>
  <conditionalFormatting sqref="K55">
    <cfRule type="expression" dxfId="17" priority="2">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CoverSheet!$D$14="EUR"</xm:f>
            <x14:dxf>
              <numFmt numFmtId="190" formatCode="[$EUR]\ #,##0.00;[Red]\-[$EUR]\ #,##0.00"/>
            </x14:dxf>
          </x14:cfRule>
          <xm:sqref>B12:K13 B14:B19 C19:F19 H19:K19 B24:F27 H24:J27 K27 B38:F39 H38:K39 B40:B45 C45:F45 H45:K45 B50:F53 K53 H50:J53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theme="0"/>
  </sheetPr>
  <dimension ref="B4:L309"/>
  <sheetViews>
    <sheetView topLeftCell="A7" zoomScale="70" zoomScaleNormal="70" workbookViewId="0">
      <selection activeCell="B22" sqref="B22:B23"/>
    </sheetView>
  </sheetViews>
  <sheetFormatPr baseColWidth="10" defaultColWidth="9.140625" defaultRowHeight="15" x14ac:dyDescent="0.25"/>
  <cols>
    <col min="2" max="2" width="24.140625" bestFit="1" customWidth="1"/>
    <col min="3" max="3" width="23" bestFit="1" customWidth="1"/>
    <col min="4" max="4" width="49.140625" bestFit="1" customWidth="1"/>
    <col min="5" max="5" width="49.85546875" bestFit="1" customWidth="1"/>
    <col min="6" max="6" width="11.140625" bestFit="1" customWidth="1"/>
    <col min="9" max="9" width="48.140625" bestFit="1" customWidth="1"/>
    <col min="10" max="10" width="18.140625" bestFit="1" customWidth="1"/>
  </cols>
  <sheetData>
    <row r="4" spans="2:11" x14ac:dyDescent="0.25">
      <c r="B4" s="435" t="s">
        <v>3981</v>
      </c>
    </row>
    <row r="5" spans="2:11" x14ac:dyDescent="0.25">
      <c r="B5" s="637" t="s">
        <v>3982</v>
      </c>
      <c r="C5" s="637"/>
      <c r="D5" s="637" t="s">
        <v>3983</v>
      </c>
    </row>
    <row r="6" spans="2:11" hidden="1" x14ac:dyDescent="0.25">
      <c r="B6" s="769" t="s">
        <v>3984</v>
      </c>
      <c r="C6" s="637"/>
      <c r="D6" s="637" t="s">
        <v>3985</v>
      </c>
    </row>
    <row r="7" spans="2:11" x14ac:dyDescent="0.25">
      <c r="B7" s="769" t="s">
        <v>3986</v>
      </c>
      <c r="C7" s="637"/>
      <c r="D7" s="637" t="s">
        <v>3987</v>
      </c>
    </row>
    <row r="8" spans="2:11" x14ac:dyDescent="0.25">
      <c r="B8" s="769" t="s">
        <v>3988</v>
      </c>
      <c r="C8" s="637"/>
      <c r="D8" s="637" t="s">
        <v>3989</v>
      </c>
    </row>
    <row r="11" spans="2:11" x14ac:dyDescent="0.25">
      <c r="B11" s="435" t="s">
        <v>3990</v>
      </c>
    </row>
    <row r="12" spans="2:11" x14ac:dyDescent="0.25">
      <c r="B12" s="888" t="s">
        <v>353</v>
      </c>
      <c r="C12" s="888" t="s">
        <v>3991</v>
      </c>
      <c r="D12" s="888" t="s">
        <v>3992</v>
      </c>
      <c r="E12" s="888" t="s">
        <v>3993</v>
      </c>
      <c r="F12" s="888" t="s">
        <v>3994</v>
      </c>
      <c r="G12" s="888" t="s">
        <v>3995</v>
      </c>
      <c r="H12" s="888" t="s">
        <v>3996</v>
      </c>
      <c r="I12" s="888" t="s">
        <v>3997</v>
      </c>
      <c r="J12" s="888" t="s">
        <v>3998</v>
      </c>
      <c r="K12" s="888" t="s">
        <v>122</v>
      </c>
    </row>
    <row r="13" spans="2:11" hidden="1" x14ac:dyDescent="0.25">
      <c r="B13" s="889" t="s">
        <v>3999</v>
      </c>
      <c r="C13" s="888"/>
      <c r="D13" s="888" t="s">
        <v>4000</v>
      </c>
      <c r="E13" s="888"/>
      <c r="F13" s="888"/>
      <c r="G13" s="888"/>
      <c r="H13" s="888"/>
      <c r="I13" s="888" t="str">
        <f t="array" ref="I13">IFERROR(INDEX($D$13:$D$48, MATCH(0, COUNTIF($I$12:I12, $D$13:$D$48&amp;"") + IF($D$13:$D$48="",1,0), 0)), "")</f>
        <v>[Module-Coverage-Intervention Reference (Name)]</v>
      </c>
      <c r="J13" s="888" t="str">
        <f t="array" ref="J13">IFERROR(IF(INDEX($B$13:$B$48,MATCH(LEFT(I13,255),LEFT($D$13:$D$48,255),0))=0,"",INDEX($B$13:$B$48,MATCH(LEFT(I13,255),LEFT($D$13:$D$48,255),0))),"")</f>
        <v>[Name]</v>
      </c>
      <c r="K13" s="888" t="s">
        <v>371</v>
      </c>
    </row>
    <row r="14" spans="2:11" x14ac:dyDescent="0.25">
      <c r="B14" s="889" t="s">
        <v>534</v>
      </c>
      <c r="C14" s="888"/>
      <c r="D14" s="888" t="s">
        <v>4001</v>
      </c>
      <c r="E14" s="888"/>
      <c r="F14" s="888"/>
      <c r="G14" s="888"/>
      <c r="H14" s="888"/>
      <c r="I14" s="888" t="str">
        <f t="array" ref="I14">IFERROR(INDEX($D$13:$D$48, MATCH(0, COUNTIF($I$12:I13, $D$13:$D$48&amp;"") + IF($D$13:$D$48="",1,0), 0)), "")</f>
        <v>MCI-00002</v>
      </c>
      <c r="J14" s="888" t="str">
        <f t="array" ref="J14">IFERROR(IF(INDEX($B$13:$B$48,MATCH(LEFT(I14,255),LEFT($D$13:$D$48,255),0))=0,"",INDEX($B$13:$B$48,MATCH(LEFT(I14,255),LEFT($D$13:$D$48,255),0))),"")</f>
        <v>Comprehensive prevention programs for sex workers and their clients</v>
      </c>
      <c r="K14" s="888" t="s">
        <v>4002</v>
      </c>
    </row>
    <row r="15" spans="2:11" x14ac:dyDescent="0.25">
      <c r="B15" s="889" t="s">
        <v>776</v>
      </c>
      <c r="C15" s="888"/>
      <c r="D15" s="888" t="s">
        <v>4003</v>
      </c>
      <c r="E15" s="888"/>
      <c r="F15" s="888"/>
      <c r="G15" s="888"/>
      <c r="H15" s="888"/>
      <c r="I15" s="888" t="str">
        <f t="array" ref="I15">IFERROR(INDEX($D$13:$D$48, MATCH(0, COUNTIF($I$12:I14, $D$13:$D$48&amp;"") + IF($D$13:$D$48="",1,0), 0)), "")</f>
        <v>MCI-00003</v>
      </c>
      <c r="J15" s="888" t="str">
        <f t="array" ref="J15">IFERROR(IF(INDEX($B$13:$B$48,MATCH(LEFT(I15,255),LEFT($D$13:$D$48,255),0))=0,"",INDEX($B$13:$B$48,MATCH(LEFT(I15,255),LEFT($D$13:$D$48,255),0))),"")</f>
        <v>Comprehensive prevention programs for people who inject drugs (PWID) and their partners</v>
      </c>
      <c r="K15" s="888" t="s">
        <v>4004</v>
      </c>
    </row>
    <row r="16" spans="2:11" x14ac:dyDescent="0.25">
      <c r="B16" s="889" t="s">
        <v>2835</v>
      </c>
      <c r="C16" s="888"/>
      <c r="D16" s="888" t="s">
        <v>4005</v>
      </c>
      <c r="E16" s="888"/>
      <c r="F16" s="888"/>
      <c r="G16" s="888"/>
      <c r="H16" s="888"/>
      <c r="I16" s="888" t="str">
        <f t="array" ref="I16">IFERROR(INDEX($D$13:$D$48, MATCH(0, COUNTIF($I$12:I15, $D$13:$D$48&amp;"") + IF($D$13:$D$48="",1,0), 0)), "")</f>
        <v>MCI-00004</v>
      </c>
      <c r="J16" s="888" t="str">
        <f t="array" ref="J16">IFERROR(IF(INDEX($B$13:$B$48,MATCH(LEFT(I16,255),LEFT($D$13:$D$48,255),0))=0,"",INDEX($B$13:$B$48,MATCH(LEFT(I16,255),LEFT($D$13:$D$48,255),0))),"")</f>
        <v>Prevention programs for other vulnerable populations</v>
      </c>
      <c r="K16" s="888" t="s">
        <v>4006</v>
      </c>
    </row>
    <row r="17" spans="2:11" x14ac:dyDescent="0.25">
      <c r="B17" s="889" t="s">
        <v>2814</v>
      </c>
      <c r="C17" s="888"/>
      <c r="D17" s="888" t="s">
        <v>4007</v>
      </c>
      <c r="E17" s="888"/>
      <c r="F17" s="888"/>
      <c r="G17" s="888"/>
      <c r="H17" s="888"/>
      <c r="I17" s="888" t="str">
        <f t="array" ref="I17">IFERROR(INDEX($D$13:$D$48, MATCH(0, COUNTIF($I$12:I16, $D$13:$D$48&amp;"") + IF($D$13:$D$48="",1,0), 0)), "")</f>
        <v>MCI-00000</v>
      </c>
      <c r="J17" s="888" t="str">
        <f t="array" ref="J17">IFERROR(IF(INDEX($B$13:$B$48,MATCH(LEFT(I17,255),LEFT($D$13:$D$48,255),0))=0,"",INDEX($B$13:$B$48,MATCH(LEFT(I17,255),LEFT($D$13:$D$48,255),0))),"")</f>
        <v>Prevention programs for general population</v>
      </c>
      <c r="K17" s="888" t="s">
        <v>4008</v>
      </c>
    </row>
    <row r="18" spans="2:11" x14ac:dyDescent="0.25">
      <c r="B18" s="889" t="s">
        <v>2870</v>
      </c>
      <c r="C18" s="888"/>
      <c r="D18" s="888" t="s">
        <v>4009</v>
      </c>
      <c r="E18" s="888"/>
      <c r="F18" s="888"/>
      <c r="G18" s="888"/>
      <c r="H18" s="888"/>
      <c r="I18" s="888" t="str">
        <f t="array" ref="I18">IFERROR(INDEX($D$13:$D$48, MATCH(0, COUNTIF($I$12:I17, $D$13:$D$48&amp;"") + IF($D$13:$D$48="",1,0), 0)), "")</f>
        <v>MCI-00005</v>
      </c>
      <c r="J18" s="888" t="str">
        <f t="array" ref="J18">IFERROR(IF(INDEX($B$13:$B$48,MATCH(LEFT(I18,255),LEFT($D$13:$D$48,255),0))=0,"",INDEX($B$13:$B$48,MATCH(LEFT(I18,255),LEFT($D$13:$D$48,255),0))),"")</f>
        <v>Prevention programs for adolescents and youth, in and out of school</v>
      </c>
      <c r="K18" s="888" t="s">
        <v>4010</v>
      </c>
    </row>
    <row r="19" spans="2:11" x14ac:dyDescent="0.25">
      <c r="B19" s="889" t="s">
        <v>478</v>
      </c>
      <c r="C19" s="888"/>
      <c r="D19" s="888" t="s">
        <v>4011</v>
      </c>
      <c r="E19" s="888"/>
      <c r="F19" s="888"/>
      <c r="G19" s="888"/>
      <c r="H19" s="888"/>
      <c r="I19" s="888" t="str">
        <f t="array" ref="I19">IFERROR(INDEX($D$13:$D$48, MATCH(0, COUNTIF($I$12:I18, $D$13:$D$48&amp;"") + IF($D$13:$D$48="",1,0), 0)), "")</f>
        <v>MCI-00006</v>
      </c>
      <c r="J19" s="888" t="str">
        <f t="array" ref="J19">IFERROR(IF(INDEX($B$13:$B$48,MATCH(LEFT(I19,255),LEFT($D$13:$D$48,255),0))=0,"",INDEX($B$13:$B$48,MATCH(LEFT(I19,255),LEFT($D$13:$D$48,255),0))),"")</f>
        <v>PMTCT</v>
      </c>
      <c r="K19" s="888" t="s">
        <v>4012</v>
      </c>
    </row>
    <row r="20" spans="2:11" x14ac:dyDescent="0.25">
      <c r="B20" s="889" t="s">
        <v>461</v>
      </c>
      <c r="C20" s="888"/>
      <c r="D20" s="888" t="s">
        <v>4013</v>
      </c>
      <c r="E20" s="888"/>
      <c r="F20" s="888"/>
      <c r="G20" s="888"/>
      <c r="H20" s="888"/>
      <c r="I20" s="888" t="str">
        <f t="array" ref="I20">IFERROR(INDEX($D$13:$D$48, MATCH(0, COUNTIF($I$12:I19, $D$13:$D$48&amp;"") + IF($D$13:$D$48="",1,0), 0)), "")</f>
        <v>MCI-00007</v>
      </c>
      <c r="J20" s="888" t="str">
        <f t="array" ref="J20">IFERROR(IF(INDEX($B$13:$B$48,MATCH(LEFT(I20,255),LEFT($D$13:$D$48,255),0))=0,"",INDEX($B$13:$B$48,MATCH(LEFT(I20,255),LEFT($D$13:$D$48,255),0))),"")</f>
        <v>Treatment, care and support</v>
      </c>
      <c r="K20" s="888" t="s">
        <v>4014</v>
      </c>
    </row>
    <row r="21" spans="2:11" x14ac:dyDescent="0.25">
      <c r="B21" s="889" t="s">
        <v>427</v>
      </c>
      <c r="C21" s="888"/>
      <c r="D21" s="888" t="s">
        <v>4015</v>
      </c>
      <c r="E21" s="888"/>
      <c r="F21" s="888"/>
      <c r="G21" s="888"/>
      <c r="H21" s="888"/>
      <c r="I21" s="888" t="str">
        <f t="array" ref="I21">IFERROR(INDEX($D$13:$D$48, MATCH(0, COUNTIF($I$12:I20, $D$13:$D$48&amp;"") + IF($D$13:$D$48="",1,0), 0)), "")</f>
        <v>MCI-00009</v>
      </c>
      <c r="J21" s="888" t="str">
        <f t="array" ref="J21">IFERROR(IF(INDEX($B$13:$B$48,MATCH(LEFT(I21,255),LEFT($D$13:$D$48,255),0))=0,"",INDEX($B$13:$B$48,MATCH(LEFT(I21,255),LEFT($D$13:$D$48,255),0))),"")</f>
        <v>TB/HIV</v>
      </c>
      <c r="K21" s="888" t="s">
        <v>4016</v>
      </c>
    </row>
    <row r="22" spans="2:11" x14ac:dyDescent="0.25">
      <c r="B22" s="889" t="s">
        <v>2840</v>
      </c>
      <c r="C22" s="888"/>
      <c r="D22" s="888" t="s">
        <v>4017</v>
      </c>
      <c r="E22" s="888"/>
      <c r="F22" s="888"/>
      <c r="G22" s="888"/>
      <c r="H22" s="888"/>
      <c r="I22" s="888" t="str">
        <f t="array" ref="I22">IFERROR(INDEX($D$13:$D$48, MATCH(0, COUNTIF($I$12:I21, $D$13:$D$48&amp;"") + IF($D$13:$D$48="",1,0), 0)), "")</f>
        <v>MCI-00014</v>
      </c>
      <c r="J22" s="888" t="str">
        <f t="array" ref="J22">IFERROR(IF(INDEX($B$13:$B$48,MATCH(LEFT(I22,255),LEFT($D$13:$D$48,255),0))=0,"",INDEX($B$13:$B$48,MATCH(LEFT(I22,255),LEFT($D$13:$D$48,255),0))),"")</f>
        <v>RSSH: Integrated service delivery and quality improvement</v>
      </c>
      <c r="K22" s="888" t="s">
        <v>4018</v>
      </c>
    </row>
    <row r="23" spans="2:11" x14ac:dyDescent="0.25">
      <c r="B23" s="889" t="s">
        <v>4019</v>
      </c>
      <c r="C23" s="888"/>
      <c r="D23" s="888" t="s">
        <v>4020</v>
      </c>
      <c r="E23" s="888"/>
      <c r="F23" s="888"/>
      <c r="G23" s="888"/>
      <c r="H23" s="888"/>
      <c r="I23" s="888" t="str">
        <f t="array" ref="I23">IFERROR(INDEX($D$13:$D$48, MATCH(0, COUNTIF($I$12:I22, $D$13:$D$48&amp;"") + IF($D$13:$D$48="",1,0), 0)), "")</f>
        <v>MCI-00015</v>
      </c>
      <c r="J23" s="888" t="str">
        <f t="array" ref="J23">IFERROR(IF(INDEX($B$13:$B$48,MATCH(LEFT(I23,255),LEFT($D$13:$D$48,255),0))=0,"",INDEX($B$13:$B$48,MATCH(LEFT(I23,255),LEFT($D$13:$D$48,255),0))),"")</f>
        <v>RSSH: Human resources for health (HRH), including community health workers</v>
      </c>
      <c r="K23" s="888" t="s">
        <v>4021</v>
      </c>
    </row>
    <row r="24" spans="2:11" x14ac:dyDescent="0.25">
      <c r="B24" s="889" t="s">
        <v>4022</v>
      </c>
      <c r="C24" s="888"/>
      <c r="D24" s="888" t="s">
        <v>4023</v>
      </c>
      <c r="E24" s="888"/>
      <c r="F24" s="888"/>
      <c r="G24" s="888"/>
      <c r="H24" s="888"/>
      <c r="I24" s="888" t="str">
        <f t="array" ref="I24">IFERROR(INDEX($D$13:$D$48, MATCH(0, COUNTIF($I$12:I23, $D$13:$D$48&amp;"") + IF($D$13:$D$48="",1,0), 0)), "")</f>
        <v>MCI-00016</v>
      </c>
      <c r="J24" s="888" t="str">
        <f t="array" ref="J24">IFERROR(IF(INDEX($B$13:$B$48,MATCH(LEFT(I24,255),LEFT($D$13:$D$48,255),0))=0,"",INDEX($B$13:$B$48,MATCH(LEFT(I24,255),LEFT($D$13:$D$48,255),0))),"")</f>
        <v>RSSH: Procurement and supply chain management systems</v>
      </c>
      <c r="K24" s="888" t="s">
        <v>4024</v>
      </c>
    </row>
    <row r="25" spans="2:11" x14ac:dyDescent="0.25">
      <c r="B25" s="889" t="s">
        <v>4025</v>
      </c>
      <c r="C25" s="888"/>
      <c r="D25" s="888" t="s">
        <v>4026</v>
      </c>
      <c r="E25" s="888"/>
      <c r="F25" s="888"/>
      <c r="G25" s="888"/>
      <c r="H25" s="888"/>
      <c r="I25" s="888" t="str">
        <f t="array" ref="I25">IFERROR(INDEX($D$13:$D$48, MATCH(0, COUNTIF($I$12:I24, $D$13:$D$48&amp;"") + IF($D$13:$D$48="",1,0), 0)), "")</f>
        <v>MCI-00019</v>
      </c>
      <c r="J25" s="888" t="str">
        <f t="array" ref="J25">IFERROR(IF(INDEX($B$13:$B$48,MATCH(LEFT(I25,255),LEFT($D$13:$D$48,255),0))=0,"",INDEX($B$13:$B$48,MATCH(LEFT(I25,255),LEFT($D$13:$D$48,255),0))),"")</f>
        <v>RSSH: Financial management systems</v>
      </c>
      <c r="K25" s="888" t="s">
        <v>4027</v>
      </c>
    </row>
    <row r="26" spans="2:11" x14ac:dyDescent="0.25">
      <c r="B26" s="889" t="s">
        <v>4028</v>
      </c>
      <c r="C26" s="888"/>
      <c r="D26" s="888" t="s">
        <v>4029</v>
      </c>
      <c r="E26" s="888"/>
      <c r="F26" s="888"/>
      <c r="G26" s="888"/>
      <c r="H26" s="888"/>
      <c r="I26" s="888" t="str">
        <f t="array" ref="I26">IFERROR(INDEX($D$13:$D$48, MATCH(0, COUNTIF($I$12:I25, $D$13:$D$48&amp;"") + IF($D$13:$D$48="",1,0), 0)), "")</f>
        <v>MCI-00021</v>
      </c>
      <c r="J26" s="888" t="str">
        <f t="array" ref="J26">IFERROR(IF(INDEX($B$13:$B$48,MATCH(LEFT(I26,255),LEFT($D$13:$D$48,255),0))=0,"",INDEX($B$13:$B$48,MATCH(LEFT(I26,255),LEFT($D$13:$D$48,255),0))),"")</f>
        <v>RSSH: Community responses and systems</v>
      </c>
      <c r="K26" s="888" t="s">
        <v>4030</v>
      </c>
    </row>
    <row r="27" spans="2:11" x14ac:dyDescent="0.25">
      <c r="B27" s="889" t="s">
        <v>453</v>
      </c>
      <c r="C27" s="888"/>
      <c r="D27" s="888" t="s">
        <v>4031</v>
      </c>
      <c r="E27" s="888"/>
      <c r="F27" s="888"/>
      <c r="G27" s="888"/>
      <c r="H27" s="888"/>
      <c r="I27" s="888" t="str">
        <f t="array" ref="I27">IFERROR(INDEX($D$13:$D$48, MATCH(0, COUNTIF($I$12:I26, $D$13:$D$48&amp;"") + IF($D$13:$D$48="",1,0), 0)), "")</f>
        <v>MCI-00022</v>
      </c>
      <c r="J27" s="888" t="str">
        <f t="array" ref="J27">IFERROR(IF(INDEX($B$13:$B$48,MATCH(LEFT(I27,255),LEFT($D$13:$D$48,255),0))=0,"",INDEX($B$13:$B$48,MATCH(LEFT(I27,255),LEFT($D$13:$D$48,255),0))),"")</f>
        <v>RSSH: Health management information systems and M&amp;E</v>
      </c>
      <c r="K27" s="888" t="s">
        <v>4032</v>
      </c>
    </row>
    <row r="28" spans="2:11" x14ac:dyDescent="0.25">
      <c r="B28" s="889" t="s">
        <v>2803</v>
      </c>
      <c r="C28" s="888"/>
      <c r="D28" s="888" t="s">
        <v>4033</v>
      </c>
      <c r="E28" s="888"/>
      <c r="F28" s="888"/>
      <c r="G28" s="888"/>
      <c r="H28" s="888"/>
      <c r="I28" s="888" t="str">
        <f t="array" ref="I28">IFERROR(INDEX($D$13:$D$48, MATCH(0, COUNTIF($I$12:I27, $D$13:$D$48&amp;"") + IF($D$13:$D$48="",1,0), 0)), "")</f>
        <v>MCI-00023</v>
      </c>
      <c r="J28" s="888" t="str">
        <f t="array" ref="J28">IFERROR(IF(INDEX($B$13:$B$48,MATCH(LEFT(I28,255),LEFT($D$13:$D$48,255),0))=0,"",INDEX($B$13:$B$48,MATCH(LEFT(I28,255),LEFT($D$13:$D$48,255),0))),"")</f>
        <v>Program management</v>
      </c>
      <c r="K28" s="888" t="s">
        <v>4034</v>
      </c>
    </row>
    <row r="29" spans="2:11" x14ac:dyDescent="0.25">
      <c r="B29" s="889" t="s">
        <v>4035</v>
      </c>
      <c r="C29" s="888"/>
      <c r="D29" s="888" t="s">
        <v>4036</v>
      </c>
      <c r="E29" s="888"/>
      <c r="F29" s="888"/>
      <c r="G29" s="888"/>
      <c r="H29" s="888"/>
      <c r="I29" s="888" t="str">
        <f t="array" ref="I29">IFERROR(INDEX($D$13:$D$48, MATCH(0, COUNTIF($I$12:I28, $D$13:$D$48&amp;"") + IF($D$13:$D$48="",1,0), 0)), "")</f>
        <v>MCI-00024</v>
      </c>
      <c r="J29" s="888" t="str">
        <f t="array" ref="J29">IFERROR(IF(INDEX($B$13:$B$48,MATCH(LEFT(I29,255),LEFT($D$13:$D$48,255),0))=0,"",INDEX($B$13:$B$48,MATCH(LEFT(I29,255),LEFT($D$13:$D$48,255),0))),"")</f>
        <v>Payment for results</v>
      </c>
      <c r="K29" s="888" t="s">
        <v>4037</v>
      </c>
    </row>
    <row r="30" spans="2:11" x14ac:dyDescent="0.25">
      <c r="B30" s="889" t="s">
        <v>4038</v>
      </c>
      <c r="C30" s="888"/>
      <c r="D30" s="888" t="s">
        <v>4039</v>
      </c>
      <c r="E30" s="888"/>
      <c r="F30" s="888"/>
      <c r="G30" s="888"/>
      <c r="H30" s="888"/>
      <c r="I30" s="888" t="str">
        <f t="array" ref="I30">IFERROR(INDEX($D$13:$D$48, MATCH(0, COUNTIF($I$12:I29, $D$13:$D$48&amp;"") + IF($D$13:$D$48="",1,0), 0)), "")</f>
        <v>MCI-00531</v>
      </c>
      <c r="J30" s="888" t="str">
        <f t="array" ref="J30">IFERROR(IF(INDEX($B$13:$B$48,MATCH(LEFT(I30,255),LEFT($D$13:$D$48,255),0))=0,"",INDEX($B$13:$B$48,MATCH(LEFT(I30,255),LEFT($D$13:$D$48,255),0))),"")</f>
        <v>Comprehensive prevention programs for TGs</v>
      </c>
      <c r="K30" s="888" t="s">
        <v>4040</v>
      </c>
    </row>
    <row r="31" spans="2:11" x14ac:dyDescent="0.25">
      <c r="B31" s="889" t="s">
        <v>2865</v>
      </c>
      <c r="C31" s="888"/>
      <c r="D31" s="888" t="s">
        <v>4041</v>
      </c>
      <c r="E31" s="888"/>
      <c r="F31" s="888"/>
      <c r="G31" s="888"/>
      <c r="H31" s="888"/>
      <c r="I31" s="888" t="str">
        <f t="array" ref="I31">IFERROR(INDEX($D$13:$D$48, MATCH(0, COUNTIF($I$12:I30, $D$13:$D$48&amp;"") + IF($D$13:$D$48="",1,0), 0)), "")</f>
        <v>MCI-00532</v>
      </c>
      <c r="J31" s="888" t="str">
        <f t="array" ref="J31">IFERROR(IF(INDEX($B$13:$B$48,MATCH(LEFT(I31,255),LEFT($D$13:$D$48,255),0))=0,"",INDEX($B$13:$B$48,MATCH(LEFT(I31,255),LEFT($D$13:$D$48,255),0))),"")</f>
        <v>Comprehensive programs for people in prisons and other closed settings</v>
      </c>
      <c r="K31" s="888" t="s">
        <v>4042</v>
      </c>
    </row>
    <row r="32" spans="2:11" x14ac:dyDescent="0.25">
      <c r="B32" s="889" t="s">
        <v>510</v>
      </c>
      <c r="C32" s="888"/>
      <c r="D32" s="888" t="s">
        <v>4043</v>
      </c>
      <c r="E32" s="888"/>
      <c r="F32" s="888"/>
      <c r="G32" s="888"/>
      <c r="H32" s="888"/>
      <c r="I32" s="888" t="str">
        <f t="array" ref="I32">IFERROR(INDEX($D$13:$D$48, MATCH(0, COUNTIF($I$12:I31, $D$13:$D$48&amp;"") + IF($D$13:$D$48="",1,0), 0)), "")</f>
        <v>MCI-00533</v>
      </c>
      <c r="J32" s="888" t="str">
        <f t="array" ref="J32">IFERROR(IF(INDEX($B$13:$B$48,MATCH(LEFT(I32,255),LEFT($D$13:$D$48,255),0))=0,"",INDEX($B$13:$B$48,MATCH(LEFT(I32,255),LEFT($D$13:$D$48,255),0))),"")</f>
        <v>HIV Testing Services</v>
      </c>
      <c r="K32" s="888" t="s">
        <v>4044</v>
      </c>
    </row>
    <row r="33" spans="2:11" x14ac:dyDescent="0.25">
      <c r="B33" s="889" t="s">
        <v>390</v>
      </c>
      <c r="C33" s="888"/>
      <c r="D33" s="888" t="s">
        <v>4045</v>
      </c>
      <c r="E33" s="888"/>
      <c r="F33" s="888"/>
      <c r="G33" s="888"/>
      <c r="H33" s="888"/>
      <c r="I33" s="888" t="str">
        <f t="array" ref="I33">IFERROR(INDEX($D$13:$D$48, MATCH(0, COUNTIF($I$12:I32, $D$13:$D$48&amp;"") + IF($D$13:$D$48="",1,0), 0)), "")</f>
        <v>MCI-00008</v>
      </c>
      <c r="J33" s="888" t="str">
        <f t="array" ref="J33">IFERROR(IF(INDEX($B$13:$B$48,MATCH(LEFT(I33,255),LEFT($D$13:$D$48,255),0))=0,"",INDEX($B$13:$B$48,MATCH(LEFT(I33,255),LEFT($D$13:$D$48,255),0))),"")</f>
        <v>TB care and prevention</v>
      </c>
      <c r="K33" s="888" t="s">
        <v>4046</v>
      </c>
    </row>
    <row r="34" spans="2:11" x14ac:dyDescent="0.25">
      <c r="B34" s="889" t="s">
        <v>427</v>
      </c>
      <c r="C34" s="888"/>
      <c r="D34" s="888" t="s">
        <v>4015</v>
      </c>
      <c r="E34" s="888"/>
      <c r="F34" s="888"/>
      <c r="G34" s="888"/>
      <c r="H34" s="888"/>
      <c r="I34" s="888" t="str">
        <f t="array" ref="I34">IFERROR(INDEX($D$13:$D$48, MATCH(0, COUNTIF($I$12:I33, $D$13:$D$48&amp;"") + IF($D$13:$D$48="",1,0), 0)), "")</f>
        <v>MCI-00010</v>
      </c>
      <c r="J34" s="888" t="str">
        <f t="array" ref="J34">IFERROR(IF(INDEX($B$13:$B$48,MATCH(LEFT(I34,255),LEFT($D$13:$D$48,255),0))=0,"",INDEX($B$13:$B$48,MATCH(LEFT(I34,255),LEFT($D$13:$D$48,255),0))),"")</f>
        <v>MDR-TB</v>
      </c>
      <c r="K34" s="888" t="s">
        <v>4047</v>
      </c>
    </row>
    <row r="35" spans="2:11" x14ac:dyDescent="0.25">
      <c r="B35" s="889" t="s">
        <v>440</v>
      </c>
      <c r="C35" s="888"/>
      <c r="D35" s="888" t="s">
        <v>4048</v>
      </c>
      <c r="E35" s="888"/>
      <c r="F35" s="888"/>
      <c r="G35" s="888"/>
      <c r="H35" s="888"/>
      <c r="I35" s="888" t="str">
        <f t="array" ref="I35">IFERROR(INDEX($D$13:$D$48, MATCH(0, COUNTIF($I$12:I34, $D$13:$D$48&amp;"") + IF($D$13:$D$48="",1,0), 0)), "")</f>
        <v>MCI-00534</v>
      </c>
      <c r="J35" s="888" t="str">
        <f t="array" ref="J35">IFERROR(IF(INDEX($B$13:$B$48,MATCH(LEFT(I35,255),LEFT($D$13:$D$48,255),0))=0,"",INDEX($B$13:$B$48,MATCH(LEFT(I35,255),LEFT($D$13:$D$48,255),0))),"")</f>
        <v>Comprehensive prevention programs for MSM</v>
      </c>
      <c r="K35" s="888" t="s">
        <v>4049</v>
      </c>
    </row>
    <row r="36" spans="2:11" x14ac:dyDescent="0.25">
      <c r="B36" s="889" t="s">
        <v>2840</v>
      </c>
      <c r="C36" s="888"/>
      <c r="D36" s="888" t="s">
        <v>4017</v>
      </c>
      <c r="E36" s="888"/>
      <c r="F36" s="888"/>
      <c r="G36" s="888"/>
      <c r="H36" s="888"/>
      <c r="I36" s="888" t="str">
        <f t="array" ref="I36">IFERROR(INDEX($D$13:$D$48, MATCH(0, COUNTIF($I$12:I35, $D$13:$D$48&amp;"") + IF($D$13:$D$48="",1,0), 0)), "")</f>
        <v>MCI-00535</v>
      </c>
      <c r="J36" s="888" t="str">
        <f t="array" ref="J36">IFERROR(IF(INDEX($B$13:$B$48,MATCH(LEFT(I36,255),LEFT($D$13:$D$48,255),0))=0,"",INDEX($B$13:$B$48,MATCH(LEFT(I36,255),LEFT($D$13:$D$48,255),0))),"")</f>
        <v>Programs to reduce human rights-related barriers to HIV services</v>
      </c>
      <c r="K36" s="888" t="s">
        <v>4050</v>
      </c>
    </row>
    <row r="37" spans="2:11" x14ac:dyDescent="0.25">
      <c r="B37" s="889" t="s">
        <v>4019</v>
      </c>
      <c r="C37" s="888"/>
      <c r="D37" s="888" t="s">
        <v>4020</v>
      </c>
      <c r="E37" s="888"/>
      <c r="F37" s="888"/>
      <c r="G37" s="888"/>
      <c r="H37" s="888"/>
      <c r="I37" s="888" t="str">
        <f t="array" ref="I37">IFERROR(INDEX($D$13:$D$48, MATCH(0, COUNTIF($I$12:I36, $D$13:$D$48&amp;"") + IF($D$13:$D$48="",1,0), 0)), "")</f>
        <v>MCI-00536</v>
      </c>
      <c r="J37" s="888" t="str">
        <f t="array" ref="J37">IFERROR(IF(INDEX($B$13:$B$48,MATCH(LEFT(I37,255),LEFT($D$13:$D$48,255),0))=0,"",INDEX($B$13:$B$48,MATCH(LEFT(I37,255),LEFT($D$13:$D$48,255),0))),"")</f>
        <v>RSSH: National health strategies</v>
      </c>
      <c r="K37" s="888" t="s">
        <v>4051</v>
      </c>
    </row>
    <row r="38" spans="2:11" x14ac:dyDescent="0.25">
      <c r="B38" s="889" t="s">
        <v>4022</v>
      </c>
      <c r="C38" s="888"/>
      <c r="D38" s="888" t="s">
        <v>4023</v>
      </c>
      <c r="E38" s="888"/>
      <c r="F38" s="888"/>
      <c r="G38" s="888"/>
      <c r="H38" s="888"/>
      <c r="I38" s="888" t="str">
        <f t="array" ref="I38">IFERROR(INDEX($D$13:$D$48, MATCH(0, COUNTIF($I$12:I37, $D$13:$D$48&amp;"") + IF($D$13:$D$48="",1,0), 0)), "")</f>
        <v/>
      </c>
      <c r="J38" s="888" t="str">
        <f t="array" ref="J38">IFERROR(IF(INDEX($B$13:$B$48,MATCH(LEFT(I38,255),LEFT($D$13:$D$48,255),0))=0,"",INDEX($B$13:$B$48,MATCH(LEFT(I38,255),LEFT($D$13:$D$48,255),0))),"")</f>
        <v/>
      </c>
      <c r="K38" s="888" t="s">
        <v>4052</v>
      </c>
    </row>
    <row r="39" spans="2:11" x14ac:dyDescent="0.25">
      <c r="B39" s="889" t="s">
        <v>4025</v>
      </c>
      <c r="C39" s="888"/>
      <c r="D39" s="888" t="s">
        <v>4026</v>
      </c>
      <c r="E39" s="888"/>
      <c r="F39" s="888"/>
      <c r="G39" s="888"/>
      <c r="H39" s="888"/>
      <c r="I39" s="888" t="str">
        <f t="array" ref="I39">IFERROR(INDEX($D$13:$D$48, MATCH(0, COUNTIF($I$12:I38, $D$13:$D$48&amp;"") + IF($D$13:$D$48="",1,0), 0)), "")</f>
        <v/>
      </c>
      <c r="J39" s="888" t="str">
        <f t="array" ref="J39">IFERROR(IF(INDEX($B$13:$B$48,MATCH(LEFT(I39,255),LEFT($D$13:$D$48,255),0))=0,"",INDEX($B$13:$B$48,MATCH(LEFT(I39,255),LEFT($D$13:$D$48,255),0))),"")</f>
        <v/>
      </c>
      <c r="K39" s="888" t="s">
        <v>4053</v>
      </c>
    </row>
    <row r="40" spans="2:11" x14ac:dyDescent="0.25">
      <c r="B40" s="889" t="s">
        <v>2803</v>
      </c>
      <c r="C40" s="888"/>
      <c r="D40" s="888" t="s">
        <v>4033</v>
      </c>
      <c r="E40" s="888"/>
      <c r="F40" s="888"/>
      <c r="G40" s="888"/>
      <c r="H40" s="888"/>
      <c r="I40" s="888" t="str">
        <f t="array" ref="I40">IFERROR(INDEX($D$13:$D$48, MATCH(0, COUNTIF($I$12:I39, $D$13:$D$48&amp;"") + IF($D$13:$D$48="",1,0), 0)), "")</f>
        <v/>
      </c>
      <c r="J40" s="888" t="str">
        <f t="array" ref="J40">IFERROR(IF(INDEX($B$13:$B$48,MATCH(LEFT(I40,255),LEFT($D$13:$D$48,255),0))=0,"",INDEX($B$13:$B$48,MATCH(LEFT(I40,255),LEFT($D$13:$D$48,255),0))),"")</f>
        <v/>
      </c>
      <c r="K40" s="888" t="s">
        <v>4054</v>
      </c>
    </row>
    <row r="41" spans="2:11" x14ac:dyDescent="0.25">
      <c r="B41" s="889" t="s">
        <v>4035</v>
      </c>
      <c r="C41" s="888"/>
      <c r="D41" s="888" t="s">
        <v>4036</v>
      </c>
      <c r="E41" s="888"/>
      <c r="F41" s="888"/>
      <c r="G41" s="888"/>
      <c r="H41" s="888"/>
      <c r="I41" s="888" t="str">
        <f t="array" ref="I41">IFERROR(INDEX($D$13:$D$48, MATCH(0, COUNTIF($I$12:I40, $D$13:$D$48&amp;"") + IF($D$13:$D$48="",1,0), 0)), "")</f>
        <v/>
      </c>
      <c r="J41" s="888" t="str">
        <f t="array" ref="J41">IFERROR(IF(INDEX($B$13:$B$48,MATCH(LEFT(I41,255),LEFT($D$13:$D$48,255),0))=0,"",INDEX($B$13:$B$48,MATCH(LEFT(I41,255),LEFT($D$13:$D$48,255),0))),"")</f>
        <v/>
      </c>
      <c r="K41" s="888" t="s">
        <v>4055</v>
      </c>
    </row>
    <row r="42" spans="2:11" x14ac:dyDescent="0.25">
      <c r="B42" s="889" t="s">
        <v>4028</v>
      </c>
      <c r="C42" s="888"/>
      <c r="D42" s="888" t="s">
        <v>4029</v>
      </c>
      <c r="E42" s="888"/>
      <c r="F42" s="888"/>
      <c r="G42" s="888"/>
      <c r="H42" s="888"/>
      <c r="I42" s="888" t="str">
        <f t="array" ref="I42">IFERROR(INDEX($D$13:$D$48, MATCH(0, COUNTIF($I$12:I41, $D$13:$D$48&amp;"") + IF($D$13:$D$48="",1,0), 0)), "")</f>
        <v/>
      </c>
      <c r="J42" s="888" t="str">
        <f t="array" ref="J42">IFERROR(IF(INDEX($B$13:$B$48,MATCH(LEFT(I42,255),LEFT($D$13:$D$48,255),0))=0,"",INDEX($B$13:$B$48,MATCH(LEFT(I42,255),LEFT($D$13:$D$48,255),0))),"")</f>
        <v/>
      </c>
      <c r="K42" s="888" t="s">
        <v>4056</v>
      </c>
    </row>
    <row r="43" spans="2:11" x14ac:dyDescent="0.25">
      <c r="B43" s="889" t="s">
        <v>453</v>
      </c>
      <c r="C43" s="888"/>
      <c r="D43" s="888" t="s">
        <v>4031</v>
      </c>
      <c r="E43" s="888"/>
      <c r="F43" s="888"/>
      <c r="G43" s="888"/>
      <c r="H43" s="888"/>
      <c r="I43" s="888" t="str">
        <f t="array" ref="I43">IFERROR(INDEX($D$13:$D$48, MATCH(0, COUNTIF($I$12:I42, $D$13:$D$48&amp;"") + IF($D$13:$D$48="",1,0), 0)), "")</f>
        <v/>
      </c>
      <c r="J43" s="888" t="str">
        <f t="array" ref="J43">IFERROR(IF(INDEX($B$13:$B$48,MATCH(LEFT(I43,255),LEFT($D$13:$D$48,255),0))=0,"",INDEX($B$13:$B$48,MATCH(LEFT(I43,255),LEFT($D$13:$D$48,255),0))),"")</f>
        <v/>
      </c>
      <c r="K43" s="888" t="s">
        <v>4057</v>
      </c>
    </row>
    <row r="44" spans="2:11" x14ac:dyDescent="0.25">
      <c r="B44" s="889" t="s">
        <v>519</v>
      </c>
      <c r="C44" s="888"/>
      <c r="D44" s="888" t="s">
        <v>4058</v>
      </c>
      <c r="E44" s="888"/>
      <c r="F44" s="888"/>
      <c r="G44" s="888"/>
      <c r="H44" s="888"/>
      <c r="I44" s="888" t="str">
        <f t="array" ref="I44">IFERROR(INDEX($D$13:$D$48, MATCH(0, COUNTIF($I$12:I43, $D$13:$D$48&amp;"") + IF($D$13:$D$48="",1,0), 0)), "")</f>
        <v/>
      </c>
      <c r="J44" s="888" t="str">
        <f t="array" ref="J44">IFERROR(IF(INDEX($B$13:$B$48,MATCH(LEFT(I44,255),LEFT($D$13:$D$48,255),0))=0,"",INDEX($B$13:$B$48,MATCH(LEFT(I44,255),LEFT($D$13:$D$48,255),0))),"")</f>
        <v/>
      </c>
      <c r="K44" s="888" t="s">
        <v>4059</v>
      </c>
    </row>
    <row r="45" spans="2:11" x14ac:dyDescent="0.25">
      <c r="B45" s="889" t="s">
        <v>4060</v>
      </c>
      <c r="C45" s="888"/>
      <c r="D45" s="888" t="s">
        <v>4061</v>
      </c>
      <c r="E45" s="888"/>
      <c r="F45" s="888"/>
      <c r="G45" s="888"/>
      <c r="H45" s="888"/>
      <c r="I45" s="888" t="str">
        <f t="array" ref="I45">IFERROR(INDEX($D$13:$D$48, MATCH(0, COUNTIF($I$12:I44, $D$13:$D$48&amp;"") + IF($D$13:$D$48="",1,0), 0)), "")</f>
        <v/>
      </c>
      <c r="J45" s="888" t="str">
        <f t="array" ref="J45">IFERROR(IF(INDEX($B$13:$B$48,MATCH(LEFT(I45,255),LEFT($D$13:$D$48,255),0))=0,"",INDEX($B$13:$B$48,MATCH(LEFT(I45,255),LEFT($D$13:$D$48,255),0))),"")</f>
        <v/>
      </c>
      <c r="K45" s="888" t="s">
        <v>4062</v>
      </c>
    </row>
    <row r="46" spans="2:11" x14ac:dyDescent="0.25">
      <c r="B46" s="889" t="s">
        <v>4063</v>
      </c>
      <c r="C46" s="888"/>
      <c r="D46" s="888" t="s">
        <v>4064</v>
      </c>
      <c r="E46" s="888"/>
      <c r="F46" s="888"/>
      <c r="G46" s="888"/>
      <c r="H46" s="888"/>
      <c r="I46" s="888" t="str">
        <f t="array" ref="I46">IFERROR(INDEX($D$13:$D$48, MATCH(0, COUNTIF($I$12:I45, $D$13:$D$48&amp;"") + IF($D$13:$D$48="",1,0), 0)), "")</f>
        <v/>
      </c>
      <c r="J46" s="888" t="str">
        <f t="array" ref="J46">IFERROR(IF(INDEX($B$13:$B$48,MATCH(LEFT(I46,255),LEFT($D$13:$D$48,255),0))=0,"",INDEX($B$13:$B$48,MATCH(LEFT(I46,255),LEFT($D$13:$D$48,255),0))),"")</f>
        <v/>
      </c>
      <c r="K46" s="888" t="s">
        <v>4065</v>
      </c>
    </row>
    <row r="47" spans="2:11" x14ac:dyDescent="0.25">
      <c r="B47" s="889" t="s">
        <v>4063</v>
      </c>
      <c r="C47" s="888"/>
      <c r="D47" s="888" t="s">
        <v>4064</v>
      </c>
      <c r="E47" s="888"/>
      <c r="F47" s="888"/>
      <c r="G47" s="888"/>
      <c r="H47" s="888"/>
      <c r="I47" s="888" t="str">
        <f t="array" ref="I47">IFERROR(INDEX($D$13:$D$48, MATCH(0, COUNTIF($I$12:I46, $D$13:$D$48&amp;"") + IF($D$13:$D$48="",1,0), 0)), "")</f>
        <v/>
      </c>
      <c r="J47" s="888" t="str">
        <f t="array" ref="J47">IFERROR(IF(INDEX($B$13:$B$48,MATCH(LEFT(I47,255),LEFT($D$13:$D$48,255),0))=0,"",INDEX($B$13:$B$48,MATCH(LEFT(I47,255),LEFT($D$13:$D$48,255),0))),"")</f>
        <v/>
      </c>
      <c r="K47" s="888" t="s">
        <v>4066</v>
      </c>
    </row>
    <row r="52" spans="2:12" x14ac:dyDescent="0.25">
      <c r="B52" s="435" t="s">
        <v>4067</v>
      </c>
    </row>
    <row r="53" spans="2:12" x14ac:dyDescent="0.25">
      <c r="B53" s="637" t="s">
        <v>353</v>
      </c>
      <c r="C53" s="637" t="s">
        <v>3991</v>
      </c>
      <c r="D53" s="637" t="s">
        <v>4068</v>
      </c>
      <c r="E53" s="890" t="s">
        <v>4069</v>
      </c>
      <c r="F53" s="637" t="s">
        <v>3993</v>
      </c>
      <c r="G53" s="637" t="s">
        <v>3996</v>
      </c>
      <c r="H53" s="637" t="s">
        <v>4070</v>
      </c>
      <c r="I53" s="637" t="s">
        <v>3995</v>
      </c>
      <c r="J53" s="637" t="s">
        <v>3994</v>
      </c>
      <c r="K53" s="637" t="s">
        <v>122</v>
      </c>
      <c r="L53" t="s">
        <v>4071</v>
      </c>
    </row>
    <row r="54" spans="2:12" hidden="1" x14ac:dyDescent="0.25">
      <c r="B54" s="637" t="s">
        <v>4072</v>
      </c>
      <c r="C54" s="637"/>
      <c r="D54" s="769" t="s">
        <v>4073</v>
      </c>
      <c r="E54" s="769" t="s">
        <v>3999</v>
      </c>
      <c r="F54" s="637"/>
      <c r="G54" s="637"/>
      <c r="H54" s="637"/>
      <c r="I54" s="637"/>
      <c r="J54" s="637"/>
      <c r="K54" s="637" t="s">
        <v>371</v>
      </c>
    </row>
    <row r="55" spans="2:12" x14ac:dyDescent="0.25">
      <c r="B55" s="637" t="s">
        <v>4007</v>
      </c>
      <c r="C55" s="637"/>
      <c r="D55" s="769" t="s">
        <v>4074</v>
      </c>
      <c r="E55" s="769" t="s">
        <v>2833</v>
      </c>
      <c r="F55" s="637"/>
      <c r="G55" s="637"/>
      <c r="H55" s="637"/>
      <c r="I55" s="637"/>
      <c r="J55" s="637"/>
      <c r="K55" s="637" t="s">
        <v>4075</v>
      </c>
    </row>
    <row r="56" spans="2:12" x14ac:dyDescent="0.25">
      <c r="B56" s="637" t="s">
        <v>4007</v>
      </c>
      <c r="C56" s="637"/>
      <c r="D56" s="769" t="s">
        <v>4076</v>
      </c>
      <c r="E56" s="769" t="s">
        <v>4077</v>
      </c>
      <c r="F56" s="637"/>
      <c r="G56" s="637"/>
      <c r="H56" s="637"/>
      <c r="I56" s="637"/>
      <c r="J56" s="637"/>
      <c r="K56" s="637" t="s">
        <v>4078</v>
      </c>
    </row>
    <row r="57" spans="2:12" x14ac:dyDescent="0.25">
      <c r="B57" s="637" t="s">
        <v>4007</v>
      </c>
      <c r="C57" s="637"/>
      <c r="D57" s="769" t="s">
        <v>4079</v>
      </c>
      <c r="E57" s="769" t="s">
        <v>2861</v>
      </c>
      <c r="F57" s="637"/>
      <c r="G57" s="637"/>
      <c r="H57" s="637"/>
      <c r="I57" s="637"/>
      <c r="J57" s="637"/>
      <c r="K57" s="637" t="s">
        <v>4080</v>
      </c>
    </row>
    <row r="58" spans="2:12" x14ac:dyDescent="0.25">
      <c r="B58" s="637" t="s">
        <v>4007</v>
      </c>
      <c r="C58" s="637"/>
      <c r="D58" s="769" t="s">
        <v>4081</v>
      </c>
      <c r="E58" s="769" t="s">
        <v>2815</v>
      </c>
      <c r="F58" s="637"/>
      <c r="G58" s="637"/>
      <c r="H58" s="637"/>
      <c r="I58" s="637"/>
      <c r="J58" s="637"/>
      <c r="K58" s="637" t="s">
        <v>4082</v>
      </c>
    </row>
    <row r="59" spans="2:12" x14ac:dyDescent="0.25">
      <c r="B59" s="637" t="s">
        <v>4007</v>
      </c>
      <c r="C59" s="637"/>
      <c r="D59" s="769" t="s">
        <v>4083</v>
      </c>
      <c r="E59" s="769" t="s">
        <v>4084</v>
      </c>
      <c r="F59" s="637"/>
      <c r="G59" s="637"/>
      <c r="H59" s="637"/>
      <c r="I59" s="637"/>
      <c r="J59" s="637"/>
      <c r="K59" s="637" t="s">
        <v>4085</v>
      </c>
    </row>
    <row r="60" spans="2:12" x14ac:dyDescent="0.25">
      <c r="B60" s="637" t="s">
        <v>4007</v>
      </c>
      <c r="C60" s="637"/>
      <c r="D60" s="769" t="s">
        <v>4086</v>
      </c>
      <c r="E60" s="769" t="s">
        <v>4087</v>
      </c>
      <c r="F60" s="637"/>
      <c r="G60" s="637"/>
      <c r="H60" s="637"/>
      <c r="I60" s="637"/>
      <c r="J60" s="637"/>
      <c r="K60" s="637" t="s">
        <v>4088</v>
      </c>
    </row>
    <row r="61" spans="2:12" x14ac:dyDescent="0.25">
      <c r="B61" s="637" t="s">
        <v>4007</v>
      </c>
      <c r="C61" s="637"/>
      <c r="D61" s="769" t="s">
        <v>4089</v>
      </c>
      <c r="E61" s="769" t="s">
        <v>4090</v>
      </c>
      <c r="F61" s="637"/>
      <c r="G61" s="637"/>
      <c r="H61" s="637"/>
      <c r="I61" s="637"/>
      <c r="J61" s="637"/>
      <c r="K61" s="637" t="s">
        <v>4091</v>
      </c>
    </row>
    <row r="62" spans="2:12" x14ac:dyDescent="0.25">
      <c r="B62" s="637" t="s">
        <v>4007</v>
      </c>
      <c r="C62" s="637"/>
      <c r="D62" s="769" t="s">
        <v>4092</v>
      </c>
      <c r="E62" s="769" t="s">
        <v>4093</v>
      </c>
      <c r="F62" s="637"/>
      <c r="G62" s="637"/>
      <c r="H62" s="637"/>
      <c r="I62" s="637"/>
      <c r="J62" s="637"/>
      <c r="K62" s="637" t="s">
        <v>4094</v>
      </c>
    </row>
    <row r="63" spans="2:12" x14ac:dyDescent="0.25">
      <c r="B63" s="637" t="s">
        <v>4001</v>
      </c>
      <c r="C63" s="637"/>
      <c r="D63" s="769" t="s">
        <v>4095</v>
      </c>
      <c r="E63" s="769" t="s">
        <v>2825</v>
      </c>
      <c r="F63" s="637"/>
      <c r="G63" s="637"/>
      <c r="H63" s="637"/>
      <c r="I63" s="637"/>
      <c r="J63" s="637"/>
      <c r="K63" s="637" t="s">
        <v>4096</v>
      </c>
    </row>
    <row r="64" spans="2:12" x14ac:dyDescent="0.25">
      <c r="B64" s="637" t="s">
        <v>4001</v>
      </c>
      <c r="C64" s="637"/>
      <c r="D64" s="769" t="s">
        <v>4097</v>
      </c>
      <c r="E64" s="769" t="s">
        <v>2827</v>
      </c>
      <c r="F64" s="637"/>
      <c r="G64" s="637"/>
      <c r="H64" s="637"/>
      <c r="I64" s="637"/>
      <c r="J64" s="637"/>
      <c r="K64" s="637" t="s">
        <v>4098</v>
      </c>
    </row>
    <row r="65" spans="2:11" x14ac:dyDescent="0.25">
      <c r="B65" s="637" t="s">
        <v>4001</v>
      </c>
      <c r="C65" s="637"/>
      <c r="D65" s="769" t="s">
        <v>4099</v>
      </c>
      <c r="E65" s="769" t="s">
        <v>2859</v>
      </c>
      <c r="F65" s="637"/>
      <c r="G65" s="637"/>
      <c r="H65" s="637"/>
      <c r="I65" s="637"/>
      <c r="J65" s="637"/>
      <c r="K65" s="637" t="s">
        <v>4100</v>
      </c>
    </row>
    <row r="66" spans="2:11" x14ac:dyDescent="0.25">
      <c r="B66" s="637" t="s">
        <v>4001</v>
      </c>
      <c r="C66" s="637"/>
      <c r="D66" s="769" t="s">
        <v>4101</v>
      </c>
      <c r="E66" s="769" t="s">
        <v>4102</v>
      </c>
      <c r="F66" s="637"/>
      <c r="G66" s="637"/>
      <c r="H66" s="637"/>
      <c r="I66" s="637"/>
      <c r="J66" s="637"/>
      <c r="K66" s="637" t="s">
        <v>4103</v>
      </c>
    </row>
    <row r="67" spans="2:11" x14ac:dyDescent="0.25">
      <c r="B67" s="637" t="s">
        <v>4001</v>
      </c>
      <c r="C67" s="637"/>
      <c r="D67" s="769" t="s">
        <v>4104</v>
      </c>
      <c r="E67" s="769" t="s">
        <v>4105</v>
      </c>
      <c r="F67" s="637"/>
      <c r="G67" s="637"/>
      <c r="H67" s="637"/>
      <c r="I67" s="637"/>
      <c r="J67" s="637"/>
      <c r="K67" s="637" t="s">
        <v>4106</v>
      </c>
    </row>
    <row r="68" spans="2:11" x14ac:dyDescent="0.25">
      <c r="B68" s="637" t="s">
        <v>4001</v>
      </c>
      <c r="C68" s="637"/>
      <c r="D68" s="769" t="s">
        <v>4107</v>
      </c>
      <c r="E68" s="769" t="s">
        <v>2829</v>
      </c>
      <c r="F68" s="637"/>
      <c r="G68" s="637"/>
      <c r="H68" s="637"/>
      <c r="I68" s="637"/>
      <c r="J68" s="637"/>
      <c r="K68" s="637" t="s">
        <v>4108</v>
      </c>
    </row>
    <row r="69" spans="2:11" x14ac:dyDescent="0.25">
      <c r="B69" s="637" t="s">
        <v>4001</v>
      </c>
      <c r="C69" s="637"/>
      <c r="D69" s="769" t="s">
        <v>4109</v>
      </c>
      <c r="E69" s="769" t="s">
        <v>4110</v>
      </c>
      <c r="F69" s="637"/>
      <c r="G69" s="637"/>
      <c r="H69" s="637"/>
      <c r="I69" s="637"/>
      <c r="J69" s="637"/>
      <c r="K69" s="637" t="s">
        <v>4111</v>
      </c>
    </row>
    <row r="70" spans="2:11" x14ac:dyDescent="0.25">
      <c r="B70" s="637" t="s">
        <v>4001</v>
      </c>
      <c r="C70" s="637"/>
      <c r="D70" s="769" t="s">
        <v>4112</v>
      </c>
      <c r="E70" s="769" t="s">
        <v>4113</v>
      </c>
      <c r="F70" s="637"/>
      <c r="G70" s="637"/>
      <c r="H70" s="637"/>
      <c r="I70" s="637"/>
      <c r="J70" s="637"/>
      <c r="K70" s="637" t="s">
        <v>4114</v>
      </c>
    </row>
    <row r="71" spans="2:11" x14ac:dyDescent="0.25">
      <c r="B71" s="637" t="s">
        <v>4001</v>
      </c>
      <c r="C71" s="637"/>
      <c r="D71" s="769" t="s">
        <v>4115</v>
      </c>
      <c r="E71" s="769" t="s">
        <v>4116</v>
      </c>
      <c r="F71" s="637"/>
      <c r="G71" s="637"/>
      <c r="H71" s="637"/>
      <c r="I71" s="637"/>
      <c r="J71" s="637"/>
      <c r="K71" s="637" t="s">
        <v>4117</v>
      </c>
    </row>
    <row r="72" spans="2:11" x14ac:dyDescent="0.25">
      <c r="B72" s="637" t="s">
        <v>4001</v>
      </c>
      <c r="C72" s="637"/>
      <c r="D72" s="769" t="s">
        <v>4118</v>
      </c>
      <c r="E72" s="769" t="s">
        <v>4119</v>
      </c>
      <c r="F72" s="637"/>
      <c r="G72" s="637"/>
      <c r="H72" s="637"/>
      <c r="I72" s="637"/>
      <c r="J72" s="637"/>
      <c r="K72" s="637" t="s">
        <v>4120</v>
      </c>
    </row>
    <row r="73" spans="2:11" x14ac:dyDescent="0.25">
      <c r="B73" s="637" t="s">
        <v>4001</v>
      </c>
      <c r="C73" s="637"/>
      <c r="D73" s="769" t="s">
        <v>4121</v>
      </c>
      <c r="E73" s="769" t="s">
        <v>4122</v>
      </c>
      <c r="F73" s="637"/>
      <c r="G73" s="637"/>
      <c r="H73" s="637"/>
      <c r="I73" s="637"/>
      <c r="J73" s="637"/>
      <c r="K73" s="637" t="s">
        <v>4123</v>
      </c>
    </row>
    <row r="74" spans="2:11" x14ac:dyDescent="0.25">
      <c r="B74" s="637" t="s">
        <v>4003</v>
      </c>
      <c r="C74" s="637"/>
      <c r="D74" s="769" t="s">
        <v>4124</v>
      </c>
      <c r="E74" s="769" t="s">
        <v>782</v>
      </c>
      <c r="F74" s="637"/>
      <c r="G74" s="637"/>
      <c r="H74" s="637"/>
      <c r="I74" s="637"/>
      <c r="J74" s="637"/>
      <c r="K74" s="637" t="s">
        <v>4125</v>
      </c>
    </row>
    <row r="75" spans="2:11" x14ac:dyDescent="0.25">
      <c r="B75" s="637" t="s">
        <v>4003</v>
      </c>
      <c r="C75" s="637"/>
      <c r="D75" s="769" t="s">
        <v>4126</v>
      </c>
      <c r="E75" s="769" t="s">
        <v>2868</v>
      </c>
      <c r="F75" s="637"/>
      <c r="G75" s="637"/>
      <c r="H75" s="637"/>
      <c r="I75" s="637"/>
      <c r="J75" s="637"/>
      <c r="K75" s="637" t="s">
        <v>4127</v>
      </c>
    </row>
    <row r="76" spans="2:11" x14ac:dyDescent="0.25">
      <c r="B76" s="637" t="s">
        <v>4003</v>
      </c>
      <c r="C76" s="637"/>
      <c r="D76" s="769" t="s">
        <v>4128</v>
      </c>
      <c r="E76" s="769" t="s">
        <v>4129</v>
      </c>
      <c r="F76" s="637"/>
      <c r="G76" s="637"/>
      <c r="H76" s="637"/>
      <c r="I76" s="637"/>
      <c r="J76" s="637"/>
      <c r="K76" s="637" t="s">
        <v>4130</v>
      </c>
    </row>
    <row r="77" spans="2:11" x14ac:dyDescent="0.25">
      <c r="B77" s="637" t="s">
        <v>4003</v>
      </c>
      <c r="C77" s="637"/>
      <c r="D77" s="769" t="s">
        <v>4131</v>
      </c>
      <c r="E77" s="769" t="s">
        <v>4132</v>
      </c>
      <c r="F77" s="637"/>
      <c r="G77" s="637"/>
      <c r="H77" s="637"/>
      <c r="I77" s="637"/>
      <c r="J77" s="637"/>
      <c r="K77" s="637" t="s">
        <v>4133</v>
      </c>
    </row>
    <row r="78" spans="2:11" x14ac:dyDescent="0.25">
      <c r="B78" s="637" t="s">
        <v>4003</v>
      </c>
      <c r="C78" s="637"/>
      <c r="D78" s="769" t="s">
        <v>4134</v>
      </c>
      <c r="E78" s="769" t="s">
        <v>4135</v>
      </c>
      <c r="F78" s="637"/>
      <c r="G78" s="637"/>
      <c r="H78" s="637"/>
      <c r="I78" s="637"/>
      <c r="J78" s="637"/>
      <c r="K78" s="637" t="s">
        <v>4136</v>
      </c>
    </row>
    <row r="79" spans="2:11" x14ac:dyDescent="0.25">
      <c r="B79" s="637" t="s">
        <v>4003</v>
      </c>
      <c r="C79" s="637"/>
      <c r="D79" s="769" t="s">
        <v>4137</v>
      </c>
      <c r="E79" s="769" t="s">
        <v>4138</v>
      </c>
      <c r="F79" s="637"/>
      <c r="G79" s="637"/>
      <c r="H79" s="637"/>
      <c r="I79" s="637"/>
      <c r="J79" s="637"/>
      <c r="K79" s="637" t="s">
        <v>4139</v>
      </c>
    </row>
    <row r="80" spans="2:11" x14ac:dyDescent="0.25">
      <c r="B80" s="637" t="s">
        <v>4003</v>
      </c>
      <c r="C80" s="637"/>
      <c r="D80" s="769" t="s">
        <v>4140</v>
      </c>
      <c r="E80" s="769" t="s">
        <v>4141</v>
      </c>
      <c r="F80" s="637"/>
      <c r="G80" s="637"/>
      <c r="H80" s="637"/>
      <c r="I80" s="637"/>
      <c r="J80" s="637"/>
      <c r="K80" s="637" t="s">
        <v>4142</v>
      </c>
    </row>
    <row r="81" spans="2:11" x14ac:dyDescent="0.25">
      <c r="B81" s="637" t="s">
        <v>4003</v>
      </c>
      <c r="C81" s="637"/>
      <c r="D81" s="769" t="s">
        <v>4143</v>
      </c>
      <c r="E81" s="769" t="s">
        <v>2831</v>
      </c>
      <c r="F81" s="637"/>
      <c r="G81" s="637"/>
      <c r="H81" s="637"/>
      <c r="I81" s="637"/>
      <c r="J81" s="637"/>
      <c r="K81" s="637" t="s">
        <v>4144</v>
      </c>
    </row>
    <row r="82" spans="2:11" x14ac:dyDescent="0.25">
      <c r="B82" s="637" t="s">
        <v>4003</v>
      </c>
      <c r="C82" s="637"/>
      <c r="D82" s="769" t="s">
        <v>4145</v>
      </c>
      <c r="E82" s="769" t="s">
        <v>4146</v>
      </c>
      <c r="F82" s="637"/>
      <c r="G82" s="637"/>
      <c r="H82" s="637"/>
      <c r="I82" s="637"/>
      <c r="J82" s="637"/>
      <c r="K82" s="637" t="s">
        <v>4147</v>
      </c>
    </row>
    <row r="83" spans="2:11" x14ac:dyDescent="0.25">
      <c r="B83" s="637" t="s">
        <v>4003</v>
      </c>
      <c r="C83" s="637"/>
      <c r="D83" s="769" t="s">
        <v>4148</v>
      </c>
      <c r="E83" s="769" t="s">
        <v>4149</v>
      </c>
      <c r="F83" s="637"/>
      <c r="G83" s="637"/>
      <c r="H83" s="637"/>
      <c r="I83" s="637"/>
      <c r="J83" s="637"/>
      <c r="K83" s="637" t="s">
        <v>4150</v>
      </c>
    </row>
    <row r="84" spans="2:11" x14ac:dyDescent="0.25">
      <c r="B84" s="637" t="s">
        <v>4003</v>
      </c>
      <c r="C84" s="637"/>
      <c r="D84" s="769" t="s">
        <v>4151</v>
      </c>
      <c r="E84" s="769" t="s">
        <v>4152</v>
      </c>
      <c r="F84" s="637"/>
      <c r="G84" s="637"/>
      <c r="H84" s="637"/>
      <c r="I84" s="637"/>
      <c r="J84" s="637"/>
      <c r="K84" s="637" t="s">
        <v>4153</v>
      </c>
    </row>
    <row r="85" spans="2:11" x14ac:dyDescent="0.25">
      <c r="B85" s="637" t="s">
        <v>4003</v>
      </c>
      <c r="C85" s="637"/>
      <c r="D85" s="769" t="s">
        <v>4154</v>
      </c>
      <c r="E85" s="769" t="s">
        <v>4155</v>
      </c>
      <c r="F85" s="637"/>
      <c r="G85" s="637"/>
      <c r="H85" s="637"/>
      <c r="I85" s="637"/>
      <c r="J85" s="637"/>
      <c r="K85" s="637" t="s">
        <v>4156</v>
      </c>
    </row>
    <row r="86" spans="2:11" x14ac:dyDescent="0.25">
      <c r="B86" s="637" t="s">
        <v>4005</v>
      </c>
      <c r="C86" s="637"/>
      <c r="D86" s="769" t="s">
        <v>4157</v>
      </c>
      <c r="E86" s="769" t="s">
        <v>4158</v>
      </c>
      <c r="F86" s="637"/>
      <c r="G86" s="637"/>
      <c r="H86" s="637"/>
      <c r="I86" s="637"/>
      <c r="J86" s="637"/>
      <c r="K86" s="637" t="s">
        <v>4159</v>
      </c>
    </row>
    <row r="87" spans="2:11" x14ac:dyDescent="0.25">
      <c r="B87" s="637" t="s">
        <v>4005</v>
      </c>
      <c r="C87" s="637"/>
      <c r="D87" s="769" t="s">
        <v>4160</v>
      </c>
      <c r="E87" s="769" t="s">
        <v>2873</v>
      </c>
      <c r="F87" s="637"/>
      <c r="G87" s="637"/>
      <c r="H87" s="637"/>
      <c r="I87" s="637"/>
      <c r="J87" s="637"/>
      <c r="K87" s="637" t="s">
        <v>4161</v>
      </c>
    </row>
    <row r="88" spans="2:11" x14ac:dyDescent="0.25">
      <c r="B88" s="637" t="s">
        <v>4005</v>
      </c>
      <c r="C88" s="637"/>
      <c r="D88" s="769" t="s">
        <v>4162</v>
      </c>
      <c r="E88" s="769" t="s">
        <v>2836</v>
      </c>
      <c r="F88" s="637"/>
      <c r="G88" s="637"/>
      <c r="H88" s="637"/>
      <c r="I88" s="637"/>
      <c r="J88" s="637"/>
      <c r="K88" s="637" t="s">
        <v>4163</v>
      </c>
    </row>
    <row r="89" spans="2:11" x14ac:dyDescent="0.25">
      <c r="B89" s="637" t="s">
        <v>4005</v>
      </c>
      <c r="C89" s="637"/>
      <c r="D89" s="769" t="s">
        <v>4164</v>
      </c>
      <c r="E89" s="769" t="s">
        <v>4165</v>
      </c>
      <c r="F89" s="637"/>
      <c r="G89" s="637"/>
      <c r="H89" s="637"/>
      <c r="I89" s="637"/>
      <c r="J89" s="637"/>
      <c r="K89" s="637" t="s">
        <v>4166</v>
      </c>
    </row>
    <row r="90" spans="2:11" x14ac:dyDescent="0.25">
      <c r="B90" s="637" t="s">
        <v>4005</v>
      </c>
      <c r="C90" s="637"/>
      <c r="D90" s="769" t="s">
        <v>4167</v>
      </c>
      <c r="E90" s="769" t="s">
        <v>4168</v>
      </c>
      <c r="F90" s="637"/>
      <c r="G90" s="637"/>
      <c r="H90" s="637"/>
      <c r="I90" s="637"/>
      <c r="J90" s="637"/>
      <c r="K90" s="637" t="s">
        <v>4169</v>
      </c>
    </row>
    <row r="91" spans="2:11" x14ac:dyDescent="0.25">
      <c r="B91" s="637" t="s">
        <v>4009</v>
      </c>
      <c r="C91" s="637"/>
      <c r="D91" s="769" t="s">
        <v>4170</v>
      </c>
      <c r="E91" s="769" t="s">
        <v>4171</v>
      </c>
      <c r="F91" s="637"/>
      <c r="G91" s="637"/>
      <c r="H91" s="637"/>
      <c r="I91" s="637"/>
      <c r="J91" s="637"/>
      <c r="K91" s="637" t="s">
        <v>4172</v>
      </c>
    </row>
    <row r="92" spans="2:11" x14ac:dyDescent="0.25">
      <c r="B92" s="637" t="s">
        <v>4009</v>
      </c>
      <c r="C92" s="637"/>
      <c r="D92" s="769" t="s">
        <v>4173</v>
      </c>
      <c r="E92" s="769" t="s">
        <v>2871</v>
      </c>
      <c r="F92" s="637"/>
      <c r="G92" s="637"/>
      <c r="H92" s="637"/>
      <c r="I92" s="637"/>
      <c r="J92" s="637"/>
      <c r="K92" s="637" t="s">
        <v>4174</v>
      </c>
    </row>
    <row r="93" spans="2:11" x14ac:dyDescent="0.25">
      <c r="B93" s="637" t="s">
        <v>4009</v>
      </c>
      <c r="C93" s="637"/>
      <c r="D93" s="769" t="s">
        <v>4175</v>
      </c>
      <c r="E93" s="769" t="s">
        <v>4176</v>
      </c>
      <c r="F93" s="637"/>
      <c r="G93" s="637"/>
      <c r="H93" s="637"/>
      <c r="I93" s="637"/>
      <c r="J93" s="637"/>
      <c r="K93" s="637" t="s">
        <v>4177</v>
      </c>
    </row>
    <row r="94" spans="2:11" x14ac:dyDescent="0.25">
      <c r="B94" s="637" t="s">
        <v>4009</v>
      </c>
      <c r="C94" s="637"/>
      <c r="D94" s="769" t="s">
        <v>4178</v>
      </c>
      <c r="E94" s="769" t="s">
        <v>4179</v>
      </c>
      <c r="F94" s="637"/>
      <c r="G94" s="637"/>
      <c r="H94" s="637"/>
      <c r="I94" s="637"/>
      <c r="J94" s="637"/>
      <c r="K94" s="637" t="s">
        <v>4180</v>
      </c>
    </row>
    <row r="95" spans="2:11" x14ac:dyDescent="0.25">
      <c r="B95" s="637" t="s">
        <v>4009</v>
      </c>
      <c r="C95" s="637"/>
      <c r="D95" s="769" t="s">
        <v>4181</v>
      </c>
      <c r="E95" s="769" t="s">
        <v>4182</v>
      </c>
      <c r="F95" s="637"/>
      <c r="G95" s="637"/>
      <c r="H95" s="637"/>
      <c r="I95" s="637"/>
      <c r="J95" s="637"/>
      <c r="K95" s="637" t="s">
        <v>4183</v>
      </c>
    </row>
    <row r="96" spans="2:11" x14ac:dyDescent="0.25">
      <c r="B96" s="637" t="s">
        <v>4009</v>
      </c>
      <c r="C96" s="637"/>
      <c r="D96" s="769" t="s">
        <v>4184</v>
      </c>
      <c r="E96" s="769" t="s">
        <v>4185</v>
      </c>
      <c r="F96" s="637"/>
      <c r="G96" s="637"/>
      <c r="H96" s="637"/>
      <c r="I96" s="637"/>
      <c r="J96" s="637"/>
      <c r="K96" s="637" t="s">
        <v>4186</v>
      </c>
    </row>
    <row r="97" spans="2:11" x14ac:dyDescent="0.25">
      <c r="B97" s="637" t="s">
        <v>4009</v>
      </c>
      <c r="C97" s="637"/>
      <c r="D97" s="769" t="s">
        <v>4187</v>
      </c>
      <c r="E97" s="769" t="s">
        <v>4188</v>
      </c>
      <c r="F97" s="637"/>
      <c r="G97" s="637"/>
      <c r="H97" s="637"/>
      <c r="I97" s="637"/>
      <c r="J97" s="637"/>
      <c r="K97" s="637" t="s">
        <v>4189</v>
      </c>
    </row>
    <row r="98" spans="2:11" x14ac:dyDescent="0.25">
      <c r="B98" s="637" t="s">
        <v>4009</v>
      </c>
      <c r="C98" s="637"/>
      <c r="D98" s="769" t="s">
        <v>4190</v>
      </c>
      <c r="E98" s="769" t="s">
        <v>4191</v>
      </c>
      <c r="F98" s="637"/>
      <c r="G98" s="637"/>
      <c r="H98" s="637"/>
      <c r="I98" s="637"/>
      <c r="J98" s="637"/>
      <c r="K98" s="637" t="s">
        <v>4192</v>
      </c>
    </row>
    <row r="99" spans="2:11" x14ac:dyDescent="0.25">
      <c r="B99" s="637" t="s">
        <v>4009</v>
      </c>
      <c r="C99" s="637"/>
      <c r="D99" s="769" t="s">
        <v>4193</v>
      </c>
      <c r="E99" s="769" t="s">
        <v>4194</v>
      </c>
      <c r="F99" s="637"/>
      <c r="G99" s="637"/>
      <c r="H99" s="637"/>
      <c r="I99" s="637"/>
      <c r="J99" s="637"/>
      <c r="K99" s="637" t="s">
        <v>4195</v>
      </c>
    </row>
    <row r="100" spans="2:11" x14ac:dyDescent="0.25">
      <c r="B100" s="637" t="s">
        <v>4009</v>
      </c>
      <c r="C100" s="637"/>
      <c r="D100" s="769" t="s">
        <v>4196</v>
      </c>
      <c r="E100" s="769" t="s">
        <v>4197</v>
      </c>
      <c r="F100" s="637"/>
      <c r="G100" s="637"/>
      <c r="H100" s="637"/>
      <c r="I100" s="637"/>
      <c r="J100" s="637"/>
      <c r="K100" s="637" t="s">
        <v>4198</v>
      </c>
    </row>
    <row r="101" spans="2:11" x14ac:dyDescent="0.25">
      <c r="B101" s="637" t="s">
        <v>4009</v>
      </c>
      <c r="C101" s="637"/>
      <c r="D101" s="769" t="s">
        <v>4199</v>
      </c>
      <c r="E101" s="769" t="s">
        <v>4200</v>
      </c>
      <c r="F101" s="637"/>
      <c r="G101" s="637"/>
      <c r="H101" s="637"/>
      <c r="I101" s="637"/>
      <c r="J101" s="637"/>
      <c r="K101" s="637" t="s">
        <v>4201</v>
      </c>
    </row>
    <row r="102" spans="2:11" x14ac:dyDescent="0.25">
      <c r="B102" s="637" t="s">
        <v>4011</v>
      </c>
      <c r="C102" s="637"/>
      <c r="D102" s="769" t="s">
        <v>4202</v>
      </c>
      <c r="E102" s="769" t="s">
        <v>2808</v>
      </c>
      <c r="F102" s="637"/>
      <c r="G102" s="637"/>
      <c r="H102" s="637"/>
      <c r="I102" s="637"/>
      <c r="J102" s="637"/>
      <c r="K102" s="637" t="s">
        <v>4203</v>
      </c>
    </row>
    <row r="103" spans="2:11" x14ac:dyDescent="0.25">
      <c r="B103" s="637" t="s">
        <v>4011</v>
      </c>
      <c r="C103" s="637"/>
      <c r="D103" s="769" t="s">
        <v>4204</v>
      </c>
      <c r="E103" s="769" t="s">
        <v>4205</v>
      </c>
      <c r="F103" s="637"/>
      <c r="G103" s="637"/>
      <c r="H103" s="637"/>
      <c r="I103" s="637"/>
      <c r="J103" s="637"/>
      <c r="K103" s="637" t="s">
        <v>4206</v>
      </c>
    </row>
    <row r="104" spans="2:11" x14ac:dyDescent="0.25">
      <c r="B104" s="637" t="s">
        <v>4011</v>
      </c>
      <c r="C104" s="637"/>
      <c r="D104" s="769" t="s">
        <v>4207</v>
      </c>
      <c r="E104" s="769" t="s">
        <v>2810</v>
      </c>
      <c r="F104" s="637"/>
      <c r="G104" s="637"/>
      <c r="H104" s="637"/>
      <c r="I104" s="637"/>
      <c r="J104" s="637"/>
      <c r="K104" s="637" t="s">
        <v>4208</v>
      </c>
    </row>
    <row r="105" spans="2:11" x14ac:dyDescent="0.25">
      <c r="B105" s="637" t="s">
        <v>4011</v>
      </c>
      <c r="C105" s="637"/>
      <c r="D105" s="769" t="s">
        <v>4209</v>
      </c>
      <c r="E105" s="769" t="s">
        <v>2812</v>
      </c>
      <c r="F105" s="637"/>
      <c r="G105" s="637"/>
      <c r="H105" s="637"/>
      <c r="I105" s="637"/>
      <c r="J105" s="637"/>
      <c r="K105" s="637" t="s">
        <v>4210</v>
      </c>
    </row>
    <row r="106" spans="2:11" x14ac:dyDescent="0.25">
      <c r="B106" s="637" t="s">
        <v>4011</v>
      </c>
      <c r="C106" s="637"/>
      <c r="D106" s="769" t="s">
        <v>4211</v>
      </c>
      <c r="E106" s="769" t="s">
        <v>2817</v>
      </c>
      <c r="F106" s="637"/>
      <c r="G106" s="637"/>
      <c r="H106" s="637"/>
      <c r="I106" s="637"/>
      <c r="J106" s="637"/>
      <c r="K106" s="637" t="s">
        <v>4212</v>
      </c>
    </row>
    <row r="107" spans="2:11" x14ac:dyDescent="0.25">
      <c r="B107" s="637" t="s">
        <v>4013</v>
      </c>
      <c r="C107" s="637"/>
      <c r="D107" s="769" t="s">
        <v>4213</v>
      </c>
      <c r="E107" s="769" t="s">
        <v>2851</v>
      </c>
      <c r="F107" s="637"/>
      <c r="G107" s="637"/>
      <c r="H107" s="637"/>
      <c r="I107" s="637"/>
      <c r="J107" s="637"/>
      <c r="K107" s="637" t="s">
        <v>4214</v>
      </c>
    </row>
    <row r="108" spans="2:11" x14ac:dyDescent="0.25">
      <c r="B108" s="637" t="s">
        <v>4013</v>
      </c>
      <c r="C108" s="637"/>
      <c r="D108" s="769" t="s">
        <v>4215</v>
      </c>
      <c r="E108" s="769" t="s">
        <v>2845</v>
      </c>
      <c r="F108" s="637"/>
      <c r="G108" s="637"/>
      <c r="H108" s="637"/>
      <c r="I108" s="637"/>
      <c r="J108" s="637"/>
      <c r="K108" s="637" t="s">
        <v>4216</v>
      </c>
    </row>
    <row r="109" spans="2:11" x14ac:dyDescent="0.25">
      <c r="B109" s="637" t="s">
        <v>4013</v>
      </c>
      <c r="C109" s="637"/>
      <c r="D109" s="769" t="s">
        <v>4217</v>
      </c>
      <c r="E109" s="769" t="s">
        <v>2847</v>
      </c>
      <c r="F109" s="637"/>
      <c r="G109" s="637"/>
      <c r="H109" s="637"/>
      <c r="I109" s="637"/>
      <c r="J109" s="637"/>
      <c r="K109" s="637" t="s">
        <v>4218</v>
      </c>
    </row>
    <row r="110" spans="2:11" x14ac:dyDescent="0.25">
      <c r="B110" s="637" t="s">
        <v>4013</v>
      </c>
      <c r="C110" s="637"/>
      <c r="D110" s="769" t="s">
        <v>4219</v>
      </c>
      <c r="E110" s="769" t="s">
        <v>2853</v>
      </c>
      <c r="F110" s="637"/>
      <c r="G110" s="637"/>
      <c r="H110" s="637"/>
      <c r="I110" s="637"/>
      <c r="J110" s="637"/>
      <c r="K110" s="637" t="s">
        <v>4220</v>
      </c>
    </row>
    <row r="111" spans="2:11" x14ac:dyDescent="0.25">
      <c r="B111" s="637" t="s">
        <v>4013</v>
      </c>
      <c r="C111" s="637"/>
      <c r="D111" s="769" t="s">
        <v>4221</v>
      </c>
      <c r="E111" s="769" t="s">
        <v>2849</v>
      </c>
      <c r="F111" s="637"/>
      <c r="G111" s="637"/>
      <c r="H111" s="637"/>
      <c r="I111" s="637"/>
      <c r="J111" s="637"/>
      <c r="K111" s="637" t="s">
        <v>4222</v>
      </c>
    </row>
    <row r="112" spans="2:11" x14ac:dyDescent="0.25">
      <c r="B112" s="637" t="s">
        <v>4013</v>
      </c>
      <c r="C112" s="637"/>
      <c r="D112" s="769" t="s">
        <v>4223</v>
      </c>
      <c r="E112" s="769" t="s">
        <v>2857</v>
      </c>
      <c r="F112" s="637"/>
      <c r="G112" s="637"/>
      <c r="H112" s="637"/>
      <c r="I112" s="637"/>
      <c r="J112" s="637"/>
      <c r="K112" s="637" t="s">
        <v>4224</v>
      </c>
    </row>
    <row r="113" spans="2:11" x14ac:dyDescent="0.25">
      <c r="B113" s="637" t="s">
        <v>4013</v>
      </c>
      <c r="C113" s="637"/>
      <c r="D113" s="769" t="s">
        <v>4225</v>
      </c>
      <c r="E113" s="769" t="s">
        <v>4226</v>
      </c>
      <c r="F113" s="637"/>
      <c r="G113" s="637"/>
      <c r="H113" s="637"/>
      <c r="I113" s="637"/>
      <c r="J113" s="637"/>
      <c r="K113" s="637" t="s">
        <v>4227</v>
      </c>
    </row>
    <row r="114" spans="2:11" x14ac:dyDescent="0.25">
      <c r="B114" s="637" t="s">
        <v>4013</v>
      </c>
      <c r="C114" s="637"/>
      <c r="D114" s="769" t="s">
        <v>4228</v>
      </c>
      <c r="E114" s="769" t="s">
        <v>2855</v>
      </c>
      <c r="F114" s="637"/>
      <c r="G114" s="637"/>
      <c r="H114" s="637"/>
      <c r="I114" s="637"/>
      <c r="J114" s="637"/>
      <c r="K114" s="637" t="s">
        <v>4229</v>
      </c>
    </row>
    <row r="115" spans="2:11" x14ac:dyDescent="0.25">
      <c r="B115" s="637" t="s">
        <v>4045</v>
      </c>
      <c r="C115" s="637"/>
      <c r="D115" s="769" t="s">
        <v>4230</v>
      </c>
      <c r="E115" s="769" t="s">
        <v>2781</v>
      </c>
      <c r="F115" s="637"/>
      <c r="G115" s="637"/>
      <c r="H115" s="637"/>
      <c r="I115" s="637"/>
      <c r="J115" s="637"/>
      <c r="K115" s="637" t="s">
        <v>4231</v>
      </c>
    </row>
    <row r="116" spans="2:11" x14ac:dyDescent="0.25">
      <c r="B116" s="637" t="s">
        <v>4045</v>
      </c>
      <c r="C116" s="637"/>
      <c r="D116" s="769" t="s">
        <v>4232</v>
      </c>
      <c r="E116" s="769" t="s">
        <v>2789</v>
      </c>
      <c r="F116" s="637"/>
      <c r="G116" s="637"/>
      <c r="H116" s="637"/>
      <c r="I116" s="637"/>
      <c r="J116" s="637"/>
      <c r="K116" s="637" t="s">
        <v>4233</v>
      </c>
    </row>
    <row r="117" spans="2:11" x14ac:dyDescent="0.25">
      <c r="B117" s="637" t="s">
        <v>4045</v>
      </c>
      <c r="C117" s="637"/>
      <c r="D117" s="769" t="s">
        <v>4234</v>
      </c>
      <c r="E117" s="769" t="s">
        <v>2787</v>
      </c>
      <c r="F117" s="637"/>
      <c r="G117" s="637"/>
      <c r="H117" s="637"/>
      <c r="I117" s="637"/>
      <c r="J117" s="637"/>
      <c r="K117" s="637" t="s">
        <v>4235</v>
      </c>
    </row>
    <row r="118" spans="2:11" x14ac:dyDescent="0.25">
      <c r="B118" s="637" t="s">
        <v>4045</v>
      </c>
      <c r="C118" s="637"/>
      <c r="D118" s="769" t="s">
        <v>4236</v>
      </c>
      <c r="E118" s="769" t="s">
        <v>4237</v>
      </c>
      <c r="F118" s="637"/>
      <c r="G118" s="637"/>
      <c r="H118" s="637"/>
      <c r="I118" s="637"/>
      <c r="J118" s="637"/>
      <c r="K118" s="637" t="s">
        <v>4238</v>
      </c>
    </row>
    <row r="119" spans="2:11" x14ac:dyDescent="0.25">
      <c r="B119" s="637" t="s">
        <v>4045</v>
      </c>
      <c r="C119" s="637"/>
      <c r="D119" s="769" t="s">
        <v>4239</v>
      </c>
      <c r="E119" s="769" t="s">
        <v>2791</v>
      </c>
      <c r="F119" s="637"/>
      <c r="G119" s="637"/>
      <c r="H119" s="637"/>
      <c r="I119" s="637"/>
      <c r="J119" s="637"/>
      <c r="K119" s="637" t="s">
        <v>4240</v>
      </c>
    </row>
    <row r="120" spans="2:11" x14ac:dyDescent="0.25">
      <c r="B120" s="637" t="s">
        <v>4045</v>
      </c>
      <c r="C120" s="637"/>
      <c r="D120" s="769" t="s">
        <v>4241</v>
      </c>
      <c r="E120" s="769" t="s">
        <v>2783</v>
      </c>
      <c r="F120" s="637"/>
      <c r="G120" s="637"/>
      <c r="H120" s="637"/>
      <c r="I120" s="637"/>
      <c r="J120" s="637"/>
      <c r="K120" s="637" t="s">
        <v>4242</v>
      </c>
    </row>
    <row r="121" spans="2:11" x14ac:dyDescent="0.25">
      <c r="B121" s="637" t="s">
        <v>4045</v>
      </c>
      <c r="C121" s="637"/>
      <c r="D121" s="769" t="s">
        <v>4243</v>
      </c>
      <c r="E121" s="769" t="s">
        <v>4244</v>
      </c>
      <c r="F121" s="637"/>
      <c r="G121" s="637"/>
      <c r="H121" s="637"/>
      <c r="I121" s="637"/>
      <c r="J121" s="637"/>
      <c r="K121" s="637" t="s">
        <v>4245</v>
      </c>
    </row>
    <row r="122" spans="2:11" x14ac:dyDescent="0.25">
      <c r="B122" s="637" t="s">
        <v>4045</v>
      </c>
      <c r="C122" s="637"/>
      <c r="D122" s="769" t="s">
        <v>4246</v>
      </c>
      <c r="E122" s="769" t="s">
        <v>4247</v>
      </c>
      <c r="F122" s="637"/>
      <c r="G122" s="637"/>
      <c r="H122" s="637"/>
      <c r="I122" s="637"/>
      <c r="J122" s="637"/>
      <c r="K122" s="637" t="s">
        <v>4248</v>
      </c>
    </row>
    <row r="123" spans="2:11" x14ac:dyDescent="0.25">
      <c r="B123" s="637" t="s">
        <v>4045</v>
      </c>
      <c r="C123" s="637"/>
      <c r="D123" s="769" t="s">
        <v>4249</v>
      </c>
      <c r="E123" s="769" t="s">
        <v>2785</v>
      </c>
      <c r="F123" s="637"/>
      <c r="G123" s="637"/>
      <c r="H123" s="637"/>
      <c r="I123" s="637"/>
      <c r="J123" s="637"/>
      <c r="K123" s="637" t="s">
        <v>4250</v>
      </c>
    </row>
    <row r="124" spans="2:11" x14ac:dyDescent="0.25">
      <c r="B124" s="637" t="s">
        <v>4045</v>
      </c>
      <c r="C124" s="637"/>
      <c r="D124" s="769" t="s">
        <v>4251</v>
      </c>
      <c r="E124" s="769" t="s">
        <v>4252</v>
      </c>
      <c r="F124" s="637"/>
      <c r="G124" s="637"/>
      <c r="H124" s="637"/>
      <c r="I124" s="637"/>
      <c r="J124" s="637"/>
      <c r="K124" s="637" t="s">
        <v>4253</v>
      </c>
    </row>
    <row r="125" spans="2:11" x14ac:dyDescent="0.25">
      <c r="B125" s="637" t="s">
        <v>4015</v>
      </c>
      <c r="C125" s="637"/>
      <c r="D125" s="769" t="s">
        <v>4254</v>
      </c>
      <c r="E125" s="769" t="s">
        <v>2801</v>
      </c>
      <c r="F125" s="637"/>
      <c r="G125" s="637"/>
      <c r="H125" s="637"/>
      <c r="I125" s="637"/>
      <c r="J125" s="637"/>
      <c r="K125" s="637" t="s">
        <v>4255</v>
      </c>
    </row>
    <row r="126" spans="2:11" x14ac:dyDescent="0.25">
      <c r="B126" s="637" t="s">
        <v>4015</v>
      </c>
      <c r="C126" s="637"/>
      <c r="D126" s="769" t="s">
        <v>4256</v>
      </c>
      <c r="E126" s="769" t="s">
        <v>4257</v>
      </c>
      <c r="F126" s="637"/>
      <c r="G126" s="637"/>
      <c r="H126" s="637"/>
      <c r="I126" s="637"/>
      <c r="J126" s="637"/>
      <c r="K126" s="637" t="s">
        <v>4258</v>
      </c>
    </row>
    <row r="127" spans="2:11" x14ac:dyDescent="0.25">
      <c r="B127" s="637" t="s">
        <v>4015</v>
      </c>
      <c r="C127" s="637"/>
      <c r="D127" s="769" t="s">
        <v>4259</v>
      </c>
      <c r="E127" s="769" t="s">
        <v>4260</v>
      </c>
      <c r="F127" s="637"/>
      <c r="G127" s="637"/>
      <c r="H127" s="637"/>
      <c r="I127" s="637"/>
      <c r="J127" s="637"/>
      <c r="K127" s="637" t="s">
        <v>4261</v>
      </c>
    </row>
    <row r="128" spans="2:11" x14ac:dyDescent="0.25">
      <c r="B128" s="637" t="s">
        <v>4015</v>
      </c>
      <c r="C128" s="637"/>
      <c r="D128" s="769" t="s">
        <v>4262</v>
      </c>
      <c r="E128" s="769" t="s">
        <v>4263</v>
      </c>
      <c r="F128" s="637"/>
      <c r="G128" s="637"/>
      <c r="H128" s="637"/>
      <c r="I128" s="637"/>
      <c r="J128" s="637"/>
      <c r="K128" s="637" t="s">
        <v>4264</v>
      </c>
    </row>
    <row r="129" spans="2:11" x14ac:dyDescent="0.25">
      <c r="B129" s="637" t="s">
        <v>4015</v>
      </c>
      <c r="C129" s="637"/>
      <c r="D129" s="769" t="s">
        <v>4265</v>
      </c>
      <c r="E129" s="769" t="s">
        <v>4266</v>
      </c>
      <c r="F129" s="637"/>
      <c r="G129" s="637"/>
      <c r="H129" s="637"/>
      <c r="I129" s="637"/>
      <c r="J129" s="637"/>
      <c r="K129" s="637" t="s">
        <v>4267</v>
      </c>
    </row>
    <row r="130" spans="2:11" x14ac:dyDescent="0.25">
      <c r="B130" s="637" t="s">
        <v>4015</v>
      </c>
      <c r="C130" s="637"/>
      <c r="D130" s="769" t="s">
        <v>4268</v>
      </c>
      <c r="E130" s="769" t="s">
        <v>4269</v>
      </c>
      <c r="F130" s="637"/>
      <c r="G130" s="637"/>
      <c r="H130" s="637"/>
      <c r="I130" s="637"/>
      <c r="J130" s="637"/>
      <c r="K130" s="637" t="s">
        <v>4270</v>
      </c>
    </row>
    <row r="131" spans="2:11" x14ac:dyDescent="0.25">
      <c r="B131" s="637" t="s">
        <v>4015</v>
      </c>
      <c r="C131" s="637"/>
      <c r="D131" s="769" t="s">
        <v>4271</v>
      </c>
      <c r="E131" s="769" t="s">
        <v>4272</v>
      </c>
      <c r="F131" s="637"/>
      <c r="G131" s="637"/>
      <c r="H131" s="637"/>
      <c r="I131" s="637"/>
      <c r="J131" s="637"/>
      <c r="K131" s="637" t="s">
        <v>4273</v>
      </c>
    </row>
    <row r="132" spans="2:11" x14ac:dyDescent="0.25">
      <c r="B132" s="637" t="s">
        <v>4015</v>
      </c>
      <c r="C132" s="637"/>
      <c r="D132" s="769" t="s">
        <v>4274</v>
      </c>
      <c r="E132" s="769" t="s">
        <v>4275</v>
      </c>
      <c r="F132" s="637"/>
      <c r="G132" s="637"/>
      <c r="H132" s="637"/>
      <c r="I132" s="637"/>
      <c r="J132" s="637"/>
      <c r="K132" s="637" t="s">
        <v>4276</v>
      </c>
    </row>
    <row r="133" spans="2:11" x14ac:dyDescent="0.25">
      <c r="B133" s="637" t="s">
        <v>4048</v>
      </c>
      <c r="C133" s="637"/>
      <c r="D133" s="769" t="s">
        <v>4277</v>
      </c>
      <c r="E133" s="769" t="s">
        <v>4278</v>
      </c>
      <c r="F133" s="637"/>
      <c r="G133" s="637"/>
      <c r="H133" s="637"/>
      <c r="I133" s="637"/>
      <c r="J133" s="637"/>
      <c r="K133" s="637" t="s">
        <v>4279</v>
      </c>
    </row>
    <row r="134" spans="2:11" x14ac:dyDescent="0.25">
      <c r="B134" s="637" t="s">
        <v>4048</v>
      </c>
      <c r="C134" s="637"/>
      <c r="D134" s="769" t="s">
        <v>4280</v>
      </c>
      <c r="E134" s="769" t="s">
        <v>4281</v>
      </c>
      <c r="F134" s="637"/>
      <c r="G134" s="637"/>
      <c r="H134" s="637"/>
      <c r="I134" s="637"/>
      <c r="J134" s="637"/>
      <c r="K134" s="637" t="s">
        <v>4282</v>
      </c>
    </row>
    <row r="135" spans="2:11" x14ac:dyDescent="0.25">
      <c r="B135" s="637" t="s">
        <v>4048</v>
      </c>
      <c r="C135" s="637"/>
      <c r="D135" s="769" t="s">
        <v>4283</v>
      </c>
      <c r="E135" s="769" t="s">
        <v>4284</v>
      </c>
      <c r="F135" s="637"/>
      <c r="G135" s="637"/>
      <c r="H135" s="637"/>
      <c r="I135" s="637"/>
      <c r="J135" s="637"/>
      <c r="K135" s="637" t="s">
        <v>4285</v>
      </c>
    </row>
    <row r="136" spans="2:11" x14ac:dyDescent="0.25">
      <c r="B136" s="637" t="s">
        <v>4048</v>
      </c>
      <c r="C136" s="637"/>
      <c r="D136" s="769" t="s">
        <v>4286</v>
      </c>
      <c r="E136" s="769" t="s">
        <v>4287</v>
      </c>
      <c r="F136" s="637"/>
      <c r="G136" s="637"/>
      <c r="H136" s="637"/>
      <c r="I136" s="637"/>
      <c r="J136" s="637"/>
      <c r="K136" s="637" t="s">
        <v>4288</v>
      </c>
    </row>
    <row r="137" spans="2:11" x14ac:dyDescent="0.25">
      <c r="B137" s="637" t="s">
        <v>4048</v>
      </c>
      <c r="C137" s="637"/>
      <c r="D137" s="769" t="s">
        <v>4289</v>
      </c>
      <c r="E137" s="769" t="s">
        <v>4290</v>
      </c>
      <c r="F137" s="637"/>
      <c r="G137" s="637"/>
      <c r="H137" s="637"/>
      <c r="I137" s="637"/>
      <c r="J137" s="637"/>
      <c r="K137" s="637" t="s">
        <v>4291</v>
      </c>
    </row>
    <row r="138" spans="2:11" x14ac:dyDescent="0.25">
      <c r="B138" s="637" t="s">
        <v>4048</v>
      </c>
      <c r="C138" s="637"/>
      <c r="D138" s="769" t="s">
        <v>4292</v>
      </c>
      <c r="E138" s="769" t="s">
        <v>4293</v>
      </c>
      <c r="F138" s="637"/>
      <c r="G138" s="637"/>
      <c r="H138" s="637"/>
      <c r="I138" s="637"/>
      <c r="J138" s="637"/>
      <c r="K138" s="637" t="s">
        <v>4294</v>
      </c>
    </row>
    <row r="139" spans="2:11" x14ac:dyDescent="0.25">
      <c r="B139" s="637" t="s">
        <v>4048</v>
      </c>
      <c r="C139" s="637"/>
      <c r="D139" s="769" t="s">
        <v>4295</v>
      </c>
      <c r="E139" s="769" t="s">
        <v>2863</v>
      </c>
      <c r="F139" s="637"/>
      <c r="G139" s="637"/>
      <c r="H139" s="637"/>
      <c r="I139" s="637"/>
      <c r="J139" s="637"/>
      <c r="K139" s="637" t="s">
        <v>4296</v>
      </c>
    </row>
    <row r="140" spans="2:11" x14ac:dyDescent="0.25">
      <c r="B140" s="637" t="s">
        <v>4048</v>
      </c>
      <c r="C140" s="637"/>
      <c r="D140" s="769" t="s">
        <v>4297</v>
      </c>
      <c r="E140" s="769" t="s">
        <v>2799</v>
      </c>
      <c r="F140" s="637"/>
      <c r="G140" s="637"/>
      <c r="H140" s="637"/>
      <c r="I140" s="637"/>
      <c r="J140" s="637"/>
      <c r="K140" s="637" t="s">
        <v>4298</v>
      </c>
    </row>
    <row r="141" spans="2:11" x14ac:dyDescent="0.25">
      <c r="B141" s="637" t="s">
        <v>4048</v>
      </c>
      <c r="C141" s="637"/>
      <c r="D141" s="769" t="s">
        <v>4299</v>
      </c>
      <c r="E141" s="769" t="s">
        <v>4300</v>
      </c>
      <c r="F141" s="637"/>
      <c r="G141" s="637"/>
      <c r="H141" s="637"/>
      <c r="I141" s="637"/>
      <c r="J141" s="637"/>
      <c r="K141" s="637" t="s">
        <v>4301</v>
      </c>
    </row>
    <row r="142" spans="2:11" x14ac:dyDescent="0.25">
      <c r="B142" s="637" t="s">
        <v>4048</v>
      </c>
      <c r="C142" s="637"/>
      <c r="D142" s="769" t="s">
        <v>4302</v>
      </c>
      <c r="E142" s="769" t="s">
        <v>4303</v>
      </c>
      <c r="F142" s="637"/>
      <c r="G142" s="637"/>
      <c r="H142" s="637"/>
      <c r="I142" s="637"/>
      <c r="J142" s="637"/>
      <c r="K142" s="637" t="s">
        <v>4304</v>
      </c>
    </row>
    <row r="143" spans="2:11" x14ac:dyDescent="0.25">
      <c r="B143" s="637" t="s">
        <v>4017</v>
      </c>
      <c r="C143" s="637"/>
      <c r="D143" s="769" t="s">
        <v>4305</v>
      </c>
      <c r="E143" s="769" t="s">
        <v>4306</v>
      </c>
      <c r="F143" s="637"/>
      <c r="G143" s="637"/>
      <c r="H143" s="637"/>
      <c r="I143" s="637"/>
      <c r="J143" s="637"/>
      <c r="K143" s="637" t="s">
        <v>4307</v>
      </c>
    </row>
    <row r="144" spans="2:11" x14ac:dyDescent="0.25">
      <c r="B144" s="637" t="s">
        <v>4017</v>
      </c>
      <c r="C144" s="637"/>
      <c r="D144" s="769" t="s">
        <v>4308</v>
      </c>
      <c r="E144" s="769" t="s">
        <v>2841</v>
      </c>
      <c r="F144" s="637"/>
      <c r="G144" s="637"/>
      <c r="H144" s="637"/>
      <c r="I144" s="637"/>
      <c r="J144" s="637"/>
      <c r="K144" s="637" t="s">
        <v>4309</v>
      </c>
    </row>
    <row r="145" spans="2:11" x14ac:dyDescent="0.25">
      <c r="B145" s="637" t="s">
        <v>4017</v>
      </c>
      <c r="C145" s="637"/>
      <c r="D145" s="769" t="s">
        <v>4310</v>
      </c>
      <c r="E145" s="769" t="s">
        <v>4311</v>
      </c>
      <c r="F145" s="637"/>
      <c r="G145" s="637"/>
      <c r="H145" s="637"/>
      <c r="I145" s="637"/>
      <c r="J145" s="637"/>
      <c r="K145" s="637" t="s">
        <v>4312</v>
      </c>
    </row>
    <row r="146" spans="2:11" x14ac:dyDescent="0.25">
      <c r="B146" s="637" t="s">
        <v>4017</v>
      </c>
      <c r="C146" s="637"/>
      <c r="D146" s="769" t="s">
        <v>4313</v>
      </c>
      <c r="E146" s="769" t="s">
        <v>4314</v>
      </c>
      <c r="F146" s="637"/>
      <c r="G146" s="637"/>
      <c r="H146" s="637"/>
      <c r="I146" s="637"/>
      <c r="J146" s="637"/>
      <c r="K146" s="637" t="s">
        <v>4315</v>
      </c>
    </row>
    <row r="147" spans="2:11" x14ac:dyDescent="0.25">
      <c r="B147" s="637" t="s">
        <v>4017</v>
      </c>
      <c r="C147" s="637"/>
      <c r="D147" s="769" t="s">
        <v>4316</v>
      </c>
      <c r="E147" s="769" t="s">
        <v>4317</v>
      </c>
      <c r="F147" s="637"/>
      <c r="G147" s="637"/>
      <c r="H147" s="637"/>
      <c r="I147" s="637"/>
      <c r="J147" s="637"/>
      <c r="K147" s="637" t="s">
        <v>4318</v>
      </c>
    </row>
    <row r="148" spans="2:11" x14ac:dyDescent="0.25">
      <c r="B148" s="637" t="s">
        <v>4017</v>
      </c>
      <c r="C148" s="637"/>
      <c r="D148" s="769" t="s">
        <v>4319</v>
      </c>
      <c r="E148" s="769" t="s">
        <v>4320</v>
      </c>
      <c r="F148" s="637"/>
      <c r="G148" s="637"/>
      <c r="H148" s="637"/>
      <c r="I148" s="637"/>
      <c r="J148" s="637"/>
      <c r="K148" s="637" t="s">
        <v>4321</v>
      </c>
    </row>
    <row r="149" spans="2:11" x14ac:dyDescent="0.25">
      <c r="B149" s="637" t="s">
        <v>4020</v>
      </c>
      <c r="C149" s="637"/>
      <c r="D149" s="769" t="s">
        <v>4322</v>
      </c>
      <c r="E149" s="769" t="s">
        <v>4323</v>
      </c>
      <c r="F149" s="637"/>
      <c r="G149" s="637"/>
      <c r="H149" s="637"/>
      <c r="I149" s="637"/>
      <c r="J149" s="637"/>
      <c r="K149" s="637" t="s">
        <v>4324</v>
      </c>
    </row>
    <row r="150" spans="2:11" x14ac:dyDescent="0.25">
      <c r="B150" s="637" t="s">
        <v>4020</v>
      </c>
      <c r="C150" s="637"/>
      <c r="D150" s="769" t="s">
        <v>4325</v>
      </c>
      <c r="E150" s="769" t="s">
        <v>4326</v>
      </c>
      <c r="F150" s="637"/>
      <c r="G150" s="637"/>
      <c r="H150" s="637"/>
      <c r="I150" s="637"/>
      <c r="J150" s="637"/>
      <c r="K150" s="637" t="s">
        <v>4327</v>
      </c>
    </row>
    <row r="151" spans="2:11" x14ac:dyDescent="0.25">
      <c r="B151" s="637" t="s">
        <v>4020</v>
      </c>
      <c r="C151" s="637"/>
      <c r="D151" s="769" t="s">
        <v>4328</v>
      </c>
      <c r="E151" s="769" t="s">
        <v>4329</v>
      </c>
      <c r="F151" s="637"/>
      <c r="G151" s="637"/>
      <c r="H151" s="637"/>
      <c r="I151" s="637"/>
      <c r="J151" s="637"/>
      <c r="K151" s="637" t="s">
        <v>4330</v>
      </c>
    </row>
    <row r="152" spans="2:11" x14ac:dyDescent="0.25">
      <c r="B152" s="637" t="s">
        <v>4023</v>
      </c>
      <c r="C152" s="637"/>
      <c r="D152" s="769" t="s">
        <v>4331</v>
      </c>
      <c r="E152" s="769" t="s">
        <v>4332</v>
      </c>
      <c r="F152" s="637"/>
      <c r="G152" s="637"/>
      <c r="H152" s="637"/>
      <c r="I152" s="637"/>
      <c r="J152" s="637"/>
      <c r="K152" s="637" t="s">
        <v>4333</v>
      </c>
    </row>
    <row r="153" spans="2:11" x14ac:dyDescent="0.25">
      <c r="B153" s="637" t="s">
        <v>4023</v>
      </c>
      <c r="C153" s="637"/>
      <c r="D153" s="769" t="s">
        <v>4334</v>
      </c>
      <c r="E153" s="769" t="s">
        <v>4335</v>
      </c>
      <c r="F153" s="637"/>
      <c r="G153" s="637"/>
      <c r="H153" s="637"/>
      <c r="I153" s="637"/>
      <c r="J153" s="637"/>
      <c r="K153" s="637" t="s">
        <v>4336</v>
      </c>
    </row>
    <row r="154" spans="2:11" x14ac:dyDescent="0.25">
      <c r="B154" s="637" t="s">
        <v>4023</v>
      </c>
      <c r="C154" s="637"/>
      <c r="D154" s="769" t="s">
        <v>4337</v>
      </c>
      <c r="E154" s="769" t="s">
        <v>4338</v>
      </c>
      <c r="F154" s="637"/>
      <c r="G154" s="637"/>
      <c r="H154" s="637"/>
      <c r="I154" s="637"/>
      <c r="J154" s="637"/>
      <c r="K154" s="637" t="s">
        <v>4339</v>
      </c>
    </row>
    <row r="155" spans="2:11" x14ac:dyDescent="0.25">
      <c r="B155" s="637" t="s">
        <v>4023</v>
      </c>
      <c r="C155" s="637"/>
      <c r="D155" s="769" t="s">
        <v>4340</v>
      </c>
      <c r="E155" s="769" t="s">
        <v>4341</v>
      </c>
      <c r="F155" s="637"/>
      <c r="G155" s="637"/>
      <c r="H155" s="637"/>
      <c r="I155" s="637"/>
      <c r="J155" s="637"/>
      <c r="K155" s="637" t="s">
        <v>4342</v>
      </c>
    </row>
    <row r="156" spans="2:11" x14ac:dyDescent="0.25">
      <c r="B156" s="637" t="s">
        <v>4023</v>
      </c>
      <c r="C156" s="637"/>
      <c r="D156" s="769" t="s">
        <v>4343</v>
      </c>
      <c r="E156" s="769" t="s">
        <v>4344</v>
      </c>
      <c r="F156" s="637"/>
      <c r="G156" s="637"/>
      <c r="H156" s="637"/>
      <c r="I156" s="637"/>
      <c r="J156" s="637"/>
      <c r="K156" s="637" t="s">
        <v>4345</v>
      </c>
    </row>
    <row r="157" spans="2:11" x14ac:dyDescent="0.25">
      <c r="B157" s="637" t="s">
        <v>4026</v>
      </c>
      <c r="C157" s="637"/>
      <c r="D157" s="769" t="s">
        <v>4346</v>
      </c>
      <c r="E157" s="769" t="s">
        <v>4347</v>
      </c>
      <c r="F157" s="637"/>
      <c r="G157" s="637"/>
      <c r="H157" s="637"/>
      <c r="I157" s="637"/>
      <c r="J157" s="637"/>
      <c r="K157" s="637" t="s">
        <v>4348</v>
      </c>
    </row>
    <row r="158" spans="2:11" x14ac:dyDescent="0.25">
      <c r="B158" s="637" t="s">
        <v>4026</v>
      </c>
      <c r="C158" s="637"/>
      <c r="D158" s="769" t="s">
        <v>4349</v>
      </c>
      <c r="E158" s="769" t="s">
        <v>4350</v>
      </c>
      <c r="F158" s="637"/>
      <c r="G158" s="637"/>
      <c r="H158" s="637"/>
      <c r="I158" s="637"/>
      <c r="J158" s="637"/>
      <c r="K158" s="637" t="s">
        <v>4351</v>
      </c>
    </row>
    <row r="159" spans="2:11" x14ac:dyDescent="0.25">
      <c r="B159" s="637" t="s">
        <v>4026</v>
      </c>
      <c r="C159" s="637"/>
      <c r="D159" s="769" t="s">
        <v>4352</v>
      </c>
      <c r="E159" s="769" t="s">
        <v>4353</v>
      </c>
      <c r="F159" s="637"/>
      <c r="G159" s="637"/>
      <c r="H159" s="637"/>
      <c r="I159" s="637"/>
      <c r="J159" s="637"/>
      <c r="K159" s="637" t="s">
        <v>4354</v>
      </c>
    </row>
    <row r="160" spans="2:11" x14ac:dyDescent="0.25">
      <c r="B160" s="637" t="s">
        <v>4029</v>
      </c>
      <c r="C160" s="637"/>
      <c r="D160" s="769" t="s">
        <v>4355</v>
      </c>
      <c r="E160" s="769" t="s">
        <v>4356</v>
      </c>
      <c r="F160" s="637"/>
      <c r="G160" s="637"/>
      <c r="H160" s="637"/>
      <c r="I160" s="637"/>
      <c r="J160" s="637"/>
      <c r="K160" s="637" t="s">
        <v>4357</v>
      </c>
    </row>
    <row r="161" spans="2:11" x14ac:dyDescent="0.25">
      <c r="B161" s="637" t="s">
        <v>4029</v>
      </c>
      <c r="C161" s="637"/>
      <c r="D161" s="769" t="s">
        <v>4358</v>
      </c>
      <c r="E161" s="769" t="s">
        <v>4359</v>
      </c>
      <c r="F161" s="637"/>
      <c r="G161" s="637"/>
      <c r="H161" s="637"/>
      <c r="I161" s="637"/>
      <c r="J161" s="637"/>
      <c r="K161" s="637" t="s">
        <v>4360</v>
      </c>
    </row>
    <row r="162" spans="2:11" x14ac:dyDescent="0.25">
      <c r="B162" s="637" t="s">
        <v>4029</v>
      </c>
      <c r="C162" s="637"/>
      <c r="D162" s="769" t="s">
        <v>4361</v>
      </c>
      <c r="E162" s="769" t="s">
        <v>4362</v>
      </c>
      <c r="F162" s="637"/>
      <c r="G162" s="637"/>
      <c r="H162" s="637"/>
      <c r="I162" s="637"/>
      <c r="J162" s="637"/>
      <c r="K162" s="637" t="s">
        <v>4363</v>
      </c>
    </row>
    <row r="163" spans="2:11" x14ac:dyDescent="0.25">
      <c r="B163" s="637" t="s">
        <v>4029</v>
      </c>
      <c r="C163" s="637"/>
      <c r="D163" s="769" t="s">
        <v>4364</v>
      </c>
      <c r="E163" s="769" t="s">
        <v>4365</v>
      </c>
      <c r="F163" s="637"/>
      <c r="G163" s="637"/>
      <c r="H163" s="637"/>
      <c r="I163" s="637"/>
      <c r="J163" s="637"/>
      <c r="K163" s="637" t="s">
        <v>4366</v>
      </c>
    </row>
    <row r="164" spans="2:11" x14ac:dyDescent="0.25">
      <c r="B164" s="637" t="s">
        <v>4029</v>
      </c>
      <c r="C164" s="637"/>
      <c r="D164" s="769" t="s">
        <v>4367</v>
      </c>
      <c r="E164" s="769" t="s">
        <v>4368</v>
      </c>
      <c r="F164" s="637"/>
      <c r="G164" s="637"/>
      <c r="H164" s="637"/>
      <c r="I164" s="637"/>
      <c r="J164" s="637"/>
      <c r="K164" s="637" t="s">
        <v>4369</v>
      </c>
    </row>
    <row r="165" spans="2:11" x14ac:dyDescent="0.25">
      <c r="B165" s="637" t="s">
        <v>4031</v>
      </c>
      <c r="C165" s="637"/>
      <c r="D165" s="769" t="s">
        <v>4370</v>
      </c>
      <c r="E165" s="769" t="s">
        <v>2797</v>
      </c>
      <c r="F165" s="637"/>
      <c r="G165" s="637"/>
      <c r="H165" s="637"/>
      <c r="I165" s="637"/>
      <c r="J165" s="637"/>
      <c r="K165" s="637" t="s">
        <v>4371</v>
      </c>
    </row>
    <row r="166" spans="2:11" x14ac:dyDescent="0.25">
      <c r="B166" s="637" t="s">
        <v>4031</v>
      </c>
      <c r="C166" s="637"/>
      <c r="D166" s="769" t="s">
        <v>4372</v>
      </c>
      <c r="E166" s="769" t="s">
        <v>2793</v>
      </c>
      <c r="F166" s="637"/>
      <c r="G166" s="637"/>
      <c r="H166" s="637"/>
      <c r="I166" s="637"/>
      <c r="J166" s="637"/>
      <c r="K166" s="637" t="s">
        <v>4373</v>
      </c>
    </row>
    <row r="167" spans="2:11" x14ac:dyDescent="0.25">
      <c r="B167" s="637" t="s">
        <v>4031</v>
      </c>
      <c r="C167" s="637"/>
      <c r="D167" s="769" t="s">
        <v>4374</v>
      </c>
      <c r="E167" s="769" t="s">
        <v>2795</v>
      </c>
      <c r="F167" s="637"/>
      <c r="G167" s="637"/>
      <c r="H167" s="637"/>
      <c r="I167" s="637"/>
      <c r="J167" s="637"/>
      <c r="K167" s="637" t="s">
        <v>4375</v>
      </c>
    </row>
    <row r="168" spans="2:11" x14ac:dyDescent="0.25">
      <c r="B168" s="637" t="s">
        <v>4031</v>
      </c>
      <c r="C168" s="637"/>
      <c r="D168" s="769" t="s">
        <v>4376</v>
      </c>
      <c r="E168" s="769" t="s">
        <v>4377</v>
      </c>
      <c r="F168" s="637"/>
      <c r="G168" s="637"/>
      <c r="H168" s="637"/>
      <c r="I168" s="637"/>
      <c r="J168" s="637"/>
      <c r="K168" s="637" t="s">
        <v>4378</v>
      </c>
    </row>
    <row r="169" spans="2:11" x14ac:dyDescent="0.25">
      <c r="B169" s="637" t="s">
        <v>4031</v>
      </c>
      <c r="C169" s="637"/>
      <c r="D169" s="769" t="s">
        <v>4379</v>
      </c>
      <c r="E169" s="769" t="s">
        <v>4380</v>
      </c>
      <c r="F169" s="637"/>
      <c r="G169" s="637"/>
      <c r="H169" s="637"/>
      <c r="I169" s="637"/>
      <c r="J169" s="637"/>
      <c r="K169" s="637" t="s">
        <v>4381</v>
      </c>
    </row>
    <row r="170" spans="2:11" x14ac:dyDescent="0.25">
      <c r="B170" s="637" t="s">
        <v>4031</v>
      </c>
      <c r="C170" s="637"/>
      <c r="D170" s="769" t="s">
        <v>4382</v>
      </c>
      <c r="E170" s="769" t="s">
        <v>4383</v>
      </c>
      <c r="F170" s="637"/>
      <c r="G170" s="637"/>
      <c r="H170" s="637"/>
      <c r="I170" s="637"/>
      <c r="J170" s="637"/>
      <c r="K170" s="637" t="s">
        <v>4384</v>
      </c>
    </row>
    <row r="171" spans="2:11" x14ac:dyDescent="0.25">
      <c r="B171" s="637" t="s">
        <v>4031</v>
      </c>
      <c r="C171" s="637"/>
      <c r="D171" s="769" t="s">
        <v>4385</v>
      </c>
      <c r="E171" s="769" t="s">
        <v>2843</v>
      </c>
      <c r="F171" s="637"/>
      <c r="G171" s="637"/>
      <c r="H171" s="637"/>
      <c r="I171" s="637"/>
      <c r="J171" s="637"/>
      <c r="K171" s="637" t="s">
        <v>4386</v>
      </c>
    </row>
    <row r="172" spans="2:11" x14ac:dyDescent="0.25">
      <c r="B172" s="637" t="s">
        <v>4033</v>
      </c>
      <c r="C172" s="637"/>
      <c r="D172" s="769" t="s">
        <v>4387</v>
      </c>
      <c r="E172" s="769" t="s">
        <v>2806</v>
      </c>
      <c r="F172" s="637"/>
      <c r="G172" s="637"/>
      <c r="H172" s="637"/>
      <c r="I172" s="637"/>
      <c r="J172" s="637"/>
      <c r="K172" s="637" t="s">
        <v>4388</v>
      </c>
    </row>
    <row r="173" spans="2:11" x14ac:dyDescent="0.25">
      <c r="B173" s="637" t="s">
        <v>4033</v>
      </c>
      <c r="C173" s="637"/>
      <c r="D173" s="769" t="s">
        <v>4389</v>
      </c>
      <c r="E173" s="769" t="s">
        <v>2804</v>
      </c>
      <c r="F173" s="637"/>
      <c r="G173" s="637"/>
      <c r="H173" s="637"/>
      <c r="I173" s="637"/>
      <c r="J173" s="637"/>
      <c r="K173" s="637" t="s">
        <v>4390</v>
      </c>
    </row>
    <row r="174" spans="2:11" x14ac:dyDescent="0.25">
      <c r="B174" s="637" t="s">
        <v>4033</v>
      </c>
      <c r="C174" s="637"/>
      <c r="D174" s="769" t="s">
        <v>4391</v>
      </c>
      <c r="E174" s="769" t="s">
        <v>4392</v>
      </c>
      <c r="F174" s="637"/>
      <c r="G174" s="637"/>
      <c r="H174" s="637"/>
      <c r="I174" s="637"/>
      <c r="J174" s="637"/>
      <c r="K174" s="637" t="s">
        <v>4393</v>
      </c>
    </row>
    <row r="175" spans="2:11" x14ac:dyDescent="0.25">
      <c r="B175" s="637" t="s">
        <v>4036</v>
      </c>
      <c r="C175" s="637"/>
      <c r="D175" s="769" t="s">
        <v>4394</v>
      </c>
      <c r="E175" s="769" t="s">
        <v>4035</v>
      </c>
      <c r="F175" s="637"/>
      <c r="G175" s="637"/>
      <c r="H175" s="637"/>
      <c r="I175" s="637"/>
      <c r="J175" s="637"/>
      <c r="K175" s="637" t="s">
        <v>4395</v>
      </c>
    </row>
    <row r="176" spans="2:11" x14ac:dyDescent="0.25">
      <c r="B176" s="637" t="s">
        <v>4039</v>
      </c>
      <c r="C176" s="637"/>
      <c r="D176" s="769" t="s">
        <v>4396</v>
      </c>
      <c r="E176" s="769" t="s">
        <v>4397</v>
      </c>
      <c r="F176" s="637"/>
      <c r="G176" s="637"/>
      <c r="H176" s="637"/>
      <c r="I176" s="637"/>
      <c r="J176" s="637"/>
      <c r="K176" s="637" t="s">
        <v>4398</v>
      </c>
    </row>
    <row r="177" spans="2:11" x14ac:dyDescent="0.25">
      <c r="B177" s="637" t="s">
        <v>4039</v>
      </c>
      <c r="C177" s="637"/>
      <c r="D177" s="769" t="s">
        <v>4399</v>
      </c>
      <c r="E177" s="769" t="s">
        <v>4400</v>
      </c>
      <c r="F177" s="637"/>
      <c r="G177" s="637"/>
      <c r="H177" s="637"/>
      <c r="I177" s="637"/>
      <c r="J177" s="637"/>
      <c r="K177" s="637" t="s">
        <v>4401</v>
      </c>
    </row>
    <row r="178" spans="2:11" x14ac:dyDescent="0.25">
      <c r="B178" s="637" t="s">
        <v>4039</v>
      </c>
      <c r="C178" s="637"/>
      <c r="D178" s="769" t="s">
        <v>4402</v>
      </c>
      <c r="E178" s="769" t="s">
        <v>4403</v>
      </c>
      <c r="F178" s="637"/>
      <c r="G178" s="637"/>
      <c r="H178" s="637"/>
      <c r="I178" s="637"/>
      <c r="J178" s="637"/>
      <c r="K178" s="637" t="s">
        <v>4404</v>
      </c>
    </row>
    <row r="179" spans="2:11" x14ac:dyDescent="0.25">
      <c r="B179" s="637" t="s">
        <v>4039</v>
      </c>
      <c r="C179" s="637"/>
      <c r="D179" s="769" t="s">
        <v>4405</v>
      </c>
      <c r="E179" s="769" t="s">
        <v>4406</v>
      </c>
      <c r="F179" s="637"/>
      <c r="G179" s="637"/>
      <c r="H179" s="637"/>
      <c r="I179" s="637"/>
      <c r="J179" s="637"/>
      <c r="K179" s="637" t="s">
        <v>4407</v>
      </c>
    </row>
    <row r="180" spans="2:11" x14ac:dyDescent="0.25">
      <c r="B180" s="637" t="s">
        <v>4039</v>
      </c>
      <c r="C180" s="637"/>
      <c r="D180" s="769" t="s">
        <v>4408</v>
      </c>
      <c r="E180" s="769" t="s">
        <v>4409</v>
      </c>
      <c r="F180" s="637"/>
      <c r="G180" s="637"/>
      <c r="H180" s="637"/>
      <c r="I180" s="637"/>
      <c r="J180" s="637"/>
      <c r="K180" s="637" t="s">
        <v>4410</v>
      </c>
    </row>
    <row r="181" spans="2:11" x14ac:dyDescent="0.25">
      <c r="B181" s="637" t="s">
        <v>4039</v>
      </c>
      <c r="C181" s="637"/>
      <c r="D181" s="769" t="s">
        <v>4411</v>
      </c>
      <c r="E181" s="769" t="s">
        <v>4412</v>
      </c>
      <c r="F181" s="637"/>
      <c r="G181" s="637"/>
      <c r="H181" s="637"/>
      <c r="I181" s="637"/>
      <c r="J181" s="637"/>
      <c r="K181" s="637" t="s">
        <v>4413</v>
      </c>
    </row>
    <row r="182" spans="2:11" x14ac:dyDescent="0.25">
      <c r="B182" s="637" t="s">
        <v>4039</v>
      </c>
      <c r="C182" s="637"/>
      <c r="D182" s="769" t="s">
        <v>4414</v>
      </c>
      <c r="E182" s="769" t="s">
        <v>4415</v>
      </c>
      <c r="F182" s="637"/>
      <c r="G182" s="637"/>
      <c r="H182" s="637"/>
      <c r="I182" s="637"/>
      <c r="J182" s="637"/>
      <c r="K182" s="637" t="s">
        <v>4416</v>
      </c>
    </row>
    <row r="183" spans="2:11" x14ac:dyDescent="0.25">
      <c r="B183" s="637" t="s">
        <v>4039</v>
      </c>
      <c r="C183" s="637"/>
      <c r="D183" s="769" t="s">
        <v>4417</v>
      </c>
      <c r="E183" s="769" t="s">
        <v>4418</v>
      </c>
      <c r="F183" s="637"/>
      <c r="G183" s="637"/>
      <c r="H183" s="637"/>
      <c r="I183" s="637"/>
      <c r="J183" s="637"/>
      <c r="K183" s="637" t="s">
        <v>4419</v>
      </c>
    </row>
    <row r="184" spans="2:11" x14ac:dyDescent="0.25">
      <c r="B184" s="637" t="s">
        <v>4039</v>
      </c>
      <c r="C184" s="637"/>
      <c r="D184" s="769" t="s">
        <v>4420</v>
      </c>
      <c r="E184" s="769" t="s">
        <v>4421</v>
      </c>
      <c r="F184" s="637"/>
      <c r="G184" s="637"/>
      <c r="H184" s="637"/>
      <c r="I184" s="637"/>
      <c r="J184" s="637"/>
      <c r="K184" s="637" t="s">
        <v>4422</v>
      </c>
    </row>
    <row r="185" spans="2:11" x14ac:dyDescent="0.25">
      <c r="B185" s="637" t="s">
        <v>4039</v>
      </c>
      <c r="C185" s="637"/>
      <c r="D185" s="769" t="s">
        <v>4423</v>
      </c>
      <c r="E185" s="769" t="s">
        <v>4424</v>
      </c>
      <c r="F185" s="637"/>
      <c r="G185" s="637"/>
      <c r="H185" s="637"/>
      <c r="I185" s="637"/>
      <c r="J185" s="637"/>
      <c r="K185" s="637" t="s">
        <v>4425</v>
      </c>
    </row>
    <row r="186" spans="2:11" x14ac:dyDescent="0.25">
      <c r="B186" s="637" t="s">
        <v>4039</v>
      </c>
      <c r="C186" s="637"/>
      <c r="D186" s="769" t="s">
        <v>4426</v>
      </c>
      <c r="E186" s="769" t="s">
        <v>4427</v>
      </c>
      <c r="F186" s="637"/>
      <c r="G186" s="637"/>
      <c r="H186" s="637"/>
      <c r="I186" s="637"/>
      <c r="J186" s="637"/>
      <c r="K186" s="637" t="s">
        <v>4428</v>
      </c>
    </row>
    <row r="187" spans="2:11" x14ac:dyDescent="0.25">
      <c r="B187" s="637" t="s">
        <v>4041</v>
      </c>
      <c r="C187" s="637"/>
      <c r="D187" s="769" t="s">
        <v>4429</v>
      </c>
      <c r="E187" s="769" t="s">
        <v>4430</v>
      </c>
      <c r="F187" s="637"/>
      <c r="G187" s="637"/>
      <c r="H187" s="637"/>
      <c r="I187" s="637"/>
      <c r="J187" s="637"/>
      <c r="K187" s="637" t="s">
        <v>4431</v>
      </c>
    </row>
    <row r="188" spans="2:11" x14ac:dyDescent="0.25">
      <c r="B188" s="637" t="s">
        <v>4041</v>
      </c>
      <c r="C188" s="637"/>
      <c r="D188" s="769" t="s">
        <v>4432</v>
      </c>
      <c r="E188" s="769" t="s">
        <v>2866</v>
      </c>
      <c r="F188" s="637"/>
      <c r="G188" s="637"/>
      <c r="H188" s="637"/>
      <c r="I188" s="637"/>
      <c r="J188" s="637"/>
      <c r="K188" s="637" t="s">
        <v>4433</v>
      </c>
    </row>
    <row r="189" spans="2:11" x14ac:dyDescent="0.25">
      <c r="B189" s="637" t="s">
        <v>4041</v>
      </c>
      <c r="C189" s="637"/>
      <c r="D189" s="769" t="s">
        <v>4434</v>
      </c>
      <c r="E189" s="769" t="s">
        <v>4435</v>
      </c>
      <c r="F189" s="637"/>
      <c r="G189" s="637"/>
      <c r="H189" s="637"/>
      <c r="I189" s="637"/>
      <c r="J189" s="637"/>
      <c r="K189" s="637" t="s">
        <v>4436</v>
      </c>
    </row>
    <row r="190" spans="2:11" x14ac:dyDescent="0.25">
      <c r="B190" s="637" t="s">
        <v>4041</v>
      </c>
      <c r="C190" s="637"/>
      <c r="D190" s="769" t="s">
        <v>4437</v>
      </c>
      <c r="E190" s="769" t="s">
        <v>4438</v>
      </c>
      <c r="F190" s="637"/>
      <c r="G190" s="637"/>
      <c r="H190" s="637"/>
      <c r="I190" s="637"/>
      <c r="J190" s="637"/>
      <c r="K190" s="637" t="s">
        <v>4439</v>
      </c>
    </row>
    <row r="191" spans="2:11" x14ac:dyDescent="0.25">
      <c r="B191" s="637" t="s">
        <v>4041</v>
      </c>
      <c r="C191" s="637"/>
      <c r="D191" s="769" t="s">
        <v>4440</v>
      </c>
      <c r="E191" s="769" t="s">
        <v>4441</v>
      </c>
      <c r="F191" s="637"/>
      <c r="G191" s="637"/>
      <c r="H191" s="637"/>
      <c r="I191" s="637"/>
      <c r="J191" s="637"/>
      <c r="K191" s="637" t="s">
        <v>4442</v>
      </c>
    </row>
    <row r="192" spans="2:11" x14ac:dyDescent="0.25">
      <c r="B192" s="637" t="s">
        <v>4041</v>
      </c>
      <c r="C192" s="637"/>
      <c r="D192" s="769" t="s">
        <v>4443</v>
      </c>
      <c r="E192" s="769" t="s">
        <v>4444</v>
      </c>
      <c r="F192" s="637"/>
      <c r="G192" s="637"/>
      <c r="H192" s="637"/>
      <c r="I192" s="637"/>
      <c r="J192" s="637"/>
      <c r="K192" s="637" t="s">
        <v>4445</v>
      </c>
    </row>
    <row r="193" spans="2:11" x14ac:dyDescent="0.25">
      <c r="B193" s="637" t="s">
        <v>4041</v>
      </c>
      <c r="C193" s="637"/>
      <c r="D193" s="769" t="s">
        <v>4446</v>
      </c>
      <c r="E193" s="769" t="s">
        <v>4447</v>
      </c>
      <c r="F193" s="637"/>
      <c r="G193" s="637"/>
      <c r="H193" s="637"/>
      <c r="I193" s="637"/>
      <c r="J193" s="637"/>
      <c r="K193" s="637" t="s">
        <v>4448</v>
      </c>
    </row>
    <row r="194" spans="2:11" x14ac:dyDescent="0.25">
      <c r="B194" s="637" t="s">
        <v>4041</v>
      </c>
      <c r="C194" s="637"/>
      <c r="D194" s="769" t="s">
        <v>4449</v>
      </c>
      <c r="E194" s="769" t="s">
        <v>4450</v>
      </c>
      <c r="F194" s="637"/>
      <c r="G194" s="637"/>
      <c r="H194" s="637"/>
      <c r="I194" s="637"/>
      <c r="J194" s="637"/>
      <c r="K194" s="637" t="s">
        <v>4451</v>
      </c>
    </row>
    <row r="195" spans="2:11" x14ac:dyDescent="0.25">
      <c r="B195" s="637" t="s">
        <v>4041</v>
      </c>
      <c r="C195" s="637"/>
      <c r="D195" s="769" t="s">
        <v>4452</v>
      </c>
      <c r="E195" s="769" t="s">
        <v>4453</v>
      </c>
      <c r="F195" s="637"/>
      <c r="G195" s="637"/>
      <c r="H195" s="637"/>
      <c r="I195" s="637"/>
      <c r="J195" s="637"/>
      <c r="K195" s="637" t="s">
        <v>4454</v>
      </c>
    </row>
    <row r="196" spans="2:11" x14ac:dyDescent="0.25">
      <c r="B196" s="637" t="s">
        <v>4041</v>
      </c>
      <c r="C196" s="637"/>
      <c r="D196" s="769" t="s">
        <v>4455</v>
      </c>
      <c r="E196" s="769" t="s">
        <v>4456</v>
      </c>
      <c r="F196" s="637"/>
      <c r="G196" s="637"/>
      <c r="H196" s="637"/>
      <c r="I196" s="637"/>
      <c r="J196" s="637"/>
      <c r="K196" s="637" t="s">
        <v>4457</v>
      </c>
    </row>
    <row r="197" spans="2:11" x14ac:dyDescent="0.25">
      <c r="B197" s="637" t="s">
        <v>4043</v>
      </c>
      <c r="C197" s="637"/>
      <c r="D197" s="769" t="s">
        <v>4458</v>
      </c>
      <c r="E197" s="769" t="s">
        <v>2838</v>
      </c>
      <c r="F197" s="637"/>
      <c r="G197" s="637"/>
      <c r="H197" s="637"/>
      <c r="I197" s="637"/>
      <c r="J197" s="637"/>
      <c r="K197" s="637" t="s">
        <v>4459</v>
      </c>
    </row>
    <row r="198" spans="2:11" x14ac:dyDescent="0.25">
      <c r="B198" s="637" t="s">
        <v>4058</v>
      </c>
      <c r="C198" s="637"/>
      <c r="D198" s="769" t="s">
        <v>4460</v>
      </c>
      <c r="E198" s="769" t="s">
        <v>4461</v>
      </c>
      <c r="F198" s="637"/>
      <c r="G198" s="637"/>
      <c r="H198" s="637"/>
      <c r="I198" s="637"/>
      <c r="J198" s="637"/>
      <c r="K198" s="637" t="s">
        <v>4462</v>
      </c>
    </row>
    <row r="199" spans="2:11" x14ac:dyDescent="0.25">
      <c r="B199" s="637" t="s">
        <v>4058</v>
      </c>
      <c r="C199" s="637"/>
      <c r="D199" s="769" t="s">
        <v>4463</v>
      </c>
      <c r="E199" s="769" t="s">
        <v>4464</v>
      </c>
      <c r="F199" s="637"/>
      <c r="G199" s="637"/>
      <c r="H199" s="637"/>
      <c r="I199" s="637"/>
      <c r="J199" s="637"/>
      <c r="K199" s="637" t="s">
        <v>4465</v>
      </c>
    </row>
    <row r="200" spans="2:11" x14ac:dyDescent="0.25">
      <c r="B200" s="637" t="s">
        <v>4058</v>
      </c>
      <c r="C200" s="637"/>
      <c r="D200" s="769" t="s">
        <v>4466</v>
      </c>
      <c r="E200" s="769" t="s">
        <v>4467</v>
      </c>
      <c r="F200" s="637"/>
      <c r="G200" s="637"/>
      <c r="H200" s="637"/>
      <c r="I200" s="637"/>
      <c r="J200" s="637"/>
      <c r="K200" s="637" t="s">
        <v>4468</v>
      </c>
    </row>
    <row r="201" spans="2:11" x14ac:dyDescent="0.25">
      <c r="B201" s="637" t="s">
        <v>4058</v>
      </c>
      <c r="C201" s="637"/>
      <c r="D201" s="769" t="s">
        <v>4469</v>
      </c>
      <c r="E201" s="769" t="s">
        <v>4470</v>
      </c>
      <c r="F201" s="637"/>
      <c r="G201" s="637"/>
      <c r="H201" s="637"/>
      <c r="I201" s="637"/>
      <c r="J201" s="637"/>
      <c r="K201" s="637" t="s">
        <v>4471</v>
      </c>
    </row>
    <row r="202" spans="2:11" x14ac:dyDescent="0.25">
      <c r="B202" s="637" t="s">
        <v>4058</v>
      </c>
      <c r="C202" s="637"/>
      <c r="D202" s="769" t="s">
        <v>4472</v>
      </c>
      <c r="E202" s="769" t="s">
        <v>4473</v>
      </c>
      <c r="F202" s="637"/>
      <c r="G202" s="637"/>
      <c r="H202" s="637"/>
      <c r="I202" s="637"/>
      <c r="J202" s="637"/>
      <c r="K202" s="637" t="s">
        <v>4474</v>
      </c>
    </row>
    <row r="203" spans="2:11" x14ac:dyDescent="0.25">
      <c r="B203" s="637" t="s">
        <v>4058</v>
      </c>
      <c r="C203" s="637"/>
      <c r="D203" s="769" t="s">
        <v>4475</v>
      </c>
      <c r="E203" s="769" t="s">
        <v>2819</v>
      </c>
      <c r="F203" s="637"/>
      <c r="G203" s="637"/>
      <c r="H203" s="637"/>
      <c r="I203" s="637"/>
      <c r="J203" s="637"/>
      <c r="K203" s="637" t="s">
        <v>4476</v>
      </c>
    </row>
    <row r="204" spans="2:11" x14ac:dyDescent="0.25">
      <c r="B204" s="637" t="s">
        <v>4058</v>
      </c>
      <c r="C204" s="637"/>
      <c r="D204" s="769" t="s">
        <v>4477</v>
      </c>
      <c r="E204" s="769" t="s">
        <v>2821</v>
      </c>
      <c r="F204" s="637"/>
      <c r="G204" s="637"/>
      <c r="H204" s="637"/>
      <c r="I204" s="637"/>
      <c r="J204" s="637"/>
      <c r="K204" s="637" t="s">
        <v>4478</v>
      </c>
    </row>
    <row r="205" spans="2:11" x14ac:dyDescent="0.25">
      <c r="B205" s="637" t="s">
        <v>4058</v>
      </c>
      <c r="C205" s="637"/>
      <c r="D205" s="769" t="s">
        <v>4479</v>
      </c>
      <c r="E205" s="769" t="s">
        <v>4480</v>
      </c>
      <c r="F205" s="637"/>
      <c r="G205" s="637"/>
      <c r="H205" s="637"/>
      <c r="I205" s="637"/>
      <c r="J205" s="637"/>
      <c r="K205" s="637" t="s">
        <v>4481</v>
      </c>
    </row>
    <row r="206" spans="2:11" x14ac:dyDescent="0.25">
      <c r="B206" s="637" t="s">
        <v>4058</v>
      </c>
      <c r="C206" s="637"/>
      <c r="D206" s="769" t="s">
        <v>4482</v>
      </c>
      <c r="E206" s="769" t="s">
        <v>4483</v>
      </c>
      <c r="F206" s="637"/>
      <c r="G206" s="637"/>
      <c r="H206" s="637"/>
      <c r="I206" s="637"/>
      <c r="J206" s="637"/>
      <c r="K206" s="637" t="s">
        <v>4484</v>
      </c>
    </row>
    <row r="207" spans="2:11" x14ac:dyDescent="0.25">
      <c r="B207" s="637" t="s">
        <v>4058</v>
      </c>
      <c r="C207" s="637"/>
      <c r="D207" s="769" t="s">
        <v>4485</v>
      </c>
      <c r="E207" s="769" t="s">
        <v>4486</v>
      </c>
      <c r="F207" s="637"/>
      <c r="G207" s="637"/>
      <c r="H207" s="637"/>
      <c r="I207" s="637"/>
      <c r="J207" s="637"/>
      <c r="K207" s="637" t="s">
        <v>4487</v>
      </c>
    </row>
    <row r="208" spans="2:11" x14ac:dyDescent="0.25">
      <c r="B208" s="637" t="s">
        <v>4058</v>
      </c>
      <c r="C208" s="637"/>
      <c r="D208" s="769" t="s">
        <v>4488</v>
      </c>
      <c r="E208" s="769" t="s">
        <v>2823</v>
      </c>
      <c r="F208" s="637"/>
      <c r="G208" s="637"/>
      <c r="H208" s="637"/>
      <c r="I208" s="637"/>
      <c r="J208" s="637"/>
      <c r="K208" s="637" t="s">
        <v>4489</v>
      </c>
    </row>
    <row r="209" spans="2:11" x14ac:dyDescent="0.25">
      <c r="B209" s="637" t="s">
        <v>4061</v>
      </c>
      <c r="C209" s="637"/>
      <c r="D209" s="769" t="s">
        <v>4490</v>
      </c>
      <c r="E209" s="769" t="s">
        <v>4491</v>
      </c>
      <c r="F209" s="637"/>
      <c r="G209" s="637"/>
      <c r="H209" s="637"/>
      <c r="I209" s="637"/>
      <c r="J209" s="637"/>
      <c r="K209" s="637" t="s">
        <v>4492</v>
      </c>
    </row>
    <row r="210" spans="2:11" x14ac:dyDescent="0.25">
      <c r="B210" s="637" t="s">
        <v>4061</v>
      </c>
      <c r="C210" s="637"/>
      <c r="D210" s="769" t="s">
        <v>4493</v>
      </c>
      <c r="E210" s="769" t="s">
        <v>4494</v>
      </c>
      <c r="F210" s="637"/>
      <c r="G210" s="637"/>
      <c r="H210" s="637"/>
      <c r="I210" s="637"/>
      <c r="J210" s="637"/>
      <c r="K210" s="637" t="s">
        <v>4495</v>
      </c>
    </row>
    <row r="211" spans="2:11" x14ac:dyDescent="0.25">
      <c r="B211" s="637" t="s">
        <v>4061</v>
      </c>
      <c r="C211" s="637"/>
      <c r="D211" s="769" t="s">
        <v>4496</v>
      </c>
      <c r="E211" s="769" t="s">
        <v>4497</v>
      </c>
      <c r="F211" s="637"/>
      <c r="G211" s="637"/>
      <c r="H211" s="637"/>
      <c r="I211" s="637"/>
      <c r="J211" s="637"/>
      <c r="K211" s="637" t="s">
        <v>4498</v>
      </c>
    </row>
    <row r="212" spans="2:11" x14ac:dyDescent="0.25">
      <c r="B212" s="637" t="s">
        <v>4061</v>
      </c>
      <c r="C212" s="637"/>
      <c r="D212" s="769" t="s">
        <v>4499</v>
      </c>
      <c r="E212" s="769" t="s">
        <v>4500</v>
      </c>
      <c r="F212" s="637"/>
      <c r="G212" s="637"/>
      <c r="H212" s="637"/>
      <c r="I212" s="637"/>
      <c r="J212" s="637"/>
      <c r="K212" s="637" t="s">
        <v>4501</v>
      </c>
    </row>
    <row r="213" spans="2:11" x14ac:dyDescent="0.25">
      <c r="B213" s="637" t="s">
        <v>4061</v>
      </c>
      <c r="C213" s="637"/>
      <c r="D213" s="769" t="s">
        <v>4502</v>
      </c>
      <c r="E213" s="769" t="s">
        <v>4503</v>
      </c>
      <c r="F213" s="637"/>
      <c r="G213" s="637"/>
      <c r="H213" s="637"/>
      <c r="I213" s="637"/>
      <c r="J213" s="637"/>
      <c r="K213" s="637" t="s">
        <v>4504</v>
      </c>
    </row>
    <row r="214" spans="2:11" x14ac:dyDescent="0.25">
      <c r="B214" s="637" t="s">
        <v>4061</v>
      </c>
      <c r="C214" s="637"/>
      <c r="D214" s="769" t="s">
        <v>4505</v>
      </c>
      <c r="E214" s="769" t="s">
        <v>4506</v>
      </c>
      <c r="F214" s="637"/>
      <c r="G214" s="637"/>
      <c r="H214" s="637"/>
      <c r="I214" s="637"/>
      <c r="J214" s="637"/>
      <c r="K214" s="637" t="s">
        <v>4507</v>
      </c>
    </row>
    <row r="215" spans="2:11" x14ac:dyDescent="0.25">
      <c r="B215" s="637" t="s">
        <v>4061</v>
      </c>
      <c r="C215" s="637"/>
      <c r="D215" s="769" t="s">
        <v>4508</v>
      </c>
      <c r="E215" s="769" t="s">
        <v>4509</v>
      </c>
      <c r="F215" s="637"/>
      <c r="G215" s="637"/>
      <c r="H215" s="637"/>
      <c r="I215" s="637"/>
      <c r="J215" s="637"/>
      <c r="K215" s="637" t="s">
        <v>4510</v>
      </c>
    </row>
    <row r="216" spans="2:11" x14ac:dyDescent="0.25">
      <c r="B216" s="637" t="s">
        <v>4061</v>
      </c>
      <c r="C216" s="637"/>
      <c r="D216" s="769" t="s">
        <v>4511</v>
      </c>
      <c r="E216" s="769" t="s">
        <v>4512</v>
      </c>
      <c r="F216" s="637"/>
      <c r="G216" s="637"/>
      <c r="H216" s="637"/>
      <c r="I216" s="637"/>
      <c r="J216" s="637"/>
      <c r="K216" s="637" t="s">
        <v>4513</v>
      </c>
    </row>
    <row r="217" spans="2:11" x14ac:dyDescent="0.25">
      <c r="B217" s="637" t="s">
        <v>4064</v>
      </c>
      <c r="C217" s="637"/>
      <c r="D217" s="769" t="s">
        <v>4514</v>
      </c>
      <c r="E217" s="769" t="s">
        <v>4515</v>
      </c>
      <c r="F217" s="637"/>
      <c r="G217" s="637"/>
      <c r="H217" s="637"/>
      <c r="I217" s="637"/>
      <c r="J217" s="637"/>
      <c r="K217" s="637" t="s">
        <v>4516</v>
      </c>
    </row>
    <row r="218" spans="2:11" x14ac:dyDescent="0.25">
      <c r="B218" s="637" t="s">
        <v>4064</v>
      </c>
      <c r="C218" s="637"/>
      <c r="D218" s="769" t="s">
        <v>4517</v>
      </c>
      <c r="E218" s="769" t="s">
        <v>4518</v>
      </c>
      <c r="F218" s="637"/>
      <c r="G218" s="637"/>
      <c r="H218" s="637"/>
      <c r="I218" s="637"/>
      <c r="J218" s="637"/>
      <c r="K218" s="637" t="s">
        <v>4519</v>
      </c>
    </row>
    <row r="220" spans="2:11" x14ac:dyDescent="0.25">
      <c r="B220" s="435" t="s">
        <v>2943</v>
      </c>
    </row>
    <row r="221" spans="2:11" x14ac:dyDescent="0.25">
      <c r="B221" s="637" t="s">
        <v>4069</v>
      </c>
      <c r="C221" s="637" t="s">
        <v>2673</v>
      </c>
      <c r="D221" s="637" t="s">
        <v>2678</v>
      </c>
      <c r="E221" s="637" t="s">
        <v>4520</v>
      </c>
      <c r="F221" s="637"/>
      <c r="G221" s="637" t="s">
        <v>122</v>
      </c>
    </row>
    <row r="222" spans="2:11" hidden="1" x14ac:dyDescent="0.25">
      <c r="B222" s="769" t="s">
        <v>3999</v>
      </c>
      <c r="C222" s="891" t="s">
        <v>2677</v>
      </c>
      <c r="D222" s="891" t="s">
        <v>2680</v>
      </c>
      <c r="E222" s="637" t="str">
        <f>C222 &amp; "." &amp; D222 &amp; " " &amp; B222</f>
        <v>[Cost Grouping Number].[Cost Input Number] [Name]</v>
      </c>
      <c r="F222" s="637"/>
      <c r="G222" s="637" t="s">
        <v>371</v>
      </c>
    </row>
    <row r="223" spans="2:11" x14ac:dyDescent="0.25">
      <c r="B223" s="769" t="s">
        <v>4521</v>
      </c>
      <c r="C223" s="891">
        <v>1</v>
      </c>
      <c r="D223" s="891">
        <v>3</v>
      </c>
      <c r="E223" s="637" t="str">
        <f t="shared" ref="E223:E286" si="0">C223 &amp; "." &amp; D223 &amp; " " &amp; B223</f>
        <v>1.3 Performance-based supplements, incentives</v>
      </c>
      <c r="F223" s="637"/>
      <c r="G223" s="637" t="s">
        <v>4522</v>
      </c>
    </row>
    <row r="224" spans="2:11" x14ac:dyDescent="0.25">
      <c r="B224" s="769" t="s">
        <v>4523</v>
      </c>
      <c r="C224" s="891">
        <v>1</v>
      </c>
      <c r="D224" s="891">
        <v>4</v>
      </c>
      <c r="E224" s="637" t="str">
        <f t="shared" si="0"/>
        <v>1.4 Other HR Costs</v>
      </c>
      <c r="F224" s="637"/>
      <c r="G224" s="637" t="s">
        <v>4524</v>
      </c>
    </row>
    <row r="225" spans="2:7" x14ac:dyDescent="0.25">
      <c r="B225" s="769" t="s">
        <v>4525</v>
      </c>
      <c r="C225" s="891">
        <v>1</v>
      </c>
      <c r="D225" s="891">
        <v>0</v>
      </c>
      <c r="E225" s="637" t="str">
        <f t="shared" si="0"/>
        <v>1.0 Human Resources (HR)</v>
      </c>
      <c r="F225" s="637"/>
      <c r="G225" s="637" t="s">
        <v>4526</v>
      </c>
    </row>
    <row r="226" spans="2:7" x14ac:dyDescent="0.25">
      <c r="B226" s="769" t="s">
        <v>4527</v>
      </c>
      <c r="C226" s="891">
        <v>1</v>
      </c>
      <c r="D226" s="891">
        <v>1</v>
      </c>
      <c r="E226" s="637" t="str">
        <f t="shared" si="0"/>
        <v>1.1 Salaries - program management</v>
      </c>
      <c r="F226" s="637"/>
      <c r="G226" s="637" t="s">
        <v>4528</v>
      </c>
    </row>
    <row r="227" spans="2:7" x14ac:dyDescent="0.25">
      <c r="B227" s="769" t="s">
        <v>4529</v>
      </c>
      <c r="C227" s="891">
        <v>1</v>
      </c>
      <c r="D227" s="891">
        <v>2</v>
      </c>
      <c r="E227" s="637" t="str">
        <f t="shared" si="0"/>
        <v>1.2 Salaries - outreach workers, medical staff and other service providers</v>
      </c>
      <c r="F227" s="637"/>
      <c r="G227" s="637" t="s">
        <v>4530</v>
      </c>
    </row>
    <row r="228" spans="2:7" x14ac:dyDescent="0.25">
      <c r="B228" s="769" t="s">
        <v>4531</v>
      </c>
      <c r="C228" s="891">
        <v>2</v>
      </c>
      <c r="D228" s="891">
        <v>4</v>
      </c>
      <c r="E228" s="637" t="str">
        <f t="shared" si="0"/>
        <v>2.4 Meeting/Advocacy related per diems/transport/other costs</v>
      </c>
      <c r="F228" s="637"/>
      <c r="G228" s="637" t="s">
        <v>4532</v>
      </c>
    </row>
    <row r="229" spans="2:7" x14ac:dyDescent="0.25">
      <c r="B229" s="769" t="s">
        <v>4533</v>
      </c>
      <c r="C229" s="891">
        <v>2</v>
      </c>
      <c r="D229" s="891">
        <v>0</v>
      </c>
      <c r="E229" s="637" t="str">
        <f t="shared" si="0"/>
        <v>2.0 Travel related costs (TRC)</v>
      </c>
      <c r="F229" s="637"/>
      <c r="G229" s="637" t="s">
        <v>4534</v>
      </c>
    </row>
    <row r="230" spans="2:7" x14ac:dyDescent="0.25">
      <c r="B230" s="769" t="s">
        <v>4535</v>
      </c>
      <c r="C230" s="891">
        <v>2</v>
      </c>
      <c r="D230" s="891">
        <v>1</v>
      </c>
      <c r="E230" s="637" t="str">
        <f t="shared" si="0"/>
        <v>2.1 Training related per diems/transport/other costs</v>
      </c>
      <c r="F230" s="637"/>
      <c r="G230" s="637" t="s">
        <v>4536</v>
      </c>
    </row>
    <row r="231" spans="2:7" x14ac:dyDescent="0.25">
      <c r="B231" s="769" t="s">
        <v>4537</v>
      </c>
      <c r="C231" s="891">
        <v>2</v>
      </c>
      <c r="D231" s="891">
        <v>2</v>
      </c>
      <c r="E231" s="637" t="str">
        <f t="shared" si="0"/>
        <v>2.2 Technical assistance-related per diems/transport/other costs</v>
      </c>
      <c r="F231" s="637"/>
      <c r="G231" s="637" t="s">
        <v>4538</v>
      </c>
    </row>
    <row r="232" spans="2:7" x14ac:dyDescent="0.25">
      <c r="B232" s="769" t="s">
        <v>4539</v>
      </c>
      <c r="C232" s="891">
        <v>2</v>
      </c>
      <c r="D232" s="891">
        <v>3</v>
      </c>
      <c r="E232" s="637" t="str">
        <f t="shared" si="0"/>
        <v>2.3 Supervision/surveys/data collection related per diems/transport/other costs</v>
      </c>
      <c r="F232" s="637"/>
      <c r="G232" s="637" t="s">
        <v>4540</v>
      </c>
    </row>
    <row r="233" spans="2:7" x14ac:dyDescent="0.25">
      <c r="B233" s="769" t="s">
        <v>4541</v>
      </c>
      <c r="C233" s="891">
        <v>2</v>
      </c>
      <c r="D233" s="891">
        <v>5</v>
      </c>
      <c r="E233" s="637" t="str">
        <f t="shared" si="0"/>
        <v>2.5 Other Transportation costs</v>
      </c>
      <c r="F233" s="637"/>
      <c r="G233" s="637" t="s">
        <v>4542</v>
      </c>
    </row>
    <row r="234" spans="2:7" x14ac:dyDescent="0.25">
      <c r="B234" s="769" t="s">
        <v>4543</v>
      </c>
      <c r="C234" s="891">
        <v>3</v>
      </c>
      <c r="D234" s="891">
        <v>5</v>
      </c>
      <c r="E234" s="637" t="str">
        <f t="shared" si="0"/>
        <v>3.5 Insurance related costs</v>
      </c>
      <c r="F234" s="637"/>
      <c r="G234" s="637" t="s">
        <v>4544</v>
      </c>
    </row>
    <row r="235" spans="2:7" x14ac:dyDescent="0.25">
      <c r="B235" s="769" t="s">
        <v>4545</v>
      </c>
      <c r="C235" s="891">
        <v>3</v>
      </c>
      <c r="D235" s="891">
        <v>0</v>
      </c>
      <c r="E235" s="637" t="str">
        <f t="shared" si="0"/>
        <v>3.0 External Professional services (EPS)</v>
      </c>
      <c r="F235" s="637"/>
      <c r="G235" s="637" t="s">
        <v>4546</v>
      </c>
    </row>
    <row r="236" spans="2:7" x14ac:dyDescent="0.25">
      <c r="B236" s="769" t="s">
        <v>4547</v>
      </c>
      <c r="C236" s="891">
        <v>3</v>
      </c>
      <c r="D236" s="891">
        <v>1</v>
      </c>
      <c r="E236" s="637" t="str">
        <f t="shared" si="0"/>
        <v>3.1 Technical Assistance Fees/Consultants</v>
      </c>
      <c r="F236" s="637"/>
      <c r="G236" s="637" t="s">
        <v>4548</v>
      </c>
    </row>
    <row r="237" spans="2:7" x14ac:dyDescent="0.25">
      <c r="B237" s="769" t="s">
        <v>4549</v>
      </c>
      <c r="C237" s="891">
        <v>3</v>
      </c>
      <c r="D237" s="891">
        <v>2</v>
      </c>
      <c r="E237" s="637" t="str">
        <f t="shared" si="0"/>
        <v>3.2 Fiscal/Fiduciary Agent fees</v>
      </c>
      <c r="F237" s="637"/>
      <c r="G237" s="637" t="s">
        <v>4550</v>
      </c>
    </row>
    <row r="238" spans="2:7" x14ac:dyDescent="0.25">
      <c r="B238" s="769" t="s">
        <v>4551</v>
      </c>
      <c r="C238" s="891">
        <v>3</v>
      </c>
      <c r="D238" s="891">
        <v>3</v>
      </c>
      <c r="E238" s="637" t="str">
        <f t="shared" si="0"/>
        <v>3.3 External audit fees</v>
      </c>
      <c r="F238" s="637"/>
      <c r="G238" s="637" t="s">
        <v>4552</v>
      </c>
    </row>
    <row r="239" spans="2:7" x14ac:dyDescent="0.25">
      <c r="B239" s="769" t="s">
        <v>4553</v>
      </c>
      <c r="C239" s="891">
        <v>3</v>
      </c>
      <c r="D239" s="891">
        <v>4</v>
      </c>
      <c r="E239" s="637" t="str">
        <f t="shared" si="0"/>
        <v>3.4 Other external professional services</v>
      </c>
      <c r="F239" s="637"/>
      <c r="G239" s="637" t="s">
        <v>4554</v>
      </c>
    </row>
    <row r="240" spans="2:7" x14ac:dyDescent="0.25">
      <c r="B240" s="769" t="s">
        <v>4555</v>
      </c>
      <c r="C240" s="891">
        <v>4</v>
      </c>
      <c r="D240" s="891">
        <v>7</v>
      </c>
      <c r="E240" s="637" t="str">
        <f t="shared" si="0"/>
        <v>4.7 Other medicines</v>
      </c>
      <c r="F240" s="637"/>
      <c r="G240" s="637" t="s">
        <v>4556</v>
      </c>
    </row>
    <row r="241" spans="2:7" x14ac:dyDescent="0.25">
      <c r="B241" s="769" t="s">
        <v>4557</v>
      </c>
      <c r="C241" s="891">
        <v>4</v>
      </c>
      <c r="D241" s="891">
        <v>0</v>
      </c>
      <c r="E241" s="637" t="str">
        <f t="shared" si="0"/>
        <v>4.0 Health Products - Pharmaceutical Products (HPPP)</v>
      </c>
      <c r="F241" s="637"/>
      <c r="G241" s="637" t="s">
        <v>4558</v>
      </c>
    </row>
    <row r="242" spans="2:7" x14ac:dyDescent="0.25">
      <c r="B242" s="769" t="s">
        <v>4559</v>
      </c>
      <c r="C242" s="891">
        <v>4</v>
      </c>
      <c r="D242" s="891">
        <v>1</v>
      </c>
      <c r="E242" s="637" t="str">
        <f t="shared" si="0"/>
        <v>4.1 Antiretroviral medicines</v>
      </c>
      <c r="F242" s="637"/>
      <c r="G242" s="637" t="s">
        <v>4560</v>
      </c>
    </row>
    <row r="243" spans="2:7" x14ac:dyDescent="0.25">
      <c r="B243" s="769" t="s">
        <v>4561</v>
      </c>
      <c r="C243" s="891">
        <v>4</v>
      </c>
      <c r="D243" s="891">
        <v>2</v>
      </c>
      <c r="E243" s="637" t="str">
        <f t="shared" si="0"/>
        <v>4.2 Anti-tuberculosis medicines</v>
      </c>
      <c r="F243" s="637"/>
      <c r="G243" s="637" t="s">
        <v>4562</v>
      </c>
    </row>
    <row r="244" spans="2:7" x14ac:dyDescent="0.25">
      <c r="B244" s="769" t="s">
        <v>4563</v>
      </c>
      <c r="C244" s="891">
        <v>4</v>
      </c>
      <c r="D244" s="891">
        <v>3</v>
      </c>
      <c r="E244" s="637" t="str">
        <f t="shared" si="0"/>
        <v>4.3 Antimalarial medicines</v>
      </c>
      <c r="F244" s="637"/>
      <c r="G244" s="637" t="s">
        <v>4564</v>
      </c>
    </row>
    <row r="245" spans="2:7" x14ac:dyDescent="0.25">
      <c r="B245" s="769" t="s">
        <v>4565</v>
      </c>
      <c r="C245" s="891">
        <v>4</v>
      </c>
      <c r="D245" s="891">
        <v>4</v>
      </c>
      <c r="E245" s="637" t="str">
        <f t="shared" si="0"/>
        <v>4.4 Opioid substitutes medicines</v>
      </c>
      <c r="F245" s="637"/>
      <c r="G245" s="637" t="s">
        <v>4566</v>
      </c>
    </row>
    <row r="246" spans="2:7" x14ac:dyDescent="0.25">
      <c r="B246" s="769" t="s">
        <v>4567</v>
      </c>
      <c r="C246" s="891">
        <v>4</v>
      </c>
      <c r="D246" s="891">
        <v>5</v>
      </c>
      <c r="E246" s="637" t="str">
        <f t="shared" si="0"/>
        <v>4.5 Opportunistic infections and STI medicines</v>
      </c>
      <c r="F246" s="637"/>
      <c r="G246" s="637" t="s">
        <v>4568</v>
      </c>
    </row>
    <row r="247" spans="2:7" x14ac:dyDescent="0.25">
      <c r="B247" s="769" t="s">
        <v>4569</v>
      </c>
      <c r="C247" s="891">
        <v>4</v>
      </c>
      <c r="D247" s="891">
        <v>6</v>
      </c>
      <c r="E247" s="637" t="str">
        <f t="shared" si="0"/>
        <v>4.6 Private Sector subsidies for ACTs (co-payment to 4.3)</v>
      </c>
      <c r="F247" s="637"/>
      <c r="G247" s="637" t="s">
        <v>4570</v>
      </c>
    </row>
    <row r="248" spans="2:7" x14ac:dyDescent="0.25">
      <c r="B248" s="769" t="s">
        <v>4571</v>
      </c>
      <c r="C248" s="891">
        <v>5</v>
      </c>
      <c r="D248" s="891">
        <v>0</v>
      </c>
      <c r="E248" s="637" t="str">
        <f t="shared" si="0"/>
        <v>5.0 Health Products - Non-Pharmaceuticals (HPNP)</v>
      </c>
      <c r="F248" s="637"/>
      <c r="G248" s="637" t="s">
        <v>4572</v>
      </c>
    </row>
    <row r="249" spans="2:7" x14ac:dyDescent="0.25">
      <c r="B249" s="769" t="s">
        <v>4573</v>
      </c>
      <c r="C249" s="891">
        <v>5</v>
      </c>
      <c r="D249" s="891">
        <v>1</v>
      </c>
      <c r="E249" s="637" t="str">
        <f t="shared" si="0"/>
        <v>5.1 Insecticide-treated Nets (LLINs/ITNs)</v>
      </c>
      <c r="F249" s="637"/>
      <c r="G249" s="637" t="s">
        <v>4574</v>
      </c>
    </row>
    <row r="250" spans="2:7" x14ac:dyDescent="0.25">
      <c r="B250" s="769" t="s">
        <v>4575</v>
      </c>
      <c r="C250" s="891">
        <v>5</v>
      </c>
      <c r="D250" s="891">
        <v>2</v>
      </c>
      <c r="E250" s="637" t="str">
        <f t="shared" si="0"/>
        <v>5.2 Condoms - Male</v>
      </c>
      <c r="F250" s="637"/>
      <c r="G250" s="637" t="s">
        <v>4576</v>
      </c>
    </row>
    <row r="251" spans="2:7" x14ac:dyDescent="0.25">
      <c r="B251" s="769" t="s">
        <v>4577</v>
      </c>
      <c r="C251" s="891">
        <v>5</v>
      </c>
      <c r="D251" s="891">
        <v>3</v>
      </c>
      <c r="E251" s="637" t="str">
        <f t="shared" si="0"/>
        <v>5.3 Condoms - Female</v>
      </c>
      <c r="F251" s="637"/>
      <c r="G251" s="637" t="s">
        <v>4578</v>
      </c>
    </row>
    <row r="252" spans="2:7" x14ac:dyDescent="0.25">
      <c r="B252" s="769" t="s">
        <v>4579</v>
      </c>
      <c r="C252" s="891">
        <v>5</v>
      </c>
      <c r="D252" s="891">
        <v>4</v>
      </c>
      <c r="E252" s="637" t="str">
        <f t="shared" si="0"/>
        <v>5.4 Rapid Diagnostic Test</v>
      </c>
      <c r="F252" s="637"/>
      <c r="G252" s="637" t="s">
        <v>4580</v>
      </c>
    </row>
    <row r="253" spans="2:7" x14ac:dyDescent="0.25">
      <c r="B253" s="769" t="s">
        <v>4581</v>
      </c>
      <c r="C253" s="891">
        <v>5</v>
      </c>
      <c r="D253" s="891">
        <v>5</v>
      </c>
      <c r="E253" s="637" t="str">
        <f t="shared" si="0"/>
        <v>5.5 Insecticides</v>
      </c>
      <c r="F253" s="637"/>
      <c r="G253" s="637" t="s">
        <v>4582</v>
      </c>
    </row>
    <row r="254" spans="2:7" x14ac:dyDescent="0.25">
      <c r="B254" s="769" t="s">
        <v>4583</v>
      </c>
      <c r="C254" s="891">
        <v>5</v>
      </c>
      <c r="D254" s="891">
        <v>6</v>
      </c>
      <c r="E254" s="637" t="str">
        <f t="shared" si="0"/>
        <v>5.6 Laboratory reagents</v>
      </c>
      <c r="F254" s="637"/>
      <c r="G254" s="637" t="s">
        <v>4584</v>
      </c>
    </row>
    <row r="255" spans="2:7" x14ac:dyDescent="0.25">
      <c r="B255" s="769" t="s">
        <v>4585</v>
      </c>
      <c r="C255" s="891">
        <v>5</v>
      </c>
      <c r="D255" s="891">
        <v>7</v>
      </c>
      <c r="E255" s="637" t="str">
        <f t="shared" si="0"/>
        <v>5.7 Syringes and needles</v>
      </c>
      <c r="F255" s="637"/>
      <c r="G255" s="637" t="s">
        <v>4586</v>
      </c>
    </row>
    <row r="256" spans="2:7" x14ac:dyDescent="0.25">
      <c r="B256" s="769" t="s">
        <v>4587</v>
      </c>
      <c r="C256" s="891">
        <v>5</v>
      </c>
      <c r="D256" s="891">
        <v>8</v>
      </c>
      <c r="E256" s="637" t="str">
        <f t="shared" si="0"/>
        <v>5.8 Other consumables</v>
      </c>
      <c r="F256" s="637"/>
      <c r="G256" s="637" t="s">
        <v>4588</v>
      </c>
    </row>
    <row r="257" spans="2:7" x14ac:dyDescent="0.25">
      <c r="B257" s="769" t="s">
        <v>4589</v>
      </c>
      <c r="C257" s="891">
        <v>5</v>
      </c>
      <c r="D257" s="891">
        <v>9</v>
      </c>
      <c r="E257" s="637" t="str">
        <f t="shared" si="0"/>
        <v>5.9 Private Sector subsidies for RDTs (co-payment to 5.4)</v>
      </c>
      <c r="F257" s="637"/>
      <c r="G257" s="637" t="s">
        <v>4590</v>
      </c>
    </row>
    <row r="258" spans="2:7" x14ac:dyDescent="0.25">
      <c r="B258" s="769" t="s">
        <v>4591</v>
      </c>
      <c r="C258" s="891">
        <v>6</v>
      </c>
      <c r="D258" s="891">
        <v>0</v>
      </c>
      <c r="E258" s="637" t="str">
        <f t="shared" si="0"/>
        <v>6.0 Health Products - Equipment (HPE)</v>
      </c>
      <c r="F258" s="637"/>
      <c r="G258" s="637" t="s">
        <v>4592</v>
      </c>
    </row>
    <row r="259" spans="2:7" x14ac:dyDescent="0.25">
      <c r="B259" s="769" t="s">
        <v>4593</v>
      </c>
      <c r="C259" s="891">
        <v>6</v>
      </c>
      <c r="D259" s="891">
        <v>1</v>
      </c>
      <c r="E259" s="637" t="str">
        <f t="shared" si="0"/>
        <v>6.1 CD4 analyser/accessories</v>
      </c>
      <c r="F259" s="637"/>
      <c r="G259" s="637" t="s">
        <v>4594</v>
      </c>
    </row>
    <row r="260" spans="2:7" x14ac:dyDescent="0.25">
      <c r="B260" s="769" t="s">
        <v>4595</v>
      </c>
      <c r="C260" s="891">
        <v>6</v>
      </c>
      <c r="D260" s="891">
        <v>2</v>
      </c>
      <c r="E260" s="637" t="str">
        <f t="shared" si="0"/>
        <v>6.2 HIV Viral Load analyser/accessories</v>
      </c>
      <c r="F260" s="637"/>
      <c r="G260" s="637" t="s">
        <v>4596</v>
      </c>
    </row>
    <row r="261" spans="2:7" x14ac:dyDescent="0.25">
      <c r="B261" s="769" t="s">
        <v>4597</v>
      </c>
      <c r="C261" s="891">
        <v>6</v>
      </c>
      <c r="D261" s="891">
        <v>3</v>
      </c>
      <c r="E261" s="637" t="str">
        <f t="shared" si="0"/>
        <v>6.3 Microscopes</v>
      </c>
      <c r="F261" s="637"/>
      <c r="G261" s="637" t="s">
        <v>4598</v>
      </c>
    </row>
    <row r="262" spans="2:7" x14ac:dyDescent="0.25">
      <c r="B262" s="769" t="s">
        <v>4599</v>
      </c>
      <c r="C262" s="891">
        <v>6</v>
      </c>
      <c r="D262" s="891">
        <v>4</v>
      </c>
      <c r="E262" s="637" t="str">
        <f t="shared" si="0"/>
        <v>6.4 TB Molecular Test equipment</v>
      </c>
      <c r="F262" s="637"/>
      <c r="G262" s="637" t="s">
        <v>4600</v>
      </c>
    </row>
    <row r="263" spans="2:7" x14ac:dyDescent="0.25">
      <c r="B263" s="769" t="s">
        <v>4601</v>
      </c>
      <c r="C263" s="891">
        <v>6</v>
      </c>
      <c r="D263" s="891">
        <v>5</v>
      </c>
      <c r="E263" s="637" t="str">
        <f t="shared" si="0"/>
        <v>6.5 Maintenance and service costs for health equipment</v>
      </c>
      <c r="F263" s="637"/>
      <c r="G263" s="637" t="s">
        <v>4602</v>
      </c>
    </row>
    <row r="264" spans="2:7" x14ac:dyDescent="0.25">
      <c r="B264" s="769" t="s">
        <v>4603</v>
      </c>
      <c r="C264" s="891">
        <v>6</v>
      </c>
      <c r="D264" s="891">
        <v>6</v>
      </c>
      <c r="E264" s="637" t="str">
        <f t="shared" si="0"/>
        <v>6.6 Other health equipment</v>
      </c>
      <c r="F264" s="637"/>
      <c r="G264" s="637" t="s">
        <v>4604</v>
      </c>
    </row>
    <row r="265" spans="2:7" x14ac:dyDescent="0.25">
      <c r="B265" s="769" t="s">
        <v>4605</v>
      </c>
      <c r="C265" s="891">
        <v>7</v>
      </c>
      <c r="D265" s="891">
        <v>0</v>
      </c>
      <c r="E265" s="637" t="str">
        <f t="shared" si="0"/>
        <v>7.0 Procurement and Supply-Chain Management costs (PSM)</v>
      </c>
      <c r="F265" s="637"/>
      <c r="G265" s="637" t="s">
        <v>4606</v>
      </c>
    </row>
    <row r="266" spans="2:7" x14ac:dyDescent="0.25">
      <c r="B266" s="769" t="s">
        <v>4607</v>
      </c>
      <c r="C266" s="891">
        <v>7</v>
      </c>
      <c r="D266" s="891">
        <v>1</v>
      </c>
      <c r="E266" s="637" t="str">
        <f t="shared" si="0"/>
        <v>7.1 Procurement agent and handling fees</v>
      </c>
      <c r="F266" s="637"/>
      <c r="G266" s="637" t="s">
        <v>4608</v>
      </c>
    </row>
    <row r="267" spans="2:7" x14ac:dyDescent="0.25">
      <c r="B267" s="769" t="s">
        <v>4609</v>
      </c>
      <c r="C267" s="891">
        <v>7</v>
      </c>
      <c r="D267" s="891">
        <v>2</v>
      </c>
      <c r="E267" s="637" t="str">
        <f t="shared" si="0"/>
        <v>7.2 Freight and insurance costs (Health products)</v>
      </c>
      <c r="F267" s="637"/>
      <c r="G267" s="637" t="s">
        <v>4610</v>
      </c>
    </row>
    <row r="268" spans="2:7" x14ac:dyDescent="0.25">
      <c r="B268" s="769" t="s">
        <v>4611</v>
      </c>
      <c r="C268" s="891">
        <v>7</v>
      </c>
      <c r="D268" s="891">
        <v>3</v>
      </c>
      <c r="E268" s="637" t="str">
        <f t="shared" si="0"/>
        <v>7.3 Warehouse and Storage Costs</v>
      </c>
      <c r="F268" s="637"/>
      <c r="G268" s="637" t="s">
        <v>4612</v>
      </c>
    </row>
    <row r="269" spans="2:7" x14ac:dyDescent="0.25">
      <c r="B269" s="769" t="s">
        <v>4613</v>
      </c>
      <c r="C269" s="891">
        <v>7</v>
      </c>
      <c r="D269" s="891">
        <v>4</v>
      </c>
      <c r="E269" s="637" t="str">
        <f t="shared" si="0"/>
        <v>7.4 In-country distribution costs</v>
      </c>
      <c r="F269" s="637"/>
      <c r="G269" s="637" t="s">
        <v>4614</v>
      </c>
    </row>
    <row r="270" spans="2:7" x14ac:dyDescent="0.25">
      <c r="B270" s="769" t="s">
        <v>4615</v>
      </c>
      <c r="C270" s="891">
        <v>7</v>
      </c>
      <c r="D270" s="891">
        <v>5</v>
      </c>
      <c r="E270" s="637" t="str">
        <f t="shared" si="0"/>
        <v>7.5 Quality assurance and quality control costs (QA/QC)</v>
      </c>
      <c r="F270" s="637"/>
      <c r="G270" s="637" t="s">
        <v>4616</v>
      </c>
    </row>
    <row r="271" spans="2:7" x14ac:dyDescent="0.25">
      <c r="B271" s="769" t="s">
        <v>4617</v>
      </c>
      <c r="C271" s="891">
        <v>7</v>
      </c>
      <c r="D271" s="891">
        <v>6</v>
      </c>
      <c r="E271" s="637" t="str">
        <f t="shared" si="0"/>
        <v>7.6 PSM Customs Clearance</v>
      </c>
      <c r="F271" s="637"/>
      <c r="G271" s="637" t="s">
        <v>4618</v>
      </c>
    </row>
    <row r="272" spans="2:7" x14ac:dyDescent="0.25">
      <c r="B272" s="769" t="s">
        <v>4619</v>
      </c>
      <c r="C272" s="891">
        <v>7</v>
      </c>
      <c r="D272" s="891">
        <v>7</v>
      </c>
      <c r="E272" s="637" t="str">
        <f t="shared" si="0"/>
        <v>7.7 Other PSM costs</v>
      </c>
      <c r="F272" s="637"/>
      <c r="G272" s="637" t="s">
        <v>4620</v>
      </c>
    </row>
    <row r="273" spans="2:7" x14ac:dyDescent="0.25">
      <c r="B273" s="769" t="s">
        <v>4621</v>
      </c>
      <c r="C273" s="891">
        <v>8</v>
      </c>
      <c r="D273" s="891">
        <v>0</v>
      </c>
      <c r="E273" s="637" t="str">
        <f t="shared" si="0"/>
        <v>8.0 Infrastructure (INF)</v>
      </c>
      <c r="F273" s="637"/>
      <c r="G273" s="637" t="s">
        <v>4622</v>
      </c>
    </row>
    <row r="274" spans="2:7" x14ac:dyDescent="0.25">
      <c r="B274" s="769" t="s">
        <v>4623</v>
      </c>
      <c r="C274" s="891">
        <v>8</v>
      </c>
      <c r="D274" s="891">
        <v>1</v>
      </c>
      <c r="E274" s="637" t="str">
        <f t="shared" si="0"/>
        <v>8.1 Furniture</v>
      </c>
      <c r="F274" s="637"/>
      <c r="G274" s="637" t="s">
        <v>4624</v>
      </c>
    </row>
    <row r="275" spans="2:7" x14ac:dyDescent="0.25">
      <c r="B275" s="769" t="s">
        <v>4625</v>
      </c>
      <c r="C275" s="891">
        <v>8</v>
      </c>
      <c r="D275" s="891">
        <v>2</v>
      </c>
      <c r="E275" s="637" t="str">
        <f t="shared" si="0"/>
        <v>8.2 Renovation/constructions</v>
      </c>
      <c r="F275" s="637"/>
      <c r="G275" s="637" t="s">
        <v>4626</v>
      </c>
    </row>
    <row r="276" spans="2:7" x14ac:dyDescent="0.25">
      <c r="B276" s="769" t="s">
        <v>4627</v>
      </c>
      <c r="C276" s="891">
        <v>8</v>
      </c>
      <c r="D276" s="891">
        <v>3</v>
      </c>
      <c r="E276" s="637" t="str">
        <f t="shared" si="0"/>
        <v>8.3 Infrastructure maintenance and other INF costs</v>
      </c>
      <c r="F276" s="637"/>
      <c r="G276" s="637" t="s">
        <v>4628</v>
      </c>
    </row>
    <row r="277" spans="2:7" x14ac:dyDescent="0.25">
      <c r="B277" s="769" t="s">
        <v>4629</v>
      </c>
      <c r="C277" s="891">
        <v>9</v>
      </c>
      <c r="D277" s="891">
        <v>0</v>
      </c>
      <c r="E277" s="637" t="str">
        <f t="shared" si="0"/>
        <v>9.0 Non-health equipment (NHP)</v>
      </c>
      <c r="F277" s="637"/>
      <c r="G277" s="637" t="s">
        <v>4630</v>
      </c>
    </row>
    <row r="278" spans="2:7" x14ac:dyDescent="0.25">
      <c r="B278" s="769" t="s">
        <v>4631</v>
      </c>
      <c r="C278" s="891">
        <v>9</v>
      </c>
      <c r="D278" s="891">
        <v>1</v>
      </c>
      <c r="E278" s="637" t="str">
        <f t="shared" si="0"/>
        <v>9.1 IT - Computers, computer equipment, Software and applications</v>
      </c>
      <c r="F278" s="637"/>
      <c r="G278" s="637" t="s">
        <v>4632</v>
      </c>
    </row>
    <row r="279" spans="2:7" x14ac:dyDescent="0.25">
      <c r="B279" s="769" t="s">
        <v>4633</v>
      </c>
      <c r="C279" s="891">
        <v>9</v>
      </c>
      <c r="D279" s="891">
        <v>2</v>
      </c>
      <c r="E279" s="637" t="str">
        <f t="shared" si="0"/>
        <v>9.2 Vehicles</v>
      </c>
      <c r="F279" s="637"/>
      <c r="G279" s="637" t="s">
        <v>4634</v>
      </c>
    </row>
    <row r="280" spans="2:7" x14ac:dyDescent="0.25">
      <c r="B280" s="769" t="s">
        <v>4635</v>
      </c>
      <c r="C280" s="891">
        <v>9</v>
      </c>
      <c r="D280" s="891">
        <v>3</v>
      </c>
      <c r="E280" s="637" t="str">
        <f t="shared" si="0"/>
        <v>9.3 Other non-health equipment</v>
      </c>
      <c r="F280" s="637"/>
      <c r="G280" s="637" t="s">
        <v>4636</v>
      </c>
    </row>
    <row r="281" spans="2:7" x14ac:dyDescent="0.25">
      <c r="B281" s="769" t="s">
        <v>4637</v>
      </c>
      <c r="C281" s="891">
        <v>9</v>
      </c>
      <c r="D281" s="891">
        <v>4</v>
      </c>
      <c r="E281" s="637" t="str">
        <f t="shared" si="0"/>
        <v>9.4 Maintenance and service costs non-health equipment</v>
      </c>
      <c r="F281" s="637"/>
      <c r="G281" s="637" t="s">
        <v>4638</v>
      </c>
    </row>
    <row r="282" spans="2:7" x14ac:dyDescent="0.25">
      <c r="B282" s="769" t="s">
        <v>4639</v>
      </c>
      <c r="C282" s="891">
        <v>10</v>
      </c>
      <c r="D282" s="891">
        <v>0</v>
      </c>
      <c r="E282" s="637" t="str">
        <f t="shared" si="0"/>
        <v>10.0 Communication Material and Publications (CMP)</v>
      </c>
      <c r="F282" s="637"/>
      <c r="G282" s="637" t="s">
        <v>4640</v>
      </c>
    </row>
    <row r="283" spans="2:7" x14ac:dyDescent="0.25">
      <c r="B283" s="769" t="s">
        <v>4641</v>
      </c>
      <c r="C283" s="891">
        <v>10</v>
      </c>
      <c r="D283" s="891">
        <v>1</v>
      </c>
      <c r="E283" s="637" t="str">
        <f t="shared" si="0"/>
        <v>10.1 Printed materials (forms, books, guidelines, brochure, leaflets...)</v>
      </c>
      <c r="F283" s="637"/>
      <c r="G283" s="637" t="s">
        <v>4642</v>
      </c>
    </row>
    <row r="284" spans="2:7" x14ac:dyDescent="0.25">
      <c r="B284" s="769" t="s">
        <v>4643</v>
      </c>
      <c r="C284" s="891">
        <v>10</v>
      </c>
      <c r="D284" s="891">
        <v>2</v>
      </c>
      <c r="E284" s="637" t="str">
        <f t="shared" si="0"/>
        <v>10.2 Television/Radio spots and programmes</v>
      </c>
      <c r="F284" s="637"/>
      <c r="G284" s="637" t="s">
        <v>4644</v>
      </c>
    </row>
    <row r="285" spans="2:7" x14ac:dyDescent="0.25">
      <c r="B285" s="769" t="s">
        <v>4645</v>
      </c>
      <c r="C285" s="891">
        <v>10</v>
      </c>
      <c r="D285" s="891">
        <v>3</v>
      </c>
      <c r="E285" s="637" t="str">
        <f t="shared" si="0"/>
        <v>10.3 Promotional Material (t-shirts, mugs, pins...) and other CMP costs</v>
      </c>
      <c r="F285" s="637"/>
      <c r="G285" s="637" t="s">
        <v>4646</v>
      </c>
    </row>
    <row r="286" spans="2:7" x14ac:dyDescent="0.25">
      <c r="B286" s="769" t="s">
        <v>4647</v>
      </c>
      <c r="C286" s="891">
        <v>11</v>
      </c>
      <c r="D286" s="891">
        <v>0</v>
      </c>
      <c r="E286" s="637" t="str">
        <f t="shared" si="0"/>
        <v>11.0 Indirect and Overhead Costs</v>
      </c>
      <c r="F286" s="637"/>
      <c r="G286" s="637" t="s">
        <v>4648</v>
      </c>
    </row>
    <row r="287" spans="2:7" x14ac:dyDescent="0.25">
      <c r="B287" s="769" t="s">
        <v>4649</v>
      </c>
      <c r="C287" s="891">
        <v>11</v>
      </c>
      <c r="D287" s="891">
        <v>1</v>
      </c>
      <c r="E287" s="637" t="str">
        <f t="shared" ref="E287:E297" si="1">C287 &amp; "." &amp; D287 &amp; " " &amp; B287</f>
        <v>11.1 Office related costs</v>
      </c>
      <c r="F287" s="637"/>
      <c r="G287" s="637" t="s">
        <v>4650</v>
      </c>
    </row>
    <row r="288" spans="2:7" x14ac:dyDescent="0.25">
      <c r="B288" s="769" t="s">
        <v>4651</v>
      </c>
      <c r="C288" s="891">
        <v>11</v>
      </c>
      <c r="D288" s="891">
        <v>2</v>
      </c>
      <c r="E288" s="637" t="str">
        <f t="shared" si="1"/>
        <v>11.2 Unrecoverable taxes and duties</v>
      </c>
      <c r="F288" s="637"/>
      <c r="G288" s="637" t="s">
        <v>4652</v>
      </c>
    </row>
    <row r="289" spans="2:7" x14ac:dyDescent="0.25">
      <c r="B289" s="769" t="s">
        <v>4653</v>
      </c>
      <c r="C289" s="891">
        <v>11</v>
      </c>
      <c r="D289" s="891">
        <v>3</v>
      </c>
      <c r="E289" s="637" t="str">
        <f t="shared" si="1"/>
        <v>11.3 Indirect cost recovery (ICR) - % based</v>
      </c>
      <c r="F289" s="637"/>
      <c r="G289" s="637" t="s">
        <v>4654</v>
      </c>
    </row>
    <row r="290" spans="2:7" x14ac:dyDescent="0.25">
      <c r="B290" s="769" t="s">
        <v>4655</v>
      </c>
      <c r="C290" s="891">
        <v>11</v>
      </c>
      <c r="D290" s="891">
        <v>4</v>
      </c>
      <c r="E290" s="637" t="str">
        <f t="shared" si="1"/>
        <v>11.4 Other PA costs</v>
      </c>
      <c r="F290" s="637"/>
      <c r="G290" s="637" t="s">
        <v>4656</v>
      </c>
    </row>
    <row r="291" spans="2:7" x14ac:dyDescent="0.25">
      <c r="B291" s="769" t="s">
        <v>4657</v>
      </c>
      <c r="C291" s="891">
        <v>12</v>
      </c>
      <c r="D291" s="891">
        <v>0</v>
      </c>
      <c r="E291" s="637" t="str">
        <f t="shared" si="1"/>
        <v>12.0 Living support to client/ target population (LSCTP)</v>
      </c>
      <c r="F291" s="637"/>
      <c r="G291" s="637" t="s">
        <v>4658</v>
      </c>
    </row>
    <row r="292" spans="2:7" x14ac:dyDescent="0.25">
      <c r="B292" s="769" t="s">
        <v>4659</v>
      </c>
      <c r="C292" s="891">
        <v>12</v>
      </c>
      <c r="D292" s="891">
        <v>1</v>
      </c>
      <c r="E292" s="637" t="str">
        <f t="shared" si="1"/>
        <v>12.1 Support to orphans and other vulnerable children (school fees, uniforms, etc.)</v>
      </c>
      <c r="F292" s="637"/>
      <c r="G292" s="637" t="s">
        <v>4660</v>
      </c>
    </row>
    <row r="293" spans="2:7" x14ac:dyDescent="0.25">
      <c r="B293" s="769" t="s">
        <v>4661</v>
      </c>
      <c r="C293" s="891">
        <v>12</v>
      </c>
      <c r="D293" s="891">
        <v>2</v>
      </c>
      <c r="E293" s="637" t="str">
        <f t="shared" si="1"/>
        <v>12.2 Food and care packages</v>
      </c>
      <c r="F293" s="637"/>
      <c r="G293" s="637" t="s">
        <v>4662</v>
      </c>
    </row>
    <row r="294" spans="2:7" x14ac:dyDescent="0.25">
      <c r="B294" s="769" t="s">
        <v>4663</v>
      </c>
      <c r="C294" s="891">
        <v>12</v>
      </c>
      <c r="D294" s="891">
        <v>3</v>
      </c>
      <c r="E294" s="637" t="str">
        <f t="shared" si="1"/>
        <v>12.3 Cash incentives/transfer to patients/beneficiaries/counsellors/mediators</v>
      </c>
      <c r="F294" s="637"/>
      <c r="G294" s="637" t="s">
        <v>4664</v>
      </c>
    </row>
    <row r="295" spans="2:7" x14ac:dyDescent="0.25">
      <c r="B295" s="769" t="s">
        <v>4665</v>
      </c>
      <c r="C295" s="891">
        <v>12</v>
      </c>
      <c r="D295" s="891">
        <v>4</v>
      </c>
      <c r="E295" s="637" t="str">
        <f t="shared" si="1"/>
        <v>12.4 Micro-loans and micro-grants</v>
      </c>
      <c r="F295" s="637"/>
      <c r="G295" s="637" t="s">
        <v>4666</v>
      </c>
    </row>
    <row r="296" spans="2:7" x14ac:dyDescent="0.25">
      <c r="B296" s="769" t="s">
        <v>4667</v>
      </c>
      <c r="C296" s="891">
        <v>12</v>
      </c>
      <c r="D296" s="891">
        <v>5</v>
      </c>
      <c r="E296" s="637" t="str">
        <f t="shared" si="1"/>
        <v>12.5 Other LSCTP costs</v>
      </c>
      <c r="F296" s="637"/>
      <c r="G296" s="637" t="s">
        <v>4668</v>
      </c>
    </row>
    <row r="297" spans="2:7" x14ac:dyDescent="0.25">
      <c r="B297" s="769" t="s">
        <v>4669</v>
      </c>
      <c r="C297" s="891">
        <v>13</v>
      </c>
      <c r="D297" s="891">
        <v>1</v>
      </c>
      <c r="E297" s="637" t="str">
        <f t="shared" si="1"/>
        <v>13.1 Payment for Results</v>
      </c>
      <c r="F297" s="637"/>
      <c r="G297" s="637" t="s">
        <v>4670</v>
      </c>
    </row>
    <row r="309" spans="5:5" x14ac:dyDescent="0.25">
      <c r="E309" t="e">
        <f ca="1">OFFSET(Modulestart,MATCH(O221,Modulecolumn,0)-1,3,COUNTIF(Modulecolumn,O221),1)</f>
        <v>#N/A</v>
      </c>
    </row>
  </sheetData>
  <dataValidations count="4">
    <dataValidation type="list" allowBlank="1" showInputMessage="1" showErrorMessage="1" sqref="J13:J47" xr:uid="{00000000-0002-0000-2500-000000000000}">
      <formula1>Module_List</formula1>
    </dataValidation>
    <dataValidation type="custom" allowBlank="1" showInputMessage="1" showErrorMessage="1" errorTitle="X-Author for Excel" error="Id and Lookup fields are not editable." promptTitle="X-Author for Excel" sqref="K13:K47 K54:K218 G222:G297" xr:uid="{00000000-0002-0000-2500-000001000000}">
      <formula1>""</formula1>
    </dataValidation>
    <dataValidation type="decimal" allowBlank="1" showInputMessage="1" showErrorMessage="1" errorTitle="X-Author for Excel" error="Please enter a valid numeric value. Valid range for Cost Grouping Number is -99999 to 99999." promptTitle="X-Author for Excel" sqref="C222:C297" xr:uid="{00000000-0002-0000-2500-000002000000}">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222:D297" xr:uid="{00000000-0002-0000-2500-000003000000}">
      <formula1>-99999</formula1>
      <formula2>99999</formula2>
    </dataValidation>
  </dataValidations>
  <pageMargins left="0.7" right="0.7" top="0.75" bottom="0.75" header="0.3" footer="0.3"/>
  <tableParts count="2">
    <tablePart r:id="rId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1">
    <tabColor theme="0" tint="-0.249977111117893"/>
  </sheetPr>
  <dimension ref="A1:O39"/>
  <sheetViews>
    <sheetView zoomScale="70" zoomScaleNormal="70" zoomScaleSheetLayoutView="70" workbookViewId="0">
      <selection activeCell="F17" sqref="F17:J17"/>
    </sheetView>
  </sheetViews>
  <sheetFormatPr baseColWidth="10" defaultColWidth="9.140625" defaultRowHeight="12.75" x14ac:dyDescent="0.2"/>
  <cols>
    <col min="1" max="4" width="9.140625" style="44"/>
    <col min="5" max="5" width="18.42578125" style="44" customWidth="1"/>
    <col min="6" max="6" width="9.140625" style="44"/>
    <col min="7" max="7" width="10.85546875" style="44" customWidth="1"/>
    <col min="8" max="8" width="23" style="44" customWidth="1"/>
    <col min="9" max="9" width="14.85546875" style="44" customWidth="1"/>
    <col min="10" max="10" width="27.85546875" style="44" customWidth="1"/>
    <col min="11" max="12" width="9.140625" style="44"/>
    <col min="13" max="13" width="10.5703125" style="44" bestFit="1" customWidth="1"/>
    <col min="14" max="14" width="9.140625" style="44"/>
    <col min="15" max="15" width="57.85546875" style="44" customWidth="1"/>
    <col min="16" max="16384" width="9.140625" style="44"/>
  </cols>
  <sheetData>
    <row r="1" spans="1:15" ht="35.25" customHeight="1" thickBot="1" x14ac:dyDescent="0.25">
      <c r="A1" s="1862" t="str">
        <f>CoverSheet!A1</f>
        <v>Rapport périodique sur les résultats actuels et demande de décaissement</v>
      </c>
      <c r="B1" s="1862"/>
      <c r="C1" s="1862"/>
      <c r="D1" s="1862"/>
      <c r="E1" s="1862"/>
      <c r="F1" s="1862"/>
      <c r="G1" s="1862"/>
      <c r="H1" s="1862"/>
      <c r="I1" s="1862"/>
      <c r="J1" s="1862"/>
      <c r="K1" s="1862"/>
      <c r="L1" s="1862"/>
      <c r="M1" s="1862"/>
      <c r="N1" s="1862"/>
      <c r="O1" s="1862"/>
    </row>
    <row r="2" spans="1:15" ht="30.75" customHeight="1" x14ac:dyDescent="0.25">
      <c r="A2" s="1392" t="str">
        <f>VLOOKUP(Translations!B469,Translations!B3:H508,4,0)</f>
        <v>Section 9A.  Autorisation du récipiendaire principal</v>
      </c>
      <c r="B2" s="391"/>
      <c r="C2" s="391"/>
      <c r="D2" s="391"/>
      <c r="E2" s="391"/>
      <c r="F2" s="391"/>
      <c r="G2" s="391"/>
      <c r="H2" s="391"/>
      <c r="I2" s="391"/>
      <c r="J2" s="391"/>
      <c r="K2" s="391"/>
      <c r="L2" s="391"/>
      <c r="M2" s="391"/>
      <c r="N2" s="391"/>
      <c r="O2" s="391"/>
    </row>
    <row r="3" spans="1:15" ht="15" customHeight="1" x14ac:dyDescent="0.25">
      <c r="A3" s="393"/>
      <c r="B3" s="392"/>
      <c r="C3" s="392"/>
      <c r="D3" s="392"/>
      <c r="E3" s="392"/>
      <c r="F3" s="392"/>
      <c r="G3" s="392"/>
      <c r="H3" s="392"/>
      <c r="I3" s="392"/>
      <c r="J3" s="392"/>
      <c r="K3" s="392"/>
      <c r="L3" s="392"/>
      <c r="M3" s="392"/>
      <c r="N3" s="392"/>
      <c r="O3" s="392"/>
    </row>
    <row r="4" spans="1:15" s="389" customFormat="1" ht="1.5" customHeight="1" x14ac:dyDescent="0.2">
      <c r="A4" s="390"/>
      <c r="B4" s="103"/>
      <c r="C4" s="103"/>
      <c r="D4" s="103"/>
      <c r="E4" s="103"/>
      <c r="F4" s="103"/>
      <c r="G4" s="103"/>
      <c r="H4" s="103"/>
      <c r="I4" s="103"/>
      <c r="J4" s="103"/>
      <c r="K4" s="103"/>
      <c r="L4" s="103"/>
      <c r="M4" s="103"/>
      <c r="N4" s="103"/>
      <c r="O4" s="103"/>
    </row>
    <row r="5" spans="1:15" ht="14.25" x14ac:dyDescent="0.2">
      <c r="A5" s="1863" t="str">
        <f>VLOOKUP(Translations!B470,Translations!B3:H508,4,0)</f>
        <v>Nom/numéro de la subvention :</v>
      </c>
      <c r="B5" s="1863"/>
      <c r="C5" s="1863"/>
      <c r="D5" s="1863"/>
      <c r="E5" s="1863"/>
      <c r="F5" s="1864" t="str">
        <f>CoverSheet!D10</f>
        <v>BDI-C-UNDP</v>
      </c>
      <c r="G5" s="1865"/>
      <c r="H5" s="1865"/>
      <c r="I5" s="1865"/>
      <c r="J5" s="1866"/>
      <c r="K5" s="159"/>
      <c r="L5" s="159"/>
      <c r="M5" s="159"/>
      <c r="N5" s="159"/>
      <c r="O5" s="159"/>
    </row>
    <row r="6" spans="1:15" ht="14.25" x14ac:dyDescent="0.2">
      <c r="A6" s="1393" t="str">
        <f>CoverSheet!F9</f>
        <v>Période couverte par le rapport sur les résultats actuels :</v>
      </c>
      <c r="B6" s="1394"/>
      <c r="C6" s="1394"/>
      <c r="D6" s="1394"/>
      <c r="E6" s="1395"/>
      <c r="F6" s="1871" t="str">
        <f>CoverSheet!I12</f>
        <v>Date de début:</v>
      </c>
      <c r="G6" s="1872"/>
      <c r="H6" s="1396">
        <f>CoverSheet!J9</f>
        <v>43647</v>
      </c>
      <c r="I6" s="1397" t="str">
        <f>CoverSheet!K12</f>
        <v>Date de fin:</v>
      </c>
      <c r="J6" s="1398">
        <f>CoverSheet!L9</f>
        <v>43830</v>
      </c>
      <c r="K6" s="159"/>
      <c r="L6" s="159"/>
      <c r="M6" s="159"/>
      <c r="N6" s="159"/>
      <c r="O6" s="159"/>
    </row>
    <row r="7" spans="1:15" ht="14.25" x14ac:dyDescent="0.2">
      <c r="A7" s="1393" t="str">
        <f>CoverSheet!F15</f>
        <v>Demande de décaissement  - période de prévision:</v>
      </c>
      <c r="B7" s="1394"/>
      <c r="C7" s="1394"/>
      <c r="D7" s="1394"/>
      <c r="E7" s="1395"/>
      <c r="F7" s="1871" t="str">
        <f>CoverSheet!I12</f>
        <v>Date de début:</v>
      </c>
      <c r="G7" s="1872"/>
      <c r="H7" s="1396">
        <f>CoverSheet!J15</f>
        <v>43831</v>
      </c>
      <c r="I7" s="1397" t="str">
        <f>CoverSheet!K12</f>
        <v>Date de fin:</v>
      </c>
      <c r="J7" s="1398">
        <f>CoverSheet!L15</f>
        <v>44196</v>
      </c>
      <c r="K7" s="159"/>
      <c r="L7" s="159"/>
      <c r="M7" s="159"/>
      <c r="N7" s="159"/>
      <c r="O7" s="159"/>
    </row>
    <row r="8" spans="1:15" ht="14.25" x14ac:dyDescent="0.2">
      <c r="A8" s="1393" t="str">
        <f>CoverSheet!F16</f>
        <v>Demande de décaissement  - Période additionnelle convenue:</v>
      </c>
      <c r="B8" s="1394"/>
      <c r="C8" s="1394"/>
      <c r="D8" s="1394"/>
      <c r="E8" s="1395"/>
      <c r="F8" s="1871" t="str">
        <f>CoverSheet!I12</f>
        <v>Date de début:</v>
      </c>
      <c r="G8" s="1872"/>
      <c r="H8" s="1399" t="str">
        <f>CoverSheet!J16</f>
        <v>n/a</v>
      </c>
      <c r="I8" s="1397" t="str">
        <f>CoverSheet!K12</f>
        <v>Date de fin:</v>
      </c>
      <c r="J8" s="1396" t="str">
        <f>CoverSheet!L16</f>
        <v>n/a</v>
      </c>
      <c r="K8" s="159"/>
      <c r="L8" s="159"/>
      <c r="M8" s="159"/>
      <c r="N8" s="159"/>
      <c r="O8" s="159"/>
    </row>
    <row r="9" spans="1:15" ht="15.75" customHeight="1" x14ac:dyDescent="0.2">
      <c r="A9" s="1867" t="str">
        <f>VLOOKUP(Translations!B480,Translations!B3:H508,4,0)</f>
        <v>Monnaie Subvention :</v>
      </c>
      <c r="B9" s="1857"/>
      <c r="C9" s="1857"/>
      <c r="D9" s="1857"/>
      <c r="E9" s="1858"/>
      <c r="F9" s="1868" t="str">
        <f>CoverSheet!D14</f>
        <v>USD</v>
      </c>
      <c r="G9" s="1869"/>
      <c r="H9" s="1869"/>
      <c r="I9" s="1869"/>
      <c r="J9" s="1870"/>
      <c r="K9" s="163"/>
      <c r="L9" s="163"/>
      <c r="M9" s="163"/>
      <c r="N9" s="163"/>
      <c r="O9" s="163"/>
    </row>
    <row r="10" spans="1:15" ht="23.25" customHeight="1" x14ac:dyDescent="0.2">
      <c r="A10" s="1856" t="str">
        <f>VLOOKUP(Translations!B481,Translations!B3:H508,4,0)</f>
        <v xml:space="preserve">Montant de la demande de décaissement
</v>
      </c>
      <c r="B10" s="1857"/>
      <c r="C10" s="1857"/>
      <c r="D10" s="1857"/>
      <c r="E10" s="1858"/>
      <c r="F10" s="1859">
        <f>'Request and Recommendation_8B'!K19</f>
        <v>4451651.1399745923</v>
      </c>
      <c r="G10" s="1860"/>
      <c r="H10" s="1860"/>
      <c r="I10" s="1860"/>
      <c r="J10" s="1861"/>
      <c r="K10" s="388"/>
      <c r="L10" s="163"/>
      <c r="M10" s="163"/>
      <c r="N10" s="163"/>
      <c r="O10" s="163"/>
    </row>
    <row r="11" spans="1:15" ht="15.75" customHeight="1" x14ac:dyDescent="0.2">
      <c r="A11" s="1400"/>
      <c r="B11" s="163"/>
      <c r="C11" s="1400"/>
      <c r="D11" s="163"/>
      <c r="E11" s="163"/>
      <c r="F11" s="163"/>
      <c r="G11" s="1400"/>
      <c r="H11" s="163"/>
      <c r="I11" s="163"/>
      <c r="J11" s="1401"/>
      <c r="K11" s="159"/>
      <c r="L11" s="159"/>
      <c r="M11" s="688"/>
      <c r="N11" s="688"/>
      <c r="O11" s="688"/>
    </row>
    <row r="12" spans="1:15" ht="41.25" customHeight="1" x14ac:dyDescent="0.2">
      <c r="A12" s="1874" t="str">
        <f>VLOOKUP(Translations!B482,Translations!B3:H508,4,0)</f>
        <v>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v>
      </c>
      <c r="B12" s="1874"/>
      <c r="C12" s="1874"/>
      <c r="D12" s="1874"/>
      <c r="E12" s="1874"/>
      <c r="F12" s="1874"/>
      <c r="G12" s="1874"/>
      <c r="H12" s="1874"/>
      <c r="I12" s="1874"/>
      <c r="J12" s="1874"/>
      <c r="K12" s="1874"/>
      <c r="L12" s="1874"/>
      <c r="M12" s="1874"/>
      <c r="N12" s="1874"/>
      <c r="O12" s="1874"/>
    </row>
    <row r="13" spans="1:15" ht="14.25" x14ac:dyDescent="0.2">
      <c r="A13" s="159"/>
      <c r="B13" s="159"/>
      <c r="C13" s="159"/>
      <c r="D13" s="159"/>
      <c r="E13" s="159"/>
      <c r="F13" s="159"/>
      <c r="G13" s="159"/>
      <c r="H13" s="159"/>
      <c r="I13" s="159"/>
      <c r="J13" s="159"/>
      <c r="K13" s="159"/>
      <c r="L13" s="159"/>
      <c r="M13" s="159"/>
      <c r="N13" s="159"/>
      <c r="O13" s="159"/>
    </row>
    <row r="14" spans="1:15" ht="49.5" customHeight="1" x14ac:dyDescent="0.2">
      <c r="A14" s="1875" t="str">
        <f>VLOOKUP(Translations!B483,Translations!B3:H508,4,0)</f>
        <v>Signé au nom du récipiendaire principal :
(signature du représentant désigné dûment autorisé)</v>
      </c>
      <c r="B14" s="1875"/>
      <c r="C14" s="1875"/>
      <c r="D14" s="1875"/>
      <c r="E14" s="1875"/>
      <c r="F14" s="1876"/>
      <c r="G14" s="1876"/>
      <c r="H14" s="1876"/>
      <c r="I14" s="1876"/>
      <c r="J14" s="1876"/>
      <c r="K14" s="159"/>
      <c r="L14" s="159"/>
      <c r="M14" s="159"/>
      <c r="N14" s="159"/>
      <c r="O14" s="159"/>
    </row>
    <row r="15" spans="1:15" ht="49.5" customHeight="1" x14ac:dyDescent="0.2">
      <c r="A15" s="159" t="str">
        <f>VLOOKUP(Translations!B484,Translations!B3:H508,4,0)</f>
        <v>Nom :</v>
      </c>
      <c r="B15" s="159"/>
      <c r="C15" s="159"/>
      <c r="D15" s="159"/>
      <c r="E15" s="159"/>
      <c r="F15" s="1877" t="s">
        <v>4671</v>
      </c>
      <c r="G15" s="1877"/>
      <c r="H15" s="1877"/>
      <c r="I15" s="1877"/>
      <c r="J15" s="1877"/>
      <c r="K15" s="159"/>
      <c r="L15" s="159"/>
      <c r="M15" s="159"/>
      <c r="N15" s="159"/>
      <c r="O15" s="159"/>
    </row>
    <row r="16" spans="1:15" ht="49.5" customHeight="1" x14ac:dyDescent="0.2">
      <c r="A16" s="159" t="str">
        <f>VLOOKUP(Translations!B485,Translations!B3:H508,4,0)</f>
        <v>Titre :</v>
      </c>
      <c r="B16" s="159"/>
      <c r="C16" s="159"/>
      <c r="D16" s="159"/>
      <c r="E16" s="159"/>
      <c r="F16" s="1877" t="s">
        <v>4672</v>
      </c>
      <c r="G16" s="1877"/>
      <c r="H16" s="1877"/>
      <c r="I16" s="1877"/>
      <c r="J16" s="1877"/>
      <c r="K16" s="159"/>
      <c r="L16" s="159"/>
      <c r="M16" s="159"/>
      <c r="N16" s="159"/>
      <c r="O16" s="159"/>
    </row>
    <row r="17" spans="1:15" ht="49.5" customHeight="1" x14ac:dyDescent="0.2">
      <c r="A17" s="1875" t="s">
        <v>4673</v>
      </c>
      <c r="B17" s="1875"/>
      <c r="C17" s="1875"/>
      <c r="D17" s="1875"/>
      <c r="E17" s="159"/>
      <c r="F17" s="1878">
        <v>44078</v>
      </c>
      <c r="G17" s="1879"/>
      <c r="H17" s="1879"/>
      <c r="I17" s="1879"/>
      <c r="J17" s="1879"/>
      <c r="K17" s="159"/>
      <c r="L17" s="159"/>
      <c r="M17" s="689"/>
      <c r="N17" s="159"/>
      <c r="O17" s="159"/>
    </row>
    <row r="18" spans="1:15" ht="61.5" customHeight="1" x14ac:dyDescent="0.2">
      <c r="A18" s="159" t="s">
        <v>4674</v>
      </c>
      <c r="B18" s="159"/>
      <c r="C18" s="159"/>
      <c r="D18" s="159"/>
      <c r="E18" s="159"/>
      <c r="F18" s="1877" t="s">
        <v>4675</v>
      </c>
      <c r="G18" s="1877"/>
      <c r="H18" s="1877"/>
      <c r="I18" s="1877"/>
      <c r="J18" s="1877"/>
      <c r="K18" s="159"/>
      <c r="L18" s="159"/>
      <c r="M18" s="159"/>
      <c r="N18" s="159"/>
      <c r="O18" s="159"/>
    </row>
    <row r="19" spans="1:15" x14ac:dyDescent="0.2">
      <c r="A19" s="146"/>
      <c r="B19" s="146"/>
      <c r="C19" s="146"/>
      <c r="D19" s="146"/>
      <c r="E19" s="146"/>
      <c r="F19" s="146"/>
      <c r="G19" s="146"/>
      <c r="H19" s="146"/>
      <c r="I19" s="146"/>
      <c r="J19" s="146"/>
      <c r="K19" s="146"/>
      <c r="L19" s="146"/>
      <c r="M19" s="146"/>
      <c r="N19" s="146"/>
      <c r="O19" s="146"/>
    </row>
    <row r="20" spans="1:15" ht="12.75" customHeight="1" x14ac:dyDescent="0.2">
      <c r="A20" s="1873"/>
      <c r="B20" s="1873"/>
      <c r="C20" s="1873"/>
      <c r="D20" s="1873"/>
      <c r="E20" s="1873"/>
      <c r="F20" s="1873"/>
      <c r="G20" s="1873"/>
      <c r="H20" s="1873"/>
      <c r="I20" s="1873"/>
      <c r="J20" s="1873"/>
      <c r="K20" s="1873"/>
      <c r="L20" s="1873"/>
      <c r="M20" s="1873"/>
      <c r="N20" s="1873"/>
      <c r="O20" s="1873"/>
    </row>
    <row r="21" spans="1:15" x14ac:dyDescent="0.2">
      <c r="A21" s="146"/>
      <c r="B21" s="146"/>
      <c r="C21" s="146"/>
      <c r="D21" s="146"/>
      <c r="E21" s="146"/>
      <c r="F21" s="146"/>
      <c r="G21" s="146"/>
      <c r="H21" s="146"/>
      <c r="I21" s="146"/>
      <c r="J21" s="146"/>
      <c r="K21" s="146"/>
      <c r="L21" s="146"/>
      <c r="M21" s="146"/>
      <c r="N21" s="146"/>
      <c r="O21" s="146"/>
    </row>
    <row r="22" spans="1:15" x14ac:dyDescent="0.2">
      <c r="A22" s="146"/>
      <c r="B22" s="146"/>
      <c r="C22" s="146"/>
      <c r="D22" s="146"/>
      <c r="E22" s="146"/>
      <c r="F22" s="146"/>
      <c r="G22" s="146"/>
      <c r="H22" s="146"/>
      <c r="I22" s="146"/>
      <c r="J22" s="146"/>
      <c r="K22" s="146"/>
      <c r="L22" s="146"/>
      <c r="M22" s="146"/>
      <c r="N22" s="146"/>
      <c r="O22" s="146"/>
    </row>
    <row r="23" spans="1:15" x14ac:dyDescent="0.2">
      <c r="A23" s="146"/>
      <c r="B23" s="146"/>
      <c r="C23" s="146"/>
      <c r="D23" s="146"/>
      <c r="E23" s="146"/>
      <c r="F23" s="146"/>
      <c r="G23" s="146"/>
      <c r="H23" s="146"/>
      <c r="I23" s="146"/>
      <c r="J23" s="146"/>
      <c r="K23" s="146"/>
      <c r="L23" s="146"/>
      <c r="M23" s="146"/>
      <c r="N23" s="146"/>
      <c r="O23" s="146"/>
    </row>
    <row r="24" spans="1:15" x14ac:dyDescent="0.2">
      <c r="A24" s="146"/>
      <c r="B24" s="146"/>
      <c r="C24" s="146"/>
      <c r="D24" s="146"/>
      <c r="E24" s="146"/>
      <c r="F24" s="146"/>
      <c r="G24" s="146"/>
      <c r="H24" s="146"/>
      <c r="I24" s="146"/>
      <c r="J24" s="146"/>
      <c r="K24" s="146"/>
      <c r="L24" s="146"/>
      <c r="M24" s="146"/>
      <c r="N24" s="146"/>
      <c r="O24" s="146"/>
    </row>
    <row r="25" spans="1:15" x14ac:dyDescent="0.2">
      <c r="A25" s="146"/>
      <c r="B25" s="146"/>
      <c r="C25" s="146"/>
      <c r="D25" s="146"/>
      <c r="E25" s="146"/>
      <c r="F25" s="146"/>
      <c r="G25" s="146"/>
      <c r="H25" s="146"/>
      <c r="I25" s="146"/>
      <c r="J25" s="146"/>
      <c r="K25" s="146"/>
      <c r="L25" s="146"/>
      <c r="M25" s="146"/>
      <c r="N25" s="146"/>
      <c r="O25" s="146"/>
    </row>
    <row r="26" spans="1:15" x14ac:dyDescent="0.2">
      <c r="A26" s="146"/>
      <c r="B26" s="146"/>
      <c r="C26" s="146"/>
      <c r="D26" s="146"/>
      <c r="E26" s="146"/>
      <c r="F26" s="146"/>
      <c r="G26" s="146"/>
      <c r="H26" s="146"/>
      <c r="I26" s="634"/>
      <c r="J26" s="146"/>
      <c r="K26" s="146"/>
      <c r="L26" s="146"/>
      <c r="M26" s="146"/>
      <c r="N26" s="146"/>
      <c r="O26" s="146"/>
    </row>
    <row r="27" spans="1:15" x14ac:dyDescent="0.2">
      <c r="A27" s="146"/>
      <c r="B27" s="146"/>
      <c r="C27" s="146"/>
      <c r="D27" s="146"/>
      <c r="E27" s="146"/>
      <c r="F27" s="146"/>
      <c r="G27" s="146"/>
      <c r="H27" s="146"/>
      <c r="I27" s="146"/>
      <c r="J27" s="146"/>
      <c r="K27" s="146"/>
      <c r="L27" s="146"/>
      <c r="M27" s="146"/>
      <c r="N27" s="146"/>
      <c r="O27" s="146"/>
    </row>
    <row r="28" spans="1:15" x14ac:dyDescent="0.2">
      <c r="A28" s="146"/>
      <c r="B28" s="146"/>
      <c r="C28" s="146"/>
      <c r="D28" s="146"/>
      <c r="E28" s="146"/>
      <c r="F28" s="146"/>
      <c r="G28" s="146"/>
      <c r="H28" s="146"/>
      <c r="I28" s="146"/>
      <c r="J28" s="146"/>
      <c r="K28" s="146"/>
      <c r="L28" s="146"/>
      <c r="M28" s="146"/>
      <c r="N28" s="146"/>
      <c r="O28" s="146"/>
    </row>
    <row r="29" spans="1:15" x14ac:dyDescent="0.2">
      <c r="A29" s="146"/>
      <c r="B29" s="146"/>
      <c r="C29" s="146"/>
      <c r="D29" s="146"/>
      <c r="E29" s="146"/>
      <c r="F29" s="146"/>
      <c r="G29" s="146"/>
      <c r="H29" s="146"/>
      <c r="I29" s="146"/>
      <c r="J29" s="146"/>
      <c r="K29" s="146"/>
      <c r="L29" s="146"/>
      <c r="M29" s="146"/>
      <c r="N29" s="146"/>
      <c r="O29" s="146"/>
    </row>
    <row r="30" spans="1:15" x14ac:dyDescent="0.2">
      <c r="A30" s="146"/>
      <c r="B30" s="146"/>
      <c r="C30" s="146"/>
      <c r="D30" s="146"/>
      <c r="E30" s="146"/>
      <c r="F30" s="146"/>
      <c r="G30" s="146"/>
      <c r="H30" s="146"/>
      <c r="I30" s="146"/>
      <c r="J30" s="146"/>
      <c r="K30" s="146"/>
      <c r="L30" s="146"/>
      <c r="M30" s="146"/>
      <c r="N30" s="146"/>
      <c r="O30" s="146"/>
    </row>
    <row r="31" spans="1:15" x14ac:dyDescent="0.2">
      <c r="A31" s="146"/>
      <c r="B31" s="146"/>
      <c r="C31" s="146"/>
      <c r="D31" s="146"/>
      <c r="E31" s="146"/>
      <c r="F31" s="146"/>
      <c r="G31" s="146"/>
      <c r="H31" s="146"/>
      <c r="I31" s="146"/>
      <c r="J31" s="146"/>
      <c r="K31" s="146"/>
      <c r="L31" s="146"/>
      <c r="M31" s="146"/>
      <c r="N31" s="146"/>
      <c r="O31" s="146"/>
    </row>
    <row r="32" spans="1:15" x14ac:dyDescent="0.2">
      <c r="A32" s="146"/>
      <c r="B32" s="146"/>
      <c r="C32" s="146"/>
      <c r="D32" s="146"/>
      <c r="E32" s="146"/>
      <c r="F32" s="146"/>
      <c r="G32" s="146"/>
      <c r="H32" s="146"/>
      <c r="I32" s="146"/>
      <c r="J32" s="146"/>
      <c r="K32" s="146"/>
      <c r="L32" s="146"/>
      <c r="M32" s="146"/>
      <c r="N32" s="146"/>
      <c r="O32" s="146"/>
    </row>
    <row r="33" spans="1:15" x14ac:dyDescent="0.2">
      <c r="A33" s="146"/>
      <c r="B33" s="146"/>
      <c r="C33" s="146"/>
      <c r="D33" s="146"/>
      <c r="E33" s="146"/>
      <c r="F33" s="146"/>
      <c r="G33" s="146"/>
      <c r="H33" s="146"/>
      <c r="I33" s="146"/>
      <c r="J33" s="146"/>
      <c r="K33" s="146"/>
      <c r="L33" s="146"/>
      <c r="M33" s="146"/>
      <c r="N33" s="146"/>
      <c r="O33" s="146"/>
    </row>
    <row r="34" spans="1:15" x14ac:dyDescent="0.2">
      <c r="A34" s="146"/>
      <c r="B34" s="146"/>
      <c r="C34" s="146"/>
      <c r="D34" s="146"/>
      <c r="E34" s="146"/>
      <c r="F34" s="146"/>
      <c r="G34" s="146"/>
      <c r="H34" s="146"/>
      <c r="I34" s="146"/>
      <c r="J34" s="146"/>
      <c r="K34" s="146"/>
      <c r="L34" s="146"/>
      <c r="M34" s="146"/>
      <c r="N34" s="146"/>
      <c r="O34" s="146"/>
    </row>
    <row r="35" spans="1:15" x14ac:dyDescent="0.2">
      <c r="A35" s="146"/>
      <c r="B35" s="146"/>
      <c r="C35" s="146"/>
      <c r="D35" s="146"/>
      <c r="E35" s="146"/>
      <c r="F35" s="146"/>
      <c r="G35" s="146"/>
      <c r="H35" s="146"/>
      <c r="I35" s="146"/>
      <c r="J35" s="146"/>
      <c r="K35" s="146"/>
      <c r="L35" s="146"/>
      <c r="M35" s="146"/>
      <c r="N35" s="146"/>
      <c r="O35" s="146"/>
    </row>
    <row r="36" spans="1:15" x14ac:dyDescent="0.2">
      <c r="A36" s="146"/>
      <c r="B36" s="146"/>
      <c r="C36" s="146"/>
      <c r="D36" s="146"/>
      <c r="E36" s="146"/>
      <c r="F36" s="146"/>
      <c r="G36" s="146"/>
      <c r="H36" s="146"/>
      <c r="I36" s="146"/>
      <c r="J36" s="146"/>
      <c r="K36" s="146"/>
      <c r="L36" s="146"/>
      <c r="M36" s="146"/>
      <c r="N36" s="146"/>
      <c r="O36" s="146"/>
    </row>
    <row r="37" spans="1:15" x14ac:dyDescent="0.2">
      <c r="A37" s="146"/>
      <c r="B37" s="146"/>
      <c r="C37" s="146"/>
      <c r="D37" s="146"/>
      <c r="E37" s="146"/>
      <c r="F37" s="146"/>
      <c r="G37" s="146"/>
      <c r="H37" s="146"/>
      <c r="I37" s="146"/>
      <c r="J37" s="146"/>
      <c r="K37" s="146"/>
      <c r="L37" s="146"/>
      <c r="M37" s="146"/>
      <c r="N37" s="146"/>
      <c r="O37" s="146"/>
    </row>
    <row r="38" spans="1:15" x14ac:dyDescent="0.2">
      <c r="A38" s="146"/>
      <c r="B38" s="146"/>
      <c r="C38" s="146"/>
      <c r="D38" s="146"/>
      <c r="E38" s="146"/>
      <c r="F38" s="146"/>
      <c r="G38" s="146"/>
      <c r="H38" s="146"/>
      <c r="I38" s="146"/>
      <c r="J38" s="146"/>
      <c r="K38" s="146"/>
      <c r="L38" s="146"/>
      <c r="M38" s="146"/>
      <c r="N38" s="146"/>
      <c r="O38" s="146"/>
    </row>
    <row r="39" spans="1:15" x14ac:dyDescent="0.2">
      <c r="A39" s="146"/>
      <c r="B39" s="146"/>
      <c r="C39" s="146"/>
      <c r="D39" s="146"/>
      <c r="E39" s="146"/>
      <c r="F39" s="146"/>
      <c r="G39" s="146"/>
      <c r="H39" s="146"/>
      <c r="I39" s="146"/>
      <c r="J39" s="146"/>
      <c r="K39" s="146"/>
      <c r="L39" s="146"/>
      <c r="M39" s="146"/>
      <c r="N39" s="146"/>
      <c r="O39" s="146"/>
    </row>
  </sheetData>
  <sheetProtection algorithmName="SHA-512" hashValue="7D2rKwcrovVQggW7pB6zy4K3WZFEabSYIRp0JrhK98ntnkratCG+pxwxuPuR4NdLK1blIrxN+CI+Rbh9WUOUvQ==" saltValue="PwwBZZxb4sjSGo6A1VVKJw==" spinCount="100000" sheet="1" formatCells="0" formatColumns="0" formatRows="0" selectLockedCells="1"/>
  <mergeCells count="19">
    <mergeCell ref="A20:O20"/>
    <mergeCell ref="A12:O12"/>
    <mergeCell ref="A14:E14"/>
    <mergeCell ref="F14:J14"/>
    <mergeCell ref="F15:J15"/>
    <mergeCell ref="F16:J16"/>
    <mergeCell ref="F17:J17"/>
    <mergeCell ref="F18:J18"/>
    <mergeCell ref="A17:D17"/>
    <mergeCell ref="A10:E10"/>
    <mergeCell ref="F10:J10"/>
    <mergeCell ref="A1:O1"/>
    <mergeCell ref="A5:E5"/>
    <mergeCell ref="F5:J5"/>
    <mergeCell ref="A9:E9"/>
    <mergeCell ref="F9:J9"/>
    <mergeCell ref="F6:G6"/>
    <mergeCell ref="F7:G7"/>
    <mergeCell ref="F8:G8"/>
  </mergeCells>
  <conditionalFormatting sqref="F17:J17">
    <cfRule type="expression" dxfId="1" priority="1">
      <formula>$F$17=""</formula>
    </cfRule>
  </conditionalFormatting>
  <dataValidations count="1">
    <dataValidation type="date" allowBlank="1" showInputMessage="1" showErrorMessage="1" sqref="F17:J17" xr:uid="{00000000-0002-0000-26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D56"/>
  <sheetViews>
    <sheetView topLeftCell="A22" workbookViewId="0">
      <selection activeCell="A46" sqref="A46"/>
    </sheetView>
  </sheetViews>
  <sheetFormatPr baseColWidth="10" defaultColWidth="9.140625" defaultRowHeight="15" x14ac:dyDescent="0.25"/>
  <cols>
    <col min="1" max="1" width="44.140625" bestFit="1" customWidth="1"/>
    <col min="2" max="2" width="40.5703125" bestFit="1" customWidth="1"/>
    <col min="3" max="3" width="27.140625" bestFit="1" customWidth="1"/>
    <col min="4" max="4" width="36.140625" bestFit="1" customWidth="1"/>
  </cols>
  <sheetData>
    <row r="1" spans="1:4" x14ac:dyDescent="0.25">
      <c r="A1" s="44" t="s">
        <v>84</v>
      </c>
      <c r="B1" s="44" t="b">
        <v>1</v>
      </c>
      <c r="C1" s="44" t="s">
        <v>85</v>
      </c>
      <c r="D1" s="768" t="s">
        <v>43</v>
      </c>
    </row>
    <row r="2" spans="1:4" x14ac:dyDescent="0.25">
      <c r="A2" s="44" t="s">
        <v>86</v>
      </c>
      <c r="B2" s="44" t="b">
        <v>1</v>
      </c>
      <c r="C2" s="44" t="s">
        <v>56</v>
      </c>
      <c r="D2" s="766">
        <v>43830</v>
      </c>
    </row>
    <row r="3" spans="1:4" x14ac:dyDescent="0.25">
      <c r="A3" s="44" t="s">
        <v>87</v>
      </c>
      <c r="B3" s="44" t="b">
        <v>0</v>
      </c>
      <c r="C3" s="44" t="s">
        <v>88</v>
      </c>
      <c r="D3" s="767">
        <v>4</v>
      </c>
    </row>
    <row r="4" spans="1:4" x14ac:dyDescent="0.25">
      <c r="A4" s="802" t="s">
        <v>89</v>
      </c>
      <c r="B4" s="802" t="s">
        <v>90</v>
      </c>
      <c r="C4" s="802" t="s">
        <v>91</v>
      </c>
      <c r="D4" s="802" t="s">
        <v>92</v>
      </c>
    </row>
    <row r="5" spans="1:4" hidden="1" x14ac:dyDescent="0.25">
      <c r="A5" s="803" t="s">
        <v>93</v>
      </c>
      <c r="B5" s="802" t="s">
        <v>94</v>
      </c>
      <c r="C5" s="802" t="s">
        <v>95</v>
      </c>
      <c r="D5" s="802" t="s">
        <v>96</v>
      </c>
    </row>
    <row r="6" spans="1:4" x14ac:dyDescent="0.25">
      <c r="A6" s="803" t="s">
        <v>97</v>
      </c>
      <c r="B6" s="802" t="b">
        <v>1</v>
      </c>
      <c r="C6" s="802" t="b">
        <v>1</v>
      </c>
      <c r="D6" s="802" t="b">
        <v>1</v>
      </c>
    </row>
    <row r="7" spans="1:4" x14ac:dyDescent="0.25">
      <c r="A7" s="803" t="s">
        <v>98</v>
      </c>
      <c r="B7" s="802" t="b">
        <v>1</v>
      </c>
      <c r="C7" s="802" t="b">
        <v>1</v>
      </c>
      <c r="D7" s="802" t="b">
        <v>1</v>
      </c>
    </row>
    <row r="8" spans="1:4" x14ac:dyDescent="0.25">
      <c r="A8" s="803" t="s">
        <v>99</v>
      </c>
      <c r="B8" s="802" t="b">
        <v>1</v>
      </c>
      <c r="C8" s="802" t="b">
        <v>1</v>
      </c>
      <c r="D8" s="802" t="b">
        <v>1</v>
      </c>
    </row>
    <row r="9" spans="1:4" x14ac:dyDescent="0.25">
      <c r="A9" s="803" t="s">
        <v>100</v>
      </c>
      <c r="B9" s="802" t="b">
        <v>1</v>
      </c>
      <c r="C9" s="802" t="b">
        <v>1</v>
      </c>
      <c r="D9" s="802" t="b">
        <v>1</v>
      </c>
    </row>
    <row r="10" spans="1:4" x14ac:dyDescent="0.25">
      <c r="A10" s="803" t="s">
        <v>101</v>
      </c>
      <c r="B10" s="802" t="b">
        <v>1</v>
      </c>
      <c r="C10" s="802" t="b">
        <v>1</v>
      </c>
      <c r="D10" s="802" t="b">
        <v>1</v>
      </c>
    </row>
    <row r="11" spans="1:4" x14ac:dyDescent="0.25">
      <c r="A11" s="803" t="s">
        <v>102</v>
      </c>
      <c r="B11" s="802" t="b">
        <v>0</v>
      </c>
      <c r="C11" s="802" t="b">
        <v>1</v>
      </c>
      <c r="D11" s="802" t="b">
        <v>1</v>
      </c>
    </row>
    <row r="12" spans="1:4" x14ac:dyDescent="0.25">
      <c r="A12" s="803" t="s">
        <v>103</v>
      </c>
      <c r="B12" s="802" t="b">
        <v>0</v>
      </c>
      <c r="C12" s="802" t="b">
        <v>0</v>
      </c>
      <c r="D12" s="802" t="b">
        <v>0</v>
      </c>
    </row>
    <row r="13" spans="1:4" x14ac:dyDescent="0.25">
      <c r="A13" s="803" t="s">
        <v>104</v>
      </c>
      <c r="B13" s="802" t="b">
        <v>1</v>
      </c>
      <c r="C13" s="802" t="b">
        <v>1</v>
      </c>
      <c r="D13" s="802" t="b">
        <v>1</v>
      </c>
    </row>
    <row r="14" spans="1:4" x14ac:dyDescent="0.25">
      <c r="A14" s="803" t="s">
        <v>105</v>
      </c>
      <c r="B14" s="802" t="b">
        <v>1</v>
      </c>
      <c r="C14" s="802" t="b">
        <v>1</v>
      </c>
      <c r="D14" s="802" t="b">
        <v>1</v>
      </c>
    </row>
    <row r="15" spans="1:4" x14ac:dyDescent="0.25">
      <c r="A15" s="803" t="s">
        <v>106</v>
      </c>
      <c r="B15" s="802" t="b">
        <v>0</v>
      </c>
      <c r="C15" s="802" t="b">
        <v>1</v>
      </c>
      <c r="D15" s="802" t="b">
        <v>0</v>
      </c>
    </row>
    <row r="16" spans="1:4" x14ac:dyDescent="0.25">
      <c r="A16" s="803" t="s">
        <v>107</v>
      </c>
      <c r="B16" s="802" t="b">
        <v>0</v>
      </c>
      <c r="C16" s="802" t="b">
        <v>1</v>
      </c>
      <c r="D16" s="802" t="b">
        <v>1</v>
      </c>
    </row>
    <row r="17" spans="1:4" x14ac:dyDescent="0.25">
      <c r="A17" s="803" t="s">
        <v>108</v>
      </c>
      <c r="B17" s="802" t="b">
        <v>1</v>
      </c>
      <c r="C17" s="802" t="b">
        <v>1</v>
      </c>
      <c r="D17" s="802" t="b">
        <v>1</v>
      </c>
    </row>
    <row r="18" spans="1:4" x14ac:dyDescent="0.25">
      <c r="A18" s="803" t="s">
        <v>109</v>
      </c>
      <c r="B18" s="802" t="b">
        <v>1</v>
      </c>
      <c r="C18" s="802" t="b">
        <v>1</v>
      </c>
      <c r="D18" s="802" t="b">
        <v>1</v>
      </c>
    </row>
    <row r="19" spans="1:4" x14ac:dyDescent="0.25">
      <c r="A19" s="803" t="s">
        <v>110</v>
      </c>
      <c r="B19" s="802" t="b">
        <v>1</v>
      </c>
      <c r="C19" s="802" t="b">
        <v>1</v>
      </c>
      <c r="D19" s="802" t="b">
        <v>1</v>
      </c>
    </row>
    <row r="20" spans="1:4" x14ac:dyDescent="0.25">
      <c r="A20" s="803" t="s">
        <v>111</v>
      </c>
      <c r="B20" s="802" t="b">
        <v>1</v>
      </c>
      <c r="C20" s="802" t="b">
        <v>1</v>
      </c>
      <c r="D20" s="802" t="b">
        <v>1</v>
      </c>
    </row>
    <row r="21" spans="1:4" x14ac:dyDescent="0.25">
      <c r="A21" s="803" t="s">
        <v>112</v>
      </c>
      <c r="B21" s="802" t="b">
        <v>0</v>
      </c>
      <c r="C21" s="802" t="b">
        <v>1</v>
      </c>
      <c r="D21" s="802" t="b">
        <v>1</v>
      </c>
    </row>
    <row r="22" spans="1:4" x14ac:dyDescent="0.25">
      <c r="A22" s="803" t="s">
        <v>113</v>
      </c>
      <c r="B22" s="802" t="b">
        <v>0</v>
      </c>
      <c r="C22" s="802" t="b">
        <v>1</v>
      </c>
      <c r="D22" s="802" t="b">
        <v>0</v>
      </c>
    </row>
    <row r="23" spans="1:4" x14ac:dyDescent="0.25">
      <c r="A23" s="803" t="s">
        <v>114</v>
      </c>
      <c r="B23" s="802" t="b">
        <v>0</v>
      </c>
      <c r="C23" s="802" t="b">
        <v>0</v>
      </c>
      <c r="D23" s="802" t="b">
        <v>0</v>
      </c>
    </row>
    <row r="24" spans="1:4" x14ac:dyDescent="0.25">
      <c r="A24" s="803" t="s">
        <v>115</v>
      </c>
      <c r="B24" s="802" t="b">
        <v>1</v>
      </c>
      <c r="C24" s="802" t="b">
        <v>1</v>
      </c>
      <c r="D24" s="802" t="b">
        <v>1</v>
      </c>
    </row>
    <row r="25" spans="1:4" x14ac:dyDescent="0.25">
      <c r="A25" s="803" t="s">
        <v>116</v>
      </c>
      <c r="B25" s="802" t="b">
        <v>1</v>
      </c>
      <c r="C25" s="802" t="b">
        <v>1</v>
      </c>
      <c r="D25" s="802" t="b">
        <v>1</v>
      </c>
    </row>
    <row r="26" spans="1:4" x14ac:dyDescent="0.25">
      <c r="A26" s="44"/>
      <c r="B26" s="44"/>
      <c r="C26" s="44"/>
      <c r="D26" s="44"/>
    </row>
    <row r="27" spans="1:4" x14ac:dyDescent="0.25">
      <c r="A27" s="44"/>
      <c r="B27" s="44"/>
      <c r="C27" s="44"/>
      <c r="D27" s="44"/>
    </row>
    <row r="28" spans="1:4" x14ac:dyDescent="0.25">
      <c r="A28" s="44"/>
      <c r="B28" s="44"/>
      <c r="C28" s="44"/>
      <c r="D28" s="44"/>
    </row>
    <row r="29" spans="1:4" x14ac:dyDescent="0.25">
      <c r="A29" s="44"/>
      <c r="B29" s="44"/>
      <c r="C29" s="44"/>
      <c r="D29" s="44"/>
    </row>
    <row r="30" spans="1:4" x14ac:dyDescent="0.25">
      <c r="A30" s="44"/>
      <c r="B30" s="44"/>
      <c r="C30" s="44"/>
      <c r="D30" s="44"/>
    </row>
    <row r="31" spans="1:4" x14ac:dyDescent="0.25">
      <c r="A31" s="44"/>
      <c r="B31" s="44"/>
      <c r="C31" s="44"/>
      <c r="D31" s="44"/>
    </row>
    <row r="32" spans="1:4" x14ac:dyDescent="0.25">
      <c r="A32" s="44"/>
      <c r="B32" s="44"/>
      <c r="C32" s="44"/>
      <c r="D32" s="44"/>
    </row>
    <row r="33" spans="1:4" x14ac:dyDescent="0.25">
      <c r="A33" s="44"/>
      <c r="B33" s="44"/>
      <c r="C33" s="44"/>
      <c r="D33" s="44"/>
    </row>
    <row r="34" spans="1:4" x14ac:dyDescent="0.25">
      <c r="A34" s="44"/>
      <c r="B34" s="44"/>
      <c r="C34" s="44"/>
      <c r="D34" s="44"/>
    </row>
    <row r="35" spans="1:4" x14ac:dyDescent="0.25">
      <c r="A35" s="44" t="s">
        <v>117</v>
      </c>
      <c r="B35" s="44"/>
      <c r="C35" s="44"/>
      <c r="D35" s="44"/>
    </row>
    <row r="36" spans="1:4" x14ac:dyDescent="0.25">
      <c r="A36" s="44" t="s">
        <v>118</v>
      </c>
      <c r="B36" s="44"/>
      <c r="C36" s="44"/>
      <c r="D36" s="44"/>
    </row>
    <row r="37" spans="1:4" x14ac:dyDescent="0.25">
      <c r="A37" s="44" t="s">
        <v>119</v>
      </c>
      <c r="B37" s="44" t="s">
        <v>120</v>
      </c>
      <c r="C37" s="44"/>
      <c r="D37" s="44"/>
    </row>
    <row r="38" spans="1:4" x14ac:dyDescent="0.25">
      <c r="A38" s="44"/>
      <c r="B38" s="44"/>
      <c r="C38" s="44"/>
      <c r="D38" s="44"/>
    </row>
    <row r="39" spans="1:4" x14ac:dyDescent="0.25">
      <c r="A39" s="44"/>
      <c r="B39" s="44"/>
      <c r="C39" s="44"/>
      <c r="D39" s="44"/>
    </row>
    <row r="40" spans="1:4" x14ac:dyDescent="0.25">
      <c r="A40" s="44" t="s">
        <v>121</v>
      </c>
      <c r="B40" s="44"/>
      <c r="C40" s="44"/>
      <c r="D40" s="44"/>
    </row>
    <row r="41" spans="1:4" x14ac:dyDescent="0.25">
      <c r="A41" s="44" t="s">
        <v>122</v>
      </c>
      <c r="B41" s="44" t="s">
        <v>123</v>
      </c>
      <c r="C41" s="44"/>
      <c r="D41" s="44"/>
    </row>
    <row r="42" spans="1:4" x14ac:dyDescent="0.25">
      <c r="A42" s="44"/>
      <c r="B42" s="44"/>
      <c r="C42" s="44"/>
      <c r="D42" s="44"/>
    </row>
    <row r="43" spans="1:4" x14ac:dyDescent="0.25">
      <c r="A43" s="44"/>
      <c r="B43" s="44"/>
      <c r="C43" s="44"/>
      <c r="D43" s="44"/>
    </row>
    <row r="44" spans="1:4" x14ac:dyDescent="0.25">
      <c r="A44" s="44" t="s">
        <v>122</v>
      </c>
      <c r="B44" s="44" t="s">
        <v>124</v>
      </c>
      <c r="C44" s="44"/>
      <c r="D44" s="44"/>
    </row>
    <row r="45" spans="1:4" x14ac:dyDescent="0.25">
      <c r="A45" s="44"/>
      <c r="B45" s="44"/>
      <c r="C45" s="44"/>
      <c r="D45" s="44"/>
    </row>
    <row r="46" spans="1:4" x14ac:dyDescent="0.25">
      <c r="A46" s="44"/>
      <c r="B46" s="44"/>
      <c r="C46" s="44"/>
      <c r="D46" s="44"/>
    </row>
    <row r="47" spans="1:4" x14ac:dyDescent="0.25">
      <c r="A47" s="44"/>
      <c r="B47" s="44"/>
      <c r="C47" s="44"/>
      <c r="D47" s="44"/>
    </row>
    <row r="48" spans="1:4" x14ac:dyDescent="0.25">
      <c r="A48" s="44"/>
      <c r="B48" s="44"/>
      <c r="C48" s="44"/>
      <c r="D48" s="44"/>
    </row>
    <row r="49" spans="1:4" x14ac:dyDescent="0.25">
      <c r="A49" s="44"/>
      <c r="B49" s="44"/>
      <c r="C49" s="44"/>
      <c r="D49" s="44"/>
    </row>
    <row r="50" spans="1:4" x14ac:dyDescent="0.25">
      <c r="A50" s="44" t="s">
        <v>125</v>
      </c>
      <c r="B50" s="44"/>
      <c r="C50" s="44"/>
      <c r="D50" s="44"/>
    </row>
    <row r="51" spans="1:4" x14ac:dyDescent="0.25">
      <c r="A51" s="44" t="s">
        <v>54</v>
      </c>
      <c r="B51" s="766">
        <v>43647</v>
      </c>
      <c r="C51" s="44"/>
      <c r="D51" s="44"/>
    </row>
    <row r="52" spans="1:4" x14ac:dyDescent="0.25">
      <c r="A52" s="44" t="s">
        <v>56</v>
      </c>
      <c r="B52" s="766">
        <v>43830</v>
      </c>
      <c r="C52" s="44"/>
      <c r="D52" s="44"/>
    </row>
    <row r="53" spans="1:4" x14ac:dyDescent="0.25">
      <c r="A53" s="44"/>
      <c r="B53" s="44"/>
      <c r="C53" s="44"/>
      <c r="D53" s="44"/>
    </row>
    <row r="54" spans="1:4" x14ac:dyDescent="0.25">
      <c r="A54" s="44"/>
      <c r="B54" s="44"/>
      <c r="C54" s="44"/>
      <c r="D54" s="44"/>
    </row>
    <row r="55" spans="1:4" x14ac:dyDescent="0.25">
      <c r="A55" s="44" t="s">
        <v>126</v>
      </c>
      <c r="B55" s="44" t="str">
        <f ca="1">CONCATENATE(CoverSheet!D7,"_Progress Report_Imported_",TEXT(TODAY(),"dd-mmm-yy"))</f>
        <v>_Progress Report_Imported_31-Mar-22</v>
      </c>
      <c r="C55" s="44"/>
      <c r="D55" s="44"/>
    </row>
    <row r="56" spans="1:4" x14ac:dyDescent="0.25">
      <c r="B56" t="str">
        <f ca="1">CONCATENATE(CoverSheet!D7,"_Progress Report_Extracted_",TEXT(TODAY(),"dd-mmm-yy"))</f>
        <v>_Progress Report_Extracted_31-Mar-22</v>
      </c>
    </row>
  </sheetData>
  <dataValidations count="5">
    <dataValidation type="custom" allowBlank="1" showInputMessage="1" showErrorMessage="1" errorTitle="X-Author for Excel" error="Id and Lookup fields are not editable." promptTitle="X-Author for Excel" sqref="B41 B44 B37" xr:uid="{00000000-0002-0000-0300-000000000000}">
      <formula1>""</formula1>
    </dataValidation>
    <dataValidation type="list" allowBlank="1" showInputMessage="1" showErrorMessage="1" errorTitle="X-Author for Excel" error="Please select either TRUE or FALSE from the dropdown." promptTitle="X-Author for Excel" sqref="B5:D25 B1:B3" xr:uid="{00000000-0002-0000-0300-000001000000}">
      <formula1>"TRUE,FALSE"</formula1>
    </dataValidation>
    <dataValidation type="date" allowBlank="1" showInputMessage="1" showErrorMessage="1" errorTitle="X-Author for Excel" error="Please enter a valid date." promptTitle="X-Author for Excel" sqref="D2 B51:B52" xr:uid="{00000000-0002-0000-0300-000002000000}">
      <formula1>1</formula1>
      <formula2>767376</formula2>
    </dataValidation>
    <dataValidation type="decimal" allowBlank="1" showInputMessage="1" showErrorMessage="1" errorTitle="X-Author for Excel" error="Please enter a valid numeric value. Valid range for Version is -9999999999.99 to 9999999999.99." promptTitle="X-Author for Excel" sqref="D3" xr:uid="{00000000-0002-0000-0300-000003000000}">
      <formula1>-9999999999.99</formula1>
      <formula2>9999999999.99</formula2>
    </dataValidation>
    <dataValidation type="list" allowBlank="1" showInputMessage="1" showErrorMessage="1" errorTitle="X-Author for Excel" error="Please select a value from the drop-down." promptTitle="X-Author for Excel" sqref="A5:A25" xr:uid="{00000000-0002-0000-0300-000004000000}">
      <formula1>IF(IFERROR(ROWS(INDIRECT(SUBSTITUTE("AIM_Opt_Ins__c.AIM_Tab_Name__c"," ","_"))),-1) &lt; 0, XAuthorInvalidPicklistData,INDIRECT(SUBSTITUTE("AIM_Opt_Ins__c.AIM_Tab_Name__c"," ","_")))</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theme="0" tint="-0.249977111117893"/>
  </sheetPr>
  <dimension ref="A1:O43"/>
  <sheetViews>
    <sheetView zoomScale="70" zoomScaleNormal="70" zoomScaleSheetLayoutView="70" workbookViewId="0">
      <selection activeCell="K3" sqref="K3"/>
    </sheetView>
  </sheetViews>
  <sheetFormatPr baseColWidth="10" defaultColWidth="9.140625" defaultRowHeight="12.75" x14ac:dyDescent="0.2"/>
  <cols>
    <col min="1" max="1" width="30.42578125" style="44" customWidth="1"/>
    <col min="2" max="4" width="9.140625" style="44"/>
    <col min="5" max="5" width="18.42578125" style="44" customWidth="1"/>
    <col min="6" max="6" width="9.140625" style="44"/>
    <col min="7" max="7" width="10.85546875" style="44" customWidth="1"/>
    <col min="8" max="8" width="23.140625" style="44" customWidth="1"/>
    <col min="9" max="9" width="14.85546875" style="44" customWidth="1"/>
    <col min="10" max="10" width="26.85546875" style="44" customWidth="1"/>
    <col min="11" max="14" width="9.140625" style="44"/>
    <col min="15" max="15" width="57.85546875" style="44" customWidth="1"/>
    <col min="16" max="16384" width="9.140625" style="44"/>
  </cols>
  <sheetData>
    <row r="1" spans="1:15" ht="39" customHeight="1" x14ac:dyDescent="0.2">
      <c r="A1" s="1886" t="str">
        <f>CoverSheet!A1</f>
        <v>Rapport périodique sur les résultats actuels et demande de décaissement</v>
      </c>
      <c r="B1" s="1886"/>
      <c r="C1" s="1886"/>
      <c r="D1" s="1886"/>
      <c r="E1" s="1886"/>
      <c r="F1" s="1886"/>
      <c r="G1" s="1886"/>
      <c r="H1" s="1886"/>
      <c r="I1" s="1886"/>
      <c r="J1" s="1886"/>
      <c r="K1" s="1886"/>
      <c r="L1" s="1886"/>
      <c r="M1" s="1886"/>
      <c r="N1" s="1886"/>
      <c r="O1" s="1886"/>
    </row>
    <row r="2" spans="1:15" ht="3.75" hidden="1" customHeight="1" x14ac:dyDescent="0.2">
      <c r="A2" s="146"/>
      <c r="B2" s="146"/>
      <c r="C2" s="146"/>
      <c r="D2" s="146"/>
      <c r="E2" s="146"/>
      <c r="F2" s="146"/>
      <c r="G2" s="146"/>
      <c r="H2" s="146"/>
      <c r="I2" s="146"/>
      <c r="J2" s="146"/>
      <c r="K2" s="146"/>
      <c r="L2" s="146"/>
      <c r="M2" s="146"/>
      <c r="N2" s="146"/>
      <c r="O2" s="146"/>
    </row>
    <row r="3" spans="1:15" ht="30" customHeight="1" x14ac:dyDescent="0.2">
      <c r="A3" s="397" t="s">
        <v>1114</v>
      </c>
      <c r="B3" s="395"/>
      <c r="C3" s="395"/>
      <c r="D3" s="395"/>
      <c r="E3" s="395"/>
      <c r="F3" s="163"/>
      <c r="G3" s="163"/>
      <c r="H3" s="163"/>
      <c r="I3" s="163"/>
      <c r="J3" s="163"/>
      <c r="K3" s="394"/>
      <c r="L3" s="394"/>
      <c r="M3" s="394"/>
      <c r="N3" s="394"/>
      <c r="O3" s="394"/>
    </row>
    <row r="4" spans="1:15" ht="30" customHeight="1" x14ac:dyDescent="0.25">
      <c r="A4" s="1392" t="s">
        <v>3716</v>
      </c>
      <c r="B4" s="391"/>
      <c r="C4" s="391"/>
      <c r="D4" s="391"/>
      <c r="E4" s="391"/>
      <c r="F4" s="391"/>
      <c r="G4" s="391"/>
      <c r="H4" s="391"/>
      <c r="I4" s="391"/>
      <c r="J4" s="391"/>
      <c r="K4" s="391"/>
      <c r="L4" s="391"/>
      <c r="M4" s="391"/>
      <c r="N4" s="391"/>
      <c r="O4" s="391"/>
    </row>
    <row r="5" spans="1:15" ht="12.75" customHeight="1" x14ac:dyDescent="0.2">
      <c r="A5" s="396"/>
      <c r="B5" s="146"/>
      <c r="C5" s="146"/>
      <c r="D5" s="146"/>
      <c r="E5" s="146"/>
      <c r="F5" s="146"/>
      <c r="G5" s="146"/>
      <c r="H5" s="146"/>
      <c r="I5" s="146"/>
      <c r="J5" s="146"/>
      <c r="K5" s="146"/>
      <c r="L5" s="159"/>
      <c r="M5" s="159"/>
      <c r="N5" s="159"/>
      <c r="O5" s="159"/>
    </row>
    <row r="6" spans="1:15" ht="14.25" x14ac:dyDescent="0.2">
      <c r="A6" s="1887" t="s">
        <v>3694</v>
      </c>
      <c r="B6" s="1887"/>
      <c r="C6" s="1887"/>
      <c r="D6" s="1887"/>
      <c r="E6" s="1887"/>
      <c r="F6" s="1888" t="str">
        <f>CoverSheet!D10</f>
        <v>BDI-C-UNDP</v>
      </c>
      <c r="G6" s="1889"/>
      <c r="H6" s="1889"/>
      <c r="I6" s="1889"/>
      <c r="J6" s="1890"/>
      <c r="K6" s="159"/>
      <c r="L6" s="159"/>
      <c r="M6" s="159"/>
      <c r="N6" s="159"/>
      <c r="O6" s="159"/>
    </row>
    <row r="7" spans="1:15" ht="14.25" x14ac:dyDescent="0.2">
      <c r="A7" s="980" t="s">
        <v>3695</v>
      </c>
      <c r="B7" s="981"/>
      <c r="C7" s="981"/>
      <c r="D7" s="981"/>
      <c r="E7" s="982"/>
      <c r="F7" s="1894" t="str">
        <f>CoverSheet!I12</f>
        <v>Date de début:</v>
      </c>
      <c r="G7" s="1895"/>
      <c r="H7" s="983">
        <f>CoverSheet!J9</f>
        <v>43647</v>
      </c>
      <c r="I7" s="984" t="str">
        <f>CoverSheet!K12</f>
        <v>Date de fin:</v>
      </c>
      <c r="J7" s="983">
        <f>CoverSheet!L9</f>
        <v>43830</v>
      </c>
      <c r="K7" s="159"/>
      <c r="L7" s="159"/>
      <c r="M7" s="159"/>
      <c r="N7" s="159"/>
      <c r="O7" s="159"/>
    </row>
    <row r="8" spans="1:15" ht="14.25" x14ac:dyDescent="0.2">
      <c r="A8" s="980" t="s">
        <v>3717</v>
      </c>
      <c r="B8" s="981"/>
      <c r="C8" s="981"/>
      <c r="D8" s="981"/>
      <c r="E8" s="982"/>
      <c r="F8" s="1894" t="str">
        <f>CoverSheet!I12</f>
        <v>Date de début:</v>
      </c>
      <c r="G8" s="1895"/>
      <c r="H8" s="985">
        <f>CoverSheet!J15</f>
        <v>43831</v>
      </c>
      <c r="I8" s="984" t="str">
        <f>CoverSheet!K12</f>
        <v>Date de fin:</v>
      </c>
      <c r="J8" s="983">
        <f>CoverSheet!L15</f>
        <v>44196</v>
      </c>
      <c r="K8" s="159"/>
      <c r="L8" s="159"/>
      <c r="M8" s="159"/>
      <c r="N8" s="159"/>
      <c r="O8" s="159"/>
    </row>
    <row r="9" spans="1:15" ht="14.25" x14ac:dyDescent="0.2">
      <c r="A9" s="980" t="str">
        <f>CoverSheet!F16</f>
        <v>Demande de décaissement  - Période additionnelle convenue:</v>
      </c>
      <c r="B9" s="981"/>
      <c r="C9" s="981"/>
      <c r="D9" s="981"/>
      <c r="E9" s="982"/>
      <c r="F9" s="1894" t="str">
        <f>CoverSheet!I12</f>
        <v>Date de début:</v>
      </c>
      <c r="G9" s="1895"/>
      <c r="H9" s="986" t="str">
        <f>CoverSheet!J16</f>
        <v>n/a</v>
      </c>
      <c r="I9" s="984" t="str">
        <f>CoverSheet!K12</f>
        <v>Date de fin:</v>
      </c>
      <c r="J9" s="985" t="str">
        <f>CoverSheet!L16</f>
        <v>n/a</v>
      </c>
      <c r="K9" s="159"/>
      <c r="L9" s="159"/>
      <c r="M9" s="159"/>
      <c r="N9" s="159"/>
      <c r="O9" s="159"/>
    </row>
    <row r="10" spans="1:15" ht="14.25" x14ac:dyDescent="0.2">
      <c r="A10" s="1880" t="s">
        <v>3696</v>
      </c>
      <c r="B10" s="1881"/>
      <c r="C10" s="1881"/>
      <c r="D10" s="1881"/>
      <c r="E10" s="1882"/>
      <c r="F10" s="1891" t="str">
        <f>CoverSheet!D14</f>
        <v>USD</v>
      </c>
      <c r="G10" s="1892"/>
      <c r="H10" s="1892"/>
      <c r="I10" s="1892"/>
      <c r="J10" s="1893"/>
      <c r="K10" s="690"/>
      <c r="L10" s="691"/>
      <c r="M10" s="691"/>
      <c r="N10" s="691"/>
      <c r="O10" s="691"/>
    </row>
    <row r="11" spans="1:15" ht="14.25" x14ac:dyDescent="0.2">
      <c r="A11" s="1880" t="s">
        <v>3718</v>
      </c>
      <c r="B11" s="1881"/>
      <c r="C11" s="1881"/>
      <c r="D11" s="1881"/>
      <c r="E11" s="1882"/>
      <c r="F11" s="1883">
        <f>'Request and Recommendation_8B'!K53</f>
        <v>0</v>
      </c>
      <c r="G11" s="1884"/>
      <c r="H11" s="1884"/>
      <c r="I11" s="1884"/>
      <c r="J11" s="1885"/>
      <c r="K11" s="690"/>
      <c r="L11" s="691"/>
      <c r="M11" s="691"/>
      <c r="N11" s="691"/>
      <c r="O11" s="691"/>
    </row>
    <row r="12" spans="1:15" ht="41.25" customHeight="1" x14ac:dyDescent="0.2">
      <c r="A12" s="395" t="s">
        <v>3719</v>
      </c>
      <c r="B12" s="395"/>
      <c r="C12" s="395"/>
      <c r="D12" s="395"/>
      <c r="E12" s="395"/>
      <c r="F12" s="163"/>
      <c r="G12" s="163"/>
      <c r="H12" s="163"/>
      <c r="I12" s="163"/>
      <c r="J12" s="163"/>
      <c r="K12" s="691"/>
      <c r="L12" s="691"/>
      <c r="M12" s="691"/>
      <c r="N12" s="691"/>
      <c r="O12" s="691"/>
    </row>
    <row r="13" spans="1:15" ht="39" customHeight="1" x14ac:dyDescent="0.2">
      <c r="A13" s="1897" t="s">
        <v>3720</v>
      </c>
      <c r="B13" s="1897"/>
      <c r="C13" s="1897"/>
      <c r="D13" s="1897"/>
      <c r="E13" s="1897"/>
      <c r="F13" s="1897"/>
      <c r="G13" s="1897"/>
      <c r="H13" s="1897"/>
      <c r="I13" s="1897"/>
      <c r="J13" s="1897"/>
      <c r="K13" s="1897"/>
      <c r="L13" s="1897"/>
      <c r="M13" s="1897"/>
      <c r="N13" s="1897"/>
      <c r="O13" s="1897"/>
    </row>
    <row r="14" spans="1:15" ht="121.5" customHeight="1" x14ac:dyDescent="0.2">
      <c r="A14" s="1898"/>
      <c r="B14" s="1899"/>
      <c r="C14" s="1899"/>
      <c r="D14" s="1899"/>
      <c r="E14" s="1899"/>
      <c r="F14" s="1899"/>
      <c r="G14" s="1899"/>
      <c r="H14" s="1899"/>
      <c r="I14" s="1899"/>
      <c r="J14" s="1899"/>
      <c r="K14" s="1899"/>
      <c r="L14" s="1899"/>
      <c r="M14" s="1899"/>
      <c r="N14" s="1899"/>
      <c r="O14" s="1900"/>
    </row>
    <row r="15" spans="1:15" ht="12" customHeight="1" x14ac:dyDescent="0.2">
      <c r="A15" s="1901"/>
      <c r="B15" s="1901"/>
      <c r="C15" s="1901"/>
      <c r="D15" s="1901"/>
      <c r="E15" s="1901"/>
      <c r="F15" s="1901"/>
      <c r="G15" s="1901"/>
      <c r="H15" s="1901"/>
      <c r="I15" s="1901"/>
      <c r="J15" s="1901"/>
      <c r="K15" s="1901"/>
      <c r="L15" s="1901"/>
      <c r="M15" s="1901"/>
      <c r="N15" s="1901"/>
      <c r="O15" s="1901"/>
    </row>
    <row r="16" spans="1:15" ht="36.75" customHeight="1" x14ac:dyDescent="0.2">
      <c r="A16" s="1902" t="s">
        <v>3721</v>
      </c>
      <c r="B16" s="1902"/>
      <c r="C16" s="1902"/>
      <c r="D16" s="1902"/>
      <c r="E16" s="1902"/>
      <c r="F16" s="1902"/>
      <c r="G16" s="1902"/>
      <c r="H16" s="1902"/>
      <c r="I16" s="1902"/>
      <c r="J16" s="1902"/>
      <c r="K16" s="1902"/>
      <c r="L16" s="1902"/>
      <c r="M16" s="1902"/>
      <c r="N16" s="1902"/>
      <c r="O16" s="1902"/>
    </row>
    <row r="17" spans="1:15" ht="14.25" x14ac:dyDescent="0.2">
      <c r="A17" s="159"/>
      <c r="B17" s="159"/>
      <c r="C17" s="159"/>
      <c r="D17" s="159"/>
      <c r="E17" s="159"/>
      <c r="F17" s="159"/>
      <c r="G17" s="159"/>
      <c r="H17" s="159"/>
      <c r="I17" s="159"/>
      <c r="J17" s="159"/>
      <c r="K17" s="159"/>
      <c r="L17" s="159"/>
      <c r="M17" s="159"/>
      <c r="N17" s="159"/>
      <c r="O17" s="159"/>
    </row>
    <row r="18" spans="1:15" ht="43.5" customHeight="1" x14ac:dyDescent="0.2">
      <c r="A18" s="159" t="s">
        <v>3722</v>
      </c>
      <c r="B18" s="159"/>
      <c r="C18" s="159"/>
      <c r="D18" s="1896"/>
      <c r="E18" s="1896"/>
      <c r="F18" s="1896"/>
      <c r="G18" s="1896"/>
      <c r="H18" s="1896"/>
      <c r="I18" s="1896"/>
      <c r="J18" s="960"/>
      <c r="K18" s="159"/>
      <c r="L18" s="159"/>
      <c r="M18" s="159"/>
      <c r="N18" s="159"/>
      <c r="O18" s="159"/>
    </row>
    <row r="19" spans="1:15" ht="43.5" customHeight="1" x14ac:dyDescent="0.2">
      <c r="A19" s="159" t="s">
        <v>3706</v>
      </c>
      <c r="B19" s="159"/>
      <c r="C19" s="159"/>
      <c r="D19" s="1896"/>
      <c r="E19" s="1896"/>
      <c r="F19" s="1896"/>
      <c r="G19" s="1896"/>
      <c r="H19" s="1896"/>
      <c r="I19" s="1896"/>
      <c r="J19" s="960"/>
      <c r="K19" s="159"/>
      <c r="L19" s="159"/>
      <c r="M19" s="159"/>
      <c r="N19" s="159"/>
      <c r="O19" s="159"/>
    </row>
    <row r="20" spans="1:15" ht="43.5" customHeight="1" x14ac:dyDescent="0.2">
      <c r="A20" s="159" t="s">
        <v>3709</v>
      </c>
      <c r="B20" s="159"/>
      <c r="C20" s="159"/>
      <c r="D20" s="1896"/>
      <c r="E20" s="1896"/>
      <c r="F20" s="1896"/>
      <c r="G20" s="1896"/>
      <c r="H20" s="1896"/>
      <c r="I20" s="1896"/>
      <c r="J20" s="960"/>
      <c r="K20" s="159"/>
      <c r="L20" s="159"/>
      <c r="M20" s="159"/>
      <c r="N20" s="159"/>
      <c r="O20" s="159"/>
    </row>
    <row r="21" spans="1:15" ht="43.5" customHeight="1" x14ac:dyDescent="0.2">
      <c r="A21" s="692" t="s">
        <v>4673</v>
      </c>
      <c r="B21" s="159"/>
      <c r="C21" s="159"/>
      <c r="D21" s="1903"/>
      <c r="E21" s="1903"/>
      <c r="F21" s="1903"/>
      <c r="G21" s="1903"/>
      <c r="H21" s="1903"/>
      <c r="I21" s="1903"/>
      <c r="J21" s="1903"/>
      <c r="K21" s="693" t="s">
        <v>4676</v>
      </c>
      <c r="L21" s="159"/>
      <c r="M21" s="159"/>
      <c r="N21" s="159"/>
      <c r="O21" s="159"/>
    </row>
    <row r="22" spans="1:15" ht="43.5" customHeight="1" x14ac:dyDescent="0.2">
      <c r="A22" s="159" t="s">
        <v>4674</v>
      </c>
      <c r="B22" s="159"/>
      <c r="C22" s="159"/>
      <c r="D22" s="1896"/>
      <c r="E22" s="1896"/>
      <c r="F22" s="1896"/>
      <c r="G22" s="1896"/>
      <c r="H22" s="1896"/>
      <c r="I22" s="1896"/>
      <c r="J22" s="960"/>
      <c r="K22" s="159"/>
      <c r="L22" s="159"/>
      <c r="M22" s="159"/>
      <c r="N22" s="159"/>
      <c r="O22" s="159"/>
    </row>
    <row r="23" spans="1:15" ht="14.25" x14ac:dyDescent="0.2">
      <c r="A23" s="159"/>
      <c r="B23" s="159"/>
      <c r="C23" s="159"/>
      <c r="D23" s="159"/>
      <c r="E23" s="159"/>
      <c r="F23" s="159"/>
      <c r="G23" s="159"/>
      <c r="H23" s="159"/>
      <c r="I23" s="159"/>
      <c r="J23" s="159"/>
      <c r="K23" s="159"/>
      <c r="L23" s="159"/>
      <c r="M23" s="159"/>
      <c r="N23" s="159"/>
      <c r="O23" s="159"/>
    </row>
    <row r="24" spans="1:15" ht="12.75" customHeight="1" x14ac:dyDescent="0.2">
      <c r="A24" s="1873"/>
      <c r="B24" s="1873"/>
      <c r="C24" s="1873"/>
      <c r="D24" s="1873"/>
      <c r="E24" s="1873"/>
      <c r="F24" s="1873"/>
      <c r="G24" s="1873"/>
      <c r="H24" s="1873"/>
      <c r="I24" s="1873"/>
      <c r="J24" s="1873"/>
      <c r="K24" s="1873"/>
      <c r="L24" s="1873"/>
      <c r="M24" s="1873"/>
      <c r="N24" s="1873"/>
      <c r="O24" s="1873"/>
    </row>
    <row r="25" spans="1:15" x14ac:dyDescent="0.2">
      <c r="A25" s="146"/>
      <c r="B25" s="146"/>
      <c r="C25" s="146"/>
      <c r="D25" s="146"/>
      <c r="E25" s="146"/>
      <c r="F25" s="146"/>
      <c r="G25" s="146"/>
      <c r="H25" s="146"/>
      <c r="I25" s="146"/>
      <c r="J25" s="146"/>
      <c r="K25" s="146"/>
      <c r="L25" s="146"/>
      <c r="M25" s="146"/>
      <c r="N25" s="146"/>
      <c r="O25" s="146"/>
    </row>
    <row r="26" spans="1:15" x14ac:dyDescent="0.2">
      <c r="A26" s="146"/>
      <c r="B26" s="146"/>
      <c r="C26" s="146"/>
      <c r="D26" s="146"/>
      <c r="E26" s="146"/>
      <c r="F26" s="146"/>
      <c r="G26" s="146"/>
      <c r="H26" s="146"/>
      <c r="I26" s="146"/>
      <c r="J26" s="146"/>
      <c r="K26" s="146"/>
      <c r="L26" s="146"/>
      <c r="M26" s="146"/>
      <c r="N26" s="146"/>
      <c r="O26" s="146"/>
    </row>
    <row r="27" spans="1:15" x14ac:dyDescent="0.2">
      <c r="A27" s="146"/>
      <c r="B27" s="146"/>
      <c r="C27" s="146"/>
      <c r="D27" s="146"/>
      <c r="E27" s="146"/>
      <c r="F27" s="146"/>
      <c r="G27" s="146"/>
      <c r="H27" s="146"/>
      <c r="I27" s="146"/>
      <c r="J27" s="146"/>
      <c r="K27" s="146"/>
      <c r="L27" s="146"/>
      <c r="M27" s="146"/>
      <c r="N27" s="146"/>
      <c r="O27" s="146"/>
    </row>
    <row r="28" spans="1:15" x14ac:dyDescent="0.2">
      <c r="A28" s="146"/>
      <c r="B28" s="146"/>
      <c r="C28" s="146"/>
      <c r="D28" s="146"/>
      <c r="E28" s="146"/>
      <c r="F28" s="146"/>
      <c r="G28" s="146"/>
      <c r="H28" s="146"/>
      <c r="I28" s="146"/>
      <c r="J28" s="146"/>
      <c r="K28" s="146"/>
      <c r="L28" s="146"/>
      <c r="M28" s="146"/>
      <c r="N28" s="146"/>
      <c r="O28" s="146"/>
    </row>
    <row r="29" spans="1:15" x14ac:dyDescent="0.2">
      <c r="A29" s="146"/>
      <c r="B29" s="146"/>
      <c r="C29" s="146"/>
      <c r="D29" s="146"/>
      <c r="E29" s="146"/>
      <c r="F29" s="146"/>
      <c r="G29" s="146"/>
      <c r="H29" s="146"/>
      <c r="I29" s="146"/>
      <c r="J29" s="146"/>
      <c r="K29" s="146"/>
      <c r="L29" s="146"/>
      <c r="M29" s="146"/>
      <c r="N29" s="146"/>
      <c r="O29" s="146"/>
    </row>
    <row r="30" spans="1:15" x14ac:dyDescent="0.2">
      <c r="A30" s="146"/>
      <c r="B30" s="146"/>
      <c r="C30" s="146"/>
      <c r="D30" s="146"/>
      <c r="E30" s="146"/>
      <c r="F30" s="146"/>
      <c r="G30" s="146"/>
      <c r="H30" s="146"/>
      <c r="I30" s="146"/>
      <c r="J30" s="146"/>
      <c r="K30" s="146"/>
      <c r="L30" s="146"/>
      <c r="M30" s="146"/>
      <c r="N30" s="146"/>
      <c r="O30" s="146"/>
    </row>
    <row r="31" spans="1:15" x14ac:dyDescent="0.2">
      <c r="A31" s="146"/>
      <c r="B31" s="146"/>
      <c r="C31" s="146"/>
      <c r="D31" s="146"/>
      <c r="E31" s="146"/>
      <c r="F31" s="146"/>
      <c r="G31" s="146"/>
      <c r="H31" s="146"/>
      <c r="I31" s="146"/>
      <c r="J31" s="146"/>
      <c r="K31" s="146"/>
      <c r="L31" s="146"/>
      <c r="M31" s="146"/>
      <c r="N31" s="146"/>
      <c r="O31" s="146"/>
    </row>
    <row r="32" spans="1:15" x14ac:dyDescent="0.2">
      <c r="A32" s="146"/>
      <c r="B32" s="146"/>
      <c r="C32" s="146"/>
      <c r="D32" s="146"/>
      <c r="E32" s="146"/>
      <c r="F32" s="146"/>
      <c r="G32" s="146"/>
      <c r="H32" s="146"/>
      <c r="I32" s="146"/>
      <c r="J32" s="146"/>
      <c r="K32" s="146"/>
      <c r="L32" s="146"/>
      <c r="M32" s="146"/>
      <c r="N32" s="146"/>
      <c r="O32" s="146"/>
    </row>
    <row r="33" spans="1:15" x14ac:dyDescent="0.2">
      <c r="A33" s="146"/>
      <c r="B33" s="146"/>
      <c r="C33" s="146"/>
      <c r="D33" s="146"/>
      <c r="E33" s="146"/>
      <c r="F33" s="146"/>
      <c r="G33" s="146"/>
      <c r="H33" s="146"/>
      <c r="I33" s="146"/>
      <c r="J33" s="146"/>
      <c r="K33" s="146"/>
      <c r="L33" s="146"/>
      <c r="M33" s="146"/>
      <c r="N33" s="146"/>
      <c r="O33" s="146"/>
    </row>
    <row r="34" spans="1:15" x14ac:dyDescent="0.2">
      <c r="A34" s="146"/>
      <c r="B34" s="146"/>
      <c r="C34" s="146"/>
      <c r="D34" s="146"/>
      <c r="E34" s="146"/>
      <c r="F34" s="146"/>
      <c r="G34" s="146"/>
      <c r="H34" s="146"/>
      <c r="I34" s="146"/>
      <c r="J34" s="146"/>
      <c r="K34" s="146"/>
      <c r="L34" s="146"/>
      <c r="M34" s="146"/>
      <c r="N34" s="146"/>
      <c r="O34" s="146"/>
    </row>
    <row r="35" spans="1:15" x14ac:dyDescent="0.2">
      <c r="A35" s="146"/>
      <c r="B35" s="146"/>
      <c r="C35" s="146"/>
      <c r="D35" s="146"/>
      <c r="E35" s="146"/>
      <c r="F35" s="146"/>
      <c r="G35" s="146"/>
      <c r="H35" s="146"/>
      <c r="I35" s="146"/>
      <c r="J35" s="146"/>
      <c r="K35" s="146"/>
      <c r="L35" s="146"/>
      <c r="M35" s="146"/>
      <c r="N35" s="146"/>
      <c r="O35" s="146"/>
    </row>
    <row r="36" spans="1:15" x14ac:dyDescent="0.2">
      <c r="A36" s="146"/>
      <c r="B36" s="146"/>
      <c r="C36" s="146"/>
      <c r="D36" s="146"/>
      <c r="E36" s="146"/>
      <c r="F36" s="146"/>
      <c r="G36" s="146"/>
      <c r="H36" s="146"/>
      <c r="I36" s="146"/>
      <c r="J36" s="146"/>
      <c r="K36" s="146"/>
      <c r="L36" s="146"/>
      <c r="M36" s="146"/>
      <c r="N36" s="146"/>
      <c r="O36" s="146"/>
    </row>
    <row r="37" spans="1:15" x14ac:dyDescent="0.2">
      <c r="A37" s="146"/>
      <c r="B37" s="146"/>
      <c r="C37" s="146"/>
      <c r="D37" s="146"/>
      <c r="E37" s="146"/>
      <c r="F37" s="146"/>
      <c r="G37" s="146"/>
      <c r="H37" s="146"/>
      <c r="I37" s="146"/>
      <c r="J37" s="146"/>
      <c r="K37" s="146"/>
      <c r="L37" s="146"/>
      <c r="M37" s="146"/>
      <c r="N37" s="146"/>
      <c r="O37" s="146"/>
    </row>
    <row r="38" spans="1:15" x14ac:dyDescent="0.2">
      <c r="A38" s="146"/>
      <c r="B38" s="146"/>
      <c r="C38" s="146"/>
      <c r="D38" s="146"/>
      <c r="E38" s="146"/>
      <c r="F38" s="146"/>
      <c r="G38" s="146"/>
      <c r="H38" s="146"/>
      <c r="I38" s="146"/>
      <c r="J38" s="146"/>
      <c r="K38" s="146"/>
      <c r="L38" s="146"/>
      <c r="M38" s="146"/>
      <c r="N38" s="146"/>
      <c r="O38" s="146"/>
    </row>
    <row r="39" spans="1:15" x14ac:dyDescent="0.2">
      <c r="A39" s="146"/>
      <c r="B39" s="146"/>
      <c r="C39" s="146"/>
      <c r="D39" s="146"/>
      <c r="E39" s="146"/>
      <c r="F39" s="146"/>
      <c r="G39" s="146"/>
      <c r="H39" s="146"/>
      <c r="I39" s="146"/>
      <c r="J39" s="146"/>
      <c r="K39" s="146"/>
      <c r="L39" s="146"/>
      <c r="M39" s="146"/>
      <c r="N39" s="146"/>
      <c r="O39" s="146"/>
    </row>
    <row r="40" spans="1:15" x14ac:dyDescent="0.2">
      <c r="A40" s="146"/>
      <c r="B40" s="146"/>
      <c r="C40" s="146"/>
      <c r="D40" s="146"/>
      <c r="E40" s="146"/>
      <c r="F40" s="146"/>
      <c r="G40" s="146"/>
      <c r="H40" s="146"/>
      <c r="I40" s="146"/>
      <c r="J40" s="146"/>
      <c r="K40" s="146"/>
      <c r="L40" s="146"/>
      <c r="M40" s="146"/>
      <c r="N40" s="146"/>
      <c r="O40" s="146"/>
    </row>
    <row r="41" spans="1:15" x14ac:dyDescent="0.2">
      <c r="A41" s="146"/>
      <c r="B41" s="146"/>
      <c r="C41" s="146"/>
      <c r="D41" s="146"/>
      <c r="E41" s="146"/>
      <c r="F41" s="146"/>
      <c r="G41" s="146"/>
      <c r="H41" s="146"/>
      <c r="I41" s="146"/>
      <c r="J41" s="146"/>
      <c r="K41" s="146"/>
      <c r="L41" s="146"/>
      <c r="M41" s="146"/>
      <c r="N41" s="146"/>
      <c r="O41" s="146"/>
    </row>
    <row r="42" spans="1:15" x14ac:dyDescent="0.2">
      <c r="A42" s="146"/>
      <c r="B42" s="146"/>
      <c r="C42" s="146"/>
      <c r="D42" s="146"/>
      <c r="E42" s="146"/>
      <c r="F42" s="146"/>
      <c r="G42" s="146"/>
      <c r="H42" s="146"/>
      <c r="I42" s="146"/>
      <c r="J42" s="146"/>
      <c r="K42" s="146"/>
      <c r="L42" s="146"/>
      <c r="M42" s="146"/>
      <c r="N42" s="146"/>
      <c r="O42" s="146"/>
    </row>
    <row r="43" spans="1:15" x14ac:dyDescent="0.2">
      <c r="A43" s="146"/>
      <c r="B43" s="146"/>
      <c r="C43" s="146"/>
      <c r="D43" s="146"/>
      <c r="E43" s="146"/>
      <c r="F43" s="146"/>
      <c r="G43" s="146"/>
      <c r="H43" s="146"/>
      <c r="I43" s="146"/>
      <c r="J43" s="146"/>
      <c r="K43" s="146"/>
      <c r="L43" s="146"/>
      <c r="M43" s="146"/>
      <c r="N43" s="146"/>
      <c r="O43" s="146"/>
    </row>
  </sheetData>
  <sheetProtection algorithmName="SHA-512" hashValue="blfQ1h9fC3myJVV5HX40ii58wbSt9IIWEbU1J+CVWRYuafutQThoxlT+47qU3YJ9NJ49nvSLgXxXesPi9/5DQA==" saltValue="ujy8h2pEAi4vMQmzLtG5Ew==" spinCount="100000" sheet="1" formatCells="0" formatColumns="0" formatRows="0" selectLockedCells="1"/>
  <mergeCells count="24">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 ref="A11:E11"/>
    <mergeCell ref="F11:J11"/>
    <mergeCell ref="A1:O1"/>
    <mergeCell ref="A6:E6"/>
    <mergeCell ref="F6:J6"/>
    <mergeCell ref="A10:E10"/>
    <mergeCell ref="F10:J10"/>
    <mergeCell ref="F7:G7"/>
    <mergeCell ref="F8:G8"/>
    <mergeCell ref="F9:G9"/>
  </mergeCells>
  <conditionalFormatting sqref="D21">
    <cfRule type="expression" dxfId="0" priority="1">
      <formula>$D$21=""</formula>
    </cfRule>
  </conditionalFormatting>
  <dataValidations count="1">
    <dataValidation type="date" allowBlank="1" showInputMessage="1" showErrorMessage="1" sqref="D21:J21" xr:uid="{00000000-0002-0000-2700-000000000000}">
      <formula1>1</formula1>
      <formula2>44196</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FF0000"/>
  </sheetPr>
  <dimension ref="A1:O15"/>
  <sheetViews>
    <sheetView zoomScale="70" zoomScaleNormal="70" zoomScaleSheetLayoutView="70" workbookViewId="0">
      <selection sqref="A1:F1"/>
    </sheetView>
  </sheetViews>
  <sheetFormatPr baseColWidth="10" defaultColWidth="8.85546875" defaultRowHeight="15" x14ac:dyDescent="0.25"/>
  <cols>
    <col min="1" max="1" width="9.5703125" style="398" customWidth="1"/>
    <col min="2" max="2" width="76.140625" style="398" customWidth="1"/>
    <col min="3" max="3" width="18.5703125" style="398" customWidth="1"/>
    <col min="4" max="4" width="57.42578125" style="398" customWidth="1"/>
    <col min="5" max="5" width="17.140625" style="398" customWidth="1"/>
    <col min="6" max="6" width="63.5703125" style="398" customWidth="1"/>
    <col min="7" max="16384" width="8.85546875" style="398"/>
  </cols>
  <sheetData>
    <row r="1" spans="1:15" ht="25.5" customHeight="1" x14ac:dyDescent="0.35">
      <c r="A1" s="1831" t="s">
        <v>4677</v>
      </c>
      <c r="B1" s="1831"/>
      <c r="C1" s="1831"/>
      <c r="D1" s="1831"/>
      <c r="E1" s="1831"/>
      <c r="F1" s="1831"/>
      <c r="G1" s="403"/>
      <c r="H1" s="403"/>
      <c r="I1" s="403"/>
      <c r="J1" s="403"/>
      <c r="K1" s="403"/>
      <c r="L1" s="403"/>
      <c r="M1" s="403"/>
      <c r="N1" s="403"/>
      <c r="O1" s="403"/>
    </row>
    <row r="3" spans="1:15" ht="39.75" customHeight="1" x14ac:dyDescent="0.25">
      <c r="A3" s="1904" t="s">
        <v>4678</v>
      </c>
      <c r="B3" s="1904"/>
      <c r="C3" s="1904"/>
      <c r="D3" s="1904"/>
      <c r="E3" s="1904"/>
      <c r="F3" s="1904"/>
    </row>
    <row r="4" spans="1:15" ht="39.75" customHeight="1" x14ac:dyDescent="0.25">
      <c r="A4" s="402"/>
      <c r="B4" s="401"/>
      <c r="C4" s="1905" t="s">
        <v>1085</v>
      </c>
      <c r="D4" s="1905"/>
      <c r="E4" s="1906" t="s">
        <v>1114</v>
      </c>
      <c r="F4" s="1907"/>
    </row>
    <row r="5" spans="1:15" ht="42" customHeight="1" x14ac:dyDescent="0.25">
      <c r="A5" s="987" t="s">
        <v>793</v>
      </c>
      <c r="B5" s="988" t="s">
        <v>4679</v>
      </c>
      <c r="C5" s="989" t="s">
        <v>4680</v>
      </c>
      <c r="D5" s="989" t="s">
        <v>160</v>
      </c>
      <c r="E5" s="990" t="s">
        <v>797</v>
      </c>
      <c r="F5" s="991" t="s">
        <v>160</v>
      </c>
    </row>
    <row r="6" spans="1:15" ht="31.5" customHeight="1" x14ac:dyDescent="0.25">
      <c r="A6" s="992">
        <v>1</v>
      </c>
      <c r="B6" s="993" t="s">
        <v>4681</v>
      </c>
      <c r="C6" s="994"/>
      <c r="D6" s="995"/>
      <c r="E6" s="996"/>
      <c r="F6" s="997"/>
    </row>
    <row r="7" spans="1:15" ht="27" customHeight="1" x14ac:dyDescent="0.25">
      <c r="A7" s="992">
        <v>2</v>
      </c>
      <c r="B7" s="993" t="s">
        <v>4682</v>
      </c>
      <c r="C7" s="996"/>
      <c r="D7" s="997"/>
      <c r="E7" s="996"/>
      <c r="F7" s="997"/>
    </row>
    <row r="8" spans="1:15" ht="33" customHeight="1" x14ac:dyDescent="0.25">
      <c r="A8" s="992">
        <v>3</v>
      </c>
      <c r="B8" s="993" t="s">
        <v>4683</v>
      </c>
      <c r="C8" s="996"/>
      <c r="D8" s="997"/>
      <c r="E8" s="996"/>
      <c r="F8" s="997"/>
    </row>
    <row r="9" spans="1:15" s="400" customFormat="1" ht="48" customHeight="1" x14ac:dyDescent="0.25">
      <c r="A9" s="998">
        <v>4</v>
      </c>
      <c r="B9" s="999" t="s">
        <v>4684</v>
      </c>
      <c r="C9" s="994"/>
      <c r="D9" s="995"/>
      <c r="E9" s="996"/>
      <c r="F9" s="1000"/>
    </row>
    <row r="10" spans="1:15" ht="63" customHeight="1" x14ac:dyDescent="0.25">
      <c r="A10" s="992">
        <v>5</v>
      </c>
      <c r="B10" s="993" t="s">
        <v>4685</v>
      </c>
      <c r="C10" s="399"/>
      <c r="D10" s="995"/>
      <c r="E10" s="996"/>
      <c r="F10" s="997"/>
    </row>
    <row r="11" spans="1:15" ht="37.5" customHeight="1" x14ac:dyDescent="0.25">
      <c r="A11" s="992">
        <v>6</v>
      </c>
      <c r="B11" s="993" t="s">
        <v>4686</v>
      </c>
      <c r="C11" s="996"/>
      <c r="D11" s="997"/>
      <c r="E11" s="996"/>
      <c r="F11" s="997"/>
    </row>
    <row r="12" spans="1:15" ht="37.5" customHeight="1" x14ac:dyDescent="0.25">
      <c r="A12" s="992">
        <v>7</v>
      </c>
      <c r="B12" s="993" t="s">
        <v>4687</v>
      </c>
      <c r="C12" s="994"/>
      <c r="D12" s="995"/>
      <c r="E12" s="996"/>
      <c r="F12" s="997"/>
    </row>
    <row r="13" spans="1:15" ht="41.25" customHeight="1" x14ac:dyDescent="0.25">
      <c r="A13" s="992">
        <v>8</v>
      </c>
      <c r="B13" s="993" t="s">
        <v>4688</v>
      </c>
      <c r="C13" s="996"/>
      <c r="D13" s="997"/>
      <c r="E13" s="996"/>
      <c r="F13" s="997"/>
    </row>
    <row r="14" spans="1:15" ht="36.75" customHeight="1" x14ac:dyDescent="0.25">
      <c r="A14" s="992">
        <v>9</v>
      </c>
      <c r="B14" s="993" t="s">
        <v>4689</v>
      </c>
      <c r="C14" s="996"/>
      <c r="D14" s="997"/>
      <c r="E14" s="996"/>
      <c r="F14" s="997"/>
    </row>
    <row r="15" spans="1:15" ht="30" customHeight="1" x14ac:dyDescent="0.25">
      <c r="A15" s="992">
        <v>10</v>
      </c>
      <c r="B15" s="993" t="s">
        <v>4690</v>
      </c>
      <c r="C15" s="996"/>
      <c r="D15" s="997"/>
      <c r="E15" s="996"/>
      <c r="F15" s="997"/>
    </row>
  </sheetData>
  <sheetProtection password="BF22" sheet="1" objects="1" scenarios="1"/>
  <mergeCells count="4">
    <mergeCell ref="A1:F1"/>
    <mergeCell ref="A3:F3"/>
    <mergeCell ref="C4:D4"/>
    <mergeCell ref="E4:F4"/>
  </mergeCells>
  <dataValidations count="1">
    <dataValidation type="list" allowBlank="1" showInputMessage="1" showErrorMessage="1" sqref="E6:E15 C7:C8 C11 C13:C15" xr:uid="{00000000-0002-0000-2800-000000000000}">
      <formula1>"YES,NO"</formula1>
    </dataValidation>
  </dataValidations>
  <pageMargins left="0.7" right="0.7" top="0.75" bottom="0.75" header="0.3" footer="0.3"/>
  <pageSetup paperSize="9" scale="3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theme="3" tint="0.79998168889431442"/>
  </sheetPr>
  <dimension ref="A1"/>
  <sheetViews>
    <sheetView workbookViewId="0">
      <selection activeCell="V30" sqref="V30"/>
    </sheetView>
  </sheetViews>
  <sheetFormatPr baseColWidth="10" defaultColWidth="9.140625"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
  <sheetViews>
    <sheetView workbookViewId="0">
      <selection activeCell="I15" sqref="I15"/>
    </sheetView>
  </sheetViews>
  <sheetFormatPr baseColWidth="10" defaultColWidth="9.140625" defaultRowHeight="15"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
  <sheetViews>
    <sheetView workbookViewId="0">
      <selection activeCell="T27" sqref="T27"/>
    </sheetView>
  </sheetViews>
  <sheetFormatPr baseColWidth="10" defaultColWidth="9.140625"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CH159"/>
  <sheetViews>
    <sheetView workbookViewId="0">
      <selection activeCell="G8" sqref="G8"/>
    </sheetView>
  </sheetViews>
  <sheetFormatPr baseColWidth="10" defaultColWidth="9.140625" defaultRowHeight="15" x14ac:dyDescent="0.25"/>
  <sheetData>
    <row r="1" spans="1:86" x14ac:dyDescent="0.25">
      <c r="A1" t="s">
        <v>4691</v>
      </c>
      <c r="B1" t="s">
        <v>4692</v>
      </c>
      <c r="Y1" t="s">
        <v>4693</v>
      </c>
      <c r="Z1" t="s">
        <v>4694</v>
      </c>
      <c r="AA1" t="s">
        <v>4695</v>
      </c>
      <c r="AB1" t="s">
        <v>4696</v>
      </c>
      <c r="AC1" t="s">
        <v>4697</v>
      </c>
      <c r="AD1" t="s">
        <v>4698</v>
      </c>
      <c r="AE1" t="s">
        <v>4699</v>
      </c>
      <c r="AF1" t="s">
        <v>4700</v>
      </c>
      <c r="AG1" t="s">
        <v>4701</v>
      </c>
      <c r="AH1" t="s">
        <v>4702</v>
      </c>
      <c r="AI1" t="s">
        <v>4703</v>
      </c>
      <c r="AJ1" t="s">
        <v>4704</v>
      </c>
      <c r="AK1" t="s">
        <v>4705</v>
      </c>
      <c r="AL1" t="s">
        <v>4706</v>
      </c>
      <c r="AM1" t="s">
        <v>4707</v>
      </c>
      <c r="AN1" t="s">
        <v>4708</v>
      </c>
      <c r="AO1" t="s">
        <v>4709</v>
      </c>
      <c r="AP1" t="s">
        <v>4710</v>
      </c>
      <c r="AQ1" t="s">
        <v>4711</v>
      </c>
      <c r="AR1" t="s">
        <v>4712</v>
      </c>
      <c r="AS1" t="s">
        <v>4713</v>
      </c>
      <c r="AT1" t="s">
        <v>4714</v>
      </c>
      <c r="AU1" t="s">
        <v>4715</v>
      </c>
      <c r="AV1" t="s">
        <v>4716</v>
      </c>
      <c r="AW1" t="s">
        <v>4717</v>
      </c>
      <c r="AX1" t="s">
        <v>4718</v>
      </c>
      <c r="AY1" t="s">
        <v>4719</v>
      </c>
      <c r="AZ1" t="s">
        <v>4720</v>
      </c>
      <c r="BA1" t="s">
        <v>4721</v>
      </c>
      <c r="BB1" t="s">
        <v>4722</v>
      </c>
      <c r="BC1" t="s">
        <v>4723</v>
      </c>
      <c r="BD1" t="s">
        <v>4724</v>
      </c>
      <c r="BE1" t="s">
        <v>4725</v>
      </c>
      <c r="BF1" t="s">
        <v>4726</v>
      </c>
      <c r="BG1" t="s">
        <v>4727</v>
      </c>
      <c r="BH1" t="s">
        <v>4728</v>
      </c>
      <c r="BI1" t="s">
        <v>4729</v>
      </c>
      <c r="BJ1" t="s">
        <v>4730</v>
      </c>
      <c r="BK1" t="s">
        <v>4731</v>
      </c>
      <c r="BL1" t="s">
        <v>4732</v>
      </c>
      <c r="BM1" t="s">
        <v>4733</v>
      </c>
      <c r="BN1" t="s">
        <v>4734</v>
      </c>
      <c r="BO1" t="s">
        <v>4735</v>
      </c>
      <c r="BP1" t="s">
        <v>4736</v>
      </c>
      <c r="BQ1" t="s">
        <v>4737</v>
      </c>
      <c r="BR1" t="s">
        <v>4738</v>
      </c>
      <c r="BS1" t="s">
        <v>4739</v>
      </c>
      <c r="BT1" t="s">
        <v>4740</v>
      </c>
      <c r="BU1" t="s">
        <v>4741</v>
      </c>
      <c r="BV1" t="s">
        <v>4742</v>
      </c>
      <c r="BW1" t="s">
        <v>4743</v>
      </c>
      <c r="BX1" t="s">
        <v>4744</v>
      </c>
      <c r="BY1" t="s">
        <v>4745</v>
      </c>
      <c r="BZ1" t="s">
        <v>4746</v>
      </c>
      <c r="CA1" t="s">
        <v>4747</v>
      </c>
      <c r="CB1" t="s">
        <v>4748</v>
      </c>
      <c r="CC1" t="s">
        <v>4749</v>
      </c>
      <c r="CD1" t="s">
        <v>4750</v>
      </c>
      <c r="CE1" t="s">
        <v>4751</v>
      </c>
      <c r="CF1" t="s">
        <v>4752</v>
      </c>
      <c r="CG1" t="s">
        <v>4753</v>
      </c>
      <c r="CH1" t="s">
        <v>4754</v>
      </c>
    </row>
    <row r="2" spans="1:86" x14ac:dyDescent="0.25">
      <c r="Y2" s="763" t="s">
        <v>4755</v>
      </c>
      <c r="Z2" s="763" t="s">
        <v>4756</v>
      </c>
      <c r="AA2" s="763" t="s">
        <v>4757</v>
      </c>
      <c r="AB2" s="763" t="s">
        <v>1142</v>
      </c>
      <c r="AC2" s="763" t="s">
        <v>1142</v>
      </c>
      <c r="AD2" s="763" t="s">
        <v>1142</v>
      </c>
      <c r="AE2" s="763" t="s">
        <v>1142</v>
      </c>
      <c r="AF2" s="763" t="s">
        <v>4758</v>
      </c>
      <c r="AG2" s="763" t="s">
        <v>3054</v>
      </c>
      <c r="AH2" s="763" t="s">
        <v>1142</v>
      </c>
      <c r="AI2" s="763" t="s">
        <v>4759</v>
      </c>
      <c r="AJ2" s="763" t="s">
        <v>4759</v>
      </c>
      <c r="AK2" s="763" t="s">
        <v>38</v>
      </c>
      <c r="AL2" s="763" t="s">
        <v>38</v>
      </c>
      <c r="AM2" s="763" t="s">
        <v>38</v>
      </c>
      <c r="AN2" s="763" t="s">
        <v>38</v>
      </c>
      <c r="AO2" s="763" t="s">
        <v>38</v>
      </c>
      <c r="AP2" s="763" t="s">
        <v>38</v>
      </c>
      <c r="AQ2" s="763" t="s">
        <v>38</v>
      </c>
      <c r="AR2" s="763" t="s">
        <v>38</v>
      </c>
      <c r="AS2" s="763" t="s">
        <v>38</v>
      </c>
      <c r="AT2" s="763" t="s">
        <v>38</v>
      </c>
      <c r="AU2" s="763" t="s">
        <v>38</v>
      </c>
      <c r="AV2" s="763" t="s">
        <v>38</v>
      </c>
      <c r="AW2" s="763" t="s">
        <v>1356</v>
      </c>
      <c r="AX2" s="763" t="s">
        <v>28</v>
      </c>
      <c r="AY2" s="763" t="s">
        <v>394</v>
      </c>
      <c r="AZ2" s="763" t="s">
        <v>482</v>
      </c>
      <c r="BA2" s="763" t="s">
        <v>4760</v>
      </c>
      <c r="BB2" s="763" t="s">
        <v>26</v>
      </c>
      <c r="BC2" s="763" t="s">
        <v>27</v>
      </c>
      <c r="BD2" s="763" t="s">
        <v>1142</v>
      </c>
      <c r="BE2" s="763" t="s">
        <v>26</v>
      </c>
      <c r="BF2" s="763" t="s">
        <v>26</v>
      </c>
      <c r="BG2" s="763" t="s">
        <v>26</v>
      </c>
      <c r="BH2" s="763" t="s">
        <v>4760</v>
      </c>
      <c r="BI2" s="763" t="s">
        <v>4760</v>
      </c>
      <c r="BJ2" s="763" t="s">
        <v>26</v>
      </c>
      <c r="BK2" s="763" t="s">
        <v>26</v>
      </c>
      <c r="BL2" s="763" t="s">
        <v>27</v>
      </c>
      <c r="BM2" s="763" t="s">
        <v>4760</v>
      </c>
      <c r="BN2" s="763" t="s">
        <v>4760</v>
      </c>
      <c r="BO2" s="763" t="s">
        <v>1142</v>
      </c>
      <c r="BP2" s="763" t="s">
        <v>4760</v>
      </c>
      <c r="BQ2" s="763" t="s">
        <v>26</v>
      </c>
      <c r="BR2" s="763" t="s">
        <v>26</v>
      </c>
      <c r="BS2" s="763" t="s">
        <v>4760</v>
      </c>
      <c r="BT2" s="763" t="s">
        <v>4760</v>
      </c>
      <c r="BU2" s="763" t="s">
        <v>26</v>
      </c>
      <c r="BV2" s="763" t="s">
        <v>26</v>
      </c>
      <c r="BW2" s="763" t="s">
        <v>27</v>
      </c>
      <c r="BX2" s="763" t="s">
        <v>4760</v>
      </c>
      <c r="BY2" s="763" t="s">
        <v>4760</v>
      </c>
      <c r="BZ2" s="763" t="s">
        <v>1142</v>
      </c>
      <c r="CA2" s="763" t="s">
        <v>26</v>
      </c>
      <c r="CB2" s="763" t="s">
        <v>26</v>
      </c>
      <c r="CC2" s="763" t="s">
        <v>28</v>
      </c>
      <c r="CD2" s="763" t="s">
        <v>28</v>
      </c>
      <c r="CE2" s="763" t="s">
        <v>97</v>
      </c>
      <c r="CF2" s="763" t="s">
        <v>4761</v>
      </c>
      <c r="CG2" s="763" t="s">
        <v>25</v>
      </c>
      <c r="CH2" s="763" t="s">
        <v>25</v>
      </c>
    </row>
    <row r="3" spans="1:86" x14ac:dyDescent="0.25">
      <c r="Y3" s="763" t="s">
        <v>4762</v>
      </c>
      <c r="Z3" s="763" t="s">
        <v>4763</v>
      </c>
      <c r="AA3" s="763" t="s">
        <v>4764</v>
      </c>
      <c r="AB3" s="763" t="s">
        <v>1145</v>
      </c>
      <c r="AC3" s="763" t="s">
        <v>1145</v>
      </c>
      <c r="AD3" s="763" t="s">
        <v>1145</v>
      </c>
      <c r="AE3" s="763" t="s">
        <v>1145</v>
      </c>
      <c r="AF3" s="763" t="s">
        <v>4765</v>
      </c>
      <c r="AG3" s="763" t="s">
        <v>1356</v>
      </c>
      <c r="AH3" s="763" t="s">
        <v>1145</v>
      </c>
      <c r="AI3" s="763" t="s">
        <v>4766</v>
      </c>
      <c r="AJ3" s="763" t="s">
        <v>4766</v>
      </c>
      <c r="AK3" s="763" t="s">
        <v>4767</v>
      </c>
      <c r="AL3" s="763" t="s">
        <v>4767</v>
      </c>
      <c r="AM3" s="763" t="s">
        <v>4767</v>
      </c>
      <c r="AN3" s="763" t="s">
        <v>4767</v>
      </c>
      <c r="AO3" s="763" t="s">
        <v>4767</v>
      </c>
      <c r="AP3" s="763" t="s">
        <v>4767</v>
      </c>
      <c r="AQ3" s="763" t="s">
        <v>4767</v>
      </c>
      <c r="AR3" s="763" t="s">
        <v>4767</v>
      </c>
      <c r="AS3" s="763" t="s">
        <v>4767</v>
      </c>
      <c r="AT3" s="763" t="s">
        <v>4767</v>
      </c>
      <c r="AU3" s="763" t="s">
        <v>4767</v>
      </c>
      <c r="AV3" s="763" t="s">
        <v>4767</v>
      </c>
      <c r="AW3" s="763" t="s">
        <v>1357</v>
      </c>
      <c r="AX3" s="763" t="s">
        <v>25</v>
      </c>
      <c r="AY3" s="763" t="s">
        <v>4768</v>
      </c>
      <c r="AZ3" s="763" t="s">
        <v>4769</v>
      </c>
      <c r="BA3" s="763" t="s">
        <v>4770</v>
      </c>
      <c r="BB3" s="763" t="s">
        <v>31</v>
      </c>
      <c r="BC3" s="763" t="s">
        <v>32</v>
      </c>
      <c r="BD3" s="763" t="s">
        <v>1145</v>
      </c>
      <c r="BE3" s="763" t="s">
        <v>31</v>
      </c>
      <c r="BF3" s="763" t="s">
        <v>31</v>
      </c>
      <c r="BG3" s="763" t="s">
        <v>31</v>
      </c>
      <c r="BH3" s="763" t="s">
        <v>4770</v>
      </c>
      <c r="BI3" s="763" t="s">
        <v>4770</v>
      </c>
      <c r="BJ3" s="763" t="s">
        <v>31</v>
      </c>
      <c r="BK3" s="763" t="s">
        <v>31</v>
      </c>
      <c r="BL3" s="763" t="s">
        <v>32</v>
      </c>
      <c r="BM3" s="763" t="s">
        <v>4770</v>
      </c>
      <c r="BN3" s="763" t="s">
        <v>4770</v>
      </c>
      <c r="BO3" s="763" t="s">
        <v>1145</v>
      </c>
      <c r="BP3" s="763" t="s">
        <v>4770</v>
      </c>
      <c r="BQ3" s="763" t="s">
        <v>31</v>
      </c>
      <c r="BR3" s="763" t="s">
        <v>31</v>
      </c>
      <c r="BS3" s="763" t="s">
        <v>4770</v>
      </c>
      <c r="BT3" s="763" t="s">
        <v>4770</v>
      </c>
      <c r="BU3" s="763" t="s">
        <v>31</v>
      </c>
      <c r="BV3" s="763" t="s">
        <v>31</v>
      </c>
      <c r="BW3" s="763" t="s">
        <v>32</v>
      </c>
      <c r="BX3" s="763" t="s">
        <v>4770</v>
      </c>
      <c r="BY3" s="763" t="s">
        <v>4770</v>
      </c>
      <c r="BZ3" s="763" t="s">
        <v>1145</v>
      </c>
      <c r="CA3" s="763" t="s">
        <v>31</v>
      </c>
      <c r="CB3" s="763" t="s">
        <v>31</v>
      </c>
      <c r="CC3" s="763" t="s">
        <v>33</v>
      </c>
      <c r="CD3" s="763" t="s">
        <v>33</v>
      </c>
      <c r="CE3" s="763" t="s">
        <v>100</v>
      </c>
      <c r="CF3" s="763" t="s">
        <v>4771</v>
      </c>
      <c r="CG3" s="763" t="s">
        <v>30</v>
      </c>
      <c r="CH3" s="763" t="s">
        <v>30</v>
      </c>
    </row>
    <row r="4" spans="1:86" x14ac:dyDescent="0.25">
      <c r="Y4" s="763" t="s">
        <v>1326</v>
      </c>
      <c r="Z4" s="763" t="s">
        <v>4772</v>
      </c>
      <c r="AA4" s="763" t="s">
        <v>49</v>
      </c>
      <c r="AB4" s="763" t="s">
        <v>4773</v>
      </c>
      <c r="AC4" s="763" t="s">
        <v>4773</v>
      </c>
      <c r="AD4" s="763" t="s">
        <v>4773</v>
      </c>
      <c r="AE4" s="763" t="s">
        <v>4773</v>
      </c>
      <c r="AF4" s="763" t="s">
        <v>4774</v>
      </c>
      <c r="AG4" s="763" t="s">
        <v>4775</v>
      </c>
      <c r="AH4" s="763" t="s">
        <v>4776</v>
      </c>
      <c r="AI4" s="763" t="s">
        <v>4777</v>
      </c>
      <c r="AJ4" s="763" t="s">
        <v>4777</v>
      </c>
      <c r="AK4" s="763" t="s">
        <v>28</v>
      </c>
      <c r="AL4" s="763" t="s">
        <v>28</v>
      </c>
      <c r="AM4" s="763" t="s">
        <v>28</v>
      </c>
      <c r="AN4" s="763" t="s">
        <v>28</v>
      </c>
      <c r="AO4" s="763" t="s">
        <v>28</v>
      </c>
      <c r="AP4" s="763" t="s">
        <v>28</v>
      </c>
      <c r="AQ4" s="763" t="s">
        <v>28</v>
      </c>
      <c r="AR4" s="763" t="s">
        <v>28</v>
      </c>
      <c r="AS4" s="763" t="s">
        <v>28</v>
      </c>
      <c r="AT4" s="763" t="s">
        <v>28</v>
      </c>
      <c r="AU4" s="763" t="s">
        <v>28</v>
      </c>
      <c r="AV4" s="763" t="s">
        <v>28</v>
      </c>
      <c r="AX4" s="763" t="s">
        <v>4778</v>
      </c>
      <c r="AY4" s="763" t="s">
        <v>4779</v>
      </c>
      <c r="AZ4" s="763" t="s">
        <v>4780</v>
      </c>
      <c r="BA4" s="763" t="s">
        <v>4781</v>
      </c>
      <c r="BB4" s="763" t="s">
        <v>34</v>
      </c>
      <c r="BC4" s="763" t="s">
        <v>35</v>
      </c>
      <c r="BD4" s="763" t="s">
        <v>4782</v>
      </c>
      <c r="BE4" s="763" t="s">
        <v>34</v>
      </c>
      <c r="BF4" s="763" t="s">
        <v>34</v>
      </c>
      <c r="BG4" s="763" t="s">
        <v>34</v>
      </c>
      <c r="BH4" s="763" t="s">
        <v>4781</v>
      </c>
      <c r="BI4" s="763" t="s">
        <v>4781</v>
      </c>
      <c r="BJ4" s="763" t="s">
        <v>34</v>
      </c>
      <c r="BK4" s="763" t="s">
        <v>34</v>
      </c>
      <c r="BL4" s="763" t="s">
        <v>35</v>
      </c>
      <c r="BM4" s="763" t="s">
        <v>4781</v>
      </c>
      <c r="BN4" s="763" t="s">
        <v>4781</v>
      </c>
      <c r="BO4" s="763" t="s">
        <v>4782</v>
      </c>
      <c r="BP4" s="763" t="s">
        <v>4781</v>
      </c>
      <c r="BQ4" s="763" t="s">
        <v>34</v>
      </c>
      <c r="BR4" s="763" t="s">
        <v>34</v>
      </c>
      <c r="BS4" s="763" t="s">
        <v>4781</v>
      </c>
      <c r="BT4" s="763" t="s">
        <v>4781</v>
      </c>
      <c r="BU4" s="763" t="s">
        <v>34</v>
      </c>
      <c r="BV4" s="763" t="s">
        <v>34</v>
      </c>
      <c r="BW4" s="763" t="s">
        <v>35</v>
      </c>
      <c r="BX4" s="763" t="s">
        <v>4781</v>
      </c>
      <c r="BY4" s="763" t="s">
        <v>4781</v>
      </c>
      <c r="BZ4" s="763" t="s">
        <v>4782</v>
      </c>
      <c r="CA4" s="763" t="s">
        <v>34</v>
      </c>
      <c r="CB4" s="763" t="s">
        <v>34</v>
      </c>
      <c r="CC4" s="763" t="s">
        <v>36</v>
      </c>
      <c r="CD4" s="763" t="s">
        <v>36</v>
      </c>
      <c r="CE4" s="763" t="s">
        <v>98</v>
      </c>
      <c r="CF4" s="763" t="s">
        <v>4783</v>
      </c>
      <c r="CG4" s="763" t="s">
        <v>28</v>
      </c>
      <c r="CH4" s="763" t="s">
        <v>28</v>
      </c>
    </row>
    <row r="5" spans="1:86" x14ac:dyDescent="0.25">
      <c r="Y5" s="763" t="s">
        <v>4784</v>
      </c>
      <c r="Z5" s="763" t="s">
        <v>4785</v>
      </c>
      <c r="AA5" s="763" t="s">
        <v>4786</v>
      </c>
      <c r="AF5" s="763" t="s">
        <v>4787</v>
      </c>
      <c r="AG5" s="763" t="s">
        <v>4788</v>
      </c>
      <c r="AI5" s="763" t="s">
        <v>4789</v>
      </c>
      <c r="AJ5" s="763" t="s">
        <v>4789</v>
      </c>
      <c r="AK5" s="763" t="s">
        <v>25</v>
      </c>
      <c r="AL5" s="763" t="s">
        <v>25</v>
      </c>
      <c r="AM5" s="763" t="s">
        <v>25</v>
      </c>
      <c r="AN5" s="763" t="s">
        <v>25</v>
      </c>
      <c r="AO5" s="763" t="s">
        <v>25</v>
      </c>
      <c r="AP5" s="763" t="s">
        <v>25</v>
      </c>
      <c r="AQ5" s="763" t="s">
        <v>25</v>
      </c>
      <c r="AR5" s="763" t="s">
        <v>25</v>
      </c>
      <c r="AS5" s="763" t="s">
        <v>25</v>
      </c>
      <c r="AT5" s="763" t="s">
        <v>25</v>
      </c>
      <c r="AU5" s="763" t="s">
        <v>25</v>
      </c>
      <c r="AV5" s="763" t="s">
        <v>25</v>
      </c>
      <c r="AY5" s="763" t="s">
        <v>4790</v>
      </c>
      <c r="AZ5" s="763" t="s">
        <v>4791</v>
      </c>
      <c r="BA5" s="763" t="s">
        <v>4792</v>
      </c>
      <c r="BB5" s="763" t="s">
        <v>39</v>
      </c>
      <c r="BE5" s="763" t="s">
        <v>39</v>
      </c>
      <c r="BF5" s="763" t="s">
        <v>39</v>
      </c>
      <c r="BG5" s="763" t="s">
        <v>39</v>
      </c>
      <c r="BH5" s="763" t="s">
        <v>4792</v>
      </c>
      <c r="BI5" s="763" t="s">
        <v>4792</v>
      </c>
      <c r="BJ5" s="763" t="s">
        <v>39</v>
      </c>
      <c r="BK5" s="763" t="s">
        <v>39</v>
      </c>
      <c r="BM5" s="763" t="s">
        <v>4792</v>
      </c>
      <c r="BN5" s="763" t="s">
        <v>4792</v>
      </c>
      <c r="BP5" s="763" t="s">
        <v>4792</v>
      </c>
      <c r="BQ5" s="763" t="s">
        <v>39</v>
      </c>
      <c r="BR5" s="763" t="s">
        <v>39</v>
      </c>
      <c r="BS5" s="763" t="s">
        <v>4792</v>
      </c>
      <c r="BT5" s="763" t="s">
        <v>4792</v>
      </c>
      <c r="BU5" s="763" t="s">
        <v>39</v>
      </c>
      <c r="BV5" s="763" t="s">
        <v>39</v>
      </c>
      <c r="BX5" s="763" t="s">
        <v>4792</v>
      </c>
      <c r="BY5" s="763" t="s">
        <v>4792</v>
      </c>
      <c r="CA5" s="763" t="s">
        <v>39</v>
      </c>
      <c r="CB5" s="763" t="s">
        <v>39</v>
      </c>
      <c r="CC5" s="763" t="s">
        <v>40</v>
      </c>
      <c r="CD5" s="763" t="s">
        <v>40</v>
      </c>
      <c r="CE5" s="763" t="s">
        <v>115</v>
      </c>
      <c r="CG5" s="763" t="s">
        <v>38</v>
      </c>
      <c r="CH5" s="763" t="s">
        <v>38</v>
      </c>
    </row>
    <row r="6" spans="1:86" x14ac:dyDescent="0.25">
      <c r="Y6" s="763" t="s">
        <v>4793</v>
      </c>
      <c r="Z6" s="763" t="s">
        <v>4793</v>
      </c>
      <c r="AA6" s="763" t="s">
        <v>4794</v>
      </c>
      <c r="AG6" s="763" t="s">
        <v>4795</v>
      </c>
      <c r="AI6" s="763" t="s">
        <v>4796</v>
      </c>
      <c r="AJ6" s="763" t="s">
        <v>4796</v>
      </c>
      <c r="AY6" s="763" t="s">
        <v>4797</v>
      </c>
      <c r="BA6" s="763" t="s">
        <v>4798</v>
      </c>
      <c r="BB6" s="763" t="s">
        <v>42</v>
      </c>
      <c r="BE6" s="763" t="s">
        <v>42</v>
      </c>
      <c r="BF6" s="763" t="s">
        <v>42</v>
      </c>
      <c r="BG6" s="763" t="s">
        <v>42</v>
      </c>
      <c r="BH6" s="763" t="s">
        <v>4798</v>
      </c>
      <c r="BI6" s="763" t="s">
        <v>4798</v>
      </c>
      <c r="BJ6" s="763" t="s">
        <v>42</v>
      </c>
      <c r="BK6" s="763" t="s">
        <v>42</v>
      </c>
      <c r="BM6" s="763" t="s">
        <v>4798</v>
      </c>
      <c r="BN6" s="763" t="s">
        <v>4798</v>
      </c>
      <c r="BP6" s="763" t="s">
        <v>4798</v>
      </c>
      <c r="BQ6" s="763" t="s">
        <v>42</v>
      </c>
      <c r="BR6" s="763" t="s">
        <v>42</v>
      </c>
      <c r="BS6" s="763" t="s">
        <v>4798</v>
      </c>
      <c r="BT6" s="763" t="s">
        <v>4798</v>
      </c>
      <c r="BU6" s="763" t="s">
        <v>42</v>
      </c>
      <c r="BV6" s="763" t="s">
        <v>42</v>
      </c>
      <c r="BX6" s="763" t="s">
        <v>4798</v>
      </c>
      <c r="BY6" s="763" t="s">
        <v>4798</v>
      </c>
      <c r="CA6" s="763" t="s">
        <v>42</v>
      </c>
      <c r="CB6" s="763" t="s">
        <v>42</v>
      </c>
      <c r="CE6" s="763" t="s">
        <v>111</v>
      </c>
    </row>
    <row r="7" spans="1:86" x14ac:dyDescent="0.25">
      <c r="Y7" s="763" t="s">
        <v>4755</v>
      </c>
      <c r="Z7" s="763" t="s">
        <v>4756</v>
      </c>
      <c r="AA7" s="763" t="s">
        <v>4799</v>
      </c>
      <c r="BA7" s="763" t="s">
        <v>4800</v>
      </c>
      <c r="BB7" s="763" t="s">
        <v>44</v>
      </c>
      <c r="BE7" s="763" t="s">
        <v>44</v>
      </c>
      <c r="BF7" s="763" t="s">
        <v>44</v>
      </c>
      <c r="BG7" s="763" t="s">
        <v>44</v>
      </c>
      <c r="BH7" s="763" t="s">
        <v>4800</v>
      </c>
      <c r="BI7" s="763" t="s">
        <v>4800</v>
      </c>
      <c r="BJ7" s="763" t="s">
        <v>44</v>
      </c>
      <c r="BK7" s="763" t="s">
        <v>44</v>
      </c>
      <c r="BM7" s="763" t="s">
        <v>4800</v>
      </c>
      <c r="BN7" s="763" t="s">
        <v>4800</v>
      </c>
      <c r="BP7" s="763" t="s">
        <v>4800</v>
      </c>
      <c r="BQ7" s="763" t="s">
        <v>44</v>
      </c>
      <c r="BR7" s="763" t="s">
        <v>44</v>
      </c>
      <c r="BS7" s="763" t="s">
        <v>4800</v>
      </c>
      <c r="BT7" s="763" t="s">
        <v>4800</v>
      </c>
      <c r="BU7" s="763" t="s">
        <v>44</v>
      </c>
      <c r="BV7" s="763" t="s">
        <v>44</v>
      </c>
      <c r="BX7" s="763" t="s">
        <v>4800</v>
      </c>
      <c r="BY7" s="763" t="s">
        <v>4800</v>
      </c>
      <c r="CA7" s="763" t="s">
        <v>44</v>
      </c>
      <c r="CB7" s="763" t="s">
        <v>44</v>
      </c>
      <c r="CE7" s="763" t="s">
        <v>104</v>
      </c>
    </row>
    <row r="8" spans="1:86" x14ac:dyDescent="0.25">
      <c r="Y8" s="763" t="s">
        <v>4762</v>
      </c>
      <c r="Z8" s="763" t="s">
        <v>4763</v>
      </c>
      <c r="AA8" s="763" t="s">
        <v>4801</v>
      </c>
      <c r="BA8" s="763" t="s">
        <v>4802</v>
      </c>
      <c r="BB8" s="763" t="s">
        <v>46</v>
      </c>
      <c r="BE8" s="763" t="s">
        <v>46</v>
      </c>
      <c r="BF8" s="763" t="s">
        <v>46</v>
      </c>
      <c r="BG8" s="763" t="s">
        <v>46</v>
      </c>
      <c r="BH8" s="763" t="s">
        <v>4802</v>
      </c>
      <c r="BI8" s="763" t="s">
        <v>4802</v>
      </c>
      <c r="BJ8" s="763" t="s">
        <v>46</v>
      </c>
      <c r="BK8" s="763" t="s">
        <v>46</v>
      </c>
      <c r="BM8" s="763" t="s">
        <v>4802</v>
      </c>
      <c r="BN8" s="763" t="s">
        <v>4802</v>
      </c>
      <c r="BP8" s="763" t="s">
        <v>4802</v>
      </c>
      <c r="BQ8" s="763" t="s">
        <v>46</v>
      </c>
      <c r="BR8" s="763" t="s">
        <v>46</v>
      </c>
      <c r="BS8" s="763" t="s">
        <v>4802</v>
      </c>
      <c r="BT8" s="763" t="s">
        <v>4802</v>
      </c>
      <c r="BU8" s="763" t="s">
        <v>46</v>
      </c>
      <c r="BV8" s="763" t="s">
        <v>46</v>
      </c>
      <c r="BX8" s="763" t="s">
        <v>4802</v>
      </c>
      <c r="BY8" s="763" t="s">
        <v>4802</v>
      </c>
      <c r="CA8" s="763" t="s">
        <v>46</v>
      </c>
      <c r="CB8" s="763" t="s">
        <v>46</v>
      </c>
      <c r="CE8" s="763" t="s">
        <v>113</v>
      </c>
    </row>
    <row r="9" spans="1:86" x14ac:dyDescent="0.25">
      <c r="Y9" s="763" t="s">
        <v>1326</v>
      </c>
      <c r="Z9" s="763" t="s">
        <v>4772</v>
      </c>
      <c r="AA9" s="763" t="s">
        <v>4803</v>
      </c>
      <c r="BA9" s="763" t="s">
        <v>4804</v>
      </c>
      <c r="BB9" s="763" t="s">
        <v>47</v>
      </c>
      <c r="BE9" s="763" t="s">
        <v>47</v>
      </c>
      <c r="BF9" s="763" t="s">
        <v>47</v>
      </c>
      <c r="BG9" s="763" t="s">
        <v>47</v>
      </c>
      <c r="BH9" s="763" t="s">
        <v>4804</v>
      </c>
      <c r="BI9" s="763" t="s">
        <v>4804</v>
      </c>
      <c r="BJ9" s="763" t="s">
        <v>47</v>
      </c>
      <c r="BK9" s="763" t="s">
        <v>47</v>
      </c>
      <c r="BM9" s="763" t="s">
        <v>4804</v>
      </c>
      <c r="BN9" s="763" t="s">
        <v>4804</v>
      </c>
      <c r="BP9" s="763" t="s">
        <v>4804</v>
      </c>
      <c r="BQ9" s="763" t="s">
        <v>47</v>
      </c>
      <c r="BR9" s="763" t="s">
        <v>47</v>
      </c>
      <c r="BS9" s="763" t="s">
        <v>4804</v>
      </c>
      <c r="BT9" s="763" t="s">
        <v>4804</v>
      </c>
      <c r="BU9" s="763" t="s">
        <v>47</v>
      </c>
      <c r="BV9" s="763" t="s">
        <v>47</v>
      </c>
      <c r="BX9" s="763" t="s">
        <v>4804</v>
      </c>
      <c r="BY9" s="763" t="s">
        <v>4804</v>
      </c>
      <c r="CA9" s="763" t="s">
        <v>47</v>
      </c>
      <c r="CB9" s="763" t="s">
        <v>47</v>
      </c>
      <c r="CE9" s="763" t="s">
        <v>4805</v>
      </c>
    </row>
    <row r="10" spans="1:86" x14ac:dyDescent="0.25">
      <c r="Y10" s="763" t="s">
        <v>4784</v>
      </c>
      <c r="Z10" s="763" t="s">
        <v>4785</v>
      </c>
      <c r="AA10" s="763" t="s">
        <v>4806</v>
      </c>
      <c r="BA10" s="763" t="s">
        <v>4807</v>
      </c>
      <c r="BB10" s="763" t="s">
        <v>48</v>
      </c>
      <c r="BE10" s="763" t="s">
        <v>48</v>
      </c>
      <c r="BF10" s="763" t="s">
        <v>48</v>
      </c>
      <c r="BG10" s="763" t="s">
        <v>48</v>
      </c>
      <c r="BH10" s="763" t="s">
        <v>4807</v>
      </c>
      <c r="BI10" s="763" t="s">
        <v>4807</v>
      </c>
      <c r="BJ10" s="763" t="s">
        <v>48</v>
      </c>
      <c r="BK10" s="763" t="s">
        <v>48</v>
      </c>
      <c r="BM10" s="763" t="s">
        <v>4807</v>
      </c>
      <c r="BN10" s="763" t="s">
        <v>4807</v>
      </c>
      <c r="BP10" s="763" t="s">
        <v>4807</v>
      </c>
      <c r="BQ10" s="763" t="s">
        <v>48</v>
      </c>
      <c r="BR10" s="763" t="s">
        <v>48</v>
      </c>
      <c r="BS10" s="763" t="s">
        <v>4807</v>
      </c>
      <c r="BT10" s="763" t="s">
        <v>4807</v>
      </c>
      <c r="BU10" s="763" t="s">
        <v>48</v>
      </c>
      <c r="BV10" s="763" t="s">
        <v>48</v>
      </c>
      <c r="BX10" s="763" t="s">
        <v>4807</v>
      </c>
      <c r="BY10" s="763" t="s">
        <v>4807</v>
      </c>
      <c r="CA10" s="763" t="s">
        <v>48</v>
      </c>
      <c r="CB10" s="763" t="s">
        <v>48</v>
      </c>
      <c r="CE10" s="763" t="s">
        <v>4808</v>
      </c>
    </row>
    <row r="11" spans="1:86" x14ac:dyDescent="0.25">
      <c r="Y11" s="763" t="s">
        <v>4793</v>
      </c>
      <c r="Z11" s="763" t="s">
        <v>4793</v>
      </c>
      <c r="AA11" s="763" t="s">
        <v>4809</v>
      </c>
      <c r="BA11" s="763" t="s">
        <v>4810</v>
      </c>
      <c r="BB11" s="763" t="s">
        <v>50</v>
      </c>
      <c r="BE11" s="763" t="s">
        <v>50</v>
      </c>
      <c r="BF11" s="763" t="s">
        <v>50</v>
      </c>
      <c r="BG11" s="763" t="s">
        <v>50</v>
      </c>
      <c r="BH11" s="763" t="s">
        <v>4810</v>
      </c>
      <c r="BI11" s="763" t="s">
        <v>4810</v>
      </c>
      <c r="BJ11" s="763" t="s">
        <v>50</v>
      </c>
      <c r="BK11" s="763" t="s">
        <v>50</v>
      </c>
      <c r="BM11" s="763" t="s">
        <v>4810</v>
      </c>
      <c r="BN11" s="763" t="s">
        <v>4810</v>
      </c>
      <c r="BP11" s="763" t="s">
        <v>4810</v>
      </c>
      <c r="BQ11" s="763" t="s">
        <v>50</v>
      </c>
      <c r="BR11" s="763" t="s">
        <v>50</v>
      </c>
      <c r="BS11" s="763" t="s">
        <v>4810</v>
      </c>
      <c r="BT11" s="763" t="s">
        <v>4810</v>
      </c>
      <c r="BU11" s="763" t="s">
        <v>50</v>
      </c>
      <c r="BV11" s="763" t="s">
        <v>50</v>
      </c>
      <c r="BX11" s="763" t="s">
        <v>4810</v>
      </c>
      <c r="BY11" s="763" t="s">
        <v>4810</v>
      </c>
      <c r="CA11" s="763" t="s">
        <v>50</v>
      </c>
      <c r="CB11" s="763" t="s">
        <v>50</v>
      </c>
      <c r="CE11" s="763" t="s">
        <v>107</v>
      </c>
    </row>
    <row r="12" spans="1:86" x14ac:dyDescent="0.25">
      <c r="AA12" s="763" t="s">
        <v>4811</v>
      </c>
      <c r="BA12" s="763" t="s">
        <v>4812</v>
      </c>
      <c r="BB12" s="763" t="s">
        <v>52</v>
      </c>
      <c r="BE12" s="763" t="s">
        <v>52</v>
      </c>
      <c r="BF12" s="763" t="s">
        <v>52</v>
      </c>
      <c r="BG12" s="763" t="s">
        <v>52</v>
      </c>
      <c r="BH12" s="763" t="s">
        <v>4812</v>
      </c>
      <c r="BI12" s="763" t="s">
        <v>4812</v>
      </c>
      <c r="BJ12" s="763" t="s">
        <v>52</v>
      </c>
      <c r="BK12" s="763" t="s">
        <v>52</v>
      </c>
      <c r="BM12" s="763" t="s">
        <v>4812</v>
      </c>
      <c r="BN12" s="763" t="s">
        <v>4812</v>
      </c>
      <c r="BP12" s="763" t="s">
        <v>4812</v>
      </c>
      <c r="BQ12" s="763" t="s">
        <v>52</v>
      </c>
      <c r="BR12" s="763" t="s">
        <v>52</v>
      </c>
      <c r="BS12" s="763" t="s">
        <v>4812</v>
      </c>
      <c r="BT12" s="763" t="s">
        <v>4812</v>
      </c>
      <c r="BU12" s="763" t="s">
        <v>52</v>
      </c>
      <c r="BV12" s="763" t="s">
        <v>52</v>
      </c>
      <c r="BX12" s="763" t="s">
        <v>4812</v>
      </c>
      <c r="BY12" s="763" t="s">
        <v>4812</v>
      </c>
      <c r="CA12" s="763" t="s">
        <v>52</v>
      </c>
      <c r="CB12" s="763" t="s">
        <v>52</v>
      </c>
      <c r="CE12" s="763" t="s">
        <v>105</v>
      </c>
    </row>
    <row r="13" spans="1:86" x14ac:dyDescent="0.25">
      <c r="AA13" s="763" t="s">
        <v>4813</v>
      </c>
      <c r="BA13" s="763" t="s">
        <v>4814</v>
      </c>
      <c r="BB13" s="763" t="s">
        <v>53</v>
      </c>
      <c r="BE13" s="763" t="s">
        <v>53</v>
      </c>
      <c r="BF13" s="763" t="s">
        <v>53</v>
      </c>
      <c r="BG13" s="763" t="s">
        <v>53</v>
      </c>
      <c r="BH13" s="763" t="s">
        <v>4814</v>
      </c>
      <c r="BI13" s="763" t="s">
        <v>4814</v>
      </c>
      <c r="BJ13" s="763" t="s">
        <v>53</v>
      </c>
      <c r="BK13" s="763" t="s">
        <v>53</v>
      </c>
      <c r="BM13" s="763" t="s">
        <v>4814</v>
      </c>
      <c r="BN13" s="763" t="s">
        <v>4814</v>
      </c>
      <c r="BP13" s="763" t="s">
        <v>4814</v>
      </c>
      <c r="BQ13" s="763" t="s">
        <v>53</v>
      </c>
      <c r="BR13" s="763" t="s">
        <v>53</v>
      </c>
      <c r="BS13" s="763" t="s">
        <v>4814</v>
      </c>
      <c r="BT13" s="763" t="s">
        <v>4814</v>
      </c>
      <c r="BU13" s="763" t="s">
        <v>53</v>
      </c>
      <c r="BV13" s="763" t="s">
        <v>53</v>
      </c>
      <c r="BX13" s="763" t="s">
        <v>4814</v>
      </c>
      <c r="BY13" s="763" t="s">
        <v>4814</v>
      </c>
      <c r="CA13" s="763" t="s">
        <v>53</v>
      </c>
      <c r="CB13" s="763" t="s">
        <v>53</v>
      </c>
      <c r="CE13" s="763" t="s">
        <v>101</v>
      </c>
    </row>
    <row r="14" spans="1:86" x14ac:dyDescent="0.25">
      <c r="AA14" s="763" t="s">
        <v>4815</v>
      </c>
      <c r="BA14" s="763" t="s">
        <v>4816</v>
      </c>
      <c r="BB14" s="763" t="s">
        <v>55</v>
      </c>
      <c r="BE14" s="763" t="s">
        <v>55</v>
      </c>
      <c r="BF14" s="763" t="s">
        <v>55</v>
      </c>
      <c r="BG14" s="763" t="s">
        <v>55</v>
      </c>
      <c r="BH14" s="763" t="s">
        <v>4816</v>
      </c>
      <c r="BI14" s="763" t="s">
        <v>4816</v>
      </c>
      <c r="BJ14" s="763" t="s">
        <v>55</v>
      </c>
      <c r="BK14" s="763" t="s">
        <v>55</v>
      </c>
      <c r="BM14" s="763" t="s">
        <v>4816</v>
      </c>
      <c r="BN14" s="763" t="s">
        <v>4816</v>
      </c>
      <c r="BP14" s="763" t="s">
        <v>4816</v>
      </c>
      <c r="BQ14" s="763" t="s">
        <v>55</v>
      </c>
      <c r="BR14" s="763" t="s">
        <v>55</v>
      </c>
      <c r="BS14" s="763" t="s">
        <v>4816</v>
      </c>
      <c r="BT14" s="763" t="s">
        <v>4816</v>
      </c>
      <c r="BU14" s="763" t="s">
        <v>55</v>
      </c>
      <c r="BV14" s="763" t="s">
        <v>55</v>
      </c>
      <c r="BX14" s="763" t="s">
        <v>4816</v>
      </c>
      <c r="BY14" s="763" t="s">
        <v>4816</v>
      </c>
      <c r="CA14" s="763" t="s">
        <v>55</v>
      </c>
      <c r="CB14" s="763" t="s">
        <v>55</v>
      </c>
      <c r="CE14" s="763" t="s">
        <v>4817</v>
      </c>
    </row>
    <row r="15" spans="1:86" x14ac:dyDescent="0.25">
      <c r="AA15" s="763" t="s">
        <v>4818</v>
      </c>
      <c r="BA15" s="763" t="s">
        <v>217</v>
      </c>
      <c r="BB15" s="763" t="s">
        <v>57</v>
      </c>
      <c r="BE15" s="763" t="s">
        <v>57</v>
      </c>
      <c r="BF15" s="763" t="s">
        <v>57</v>
      </c>
      <c r="BG15" s="763" t="s">
        <v>57</v>
      </c>
      <c r="BH15" s="763" t="s">
        <v>217</v>
      </c>
      <c r="BI15" s="763" t="s">
        <v>217</v>
      </c>
      <c r="BJ15" s="763" t="s">
        <v>57</v>
      </c>
      <c r="BK15" s="763" t="s">
        <v>57</v>
      </c>
      <c r="BM15" s="763" t="s">
        <v>217</v>
      </c>
      <c r="BN15" s="763" t="s">
        <v>217</v>
      </c>
      <c r="BP15" s="763" t="s">
        <v>217</v>
      </c>
      <c r="BQ15" s="763" t="s">
        <v>57</v>
      </c>
      <c r="BR15" s="763" t="s">
        <v>57</v>
      </c>
      <c r="BS15" s="763" t="s">
        <v>217</v>
      </c>
      <c r="BT15" s="763" t="s">
        <v>217</v>
      </c>
      <c r="BU15" s="763" t="s">
        <v>57</v>
      </c>
      <c r="BV15" s="763" t="s">
        <v>57</v>
      </c>
      <c r="BX15" s="763" t="s">
        <v>217</v>
      </c>
      <c r="BY15" s="763" t="s">
        <v>217</v>
      </c>
      <c r="CA15" s="763" t="s">
        <v>57</v>
      </c>
      <c r="CB15" s="763" t="s">
        <v>57</v>
      </c>
      <c r="CE15" s="763" t="s">
        <v>4819</v>
      </c>
    </row>
    <row r="16" spans="1:86" x14ac:dyDescent="0.25">
      <c r="AA16" s="763" t="s">
        <v>4820</v>
      </c>
      <c r="BA16" s="763" t="s">
        <v>225</v>
      </c>
      <c r="BB16" s="763" t="s">
        <v>59</v>
      </c>
      <c r="BE16" s="763" t="s">
        <v>59</v>
      </c>
      <c r="BF16" s="763" t="s">
        <v>59</v>
      </c>
      <c r="BG16" s="763" t="s">
        <v>59</v>
      </c>
      <c r="BH16" s="763" t="s">
        <v>225</v>
      </c>
      <c r="BI16" s="763" t="s">
        <v>225</v>
      </c>
      <c r="BJ16" s="763" t="s">
        <v>59</v>
      </c>
      <c r="BK16" s="763" t="s">
        <v>59</v>
      </c>
      <c r="BM16" s="763" t="s">
        <v>225</v>
      </c>
      <c r="BN16" s="763" t="s">
        <v>225</v>
      </c>
      <c r="BP16" s="763" t="s">
        <v>225</v>
      </c>
      <c r="BQ16" s="763" t="s">
        <v>59</v>
      </c>
      <c r="BR16" s="763" t="s">
        <v>59</v>
      </c>
      <c r="BS16" s="763" t="s">
        <v>225</v>
      </c>
      <c r="BT16" s="763" t="s">
        <v>225</v>
      </c>
      <c r="BU16" s="763" t="s">
        <v>59</v>
      </c>
      <c r="BV16" s="763" t="s">
        <v>59</v>
      </c>
      <c r="BX16" s="763" t="s">
        <v>225</v>
      </c>
      <c r="BY16" s="763" t="s">
        <v>225</v>
      </c>
      <c r="CA16" s="763" t="s">
        <v>59</v>
      </c>
      <c r="CB16" s="763" t="s">
        <v>59</v>
      </c>
      <c r="CE16" s="763" t="s">
        <v>110</v>
      </c>
    </row>
    <row r="17" spans="27:83" x14ac:dyDescent="0.25">
      <c r="AA17" s="763" t="s">
        <v>4821</v>
      </c>
      <c r="BA17" s="763" t="s">
        <v>466</v>
      </c>
      <c r="BB17" s="763" t="s">
        <v>61</v>
      </c>
      <c r="BE17" s="763" t="s">
        <v>61</v>
      </c>
      <c r="BF17" s="763" t="s">
        <v>61</v>
      </c>
      <c r="BG17" s="763" t="s">
        <v>61</v>
      </c>
      <c r="BH17" s="763" t="s">
        <v>466</v>
      </c>
      <c r="BI17" s="763" t="s">
        <v>466</v>
      </c>
      <c r="BJ17" s="763" t="s">
        <v>61</v>
      </c>
      <c r="BK17" s="763" t="s">
        <v>61</v>
      </c>
      <c r="BM17" s="763" t="s">
        <v>466</v>
      </c>
      <c r="BN17" s="763" t="s">
        <v>466</v>
      </c>
      <c r="BP17" s="763" t="s">
        <v>466</v>
      </c>
      <c r="BQ17" s="763" t="s">
        <v>61</v>
      </c>
      <c r="BR17" s="763" t="s">
        <v>61</v>
      </c>
      <c r="BS17" s="763" t="s">
        <v>466</v>
      </c>
      <c r="BT17" s="763" t="s">
        <v>466</v>
      </c>
      <c r="BU17" s="763" t="s">
        <v>61</v>
      </c>
      <c r="BV17" s="763" t="s">
        <v>61</v>
      </c>
      <c r="BX17" s="763" t="s">
        <v>466</v>
      </c>
      <c r="BY17" s="763" t="s">
        <v>466</v>
      </c>
      <c r="CA17" s="763" t="s">
        <v>61</v>
      </c>
      <c r="CB17" s="763" t="s">
        <v>61</v>
      </c>
      <c r="CE17" s="763" t="s">
        <v>103</v>
      </c>
    </row>
    <row r="18" spans="27:83" x14ac:dyDescent="0.25">
      <c r="AA18" s="763" t="s">
        <v>4822</v>
      </c>
      <c r="BA18" s="763" t="s">
        <v>218</v>
      </c>
      <c r="BB18" s="763" t="s">
        <v>63</v>
      </c>
      <c r="BE18" s="763" t="s">
        <v>63</v>
      </c>
      <c r="BF18" s="763" t="s">
        <v>63</v>
      </c>
      <c r="BG18" s="763" t="s">
        <v>63</v>
      </c>
      <c r="BH18" s="763" t="s">
        <v>218</v>
      </c>
      <c r="BI18" s="763" t="s">
        <v>218</v>
      </c>
      <c r="BJ18" s="763" t="s">
        <v>63</v>
      </c>
      <c r="BK18" s="763" t="s">
        <v>63</v>
      </c>
      <c r="BM18" s="763" t="s">
        <v>218</v>
      </c>
      <c r="BN18" s="763" t="s">
        <v>218</v>
      </c>
      <c r="BP18" s="763" t="s">
        <v>218</v>
      </c>
      <c r="BQ18" s="763" t="s">
        <v>63</v>
      </c>
      <c r="BR18" s="763" t="s">
        <v>63</v>
      </c>
      <c r="BS18" s="763" t="s">
        <v>218</v>
      </c>
      <c r="BT18" s="763" t="s">
        <v>218</v>
      </c>
      <c r="BU18" s="763" t="s">
        <v>63</v>
      </c>
      <c r="BV18" s="763" t="s">
        <v>63</v>
      </c>
      <c r="BX18" s="763" t="s">
        <v>218</v>
      </c>
      <c r="BY18" s="763" t="s">
        <v>218</v>
      </c>
      <c r="CA18" s="763" t="s">
        <v>63</v>
      </c>
      <c r="CB18" s="763" t="s">
        <v>63</v>
      </c>
      <c r="CE18" s="763" t="s">
        <v>106</v>
      </c>
    </row>
    <row r="19" spans="27:83" x14ac:dyDescent="0.25">
      <c r="AA19" s="763" t="s">
        <v>4823</v>
      </c>
      <c r="BA19" s="763" t="s">
        <v>250</v>
      </c>
      <c r="BB19" s="763" t="s">
        <v>65</v>
      </c>
      <c r="BE19" s="763" t="s">
        <v>65</v>
      </c>
      <c r="BF19" s="763" t="s">
        <v>65</v>
      </c>
      <c r="BG19" s="763" t="s">
        <v>65</v>
      </c>
      <c r="BH19" s="763" t="s">
        <v>250</v>
      </c>
      <c r="BI19" s="763" t="s">
        <v>250</v>
      </c>
      <c r="BJ19" s="763" t="s">
        <v>65</v>
      </c>
      <c r="BK19" s="763" t="s">
        <v>65</v>
      </c>
      <c r="BM19" s="763" t="s">
        <v>250</v>
      </c>
      <c r="BN19" s="763" t="s">
        <v>250</v>
      </c>
      <c r="BP19" s="763" t="s">
        <v>250</v>
      </c>
      <c r="BQ19" s="763" t="s">
        <v>65</v>
      </c>
      <c r="BR19" s="763" t="s">
        <v>65</v>
      </c>
      <c r="BS19" s="763" t="s">
        <v>250</v>
      </c>
      <c r="BT19" s="763" t="s">
        <v>250</v>
      </c>
      <c r="BU19" s="763" t="s">
        <v>65</v>
      </c>
      <c r="BV19" s="763" t="s">
        <v>65</v>
      </c>
      <c r="BX19" s="763" t="s">
        <v>250</v>
      </c>
      <c r="BY19" s="763" t="s">
        <v>250</v>
      </c>
      <c r="CA19" s="763" t="s">
        <v>65</v>
      </c>
      <c r="CB19" s="763" t="s">
        <v>65</v>
      </c>
      <c r="CE19" s="763" t="s">
        <v>108</v>
      </c>
    </row>
    <row r="20" spans="27:83" x14ac:dyDescent="0.25">
      <c r="AA20" s="763" t="s">
        <v>4824</v>
      </c>
      <c r="BA20" s="763" t="s">
        <v>4825</v>
      </c>
      <c r="BB20" s="763" t="s">
        <v>67</v>
      </c>
      <c r="BE20" s="763" t="s">
        <v>67</v>
      </c>
      <c r="BF20" s="763" t="s">
        <v>67</v>
      </c>
      <c r="BG20" s="763" t="s">
        <v>67</v>
      </c>
      <c r="BH20" s="763" t="s">
        <v>4825</v>
      </c>
      <c r="BI20" s="763" t="s">
        <v>4825</v>
      </c>
      <c r="BJ20" s="763" t="s">
        <v>67</v>
      </c>
      <c r="BK20" s="763" t="s">
        <v>67</v>
      </c>
      <c r="BM20" s="763" t="s">
        <v>4825</v>
      </c>
      <c r="BN20" s="763" t="s">
        <v>4825</v>
      </c>
      <c r="BP20" s="763" t="s">
        <v>4825</v>
      </c>
      <c r="BQ20" s="763" t="s">
        <v>67</v>
      </c>
      <c r="BR20" s="763" t="s">
        <v>67</v>
      </c>
      <c r="BS20" s="763" t="s">
        <v>4825</v>
      </c>
      <c r="BT20" s="763" t="s">
        <v>4825</v>
      </c>
      <c r="BU20" s="763" t="s">
        <v>67</v>
      </c>
      <c r="BV20" s="763" t="s">
        <v>67</v>
      </c>
      <c r="BX20" s="763" t="s">
        <v>4825</v>
      </c>
      <c r="BY20" s="763" t="s">
        <v>4825</v>
      </c>
      <c r="CA20" s="763" t="s">
        <v>67</v>
      </c>
      <c r="CB20" s="763" t="s">
        <v>67</v>
      </c>
      <c r="CE20" s="763" t="s">
        <v>116</v>
      </c>
    </row>
    <row r="21" spans="27:83" x14ac:dyDescent="0.25">
      <c r="AA21" s="763" t="s">
        <v>4826</v>
      </c>
      <c r="BA21" s="763" t="s">
        <v>4827</v>
      </c>
      <c r="BB21" s="763" t="s">
        <v>68</v>
      </c>
      <c r="BE21" s="763" t="s">
        <v>68</v>
      </c>
      <c r="BF21" s="763" t="s">
        <v>68</v>
      </c>
      <c r="BG21" s="763" t="s">
        <v>68</v>
      </c>
      <c r="BH21" s="763" t="s">
        <v>4827</v>
      </c>
      <c r="BI21" s="763" t="s">
        <v>4827</v>
      </c>
      <c r="BJ21" s="763" t="s">
        <v>68</v>
      </c>
      <c r="BK21" s="763" t="s">
        <v>68</v>
      </c>
      <c r="BM21" s="763" t="s">
        <v>4827</v>
      </c>
      <c r="BN21" s="763" t="s">
        <v>4827</v>
      </c>
      <c r="BP21" s="763" t="s">
        <v>4827</v>
      </c>
      <c r="BQ21" s="763" t="s">
        <v>68</v>
      </c>
      <c r="BR21" s="763" t="s">
        <v>68</v>
      </c>
      <c r="BS21" s="763" t="s">
        <v>4827</v>
      </c>
      <c r="BT21" s="763" t="s">
        <v>4827</v>
      </c>
      <c r="BU21" s="763" t="s">
        <v>68</v>
      </c>
      <c r="BV21" s="763" t="s">
        <v>68</v>
      </c>
      <c r="BX21" s="763" t="s">
        <v>4827</v>
      </c>
      <c r="BY21" s="763" t="s">
        <v>4827</v>
      </c>
      <c r="CA21" s="763" t="s">
        <v>68</v>
      </c>
      <c r="CB21" s="763" t="s">
        <v>68</v>
      </c>
      <c r="CE21" s="763" t="s">
        <v>4828</v>
      </c>
    </row>
    <row r="22" spans="27:83" x14ac:dyDescent="0.25">
      <c r="AA22" s="763" t="s">
        <v>4829</v>
      </c>
      <c r="BA22" s="763" t="s">
        <v>4830</v>
      </c>
      <c r="BB22" s="763" t="s">
        <v>69</v>
      </c>
      <c r="BE22" s="763" t="s">
        <v>69</v>
      </c>
      <c r="BF22" s="763" t="s">
        <v>69</v>
      </c>
      <c r="BG22" s="763" t="s">
        <v>69</v>
      </c>
      <c r="BH22" s="763" t="s">
        <v>4830</v>
      </c>
      <c r="BI22" s="763" t="s">
        <v>4830</v>
      </c>
      <c r="BJ22" s="763" t="s">
        <v>69</v>
      </c>
      <c r="BK22" s="763" t="s">
        <v>69</v>
      </c>
      <c r="BM22" s="763" t="s">
        <v>4830</v>
      </c>
      <c r="BN22" s="763" t="s">
        <v>4830</v>
      </c>
      <c r="BP22" s="763" t="s">
        <v>4830</v>
      </c>
      <c r="BQ22" s="763" t="s">
        <v>69</v>
      </c>
      <c r="BR22" s="763" t="s">
        <v>69</v>
      </c>
      <c r="BS22" s="763" t="s">
        <v>4830</v>
      </c>
      <c r="BT22" s="763" t="s">
        <v>4830</v>
      </c>
      <c r="BU22" s="763" t="s">
        <v>69</v>
      </c>
      <c r="BV22" s="763" t="s">
        <v>69</v>
      </c>
      <c r="BX22" s="763" t="s">
        <v>4830</v>
      </c>
      <c r="BY22" s="763" t="s">
        <v>4830</v>
      </c>
      <c r="CA22" s="763" t="s">
        <v>69</v>
      </c>
      <c r="CB22" s="763" t="s">
        <v>69</v>
      </c>
      <c r="CE22" s="763" t="s">
        <v>4831</v>
      </c>
    </row>
    <row r="23" spans="27:83" x14ac:dyDescent="0.25">
      <c r="AA23" s="763" t="s">
        <v>4832</v>
      </c>
      <c r="BA23" s="763" t="s">
        <v>4833</v>
      </c>
      <c r="BB23" s="763" t="s">
        <v>71</v>
      </c>
      <c r="BE23" s="763" t="s">
        <v>71</v>
      </c>
      <c r="BF23" s="763" t="s">
        <v>71</v>
      </c>
      <c r="BG23" s="763" t="s">
        <v>71</v>
      </c>
      <c r="BH23" s="763" t="s">
        <v>4833</v>
      </c>
      <c r="BI23" s="763" t="s">
        <v>4833</v>
      </c>
      <c r="BJ23" s="763" t="s">
        <v>71</v>
      </c>
      <c r="BK23" s="763" t="s">
        <v>71</v>
      </c>
      <c r="BM23" s="763" t="s">
        <v>4833</v>
      </c>
      <c r="BN23" s="763" t="s">
        <v>4833</v>
      </c>
      <c r="BP23" s="763" t="s">
        <v>4833</v>
      </c>
      <c r="BQ23" s="763" t="s">
        <v>71</v>
      </c>
      <c r="BR23" s="763" t="s">
        <v>71</v>
      </c>
      <c r="BS23" s="763" t="s">
        <v>4833</v>
      </c>
      <c r="BT23" s="763" t="s">
        <v>4833</v>
      </c>
      <c r="BU23" s="763" t="s">
        <v>71</v>
      </c>
      <c r="BV23" s="763" t="s">
        <v>71</v>
      </c>
      <c r="BX23" s="763" t="s">
        <v>4833</v>
      </c>
      <c r="BY23" s="763" t="s">
        <v>4833</v>
      </c>
      <c r="CA23" s="763" t="s">
        <v>71</v>
      </c>
      <c r="CB23" s="763" t="s">
        <v>71</v>
      </c>
      <c r="CE23" s="763" t="s">
        <v>114</v>
      </c>
    </row>
    <row r="24" spans="27:83" x14ac:dyDescent="0.25">
      <c r="AA24" s="763" t="s">
        <v>4834</v>
      </c>
      <c r="BA24" s="763" t="s">
        <v>4835</v>
      </c>
      <c r="BB24" s="763" t="s">
        <v>73</v>
      </c>
      <c r="BE24" s="763" t="s">
        <v>73</v>
      </c>
      <c r="BF24" s="763" t="s">
        <v>73</v>
      </c>
      <c r="BG24" s="763" t="s">
        <v>73</v>
      </c>
      <c r="BH24" s="763" t="s">
        <v>4835</v>
      </c>
      <c r="BI24" s="763" t="s">
        <v>4835</v>
      </c>
      <c r="BJ24" s="763" t="s">
        <v>73</v>
      </c>
      <c r="BK24" s="763" t="s">
        <v>73</v>
      </c>
      <c r="BM24" s="763" t="s">
        <v>4835</v>
      </c>
      <c r="BN24" s="763" t="s">
        <v>4835</v>
      </c>
      <c r="BP24" s="763" t="s">
        <v>4835</v>
      </c>
      <c r="BQ24" s="763" t="s">
        <v>73</v>
      </c>
      <c r="BR24" s="763" t="s">
        <v>73</v>
      </c>
      <c r="BS24" s="763" t="s">
        <v>4835</v>
      </c>
      <c r="BT24" s="763" t="s">
        <v>4835</v>
      </c>
      <c r="BU24" s="763" t="s">
        <v>73</v>
      </c>
      <c r="BV24" s="763" t="s">
        <v>73</v>
      </c>
      <c r="BX24" s="763" t="s">
        <v>4835</v>
      </c>
      <c r="BY24" s="763" t="s">
        <v>4835</v>
      </c>
      <c r="CA24" s="763" t="s">
        <v>73</v>
      </c>
      <c r="CB24" s="763" t="s">
        <v>73</v>
      </c>
      <c r="CE24" s="763" t="s">
        <v>3621</v>
      </c>
    </row>
    <row r="25" spans="27:83" x14ac:dyDescent="0.25">
      <c r="AA25" s="763" t="s">
        <v>4836</v>
      </c>
      <c r="BA25" s="763" t="s">
        <v>4837</v>
      </c>
      <c r="BB25" s="763" t="s">
        <v>74</v>
      </c>
      <c r="BE25" s="763" t="s">
        <v>74</v>
      </c>
      <c r="BF25" s="763" t="s">
        <v>74</v>
      </c>
      <c r="BG25" s="763" t="s">
        <v>74</v>
      </c>
      <c r="BH25" s="763" t="s">
        <v>4837</v>
      </c>
      <c r="BI25" s="763" t="s">
        <v>4837</v>
      </c>
      <c r="BJ25" s="763" t="s">
        <v>74</v>
      </c>
      <c r="BK25" s="763" t="s">
        <v>74</v>
      </c>
      <c r="BM25" s="763" t="s">
        <v>4837</v>
      </c>
      <c r="BN25" s="763" t="s">
        <v>4837</v>
      </c>
      <c r="BP25" s="763" t="s">
        <v>4837</v>
      </c>
      <c r="BQ25" s="763" t="s">
        <v>74</v>
      </c>
      <c r="BR25" s="763" t="s">
        <v>74</v>
      </c>
      <c r="BS25" s="763" t="s">
        <v>4837</v>
      </c>
      <c r="BT25" s="763" t="s">
        <v>4837</v>
      </c>
      <c r="BU25" s="763" t="s">
        <v>74</v>
      </c>
      <c r="BV25" s="763" t="s">
        <v>74</v>
      </c>
      <c r="BX25" s="763" t="s">
        <v>4837</v>
      </c>
      <c r="BY25" s="763" t="s">
        <v>4837</v>
      </c>
      <c r="CA25" s="763" t="s">
        <v>74</v>
      </c>
      <c r="CB25" s="763" t="s">
        <v>74</v>
      </c>
    </row>
    <row r="26" spans="27:83" x14ac:dyDescent="0.25">
      <c r="AA26" s="763" t="s">
        <v>4838</v>
      </c>
      <c r="BB26" s="763" t="s">
        <v>76</v>
      </c>
      <c r="BE26" s="763" t="s">
        <v>76</v>
      </c>
      <c r="BF26" s="763" t="s">
        <v>76</v>
      </c>
      <c r="BG26" s="763" t="s">
        <v>76</v>
      </c>
      <c r="BJ26" s="763" t="s">
        <v>76</v>
      </c>
      <c r="BK26" s="763" t="s">
        <v>76</v>
      </c>
      <c r="BQ26" s="763" t="s">
        <v>76</v>
      </c>
      <c r="BR26" s="763" t="s">
        <v>76</v>
      </c>
      <c r="BU26" s="763" t="s">
        <v>76</v>
      </c>
      <c r="BV26" s="763" t="s">
        <v>76</v>
      </c>
      <c r="CA26" s="763" t="s">
        <v>76</v>
      </c>
      <c r="CB26" s="763" t="s">
        <v>76</v>
      </c>
    </row>
    <row r="27" spans="27:83" x14ac:dyDescent="0.25">
      <c r="AA27" s="763" t="s">
        <v>4839</v>
      </c>
      <c r="BB27" s="763" t="s">
        <v>78</v>
      </c>
      <c r="BE27" s="763" t="s">
        <v>78</v>
      </c>
      <c r="BF27" s="763" t="s">
        <v>78</v>
      </c>
      <c r="BG27" s="763" t="s">
        <v>78</v>
      </c>
      <c r="BJ27" s="763" t="s">
        <v>78</v>
      </c>
      <c r="BK27" s="763" t="s">
        <v>78</v>
      </c>
      <c r="BQ27" s="763" t="s">
        <v>78</v>
      </c>
      <c r="BR27" s="763" t="s">
        <v>78</v>
      </c>
      <c r="BU27" s="763" t="s">
        <v>78</v>
      </c>
      <c r="BV27" s="763" t="s">
        <v>78</v>
      </c>
      <c r="CA27" s="763" t="s">
        <v>78</v>
      </c>
      <c r="CB27" s="763" t="s">
        <v>78</v>
      </c>
    </row>
    <row r="28" spans="27:83" x14ac:dyDescent="0.25">
      <c r="AA28" s="763" t="s">
        <v>4840</v>
      </c>
      <c r="BB28" s="763" t="s">
        <v>79</v>
      </c>
      <c r="BE28" s="763" t="s">
        <v>79</v>
      </c>
      <c r="BF28" s="763" t="s">
        <v>79</v>
      </c>
      <c r="BG28" s="763" t="s">
        <v>79</v>
      </c>
      <c r="BJ28" s="763" t="s">
        <v>79</v>
      </c>
      <c r="BK28" s="763" t="s">
        <v>79</v>
      </c>
      <c r="BQ28" s="763" t="s">
        <v>79</v>
      </c>
      <c r="BR28" s="763" t="s">
        <v>79</v>
      </c>
      <c r="BU28" s="763" t="s">
        <v>79</v>
      </c>
      <c r="BV28" s="763" t="s">
        <v>79</v>
      </c>
      <c r="CA28" s="763" t="s">
        <v>79</v>
      </c>
      <c r="CB28" s="763" t="s">
        <v>79</v>
      </c>
    </row>
    <row r="29" spans="27:83" x14ac:dyDescent="0.25">
      <c r="AA29" s="763" t="s">
        <v>4841</v>
      </c>
      <c r="BB29" s="763" t="s">
        <v>80</v>
      </c>
      <c r="BE29" s="763" t="s">
        <v>80</v>
      </c>
      <c r="BF29" s="763" t="s">
        <v>80</v>
      </c>
      <c r="BG29" s="763" t="s">
        <v>80</v>
      </c>
      <c r="BJ29" s="763" t="s">
        <v>80</v>
      </c>
      <c r="BK29" s="763" t="s">
        <v>80</v>
      </c>
      <c r="BQ29" s="763" t="s">
        <v>80</v>
      </c>
      <c r="BR29" s="763" t="s">
        <v>80</v>
      </c>
      <c r="BU29" s="763" t="s">
        <v>80</v>
      </c>
      <c r="BV29" s="763" t="s">
        <v>80</v>
      </c>
      <c r="CA29" s="763" t="s">
        <v>80</v>
      </c>
      <c r="CB29" s="763" t="s">
        <v>80</v>
      </c>
    </row>
    <row r="30" spans="27:83" x14ac:dyDescent="0.25">
      <c r="AA30" s="763" t="s">
        <v>4842</v>
      </c>
      <c r="BB30" s="763" t="s">
        <v>81</v>
      </c>
      <c r="BE30" s="763" t="s">
        <v>81</v>
      </c>
      <c r="BF30" s="763" t="s">
        <v>81</v>
      </c>
      <c r="BG30" s="763" t="s">
        <v>81</v>
      </c>
      <c r="BJ30" s="763" t="s">
        <v>81</v>
      </c>
      <c r="BK30" s="763" t="s">
        <v>81</v>
      </c>
      <c r="BQ30" s="763" t="s">
        <v>81</v>
      </c>
      <c r="BR30" s="763" t="s">
        <v>81</v>
      </c>
      <c r="BU30" s="763" t="s">
        <v>81</v>
      </c>
      <c r="BV30" s="763" t="s">
        <v>81</v>
      </c>
      <c r="CA30" s="763" t="s">
        <v>81</v>
      </c>
      <c r="CB30" s="763" t="s">
        <v>81</v>
      </c>
    </row>
    <row r="31" spans="27:83" x14ac:dyDescent="0.25">
      <c r="AA31" s="763" t="s">
        <v>4843</v>
      </c>
      <c r="BB31" s="763" t="s">
        <v>82</v>
      </c>
      <c r="BE31" s="763" t="s">
        <v>82</v>
      </c>
      <c r="BF31" s="763" t="s">
        <v>82</v>
      </c>
      <c r="BG31" s="763" t="s">
        <v>82</v>
      </c>
      <c r="BJ31" s="763" t="s">
        <v>82</v>
      </c>
      <c r="BK31" s="763" t="s">
        <v>82</v>
      </c>
      <c r="BQ31" s="763" t="s">
        <v>82</v>
      </c>
      <c r="BR31" s="763" t="s">
        <v>82</v>
      </c>
      <c r="BU31" s="763" t="s">
        <v>82</v>
      </c>
      <c r="BV31" s="763" t="s">
        <v>82</v>
      </c>
      <c r="CA31" s="763" t="s">
        <v>82</v>
      </c>
      <c r="CB31" s="763" t="s">
        <v>82</v>
      </c>
    </row>
    <row r="32" spans="27:83" x14ac:dyDescent="0.25">
      <c r="AA32" s="763" t="s">
        <v>4844</v>
      </c>
      <c r="BB32" s="763" t="s">
        <v>83</v>
      </c>
      <c r="BE32" s="763" t="s">
        <v>83</v>
      </c>
      <c r="BF32" s="763" t="s">
        <v>83</v>
      </c>
      <c r="BG32" s="763" t="s">
        <v>83</v>
      </c>
      <c r="BJ32" s="763" t="s">
        <v>83</v>
      </c>
      <c r="BK32" s="763" t="s">
        <v>83</v>
      </c>
      <c r="BQ32" s="763" t="s">
        <v>83</v>
      </c>
      <c r="BR32" s="763" t="s">
        <v>83</v>
      </c>
      <c r="BU32" s="763" t="s">
        <v>83</v>
      </c>
      <c r="BV32" s="763" t="s">
        <v>83</v>
      </c>
      <c r="CA32" s="763" t="s">
        <v>83</v>
      </c>
      <c r="CB32" s="763" t="s">
        <v>83</v>
      </c>
    </row>
    <row r="33" spans="27:27" x14ac:dyDescent="0.25">
      <c r="AA33" s="763" t="s">
        <v>4845</v>
      </c>
    </row>
    <row r="34" spans="27:27" x14ac:dyDescent="0.25">
      <c r="AA34" s="763" t="s">
        <v>4846</v>
      </c>
    </row>
    <row r="35" spans="27:27" x14ac:dyDescent="0.25">
      <c r="AA35" s="763" t="s">
        <v>4847</v>
      </c>
    </row>
    <row r="36" spans="27:27" x14ac:dyDescent="0.25">
      <c r="AA36" s="763" t="s">
        <v>4848</v>
      </c>
    </row>
    <row r="37" spans="27:27" x14ac:dyDescent="0.25">
      <c r="AA37" s="763" t="s">
        <v>4849</v>
      </c>
    </row>
    <row r="38" spans="27:27" x14ac:dyDescent="0.25">
      <c r="AA38" s="763" t="s">
        <v>4850</v>
      </c>
    </row>
    <row r="39" spans="27:27" x14ac:dyDescent="0.25">
      <c r="AA39" s="763" t="s">
        <v>4851</v>
      </c>
    </row>
    <row r="40" spans="27:27" x14ac:dyDescent="0.25">
      <c r="AA40" s="763" t="s">
        <v>4852</v>
      </c>
    </row>
    <row r="41" spans="27:27" x14ac:dyDescent="0.25">
      <c r="AA41" s="763" t="s">
        <v>4853</v>
      </c>
    </row>
    <row r="42" spans="27:27" x14ac:dyDescent="0.25">
      <c r="AA42" s="763" t="s">
        <v>4854</v>
      </c>
    </row>
    <row r="43" spans="27:27" x14ac:dyDescent="0.25">
      <c r="AA43" s="763" t="s">
        <v>4855</v>
      </c>
    </row>
    <row r="44" spans="27:27" x14ac:dyDescent="0.25">
      <c r="AA44" s="763" t="s">
        <v>4856</v>
      </c>
    </row>
    <row r="45" spans="27:27" x14ac:dyDescent="0.25">
      <c r="AA45" s="763" t="s">
        <v>4857</v>
      </c>
    </row>
    <row r="46" spans="27:27" x14ac:dyDescent="0.25">
      <c r="AA46" s="763" t="s">
        <v>4858</v>
      </c>
    </row>
    <row r="47" spans="27:27" x14ac:dyDescent="0.25">
      <c r="AA47" s="763" t="s">
        <v>4859</v>
      </c>
    </row>
    <row r="48" spans="27:27" x14ac:dyDescent="0.25">
      <c r="AA48" s="763" t="s">
        <v>4860</v>
      </c>
    </row>
    <row r="49" spans="27:27" x14ac:dyDescent="0.25">
      <c r="AA49" s="763" t="s">
        <v>4861</v>
      </c>
    </row>
    <row r="50" spans="27:27" x14ac:dyDescent="0.25">
      <c r="AA50" s="763" t="s">
        <v>4862</v>
      </c>
    </row>
    <row r="51" spans="27:27" x14ac:dyDescent="0.25">
      <c r="AA51" s="763" t="s">
        <v>4863</v>
      </c>
    </row>
    <row r="52" spans="27:27" x14ac:dyDescent="0.25">
      <c r="AA52" s="763" t="s">
        <v>4864</v>
      </c>
    </row>
    <row r="53" spans="27:27" x14ac:dyDescent="0.25">
      <c r="AA53" s="763" t="s">
        <v>4865</v>
      </c>
    </row>
    <row r="54" spans="27:27" x14ac:dyDescent="0.25">
      <c r="AA54" s="763" t="s">
        <v>4866</v>
      </c>
    </row>
    <row r="55" spans="27:27" x14ac:dyDescent="0.25">
      <c r="AA55" s="763" t="s">
        <v>4867</v>
      </c>
    </row>
    <row r="56" spans="27:27" x14ac:dyDescent="0.25">
      <c r="AA56" s="763" t="s">
        <v>4868</v>
      </c>
    </row>
    <row r="57" spans="27:27" x14ac:dyDescent="0.25">
      <c r="AA57" s="763" t="s">
        <v>4869</v>
      </c>
    </row>
    <row r="58" spans="27:27" x14ac:dyDescent="0.25">
      <c r="AA58" s="763" t="s">
        <v>4870</v>
      </c>
    </row>
    <row r="59" spans="27:27" x14ac:dyDescent="0.25">
      <c r="AA59" s="763" t="s">
        <v>4871</v>
      </c>
    </row>
    <row r="60" spans="27:27" x14ac:dyDescent="0.25">
      <c r="AA60" s="763" t="s">
        <v>4872</v>
      </c>
    </row>
    <row r="61" spans="27:27" x14ac:dyDescent="0.25">
      <c r="AA61" s="763" t="s">
        <v>4873</v>
      </c>
    </row>
    <row r="62" spans="27:27" x14ac:dyDescent="0.25">
      <c r="AA62" s="763" t="s">
        <v>4874</v>
      </c>
    </row>
    <row r="63" spans="27:27" x14ac:dyDescent="0.25">
      <c r="AA63" s="763" t="s">
        <v>4875</v>
      </c>
    </row>
    <row r="64" spans="27:27" x14ac:dyDescent="0.25">
      <c r="AA64" s="763" t="s">
        <v>4876</v>
      </c>
    </row>
    <row r="65" spans="27:27" x14ac:dyDescent="0.25">
      <c r="AA65" s="763" t="s">
        <v>4877</v>
      </c>
    </row>
    <row r="66" spans="27:27" x14ac:dyDescent="0.25">
      <c r="AA66" s="763" t="s">
        <v>51</v>
      </c>
    </row>
    <row r="67" spans="27:27" x14ac:dyDescent="0.25">
      <c r="AA67" s="763" t="s">
        <v>4878</v>
      </c>
    </row>
    <row r="68" spans="27:27" x14ac:dyDescent="0.25">
      <c r="AA68" s="763" t="s">
        <v>4879</v>
      </c>
    </row>
    <row r="69" spans="27:27" x14ac:dyDescent="0.25">
      <c r="AA69" s="763" t="s">
        <v>4880</v>
      </c>
    </row>
    <row r="70" spans="27:27" x14ac:dyDescent="0.25">
      <c r="AA70" s="763" t="s">
        <v>4881</v>
      </c>
    </row>
    <row r="71" spans="27:27" x14ac:dyDescent="0.25">
      <c r="AA71" s="763" t="s">
        <v>4882</v>
      </c>
    </row>
    <row r="72" spans="27:27" x14ac:dyDescent="0.25">
      <c r="AA72" s="763" t="s">
        <v>4883</v>
      </c>
    </row>
    <row r="73" spans="27:27" x14ac:dyDescent="0.25">
      <c r="AA73" s="763" t="s">
        <v>4884</v>
      </c>
    </row>
    <row r="74" spans="27:27" x14ac:dyDescent="0.25">
      <c r="AA74" s="763" t="s">
        <v>4885</v>
      </c>
    </row>
    <row r="75" spans="27:27" x14ac:dyDescent="0.25">
      <c r="AA75" s="763" t="s">
        <v>4886</v>
      </c>
    </row>
    <row r="76" spans="27:27" x14ac:dyDescent="0.25">
      <c r="AA76" s="763" t="s">
        <v>4887</v>
      </c>
    </row>
    <row r="77" spans="27:27" x14ac:dyDescent="0.25">
      <c r="AA77" s="763" t="s">
        <v>4888</v>
      </c>
    </row>
    <row r="78" spans="27:27" x14ac:dyDescent="0.25">
      <c r="AA78" s="763" t="s">
        <v>4889</v>
      </c>
    </row>
    <row r="79" spans="27:27" x14ac:dyDescent="0.25">
      <c r="AA79" s="763" t="s">
        <v>4890</v>
      </c>
    </row>
    <row r="80" spans="27:27" x14ac:dyDescent="0.25">
      <c r="AA80" s="763" t="s">
        <v>4891</v>
      </c>
    </row>
    <row r="81" spans="27:27" x14ac:dyDescent="0.25">
      <c r="AA81" s="763" t="s">
        <v>4892</v>
      </c>
    </row>
    <row r="82" spans="27:27" x14ac:dyDescent="0.25">
      <c r="AA82" s="763" t="s">
        <v>4893</v>
      </c>
    </row>
    <row r="83" spans="27:27" x14ac:dyDescent="0.25">
      <c r="AA83" s="763" t="s">
        <v>4894</v>
      </c>
    </row>
    <row r="84" spans="27:27" x14ac:dyDescent="0.25">
      <c r="AA84" s="763" t="s">
        <v>4895</v>
      </c>
    </row>
    <row r="85" spans="27:27" x14ac:dyDescent="0.25">
      <c r="AA85" s="763" t="s">
        <v>4896</v>
      </c>
    </row>
    <row r="86" spans="27:27" x14ac:dyDescent="0.25">
      <c r="AA86" s="763" t="s">
        <v>4897</v>
      </c>
    </row>
    <row r="87" spans="27:27" x14ac:dyDescent="0.25">
      <c r="AA87" s="763" t="s">
        <v>4898</v>
      </c>
    </row>
    <row r="88" spans="27:27" x14ac:dyDescent="0.25">
      <c r="AA88" s="763" t="s">
        <v>4899</v>
      </c>
    </row>
    <row r="89" spans="27:27" x14ac:dyDescent="0.25">
      <c r="AA89" s="763" t="s">
        <v>4900</v>
      </c>
    </row>
    <row r="90" spans="27:27" x14ac:dyDescent="0.25">
      <c r="AA90" s="763" t="s">
        <v>4901</v>
      </c>
    </row>
    <row r="91" spans="27:27" x14ac:dyDescent="0.25">
      <c r="AA91" s="763" t="s">
        <v>4902</v>
      </c>
    </row>
    <row r="92" spans="27:27" x14ac:dyDescent="0.25">
      <c r="AA92" s="763" t="s">
        <v>4903</v>
      </c>
    </row>
    <row r="93" spans="27:27" x14ac:dyDescent="0.25">
      <c r="AA93" s="763" t="s">
        <v>4904</v>
      </c>
    </row>
    <row r="94" spans="27:27" x14ac:dyDescent="0.25">
      <c r="AA94" s="763" t="s">
        <v>4905</v>
      </c>
    </row>
    <row r="95" spans="27:27" x14ac:dyDescent="0.25">
      <c r="AA95" s="763" t="s">
        <v>4906</v>
      </c>
    </row>
    <row r="96" spans="27:27" x14ac:dyDescent="0.25">
      <c r="AA96" s="763" t="s">
        <v>4907</v>
      </c>
    </row>
    <row r="97" spans="27:27" x14ac:dyDescent="0.25">
      <c r="AA97" s="763" t="s">
        <v>4908</v>
      </c>
    </row>
    <row r="98" spans="27:27" x14ac:dyDescent="0.25">
      <c r="AA98" s="763" t="s">
        <v>4909</v>
      </c>
    </row>
    <row r="99" spans="27:27" x14ac:dyDescent="0.25">
      <c r="AA99" s="763" t="s">
        <v>4910</v>
      </c>
    </row>
    <row r="100" spans="27:27" x14ac:dyDescent="0.25">
      <c r="AA100" s="763" t="s">
        <v>4911</v>
      </c>
    </row>
    <row r="101" spans="27:27" x14ac:dyDescent="0.25">
      <c r="AA101" s="763" t="s">
        <v>4912</v>
      </c>
    </row>
    <row r="102" spans="27:27" x14ac:dyDescent="0.25">
      <c r="AA102" s="763" t="s">
        <v>4913</v>
      </c>
    </row>
    <row r="103" spans="27:27" x14ac:dyDescent="0.25">
      <c r="AA103" s="763" t="s">
        <v>4914</v>
      </c>
    </row>
    <row r="104" spans="27:27" x14ac:dyDescent="0.25">
      <c r="AA104" s="763" t="s">
        <v>4915</v>
      </c>
    </row>
    <row r="105" spans="27:27" x14ac:dyDescent="0.25">
      <c r="AA105" s="763" t="s">
        <v>4916</v>
      </c>
    </row>
    <row r="106" spans="27:27" x14ac:dyDescent="0.25">
      <c r="AA106" s="763" t="s">
        <v>4917</v>
      </c>
    </row>
    <row r="107" spans="27:27" x14ac:dyDescent="0.25">
      <c r="AA107" s="763" t="s">
        <v>4918</v>
      </c>
    </row>
    <row r="108" spans="27:27" x14ac:dyDescent="0.25">
      <c r="AA108" s="763" t="s">
        <v>4919</v>
      </c>
    </row>
    <row r="109" spans="27:27" x14ac:dyDescent="0.25">
      <c r="AA109" s="763" t="s">
        <v>4920</v>
      </c>
    </row>
    <row r="110" spans="27:27" x14ac:dyDescent="0.25">
      <c r="AA110" s="763" t="s">
        <v>4921</v>
      </c>
    </row>
    <row r="111" spans="27:27" x14ac:dyDescent="0.25">
      <c r="AA111" s="763" t="s">
        <v>4922</v>
      </c>
    </row>
    <row r="112" spans="27:27" x14ac:dyDescent="0.25">
      <c r="AA112" s="763" t="s">
        <v>4923</v>
      </c>
    </row>
    <row r="113" spans="27:27" x14ac:dyDescent="0.25">
      <c r="AA113" s="763" t="s">
        <v>4924</v>
      </c>
    </row>
    <row r="114" spans="27:27" x14ac:dyDescent="0.25">
      <c r="AA114" s="763" t="s">
        <v>4925</v>
      </c>
    </row>
    <row r="115" spans="27:27" x14ac:dyDescent="0.25">
      <c r="AA115" s="763" t="s">
        <v>4926</v>
      </c>
    </row>
    <row r="116" spans="27:27" x14ac:dyDescent="0.25">
      <c r="AA116" s="763" t="s">
        <v>4927</v>
      </c>
    </row>
    <row r="117" spans="27:27" x14ac:dyDescent="0.25">
      <c r="AA117" s="763" t="s">
        <v>4928</v>
      </c>
    </row>
    <row r="118" spans="27:27" x14ac:dyDescent="0.25">
      <c r="AA118" s="763" t="s">
        <v>4929</v>
      </c>
    </row>
    <row r="119" spans="27:27" x14ac:dyDescent="0.25">
      <c r="AA119" s="763" t="s">
        <v>4930</v>
      </c>
    </row>
    <row r="120" spans="27:27" x14ac:dyDescent="0.25">
      <c r="AA120" s="763" t="s">
        <v>4931</v>
      </c>
    </row>
    <row r="121" spans="27:27" x14ac:dyDescent="0.25">
      <c r="AA121" s="763" t="s">
        <v>4932</v>
      </c>
    </row>
    <row r="122" spans="27:27" x14ac:dyDescent="0.25">
      <c r="AA122" s="763" t="s">
        <v>4933</v>
      </c>
    </row>
    <row r="123" spans="27:27" x14ac:dyDescent="0.25">
      <c r="AA123" s="763" t="s">
        <v>4934</v>
      </c>
    </row>
    <row r="124" spans="27:27" x14ac:dyDescent="0.25">
      <c r="AA124" s="763" t="s">
        <v>4935</v>
      </c>
    </row>
    <row r="125" spans="27:27" x14ac:dyDescent="0.25">
      <c r="AA125" s="763" t="s">
        <v>4936</v>
      </c>
    </row>
    <row r="126" spans="27:27" x14ac:dyDescent="0.25">
      <c r="AA126" s="763" t="s">
        <v>4937</v>
      </c>
    </row>
    <row r="127" spans="27:27" x14ac:dyDescent="0.25">
      <c r="AA127" s="763" t="s">
        <v>4938</v>
      </c>
    </row>
    <row r="128" spans="27:27" x14ac:dyDescent="0.25">
      <c r="AA128" s="763" t="s">
        <v>4939</v>
      </c>
    </row>
    <row r="129" spans="27:27" x14ac:dyDescent="0.25">
      <c r="AA129" s="763" t="s">
        <v>4940</v>
      </c>
    </row>
    <row r="130" spans="27:27" x14ac:dyDescent="0.25">
      <c r="AA130" s="763" t="s">
        <v>4941</v>
      </c>
    </row>
    <row r="131" spans="27:27" x14ac:dyDescent="0.25">
      <c r="AA131" s="763" t="s">
        <v>4942</v>
      </c>
    </row>
    <row r="132" spans="27:27" x14ac:dyDescent="0.25">
      <c r="AA132" s="763" t="s">
        <v>4943</v>
      </c>
    </row>
    <row r="133" spans="27:27" x14ac:dyDescent="0.25">
      <c r="AA133" s="763" t="s">
        <v>4944</v>
      </c>
    </row>
    <row r="134" spans="27:27" x14ac:dyDescent="0.25">
      <c r="AA134" s="763" t="s">
        <v>4945</v>
      </c>
    </row>
    <row r="135" spans="27:27" x14ac:dyDescent="0.25">
      <c r="AA135" s="763" t="s">
        <v>4946</v>
      </c>
    </row>
    <row r="136" spans="27:27" x14ac:dyDescent="0.25">
      <c r="AA136" s="763" t="s">
        <v>4947</v>
      </c>
    </row>
    <row r="137" spans="27:27" x14ac:dyDescent="0.25">
      <c r="AA137" s="763" t="s">
        <v>4948</v>
      </c>
    </row>
    <row r="138" spans="27:27" x14ac:dyDescent="0.25">
      <c r="AA138" s="763" t="s">
        <v>4949</v>
      </c>
    </row>
    <row r="139" spans="27:27" x14ac:dyDescent="0.25">
      <c r="AA139" s="763" t="s">
        <v>4950</v>
      </c>
    </row>
    <row r="140" spans="27:27" x14ac:dyDescent="0.25">
      <c r="AA140" s="763" t="s">
        <v>4951</v>
      </c>
    </row>
    <row r="141" spans="27:27" x14ac:dyDescent="0.25">
      <c r="AA141" s="763" t="s">
        <v>4952</v>
      </c>
    </row>
    <row r="142" spans="27:27" x14ac:dyDescent="0.25">
      <c r="AA142" s="763" t="s">
        <v>4953</v>
      </c>
    </row>
    <row r="143" spans="27:27" x14ac:dyDescent="0.25">
      <c r="AA143" s="763" t="s">
        <v>4954</v>
      </c>
    </row>
    <row r="144" spans="27:27" x14ac:dyDescent="0.25">
      <c r="AA144" s="763" t="s">
        <v>4955</v>
      </c>
    </row>
    <row r="145" spans="27:27" x14ac:dyDescent="0.25">
      <c r="AA145" s="763" t="s">
        <v>4956</v>
      </c>
    </row>
    <row r="146" spans="27:27" x14ac:dyDescent="0.25">
      <c r="AA146" s="763" t="s">
        <v>4957</v>
      </c>
    </row>
    <row r="147" spans="27:27" x14ac:dyDescent="0.25">
      <c r="AA147" s="763" t="s">
        <v>4958</v>
      </c>
    </row>
    <row r="148" spans="27:27" x14ac:dyDescent="0.25">
      <c r="AA148" s="763" t="s">
        <v>4959</v>
      </c>
    </row>
    <row r="149" spans="27:27" x14ac:dyDescent="0.25">
      <c r="AA149" s="763" t="s">
        <v>4960</v>
      </c>
    </row>
    <row r="150" spans="27:27" x14ac:dyDescent="0.25">
      <c r="AA150" s="763" t="s">
        <v>4961</v>
      </c>
    </row>
    <row r="151" spans="27:27" x14ac:dyDescent="0.25">
      <c r="AA151" s="763" t="s">
        <v>4962</v>
      </c>
    </row>
    <row r="152" spans="27:27" x14ac:dyDescent="0.25">
      <c r="AA152" s="763" t="s">
        <v>4963</v>
      </c>
    </row>
    <row r="153" spans="27:27" x14ac:dyDescent="0.25">
      <c r="AA153" s="763" t="s">
        <v>4964</v>
      </c>
    </row>
    <row r="154" spans="27:27" x14ac:dyDescent="0.25">
      <c r="AA154" s="763" t="s">
        <v>4965</v>
      </c>
    </row>
    <row r="155" spans="27:27" x14ac:dyDescent="0.25">
      <c r="AA155" s="763" t="s">
        <v>4966</v>
      </c>
    </row>
    <row r="156" spans="27:27" x14ac:dyDescent="0.25">
      <c r="AA156" s="763" t="s">
        <v>4967</v>
      </c>
    </row>
    <row r="157" spans="27:27" x14ac:dyDescent="0.25">
      <c r="AA157" s="763" t="s">
        <v>4968</v>
      </c>
    </row>
    <row r="158" spans="27:27" x14ac:dyDescent="0.25">
      <c r="AA158" s="763" t="s">
        <v>4969</v>
      </c>
    </row>
    <row r="159" spans="27:27" x14ac:dyDescent="0.25">
      <c r="AA159" s="763" t="s">
        <v>4970</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46081" r:id="rId4">
          <objectPr defaultSize="0" r:id="rId5">
            <anchor moveWithCells="1">
              <from>
                <xdr:col>6</xdr:col>
                <xdr:colOff>0</xdr:colOff>
                <xdr:row>7</xdr:row>
                <xdr:rowOff>0</xdr:rowOff>
              </from>
              <to>
                <xdr:col>11</xdr:col>
                <xdr:colOff>200025</xdr:colOff>
                <xdr:row>9</xdr:row>
                <xdr:rowOff>161925</xdr:rowOff>
              </to>
            </anchor>
          </objectPr>
        </oleObject>
      </mc:Choice>
      <mc:Fallback>
        <oleObject progId="Packager Shell Object" dvAspect="DVASPECT_ICON" shapeId="46081" r:id="rId4"/>
      </mc:Fallback>
    </mc:AlternateContent>
    <mc:AlternateContent xmlns:mc="http://schemas.openxmlformats.org/markup-compatibility/2006">
      <mc:Choice Requires="x14">
        <oleObject progId="Packager Shell Object" dvAspect="DVASPECT_ICON" shapeId="46085" r:id="rId6">
          <objectPr defaultSize="0" r:id="rId7">
            <anchor moveWithCells="1">
              <from>
                <xdr:col>6</xdr:col>
                <xdr:colOff>0</xdr:colOff>
                <xdr:row>7</xdr:row>
                <xdr:rowOff>0</xdr:rowOff>
              </from>
              <to>
                <xdr:col>6</xdr:col>
                <xdr:colOff>571500</xdr:colOff>
                <xdr:row>9</xdr:row>
                <xdr:rowOff>161925</xdr:rowOff>
              </to>
            </anchor>
          </objectPr>
        </oleObject>
      </mc:Choice>
      <mc:Fallback>
        <oleObject progId="Packager Shell Object" dvAspect="DVASPECT_ICON" shapeId="46085" r:id="rId6"/>
      </mc:Fallback>
    </mc:AlternateContent>
    <mc:AlternateContent xmlns:mc="http://schemas.openxmlformats.org/markup-compatibility/2006">
      <mc:Choice Requires="x14">
        <oleObject progId="Packager Shell Object" dvAspect="DVASPECT_ICON" shapeId="46086" r:id="rId8">
          <objectPr defaultSize="0" r:id="rId9">
            <anchor moveWithCells="1">
              <from>
                <xdr:col>6</xdr:col>
                <xdr:colOff>0</xdr:colOff>
                <xdr:row>7</xdr:row>
                <xdr:rowOff>0</xdr:rowOff>
              </from>
              <to>
                <xdr:col>7</xdr:col>
                <xdr:colOff>390525</xdr:colOff>
                <xdr:row>9</xdr:row>
                <xdr:rowOff>161925</xdr:rowOff>
              </to>
            </anchor>
          </objectPr>
        </oleObject>
      </mc:Choice>
      <mc:Fallback>
        <oleObject progId="Packager Shell Object" dvAspect="DVASPECT_ICON" shapeId="46086" r:id="rId8"/>
      </mc:Fallback>
    </mc:AlternateContent>
    <mc:AlternateContent xmlns:mc="http://schemas.openxmlformats.org/markup-compatibility/2006">
      <mc:Choice Requires="x14">
        <oleObject progId="Packager Shell Object" dvAspect="DVASPECT_ICON" shapeId="46087" r:id="rId10">
          <objectPr defaultSize="0" r:id="rId11">
            <anchor moveWithCells="1">
              <from>
                <xdr:col>6</xdr:col>
                <xdr:colOff>0</xdr:colOff>
                <xdr:row>7</xdr:row>
                <xdr:rowOff>0</xdr:rowOff>
              </from>
              <to>
                <xdr:col>7</xdr:col>
                <xdr:colOff>333375</xdr:colOff>
                <xdr:row>9</xdr:row>
                <xdr:rowOff>161925</xdr:rowOff>
              </to>
            </anchor>
          </objectPr>
        </oleObject>
      </mc:Choice>
      <mc:Fallback>
        <oleObject progId="Packager Shell Object" dvAspect="DVASPECT_ICON" shapeId="46087"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AF80"/>
  <sheetViews>
    <sheetView topLeftCell="J1" zoomScale="70" zoomScaleNormal="70" workbookViewId="0">
      <selection activeCell="R1" sqref="R1"/>
    </sheetView>
  </sheetViews>
  <sheetFormatPr baseColWidth="10" defaultColWidth="9.140625" defaultRowHeight="15" x14ac:dyDescent="0.2"/>
  <cols>
    <col min="1" max="1" width="12.42578125" style="509" hidden="1" customWidth="1"/>
    <col min="2" max="2" width="15.140625" style="33" customWidth="1"/>
    <col min="3" max="3" width="47.42578125" style="33" customWidth="1"/>
    <col min="4" max="4" width="20.140625" style="33" customWidth="1"/>
    <col min="5" max="5" width="13.5703125" style="33" customWidth="1"/>
    <col min="6" max="6" width="16.5703125" style="33" customWidth="1"/>
    <col min="7" max="7" width="14.85546875" style="33" customWidth="1"/>
    <col min="8" max="8" width="22.28515625" style="33" customWidth="1"/>
    <col min="9" max="9" width="19.7109375" style="33" customWidth="1"/>
    <col min="10" max="10" width="21" style="33" customWidth="1"/>
    <col min="11" max="11" width="20.140625" style="33" customWidth="1"/>
    <col min="12" max="12" width="17.140625" style="33" customWidth="1"/>
    <col min="13" max="13" width="20.85546875" style="33" customWidth="1"/>
    <col min="14" max="14" width="20.140625" style="33" customWidth="1"/>
    <col min="15" max="15" width="13.85546875" style="33" customWidth="1"/>
    <col min="16" max="16" width="19.5703125" style="33" customWidth="1"/>
    <col min="17" max="17" width="48.28515625" style="33" customWidth="1"/>
    <col min="18" max="18" width="46.85546875" style="33" customWidth="1"/>
    <col min="19" max="19" width="16.85546875" style="33" customWidth="1"/>
    <col min="20" max="20" width="16.5703125" style="33" customWidth="1"/>
    <col min="21" max="21" width="13.85546875" style="33" customWidth="1"/>
    <col min="22" max="22" width="19.140625" style="33" customWidth="1"/>
    <col min="23" max="23" width="13.85546875" style="33" customWidth="1"/>
    <col min="24" max="24" width="13.42578125" style="33" customWidth="1"/>
    <col min="25" max="26" width="52.5703125" style="33" customWidth="1"/>
    <col min="27" max="27" width="16.5703125" style="33" customWidth="1"/>
    <col min="28" max="28" width="13.85546875" style="33" customWidth="1"/>
    <col min="29" max="29" width="19.140625" style="33" customWidth="1"/>
    <col min="30" max="30" width="43.42578125" style="33" customWidth="1"/>
    <col min="31" max="31" width="45.5703125" style="33" customWidth="1"/>
    <col min="32" max="16384" width="9.140625" style="33"/>
  </cols>
  <sheetData>
    <row r="1" spans="1:32" ht="45.75" customHeight="1" thickBot="1" x14ac:dyDescent="0.25">
      <c r="B1" s="38" t="str">
        <f>CoverSheet!A1</f>
        <v>Rapport périodique sur les résultats actuels et demande de décaissement</v>
      </c>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40"/>
    </row>
    <row r="2" spans="1:32" ht="13.5" customHeight="1" x14ac:dyDescent="0.2">
      <c r="B2" s="3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32" ht="45" customHeight="1" x14ac:dyDescent="0.2">
      <c r="B3" s="1014" t="str">
        <f>VLOOKUP(Translations!B31,Translations!B3:H508,4,0)</f>
        <v>Section 1 : Information programmatique</v>
      </c>
      <c r="C3" s="1015"/>
      <c r="D3" s="1015"/>
      <c r="E3" s="1015"/>
      <c r="F3" s="1015"/>
      <c r="G3" s="1015"/>
      <c r="H3" s="1015"/>
      <c r="I3" s="1015"/>
      <c r="J3" s="1015"/>
      <c r="K3" s="1015"/>
      <c r="L3" s="1015"/>
      <c r="M3" s="1015"/>
      <c r="N3" s="1015"/>
      <c r="O3" s="1015"/>
      <c r="P3" s="1015"/>
      <c r="Q3" s="1015"/>
      <c r="R3" s="1015"/>
      <c r="S3" s="1015"/>
      <c r="T3" s="1015"/>
      <c r="U3" s="1015"/>
      <c r="V3" s="1015"/>
      <c r="W3" s="1015"/>
      <c r="X3" s="1015"/>
      <c r="Y3" s="1015"/>
      <c r="Z3" s="1015"/>
      <c r="AA3" s="1015"/>
      <c r="AB3" s="1015"/>
      <c r="AC3" s="1015"/>
      <c r="AD3" s="1015"/>
      <c r="AE3" s="1016"/>
    </row>
    <row r="4" spans="1:32"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ht="90.75" customHeight="1" x14ac:dyDescent="0.2">
      <c r="B5" s="1428" t="s">
        <v>127</v>
      </c>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017"/>
      <c r="AA5" s="1018"/>
      <c r="AB5" s="1018"/>
      <c r="AC5" s="1018"/>
      <c r="AD5" s="1018"/>
      <c r="AE5" s="1019"/>
    </row>
    <row r="6" spans="1:32" x14ac:dyDescent="0.2">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row>
    <row r="7" spans="1:32" ht="39" customHeight="1" x14ac:dyDescent="0.2">
      <c r="B7" s="1020" t="str">
        <f>VLOOKUP(Translations!B33,Translations!B3:H508,4,0)</f>
        <v>A- Indicateurs d'impact / d'effet</v>
      </c>
      <c r="C7" s="1021"/>
      <c r="D7" s="1021"/>
      <c r="E7" s="1021"/>
      <c r="F7" s="1021"/>
      <c r="G7" s="1021"/>
      <c r="H7" s="1021"/>
      <c r="I7" s="1021"/>
      <c r="J7" s="1021"/>
      <c r="K7" s="1021"/>
      <c r="L7" s="1021"/>
      <c r="M7" s="1021"/>
      <c r="N7" s="1021"/>
      <c r="O7" s="1021"/>
      <c r="P7" s="1021"/>
      <c r="Q7" s="1021"/>
      <c r="R7" s="1021"/>
      <c r="S7" s="1021"/>
      <c r="T7" s="1021"/>
      <c r="U7" s="1021"/>
      <c r="V7" s="1021"/>
      <c r="W7" s="1021"/>
      <c r="X7" s="1021"/>
      <c r="Y7" s="1021"/>
      <c r="Z7" s="1021"/>
      <c r="AA7" s="1021"/>
      <c r="AB7" s="1021"/>
      <c r="AC7" s="1021"/>
      <c r="AD7" s="1021"/>
      <c r="AE7" s="1022"/>
    </row>
    <row r="8" spans="1:32" ht="18.75" customHeight="1" thickBot="1" x14ac:dyDescent="0.25">
      <c r="B8" s="36"/>
      <c r="C8" s="37"/>
      <c r="D8" s="37"/>
      <c r="E8" s="37"/>
      <c r="F8" s="37"/>
      <c r="G8" s="37"/>
      <c r="H8" s="37"/>
      <c r="I8" s="37"/>
      <c r="J8" s="37"/>
      <c r="K8" s="37"/>
      <c r="L8" s="37"/>
      <c r="M8" s="37"/>
      <c r="N8" s="37"/>
      <c r="O8" s="37"/>
      <c r="P8" s="37"/>
      <c r="Q8" s="37"/>
      <c r="R8" s="404"/>
      <c r="S8" s="37"/>
      <c r="T8" s="37"/>
      <c r="U8" s="37"/>
      <c r="V8" s="37"/>
      <c r="W8" s="37"/>
      <c r="X8" s="37"/>
      <c r="Y8" s="37"/>
      <c r="Z8" s="404"/>
      <c r="AA8" s="37"/>
      <c r="AB8" s="37"/>
      <c r="AC8" s="37"/>
      <c r="AD8" s="37"/>
      <c r="AE8" s="37"/>
    </row>
    <row r="9" spans="1:32" ht="28.5" customHeight="1" x14ac:dyDescent="0.2">
      <c r="A9" s="648" t="s">
        <v>128</v>
      </c>
      <c r="B9" s="1438" t="str">
        <f>VLOOKUP(Translations!B34,Translations!B3:H508,4,0)</f>
        <v xml:space="preserve">Impact / Effet </v>
      </c>
      <c r="C9" s="1433" t="str">
        <f>VLOOKUP(Translations!B35,Translations!B3:H508,4,0)</f>
        <v>Indicateurs</v>
      </c>
      <c r="D9" s="1430" t="str">
        <f>VLOOKUP(Translations!B37,Translations!B3:H508,4,0)</f>
        <v>Référence 
(le cas échéant)</v>
      </c>
      <c r="E9" s="1431"/>
      <c r="F9" s="1430" t="str">
        <f>VLOOKUP(Translations!B40,Translations!B3:H508,4,0)</f>
        <v>Cible</v>
      </c>
      <c r="G9" s="1432"/>
      <c r="H9" s="1431"/>
      <c r="I9" s="1433" t="str">
        <f>VLOOKUP(Translations!B44,Translations!B3:H508,4,0)</f>
        <v>Année de la cible</v>
      </c>
      <c r="J9" s="1433" t="str">
        <f>VLOOKUP(Translations!B45,Translations!B3:H508,4,0)</f>
        <v>Échéance de rapport</v>
      </c>
      <c r="K9" s="1433" t="str">
        <f>VLOOKUP(586,Translations!B3:H793,4,0)</f>
        <v>Géographie</v>
      </c>
      <c r="L9" s="1435" t="str">
        <f>VLOOKUP(Translations!B46,Translations!B3:H508,4,0)</f>
        <v>Résultat</v>
      </c>
      <c r="M9" s="1436"/>
      <c r="N9" s="1437"/>
      <c r="O9" s="1419" t="str">
        <f>VLOOKUP(Translations!B50,Translations!B3:H508,4,0)</f>
        <v>Année du résultat</v>
      </c>
      <c r="P9" s="1419" t="str">
        <f>VLOOKUP(Translations!B51,Translations!B3:H508,4,0)</f>
        <v>Source de données des résultats</v>
      </c>
      <c r="Q9" s="1419" t="str">
        <f>VLOOKUP(Translations!B52,Translations!B3:H508,4,0)</f>
        <v>Commentaires sur les résultats concernant les indicateurs d'impact/d'effet et les sources de données, ainsi que tout autre commentaire</v>
      </c>
      <c r="R9" s="1419" t="s">
        <v>129</v>
      </c>
      <c r="S9" s="1421" t="str">
        <f>VLOOKUP(Translations!B53,Translations!B3:H508,4,0)</f>
        <v>Verification Method</v>
      </c>
      <c r="T9" s="1442" t="str">
        <f>VLOOKUP(Translations!B54,Translations!B3:H508,4,0)</f>
        <v>Verified Result</v>
      </c>
      <c r="U9" s="1443"/>
      <c r="V9" s="1444"/>
      <c r="W9" s="1421" t="str">
        <f>VLOOKUP(Translations!B58,Translations!B3:H508,4,0)</f>
        <v>Year of Result</v>
      </c>
      <c r="X9" s="1421" t="str">
        <f>VLOOKUP(Translations!B59,Translations!B3:H508,4,0)</f>
        <v>Source</v>
      </c>
      <c r="Y9" s="1421" t="str">
        <f>VLOOKUP(Translations!B60,Translations!B3:H508,4,0)</f>
        <v xml:space="preserve">LFA comments on (a) verified result, (b) source of information used by the PR to report results, including the status of completion of surveys and other methods to measure Impact/Outcome, as applicable,  </v>
      </c>
      <c r="Z9" s="1421" t="s">
        <v>130</v>
      </c>
      <c r="AA9" s="1425" t="s">
        <v>131</v>
      </c>
      <c r="AB9" s="1426"/>
      <c r="AC9" s="1427"/>
      <c r="AD9" s="1423" t="s">
        <v>132</v>
      </c>
      <c r="AE9" s="1440" t="s">
        <v>133</v>
      </c>
    </row>
    <row r="10" spans="1:32" x14ac:dyDescent="0.2">
      <c r="B10" s="1439"/>
      <c r="C10" s="1434"/>
      <c r="D10" s="1023" t="str">
        <f>VLOOKUP(Translations!B38,Translations!B3:H508,4,0)</f>
        <v>Valeur</v>
      </c>
      <c r="E10" s="1023" t="str">
        <f>VLOOKUP(Translations!B38,Translations!B3:H508,4,0)</f>
        <v>Valeur</v>
      </c>
      <c r="F10" s="1023" t="str">
        <f>VLOOKUP(Translations!B41,Translations!B3:H508,4,0)</f>
        <v>N#</v>
      </c>
      <c r="G10" s="1023" t="s">
        <v>134</v>
      </c>
      <c r="H10" s="1023" t="s">
        <v>135</v>
      </c>
      <c r="I10" s="1434"/>
      <c r="J10" s="1434"/>
      <c r="K10" s="1434"/>
      <c r="L10" s="1024" t="s">
        <v>136</v>
      </c>
      <c r="M10" s="1024" t="s">
        <v>134</v>
      </c>
      <c r="N10" s="1024" t="s">
        <v>135</v>
      </c>
      <c r="O10" s="1420"/>
      <c r="P10" s="1420"/>
      <c r="Q10" s="1420"/>
      <c r="R10" s="1420"/>
      <c r="S10" s="1422"/>
      <c r="T10" s="1025" t="s">
        <v>136</v>
      </c>
      <c r="U10" s="1025" t="s">
        <v>134</v>
      </c>
      <c r="V10" s="1025" t="s">
        <v>135</v>
      </c>
      <c r="W10" s="1422"/>
      <c r="X10" s="1422"/>
      <c r="Y10" s="1422"/>
      <c r="Z10" s="1422"/>
      <c r="AA10" s="1026" t="s">
        <v>136</v>
      </c>
      <c r="AB10" s="1026" t="s">
        <v>134</v>
      </c>
      <c r="AC10" s="1026" t="s">
        <v>135</v>
      </c>
      <c r="AD10" s="1424"/>
      <c r="AE10" s="1441"/>
    </row>
    <row r="11" spans="1:32" ht="62.25" customHeight="1" x14ac:dyDescent="0.2">
      <c r="A11" s="636" t="str">
        <f>IFERROR(IF(INDEX(Impactlist,MATCH(0,INDEX(COUNTIF(A$10:A10,Impactlist),0,0),0))&lt;&gt;"",INDEX(Impactlist,MATCH(0,INDEX(COUNTIF(A$10:A10,Impactlist),0,0),0)),INDEX(Outcomelist,MATCH(0,INDEX(COUNTIF(A$10:A10,Outcomelist),0,0),0))),"")</f>
        <v>1Impact</v>
      </c>
      <c r="B11" s="1027" t="str">
        <f>IFERROR(INDEX('ImpactOutcome_Import-Export'!D$7:D$209,MATCH($A11,'ImpactOutcome_Import-Export'!$B$7:$B$209,0)),"")</f>
        <v>Impact</v>
      </c>
      <c r="C11" s="1028" t="str">
        <f>IF(B11="","",IFERROR(INDEX('ImpactOutcome_Import-Export'!F$7:F$22,MATCH($A11,'ImpactOutcome_Import-Export'!$B$7:$B$22,0)),""))</f>
        <v>TB I-4(M): Prévalence de TB-RR et/ou TB-MR parmi les nouveaux cas détectés: Proportion de nouveaux cas de tuberculose avec TB-RR et/ou TB-MR</v>
      </c>
      <c r="D11" s="1029" t="str">
        <f>IF(B11="","",IFERROR(IF(INDEX('ImpactOutcome_Import-Export'!K$7:K$22,MATCH($A11,'ImpactOutcome_Import-Export'!$B$7:$B$22,0))="","",INDEX('ImpactOutcome_Import-Export'!K$7:K$22,MATCH($A11,'ImpactOutcome_Import-Export'!$B$7:$B$22,0))),""))</f>
        <v>3.2</v>
      </c>
      <c r="E11" s="1030" t="str">
        <f>IF(B11="","",IFERROR(IF(INDEX('ImpactOutcome_Import-Export'!L$7:L$22,MATCH($A11,'ImpactOutcome_Import-Export'!$B$7:$B$22,0))="","",INDEX('ImpactOutcome_Import-Export'!L$7:L$22,MATCH($A11,'ImpactOutcome_Import-Export'!$B$7:$B$22,0))),""))</f>
        <v>2015</v>
      </c>
      <c r="F11" s="1031">
        <f>IF(B11="","",IFERROR(IF(INDEX('ImpactOutcome_Import-Export'!M$7:M$22,MATCH($A11,'ImpactOutcome_Import-Export'!$B$7:$B$22,0))="","",INDEX('ImpactOutcome_Import-Export'!M$7:M$22,MATCH($A11,'ImpactOutcome_Import-Export'!$B$7:$B$22,0))),""))</f>
        <v>2.2000000000000002</v>
      </c>
      <c r="G11" s="1031" t="str">
        <f>IF(B11="","",IFERROR(IF(INDEX('ImpactOutcome_Import-Export'!N$7:N$22,MATCH($A11,'ImpactOutcome_Import-Export'!$B$7:$B$22,0))="","",INDEX('ImpactOutcome_Import-Export'!N$7:N$22,MATCH($A11,'ImpactOutcome_Import-Export'!$B$7:$B$22,0))),""))</f>
        <v/>
      </c>
      <c r="H11" s="1032" t="str">
        <f>IF(B11="","",IFERROR(IF(INDEX('ImpactOutcome_Import-Export'!O$7:O$22,MATCH($A11,'ImpactOutcome_Import-Export'!$B$7:$B$22,0))="","",INDEX('ImpactOutcome_Import-Export'!O$7:O$22,MATCH($A11,'ImpactOutcome_Import-Export'!$B$7:$B$22,0))),""))</f>
        <v/>
      </c>
      <c r="I11" s="1030" t="str">
        <f>IF(B11="","",IFERROR(IF(INDEX('ImpactOutcome_Import-Export'!P$7:P$22,MATCH($A11,'ImpactOutcome_Import-Export'!$B$7:$B$22,0))="","",INDEX('ImpactOutcome_Import-Export'!P$7:P$22,MATCH($A11,'ImpactOutcome_Import-Export'!$B$7:$B$22,0))),""))</f>
        <v>2018</v>
      </c>
      <c r="J11" s="1033">
        <f>IF(B11="","",IFERROR(IF(INDEX('ImpactOutcome_Import-Export'!Q$7:Q$22,MATCH($A11,'ImpactOutcome_Import-Export'!$B$7:$B$22,0))="","",INDEX('ImpactOutcome_Import-Export'!Q$7:Q$22,MATCH($A11,'ImpactOutcome_Import-Export'!$B$7:$B$22,0))),""))</f>
        <v>43769</v>
      </c>
      <c r="K11" s="1030" t="str">
        <f>IF(B11="","",IFERROR(IF(INDEX('ImpactOutcome_Import-Export'!R$7:R$22,MATCH($A11,'ImpactOutcome_Import-Export'!$B$7:$B$22,0))="","",INDEX('ImpactOutcome_Import-Export'!R$7:R$22,MATCH($A11,'ImpactOutcome_Import-Export'!$B$7:$B$22,0))),""))</f>
        <v>Burundi</v>
      </c>
      <c r="L11" s="1034">
        <v>64</v>
      </c>
      <c r="M11" s="1034">
        <v>397</v>
      </c>
      <c r="N11" s="1035">
        <f>IFERROR((L11/M11)*100,"")</f>
        <v>16.120906801007557</v>
      </c>
      <c r="O11" s="1036">
        <v>2019</v>
      </c>
      <c r="P11" s="1037" t="s">
        <v>67</v>
      </c>
      <c r="Q11" s="1038" t="s">
        <v>137</v>
      </c>
      <c r="R11" s="1039" t="str">
        <f t="shared" ref="R11:R50" si="0">IF(AND(F11="",G11="",H11=""),"",IF(AND(L11="",M11="",N11=""),"No Results Reported",IF(AND(F11&lt;&gt;"",G11="",H11="",OR(M11&lt;&gt;"",N11&lt;&gt;"")),"Target contains only a numerator. Please Report only a numerator for the result","Continue")))</f>
        <v>Target contains only a numerator. Please Report only a numerator for the result</v>
      </c>
      <c r="S11" s="1037"/>
      <c r="T11" s="1034"/>
      <c r="U11" s="1034"/>
      <c r="V11" s="1035" t="str">
        <f>IFERROR((T11/U11)*100,"")</f>
        <v/>
      </c>
      <c r="W11" s="1036"/>
      <c r="X11" s="1037"/>
      <c r="Y11" s="1038"/>
      <c r="Z11" s="1039" t="str">
        <f>IF(AND(L11="",M11="",N11=""),"",IF(AND(T11="",U11="",V11=""),"No Results Reported",IF(AND(L11&lt;&gt;"",M11="",N11="",OR(U11&lt;&gt;"",V11&lt;&gt;"")),"Target contains only a numerator. Please Report only a numerator for the result","Continue")))</f>
        <v>No Results Reported</v>
      </c>
      <c r="AA11" s="1034"/>
      <c r="AB11" s="1034"/>
      <c r="AC11" s="1035" t="str">
        <f>IFERROR((AA11/AB11)*100,"")</f>
        <v/>
      </c>
      <c r="AD11" s="1038"/>
      <c r="AE11" s="1040" t="str">
        <f t="shared" ref="AE11" si="1">IF(AND(F11="",G11="",H11=""),"",IF(AND(AA11="",AB11="",AC11=""),"No Results Reported",IF(AND(F11&lt;&gt;"",G11="",H11="",OR(AB11&lt;&gt;"",AC11&lt;&gt;"")),"Target contains only a numerator. Please Report only a numerator for the result","Continue")))</f>
        <v>No Results Reported</v>
      </c>
    </row>
    <row r="12" spans="1:32" ht="72" customHeight="1" x14ac:dyDescent="0.2">
      <c r="A12" s="636" t="str">
        <f>IFERROR(IF(INDEX(Impactlist,MATCH(0,INDEX(COUNTIF(A$10:A11,Impactlist),0,0),0))&lt;&gt;"",INDEX(Impactlist,MATCH(0,INDEX(COUNTIF(A$10:A11,Impactlist),0,0),0)),INDEX(Outcomelist,MATCH(0,INDEX(COUNTIF(A$10:A11,Outcomelist),0,0),0))),"")</f>
        <v>2Impact</v>
      </c>
      <c r="B12" s="1027" t="str">
        <f>IFERROR(INDEX('ImpactOutcome_Import-Export'!D$7:D$209,MATCH($A12,'ImpactOutcome_Import-Export'!$B$7:$B$209,0)),"")</f>
        <v>Impact</v>
      </c>
      <c r="C12" s="1028" t="str">
        <f>IF(B12="","",IFERROR(INDEX('ImpactOutcome_Import-Export'!F$7:F$22,MATCH($A12,'ImpactOutcome_Import-Export'!$B$7:$B$22,0)),""))</f>
        <v>TB I-3(M): Taux de mortalité par tuberculose (pour 100 000 habitants)</v>
      </c>
      <c r="D12" s="1029" t="str">
        <f>IF(B12="","",IFERROR(IF(INDEX('ImpactOutcome_Import-Export'!K$7:K$22,MATCH($A12,'ImpactOutcome_Import-Export'!$B$7:$B$22,0))="","",INDEX('ImpactOutcome_Import-Export'!K$7:K$22,MATCH($A12,'ImpactOutcome_Import-Export'!$B$7:$B$22,0))),""))</f>
        <v>3.8</v>
      </c>
      <c r="E12" s="1030" t="str">
        <f>IF(B12="","",IFERROR(IF(INDEX('ImpactOutcome_Import-Export'!L$7:L$22,MATCH($A12,'ImpactOutcome_Import-Export'!$B$7:$B$22,0))="","",INDEX('ImpactOutcome_Import-Export'!L$7:L$22,MATCH($A12,'ImpactOutcome_Import-Export'!$B$7:$B$22,0))),""))</f>
        <v>2016</v>
      </c>
      <c r="F12" s="1031">
        <f>IF(B12="","",IFERROR(IF(INDEX('ImpactOutcome_Import-Export'!M$7:M$22,MATCH($A12,'ImpactOutcome_Import-Export'!$B$7:$B$22,0))="","",INDEX('ImpactOutcome_Import-Export'!M$7:M$22,MATCH($A12,'ImpactOutcome_Import-Export'!$B$7:$B$22,0))),""))</f>
        <v>3</v>
      </c>
      <c r="G12" s="1031" t="str">
        <f>IF(B12="","",IFERROR(IF(INDEX('ImpactOutcome_Import-Export'!N$7:N$22,MATCH($A12,'ImpactOutcome_Import-Export'!$B$7:$B$22,0))="","",INDEX('ImpactOutcome_Import-Export'!N$7:N$22,MATCH($A12,'ImpactOutcome_Import-Export'!$B$7:$B$22,0))),""))</f>
        <v/>
      </c>
      <c r="H12" s="1032" t="str">
        <f>IF(B12="","",IFERROR(IF(INDEX('ImpactOutcome_Import-Export'!O$7:O$22,MATCH($A12,'ImpactOutcome_Import-Export'!$B$7:$B$22,0))="","",INDEX('ImpactOutcome_Import-Export'!O$7:O$22,MATCH($A12,'ImpactOutcome_Import-Export'!$B$7:$B$22,0))),""))</f>
        <v/>
      </c>
      <c r="I12" s="1030" t="str">
        <f>IF(B12="","",IFERROR(IF(INDEX('ImpactOutcome_Import-Export'!P$7:P$22,MATCH($A12,'ImpactOutcome_Import-Export'!$B$7:$B$22,0))="","",INDEX('ImpactOutcome_Import-Export'!P$7:P$22,MATCH($A12,'ImpactOutcome_Import-Export'!$B$7:$B$22,0))),""))</f>
        <v>2018</v>
      </c>
      <c r="J12" s="1033">
        <f>IF(B12="","",IFERROR(IF(INDEX('ImpactOutcome_Import-Export'!Q$7:Q$22,MATCH($A12,'ImpactOutcome_Import-Export'!$B$7:$B$22,0))="","",INDEX('ImpactOutcome_Import-Export'!Q$7:Q$22,MATCH($A12,'ImpactOutcome_Import-Export'!$B$7:$B$22,0))),""))</f>
        <v>43769</v>
      </c>
      <c r="K12" s="1030" t="str">
        <f>IF(B12="","",IFERROR(IF(INDEX('ImpactOutcome_Import-Export'!R$7:R$22,MATCH($A12,'ImpactOutcome_Import-Export'!$B$7:$B$22,0))="","",INDEX('ImpactOutcome_Import-Export'!R$7:R$22,MATCH($A12,'ImpactOutcome_Import-Export'!$B$7:$B$22,0))),""))</f>
        <v>Burundi</v>
      </c>
      <c r="L12" s="1034">
        <v>325</v>
      </c>
      <c r="M12" s="1034">
        <v>11495438</v>
      </c>
      <c r="N12" s="1035">
        <f>IFERROR((L12/M12)*100000,"")</f>
        <v>2.8272084978406213</v>
      </c>
      <c r="O12" s="1036">
        <v>2019</v>
      </c>
      <c r="P12" s="1037" t="s">
        <v>69</v>
      </c>
      <c r="Q12" s="1041" t="s">
        <v>138</v>
      </c>
      <c r="R12" s="1039" t="str">
        <f t="shared" si="0"/>
        <v>Target contains only a numerator. Please Report only a numerator for the result</v>
      </c>
      <c r="S12" s="1037"/>
      <c r="T12" s="1034"/>
      <c r="U12" s="1034"/>
      <c r="V12" s="1035" t="str">
        <f t="shared" ref="V12:V50" si="2">IFERROR((T12/U12)*100,"")</f>
        <v/>
      </c>
      <c r="W12" s="1036"/>
      <c r="X12" s="1037"/>
      <c r="Y12" s="1038"/>
      <c r="Z12" s="1039" t="str">
        <f t="shared" ref="Z12:Z50" si="3">IF(AND(L12="",M12="",N12=""),"",IF(AND(T12="",U12="",V12=""),"No Results Reported",IF(AND(L12&lt;&gt;"",M12="",N12="",OR(U12&lt;&gt;"",V12&lt;&gt;"")),"Target contains only a numerator. Please Report only a numerator for the result","Continue")))</f>
        <v>No Results Reported</v>
      </c>
      <c r="AA12" s="1034"/>
      <c r="AB12" s="1034"/>
      <c r="AC12" s="1035" t="str">
        <f t="shared" ref="AC12:AC50" si="4">IFERROR((AA12/AB12)*100,"")</f>
        <v/>
      </c>
      <c r="AD12" s="1038"/>
      <c r="AE12" s="1040" t="str">
        <f t="shared" ref="AE12:AE50" si="5">IF(AND(F12="",G12="",H12=""),"",IF(AND(AA12="",AB12="",AC12=""),"No Results Reported",IF(AND(F12&lt;&gt;"",G12="",H12="",OR(AB12&lt;&gt;"",AC12&lt;&gt;"")),"Target contains only a numerator. Please Report only a numerator for the result","Continue")))</f>
        <v>No Results Reported</v>
      </c>
    </row>
    <row r="13" spans="1:32" ht="90.75" customHeight="1" x14ac:dyDescent="0.2">
      <c r="A13" s="636" t="str">
        <f>IFERROR(IF(INDEX(Impactlist,MATCH(0,INDEX(COUNTIF(A$10:A12,Impactlist),0,0),0))&lt;&gt;"",INDEX(Impactlist,MATCH(0,INDEX(COUNTIF(A$10:A12,Impactlist),0,0),0)),INDEX(Outcomelist,MATCH(0,INDEX(COUNTIF(A$10:A12,Outcomelist),0,0),0))),"")</f>
        <v>3Impact</v>
      </c>
      <c r="B13" s="1027" t="str">
        <f>IFERROR(INDEX('ImpactOutcome_Import-Export'!D$7:D$209,MATCH($A13,'ImpactOutcome_Import-Export'!$B$7:$B$209,0)),"")</f>
        <v>Impact</v>
      </c>
      <c r="C13" s="1028" t="str">
        <f>IF(B13="","",IFERROR(INDEX('ImpactOutcome_Import-Export'!F$7:F$22,MATCH($A13,'ImpactOutcome_Import-Export'!$B$7:$B$22,0)),""))</f>
        <v>TB I-2: Taux d'incidence de la tuberculose (pour 100 000 habitants)</v>
      </c>
      <c r="D13" s="1029" t="str">
        <f>IF(B13="","",IFERROR(IF(INDEX('ImpactOutcome_Import-Export'!K$7:K$22,MATCH($A13,'ImpactOutcome_Import-Export'!$B$7:$B$22,0))="","",INDEX('ImpactOutcome_Import-Export'!K$7:K$22,MATCH($A13,'ImpactOutcome_Import-Export'!$B$7:$B$22,0))),""))</f>
        <v>122</v>
      </c>
      <c r="E13" s="1030" t="str">
        <f>IF(B13="","",IFERROR(IF(INDEX('ImpactOutcome_Import-Export'!L$7:L$22,MATCH($A13,'ImpactOutcome_Import-Export'!$B$7:$B$22,0))="","",INDEX('ImpactOutcome_Import-Export'!L$7:L$22,MATCH($A13,'ImpactOutcome_Import-Export'!$B$7:$B$22,0))),""))</f>
        <v>2015</v>
      </c>
      <c r="F13" s="1031">
        <f>IF(B13="","",IFERROR(IF(INDEX('ImpactOutcome_Import-Export'!M$7:M$22,MATCH($A13,'ImpactOutcome_Import-Export'!$B$7:$B$22,0))="","",INDEX('ImpactOutcome_Import-Export'!M$7:M$22,MATCH($A13,'ImpactOutcome_Import-Export'!$B$7:$B$22,0))),""))</f>
        <v>107</v>
      </c>
      <c r="G13" s="1031" t="str">
        <f>IF(B13="","",IFERROR(IF(INDEX('ImpactOutcome_Import-Export'!N$7:N$22,MATCH($A13,'ImpactOutcome_Import-Export'!$B$7:$B$22,0))="","",INDEX('ImpactOutcome_Import-Export'!N$7:N$22,MATCH($A13,'ImpactOutcome_Import-Export'!$B$7:$B$22,0))),""))</f>
        <v/>
      </c>
      <c r="H13" s="1032" t="str">
        <f>IF(B13="","",IFERROR(IF(INDEX('ImpactOutcome_Import-Export'!O$7:O$22,MATCH($A13,'ImpactOutcome_Import-Export'!$B$7:$B$22,0))="","",INDEX('ImpactOutcome_Import-Export'!O$7:O$22,MATCH($A13,'ImpactOutcome_Import-Export'!$B$7:$B$22,0))),""))</f>
        <v/>
      </c>
      <c r="I13" s="1030" t="str">
        <f>IF(B13="","",IFERROR(IF(INDEX('ImpactOutcome_Import-Export'!P$7:P$22,MATCH($A13,'ImpactOutcome_Import-Export'!$B$7:$B$22,0))="","",INDEX('ImpactOutcome_Import-Export'!P$7:P$22,MATCH($A13,'ImpactOutcome_Import-Export'!$B$7:$B$22,0))),""))</f>
        <v>2018</v>
      </c>
      <c r="J13" s="1033">
        <f>IF(B13="","",IFERROR(IF(INDEX('ImpactOutcome_Import-Export'!Q$7:Q$22,MATCH($A13,'ImpactOutcome_Import-Export'!$B$7:$B$22,0))="","",INDEX('ImpactOutcome_Import-Export'!Q$7:Q$22,MATCH($A13,'ImpactOutcome_Import-Export'!$B$7:$B$22,0))),""))</f>
        <v>43769</v>
      </c>
      <c r="K13" s="1030" t="str">
        <f>IF(B13="","",IFERROR(IF(INDEX('ImpactOutcome_Import-Export'!R$7:R$22,MATCH($A13,'ImpactOutcome_Import-Export'!$B$7:$B$22,0))="","",INDEX('ImpactOutcome_Import-Export'!R$7:R$22,MATCH($A13,'ImpactOutcome_Import-Export'!$B$7:$B$22,0))),""))</f>
        <v>Burundi</v>
      </c>
      <c r="L13" s="1034">
        <v>6827</v>
      </c>
      <c r="M13" s="1034">
        <v>12044164</v>
      </c>
      <c r="N13" s="1035">
        <f>IFERROR((L13/M13)*100000,"")</f>
        <v>56.683054133105458</v>
      </c>
      <c r="O13" s="1036">
        <v>2019</v>
      </c>
      <c r="P13" s="1037" t="s">
        <v>69</v>
      </c>
      <c r="Q13" s="1041" t="s">
        <v>139</v>
      </c>
      <c r="R13" s="1039" t="str">
        <f t="shared" si="0"/>
        <v>Target contains only a numerator. Please Report only a numerator for the result</v>
      </c>
      <c r="S13" s="1037"/>
      <c r="T13" s="1034"/>
      <c r="U13" s="1034"/>
      <c r="V13" s="1035" t="str">
        <f t="shared" si="2"/>
        <v/>
      </c>
      <c r="W13" s="1036"/>
      <c r="X13" s="1037"/>
      <c r="Y13" s="1038"/>
      <c r="Z13" s="1039" t="str">
        <f t="shared" si="3"/>
        <v>No Results Reported</v>
      </c>
      <c r="AA13" s="1034"/>
      <c r="AB13" s="1034"/>
      <c r="AC13" s="1035" t="str">
        <f t="shared" si="4"/>
        <v/>
      </c>
      <c r="AD13" s="1038"/>
      <c r="AE13" s="1040" t="str">
        <f t="shared" si="5"/>
        <v>No Results Reported</v>
      </c>
    </row>
    <row r="14" spans="1:32" ht="78" customHeight="1" x14ac:dyDescent="0.2">
      <c r="A14" s="636" t="str">
        <f>IFERROR(IF(INDEX(Impactlist,MATCH(0,INDEX(COUNTIF(A$10:A13,Impactlist),0,0),0))&lt;&gt;"",INDEX(Impactlist,MATCH(0,INDEX(COUNTIF(A$10:A13,Impactlist),0,0),0)),INDEX(Outcomelist,MATCH(0,INDEX(COUNTIF(A$10:A13,Outcomelist),0,0),0))),"")</f>
        <v>1Outcome</v>
      </c>
      <c r="B14" s="1027" t="str">
        <f>IFERROR(INDEX('ImpactOutcome_Import-Export'!D$7:D$209,MATCH($A14,'ImpactOutcome_Import-Export'!$B$7:$B$209,0)),"")</f>
        <v>Outcome</v>
      </c>
      <c r="C14" s="1028" t="str">
        <f>IF(B14="","",IFERROR(INDEX('ImpactOutcome_Import-Export'!F$7:F$22,MATCH($A14,'ImpactOutcome_Import-Export'!$B$7:$B$22,0)),""))</f>
        <v>TB O-1a: Taux de déclaration des cas de tuberculose, toutes formes confondues, bactériologiquement confirmés et cliniquement diagnostiqués, pour 100 000 habitants, cas nouveaux et récidives</v>
      </c>
      <c r="D14" s="1029" t="str">
        <f>IF(B14="","",IFERROR(IF(INDEX('ImpactOutcome_Import-Export'!K$7:K$22,MATCH($A14,'ImpactOutcome_Import-Export'!$B$7:$B$22,0))="","",INDEX('ImpactOutcome_Import-Export'!K$7:K$22,MATCH($A14,'ImpactOutcome_Import-Export'!$B$7:$B$22,0))),""))</f>
        <v>76</v>
      </c>
      <c r="E14" s="1030" t="str">
        <f>IF(B14="","",IFERROR(IF(INDEX('ImpactOutcome_Import-Export'!L$7:L$22,MATCH($A14,'ImpactOutcome_Import-Export'!$B$7:$B$22,0))="","",INDEX('ImpactOutcome_Import-Export'!L$7:L$22,MATCH($A14,'ImpactOutcome_Import-Export'!$B$7:$B$22,0))),""))</f>
        <v>2016</v>
      </c>
      <c r="F14" s="1031">
        <f>IF(B14="","",IFERROR(IF(INDEX('ImpactOutcome_Import-Export'!M$7:M$22,MATCH($A14,'ImpactOutcome_Import-Export'!$B$7:$B$22,0))="","",INDEX('ImpactOutcome_Import-Export'!M$7:M$22,MATCH($A14,'ImpactOutcome_Import-Export'!$B$7:$B$22,0))),""))</f>
        <v>81</v>
      </c>
      <c r="G14" s="1031" t="str">
        <f>IF(B14="","",IFERROR(IF(INDEX('ImpactOutcome_Import-Export'!N$7:N$22,MATCH($A14,'ImpactOutcome_Import-Export'!$B$7:$B$22,0))="","",INDEX('ImpactOutcome_Import-Export'!N$7:N$22,MATCH($A14,'ImpactOutcome_Import-Export'!$B$7:$B$22,0))),""))</f>
        <v/>
      </c>
      <c r="H14" s="1032" t="str">
        <f>IF(B14="","",IFERROR(IF(INDEX('ImpactOutcome_Import-Export'!O$7:O$22,MATCH($A14,'ImpactOutcome_Import-Export'!$B$7:$B$22,0))="","",INDEX('ImpactOutcome_Import-Export'!O$7:O$22,MATCH($A14,'ImpactOutcome_Import-Export'!$B$7:$B$22,0))),""))</f>
        <v/>
      </c>
      <c r="I14" s="1030" t="str">
        <f>IF(B14="","",IFERROR(IF(INDEX('ImpactOutcome_Import-Export'!P$7:P$22,MATCH($A14,'ImpactOutcome_Import-Export'!$B$7:$B$22,0))="","",INDEX('ImpactOutcome_Import-Export'!P$7:P$22,MATCH($A14,'ImpactOutcome_Import-Export'!$B$7:$B$22,0))),""))</f>
        <v>2019</v>
      </c>
      <c r="J14" s="1033">
        <f>IF(B14="","",IFERROR(IF(INDEX('ImpactOutcome_Import-Export'!Q$7:Q$22,MATCH($A14,'ImpactOutcome_Import-Export'!$B$7:$B$22,0))="","",INDEX('ImpactOutcome_Import-Export'!Q$7:Q$22,MATCH($A14,'ImpactOutcome_Import-Export'!$B$7:$B$22,0))),""))</f>
        <v>43889</v>
      </c>
      <c r="K14" s="1030" t="str">
        <f>IF(B14="","",IFERROR(IF(INDEX('ImpactOutcome_Import-Export'!R$7:R$22,MATCH($A14,'ImpactOutcome_Import-Export'!$B$7:$B$22,0))="","",INDEX('ImpactOutcome_Import-Export'!R$7:R$22,MATCH($A14,'ImpactOutcome_Import-Export'!$B$7:$B$22,0))),""))</f>
        <v>Burundi</v>
      </c>
      <c r="L14" s="1034">
        <f>6827</f>
        <v>6827</v>
      </c>
      <c r="M14" s="1034">
        <v>12044164</v>
      </c>
      <c r="N14" s="1035">
        <f>IFERROR((L14/M14)*100000,"")</f>
        <v>56.683054133105458</v>
      </c>
      <c r="O14" s="1036">
        <v>2019</v>
      </c>
      <c r="P14" s="1037" t="s">
        <v>69</v>
      </c>
      <c r="Q14" s="1038" t="s">
        <v>140</v>
      </c>
      <c r="R14" s="1039" t="str">
        <f t="shared" si="0"/>
        <v>Target contains only a numerator. Please Report only a numerator for the result</v>
      </c>
      <c r="S14" s="1037"/>
      <c r="T14" s="1034"/>
      <c r="U14" s="1034"/>
      <c r="V14" s="1035" t="str">
        <f t="shared" si="2"/>
        <v/>
      </c>
      <c r="W14" s="1036"/>
      <c r="X14" s="1037"/>
      <c r="Y14" s="1038"/>
      <c r="Z14" s="1039" t="str">
        <f t="shared" si="3"/>
        <v>No Results Reported</v>
      </c>
      <c r="AA14" s="1034"/>
      <c r="AB14" s="1034"/>
      <c r="AC14" s="1035" t="str">
        <f t="shared" si="4"/>
        <v/>
      </c>
      <c r="AD14" s="1038"/>
      <c r="AE14" s="1040" t="str">
        <f t="shared" si="5"/>
        <v>No Results Reported</v>
      </c>
    </row>
    <row r="15" spans="1:32" ht="81" customHeight="1" x14ac:dyDescent="0.2">
      <c r="A15" s="636" t="str">
        <f>IFERROR(IF(INDEX(Impactlist,MATCH(0,INDEX(COUNTIF(A$10:A14,Impactlist),0,0),0))&lt;&gt;"",INDEX(Impactlist,MATCH(0,INDEX(COUNTIF(A$10:A14,Impactlist),0,0),0)),INDEX(Outcomelist,MATCH(0,INDEX(COUNTIF(A$10:A14,Outcomelist),0,0),0))),"")</f>
        <v>2Outcome</v>
      </c>
      <c r="B15" s="1027" t="str">
        <f>IFERROR(INDEX('ImpactOutcome_Import-Export'!D$7:D$209,MATCH($A15,'ImpactOutcome_Import-Export'!$B$7:$B$209,0)),"")</f>
        <v>Outcome</v>
      </c>
      <c r="C15" s="1028" t="str">
        <f>IF(B15="","",IFERROR(INDEX('ImpactOutcome_Import-Export'!F$7:F$22,MATCH($A15,'ImpactOutcome_Import-Export'!$B$7:$B$22,0)),""))</f>
        <v>TB O-2a: Taux de succès thérapeutique, toutes formes confondues- bactériologiquement confirmés et cliniquement diagnostiqués, nouveaux cas et récidives</v>
      </c>
      <c r="D15" s="1029" t="str">
        <f>IF(B15="","",IFERROR(IF(INDEX('ImpactOutcome_Import-Export'!K$7:K$22,MATCH($A15,'ImpactOutcome_Import-Export'!$B$7:$B$22,0))="","",INDEX('ImpactOutcome_Import-Export'!K$7:K$22,MATCH($A15,'ImpactOutcome_Import-Export'!$B$7:$B$22,0))),""))</f>
        <v>92.7%</v>
      </c>
      <c r="E15" s="1030" t="str">
        <f>IF(B15="","",IFERROR(IF(INDEX('ImpactOutcome_Import-Export'!L$7:L$22,MATCH($A15,'ImpactOutcome_Import-Export'!$B$7:$B$22,0))="","",INDEX('ImpactOutcome_Import-Export'!L$7:L$22,MATCH($A15,'ImpactOutcome_Import-Export'!$B$7:$B$22,0))),""))</f>
        <v>2016</v>
      </c>
      <c r="F15" s="1031">
        <f>IF(B15="","",IFERROR(IF(INDEX('ImpactOutcome_Import-Export'!M$7:M$22,MATCH($A15,'ImpactOutcome_Import-Export'!$B$7:$B$22,0))="","",INDEX('ImpactOutcome_Import-Export'!M$7:M$22,MATCH($A15,'ImpactOutcome_Import-Export'!$B$7:$B$22,0))),""))</f>
        <v>7797.5039999999999</v>
      </c>
      <c r="G15" s="1031">
        <f>IF(B15="","",IFERROR(IF(INDEX('ImpactOutcome_Import-Export'!N$7:N$22,MATCH($A15,'ImpactOutcome_Import-Export'!$B$7:$B$22,0))="","",INDEX('ImpactOutcome_Import-Export'!N$7:N$22,MATCH($A15,'ImpactOutcome_Import-Export'!$B$7:$B$22,0))),""))</f>
        <v>8448</v>
      </c>
      <c r="H15" s="1032">
        <f>IF(B15="","",IFERROR(IF(INDEX('ImpactOutcome_Import-Export'!O$7:O$22,MATCH($A15,'ImpactOutcome_Import-Export'!$B$7:$B$22,0))="","",INDEX('ImpactOutcome_Import-Export'!O$7:O$22,MATCH($A15,'ImpactOutcome_Import-Export'!$B$7:$B$22,0))),""))</f>
        <v>92.3</v>
      </c>
      <c r="I15" s="1030" t="str">
        <f>IF(B15="","",IFERROR(IF(INDEX('ImpactOutcome_Import-Export'!P$7:P$22,MATCH($A15,'ImpactOutcome_Import-Export'!$B$7:$B$22,0))="","",INDEX('ImpactOutcome_Import-Export'!P$7:P$22,MATCH($A15,'ImpactOutcome_Import-Export'!$B$7:$B$22,0))),""))</f>
        <v>2019</v>
      </c>
      <c r="J15" s="1033">
        <f>IF(B15="","",IFERROR(IF(INDEX('ImpactOutcome_Import-Export'!Q$7:Q$22,MATCH($A15,'ImpactOutcome_Import-Export'!$B$7:$B$22,0))="","",INDEX('ImpactOutcome_Import-Export'!Q$7:Q$22,MATCH($A15,'ImpactOutcome_Import-Export'!$B$7:$B$22,0))),""))</f>
        <v>43889</v>
      </c>
      <c r="K15" s="1030" t="str">
        <f>IF(B15="","",IFERROR(IF(INDEX('ImpactOutcome_Import-Export'!R$7:R$22,MATCH($A15,'ImpactOutcome_Import-Export'!$B$7:$B$22,0))="","",INDEX('ImpactOutcome_Import-Export'!R$7:R$22,MATCH($A15,'ImpactOutcome_Import-Export'!$B$7:$B$22,0))),""))</f>
        <v>Burundi</v>
      </c>
      <c r="L15" s="1034">
        <v>6755</v>
      </c>
      <c r="M15" s="1034">
        <v>7202</v>
      </c>
      <c r="N15" s="1035">
        <f t="shared" ref="N15:N19" si="6">IFERROR((L15/M15)*100,"")</f>
        <v>93.79339072479867</v>
      </c>
      <c r="O15" s="1036">
        <v>2019</v>
      </c>
      <c r="P15" s="1037" t="s">
        <v>69</v>
      </c>
      <c r="Q15" s="1038" t="s">
        <v>141</v>
      </c>
      <c r="R15" s="1039" t="str">
        <f t="shared" si="0"/>
        <v>Continue</v>
      </c>
      <c r="S15" s="1037"/>
      <c r="T15" s="1034"/>
      <c r="U15" s="1034"/>
      <c r="V15" s="1035" t="str">
        <f t="shared" si="2"/>
        <v/>
      </c>
      <c r="W15" s="1036"/>
      <c r="X15" s="1037"/>
      <c r="Y15" s="1038"/>
      <c r="Z15" s="1039" t="str">
        <f t="shared" si="3"/>
        <v>No Results Reported</v>
      </c>
      <c r="AA15" s="1034"/>
      <c r="AB15" s="1034"/>
      <c r="AC15" s="1035" t="str">
        <f t="shared" si="4"/>
        <v/>
      </c>
      <c r="AD15" s="1038"/>
      <c r="AE15" s="1040" t="str">
        <f t="shared" si="5"/>
        <v>No Results Reported</v>
      </c>
    </row>
    <row r="16" spans="1:32" ht="83.25" customHeight="1" x14ac:dyDescent="0.2">
      <c r="A16" s="636" t="str">
        <f>IFERROR(IF(INDEX(Impactlist,MATCH(0,INDEX(COUNTIF(A$10:A15,Impactlist),0,0),0))&lt;&gt;"",INDEX(Impactlist,MATCH(0,INDEX(COUNTIF(A$10:A15,Impactlist),0,0),0)),INDEX(Outcomelist,MATCH(0,INDEX(COUNTIF(A$10:A15,Outcomelist),0,0),0))),"")</f>
        <v>3Outcome</v>
      </c>
      <c r="B16" s="1027" t="str">
        <f>IFERROR(INDEX('ImpactOutcome_Import-Export'!D$7:D$209,MATCH($A16,'ImpactOutcome_Import-Export'!$B$7:$B$209,0)),"")</f>
        <v>Outcome</v>
      </c>
      <c r="C16" s="1028" t="str">
        <f>IF(B16="","",IFERROR(INDEX('ImpactOutcome_Import-Export'!F$7:F$22,MATCH($A16,'ImpactOutcome_Import-Export'!$B$7:$B$22,0)),""))</f>
        <v>TB O-6: Notification des cas de TB-RR et/ou TB-MR  - Pourcentage de cas notifiés bactériologiquement confirmés, résistants aux médicaments TB-RR et/ou TB-MR** en tant que proportion de tous les cas estimés TB-RR et/ou TB-MR</v>
      </c>
      <c r="D16" s="1029" t="str">
        <f>IF(B16="","",IFERROR(IF(INDEX('ImpactOutcome_Import-Export'!K$7:K$22,MATCH($A16,'ImpactOutcome_Import-Export'!$B$7:$B$22,0))="","",INDEX('ImpactOutcome_Import-Export'!K$7:K$22,MATCH($A16,'ImpactOutcome_Import-Export'!$B$7:$B$22,0))),""))</f>
        <v>41%</v>
      </c>
      <c r="E16" s="1030" t="str">
        <f>IF(B16="","",IFERROR(IF(INDEX('ImpactOutcome_Import-Export'!L$7:L$22,MATCH($A16,'ImpactOutcome_Import-Export'!$B$7:$B$22,0))="","",INDEX('ImpactOutcome_Import-Export'!L$7:L$22,MATCH($A16,'ImpactOutcome_Import-Export'!$B$7:$B$22,0))),""))</f>
        <v>2016</v>
      </c>
      <c r="F16" s="1031">
        <f>IF(B16="","",IFERROR(IF(INDEX('ImpactOutcome_Import-Export'!M$7:M$22,MATCH($A16,'ImpactOutcome_Import-Export'!$B$7:$B$22,0))="","",INDEX('ImpactOutcome_Import-Export'!M$7:M$22,MATCH($A16,'ImpactOutcome_Import-Export'!$B$7:$B$22,0))),""))</f>
        <v>157</v>
      </c>
      <c r="G16" s="1031">
        <f>IF(B16="","",IFERROR(IF(INDEX('ImpactOutcome_Import-Export'!N$7:N$22,MATCH($A16,'ImpactOutcome_Import-Export'!$B$7:$B$22,0))="","",INDEX('ImpactOutcome_Import-Export'!N$7:N$22,MATCH($A16,'ImpactOutcome_Import-Export'!$B$7:$B$22,0))),""))</f>
        <v>224</v>
      </c>
      <c r="H16" s="1032">
        <f>IF(B16="","",IFERROR(IF(INDEX('ImpactOutcome_Import-Export'!O$7:O$22,MATCH($A16,'ImpactOutcome_Import-Export'!$B$7:$B$22,0))="","",INDEX('ImpactOutcome_Import-Export'!O$7:O$22,MATCH($A16,'ImpactOutcome_Import-Export'!$B$7:$B$22,0))),""))</f>
        <v>70.089285714285694</v>
      </c>
      <c r="I16" s="1030" t="str">
        <f>IF(B16="","",IFERROR(IF(INDEX('ImpactOutcome_Import-Export'!P$7:P$22,MATCH($A16,'ImpactOutcome_Import-Export'!$B$7:$B$22,0))="","",INDEX('ImpactOutcome_Import-Export'!P$7:P$22,MATCH($A16,'ImpactOutcome_Import-Export'!$B$7:$B$22,0))),""))</f>
        <v>2019</v>
      </c>
      <c r="J16" s="1033">
        <f>IF(B16="","",IFERROR(IF(INDEX('ImpactOutcome_Import-Export'!Q$7:Q$22,MATCH($A16,'ImpactOutcome_Import-Export'!$B$7:$B$22,0))="","",INDEX('ImpactOutcome_Import-Export'!Q$7:Q$22,MATCH($A16,'ImpactOutcome_Import-Export'!$B$7:$B$22,0))),""))</f>
        <v>43889</v>
      </c>
      <c r="K16" s="1030" t="str">
        <f>IF(B16="","",IFERROR(IF(INDEX('ImpactOutcome_Import-Export'!R$7:R$22,MATCH($A16,'ImpactOutcome_Import-Export'!$B$7:$B$22,0))="","",INDEX('ImpactOutcome_Import-Export'!R$7:R$22,MATCH($A16,'ImpactOutcome_Import-Export'!$B$7:$B$22,0))),""))</f>
        <v>Burundi</v>
      </c>
      <c r="L16" s="1034">
        <v>64</v>
      </c>
      <c r="M16" s="1034">
        <v>157</v>
      </c>
      <c r="N16" s="1035">
        <f t="shared" si="6"/>
        <v>40.764331210191088</v>
      </c>
      <c r="O16" s="1036">
        <v>2019</v>
      </c>
      <c r="P16" s="1037" t="s">
        <v>65</v>
      </c>
      <c r="Q16" s="1038" t="s">
        <v>142</v>
      </c>
      <c r="R16" s="1039" t="str">
        <f t="shared" si="0"/>
        <v>Continue</v>
      </c>
      <c r="S16" s="1037"/>
      <c r="T16" s="1034"/>
      <c r="U16" s="1034"/>
      <c r="V16" s="1035" t="str">
        <f t="shared" si="2"/>
        <v/>
      </c>
      <c r="W16" s="1036"/>
      <c r="X16" s="1037"/>
      <c r="Y16" s="1038"/>
      <c r="Z16" s="1039" t="str">
        <f t="shared" si="3"/>
        <v>No Results Reported</v>
      </c>
      <c r="AA16" s="1034"/>
      <c r="AB16" s="1034"/>
      <c r="AC16" s="1035" t="str">
        <f t="shared" si="4"/>
        <v/>
      </c>
      <c r="AD16" s="1038"/>
      <c r="AE16" s="1040" t="str">
        <f t="shared" si="5"/>
        <v>No Results Reported</v>
      </c>
    </row>
    <row r="17" spans="1:31" ht="74.25" customHeight="1" x14ac:dyDescent="0.2">
      <c r="A17" s="636" t="str">
        <f>IFERROR(IF(INDEX(Impactlist,MATCH(0,INDEX(COUNTIF(A$10:A16,Impactlist),0,0),0))&lt;&gt;"",INDEX(Impactlist,MATCH(0,INDEX(COUNTIF(A$10:A16,Impactlist),0,0),0)),INDEX(Outcomelist,MATCH(0,INDEX(COUNTIF(A$10:A16,Outcomelist),0,0),0))),"")</f>
        <v>4Outcome</v>
      </c>
      <c r="B17" s="1027" t="str">
        <f>IFERROR(INDEX('ImpactOutcome_Import-Export'!D$7:D$209,MATCH($A17,'ImpactOutcome_Import-Export'!$B$7:$B$209,0)),"")</f>
        <v>Outcome</v>
      </c>
      <c r="C17" s="1028" t="str">
        <f>IF(B17="","",IFERROR(INDEX('ImpactOutcome_Import-Export'!F$7:F$22,MATCH($A17,'ImpactOutcome_Import-Export'!$B$7:$B$22,0)),""))</f>
        <v>TB O-4(M): Taux de succès thérapeutique de TB-RR et/ou TB-MR : pourcentage de cas de tuberculose résistante à la rifampicine et/ou tuberculose multirésistante traités avec succès</v>
      </c>
      <c r="D17" s="1029" t="str">
        <f>IF(B17="","",IFERROR(IF(INDEX('ImpactOutcome_Import-Export'!K$7:K$22,MATCH($A17,'ImpactOutcome_Import-Export'!$B$7:$B$22,0))="","",INDEX('ImpactOutcome_Import-Export'!K$7:K$22,MATCH($A17,'ImpactOutcome_Import-Export'!$B$7:$B$22,0))),""))</f>
        <v>90.2%</v>
      </c>
      <c r="E17" s="1030" t="str">
        <f>IF(B17="","",IFERROR(IF(INDEX('ImpactOutcome_Import-Export'!L$7:L$22,MATCH($A17,'ImpactOutcome_Import-Export'!$B$7:$B$22,0))="","",INDEX('ImpactOutcome_Import-Export'!L$7:L$22,MATCH($A17,'ImpactOutcome_Import-Export'!$B$7:$B$22,0))),""))</f>
        <v>2016</v>
      </c>
      <c r="F17" s="1031">
        <f>IF(B17="","",IFERROR(IF(INDEX('ImpactOutcome_Import-Export'!M$7:M$22,MATCH($A17,'ImpactOutcome_Import-Export'!$B$7:$B$22,0))="","",INDEX('ImpactOutcome_Import-Export'!M$7:M$22,MATCH($A17,'ImpactOutcome_Import-Export'!$B$7:$B$22,0))),""))</f>
        <v>142</v>
      </c>
      <c r="G17" s="1031">
        <f>IF(B17="","",IFERROR(IF(INDEX('ImpactOutcome_Import-Export'!N$7:N$22,MATCH($A17,'ImpactOutcome_Import-Export'!$B$7:$B$22,0))="","",INDEX('ImpactOutcome_Import-Export'!N$7:N$22,MATCH($A17,'ImpactOutcome_Import-Export'!$B$7:$B$22,0))),""))</f>
        <v>157</v>
      </c>
      <c r="H17" s="1032">
        <f>IF(B17="","",IFERROR(IF(INDEX('ImpactOutcome_Import-Export'!O$7:O$22,MATCH($A17,'ImpactOutcome_Import-Export'!$B$7:$B$22,0))="","",INDEX('ImpactOutcome_Import-Export'!O$7:O$22,MATCH($A17,'ImpactOutcome_Import-Export'!$B$7:$B$22,0))),""))</f>
        <v>90.445859872611507</v>
      </c>
      <c r="I17" s="1030" t="str">
        <f>IF(B17="","",IFERROR(IF(INDEX('ImpactOutcome_Import-Export'!P$7:P$22,MATCH($A17,'ImpactOutcome_Import-Export'!$B$7:$B$22,0))="","",INDEX('ImpactOutcome_Import-Export'!P$7:P$22,MATCH($A17,'ImpactOutcome_Import-Export'!$B$7:$B$22,0))),""))</f>
        <v>2019</v>
      </c>
      <c r="J17" s="1033">
        <f>IF(B17="","",IFERROR(IF(INDEX('ImpactOutcome_Import-Export'!Q$7:Q$22,MATCH($A17,'ImpactOutcome_Import-Export'!$B$7:$B$22,0))="","",INDEX('ImpactOutcome_Import-Export'!Q$7:Q$22,MATCH($A17,'ImpactOutcome_Import-Export'!$B$7:$B$22,0))),""))</f>
        <v>43889</v>
      </c>
      <c r="K17" s="1030" t="str">
        <f>IF(B17="","",IFERROR(IF(INDEX('ImpactOutcome_Import-Export'!R$7:R$22,MATCH($A17,'ImpactOutcome_Import-Export'!$B$7:$B$22,0))="","",INDEX('ImpactOutcome_Import-Export'!R$7:R$22,MATCH($A17,'ImpactOutcome_Import-Export'!$B$7:$B$22,0))),""))</f>
        <v>Burundi</v>
      </c>
      <c r="L17" s="1034">
        <v>46</v>
      </c>
      <c r="M17" s="1034">
        <v>50</v>
      </c>
      <c r="N17" s="1035">
        <f t="shared" si="6"/>
        <v>92</v>
      </c>
      <c r="O17" s="1036">
        <v>2019</v>
      </c>
      <c r="P17" s="1037" t="s">
        <v>67</v>
      </c>
      <c r="Q17" s="1038" t="s">
        <v>143</v>
      </c>
      <c r="R17" s="1039" t="str">
        <f t="shared" si="0"/>
        <v>Continue</v>
      </c>
      <c r="S17" s="1037"/>
      <c r="T17" s="1034"/>
      <c r="U17" s="1034"/>
      <c r="V17" s="1035" t="str">
        <f t="shared" si="2"/>
        <v/>
      </c>
      <c r="W17" s="1036"/>
      <c r="X17" s="1037"/>
      <c r="Y17" s="1038"/>
      <c r="Z17" s="1039" t="str">
        <f t="shared" si="3"/>
        <v>No Results Reported</v>
      </c>
      <c r="AA17" s="1034"/>
      <c r="AB17" s="1034"/>
      <c r="AC17" s="1035" t="str">
        <f t="shared" si="4"/>
        <v/>
      </c>
      <c r="AD17" s="1038"/>
      <c r="AE17" s="1040" t="str">
        <f t="shared" si="5"/>
        <v>No Results Reported</v>
      </c>
    </row>
    <row r="18" spans="1:31" ht="102" customHeight="1" x14ac:dyDescent="0.2">
      <c r="A18" s="636" t="str">
        <f>IFERROR(IF(INDEX(Impactlist,MATCH(0,INDEX(COUNTIF(A$10:A17,Impactlist),0,0),0))&lt;&gt;"",INDEX(Impactlist,MATCH(0,INDEX(COUNTIF(A$10:A17,Impactlist),0,0),0)),INDEX(Outcomelist,MATCH(0,INDEX(COUNTIF(A$10:A17,Outcomelist),0,0),0))),"")</f>
        <v>5Outcome</v>
      </c>
      <c r="B18" s="1027" t="str">
        <f>IFERROR(INDEX('ImpactOutcome_Import-Export'!D$7:D$209,MATCH($A18,'ImpactOutcome_Import-Export'!$B$7:$B$209,0)),"")</f>
        <v>Outcome</v>
      </c>
      <c r="C18" s="1028" t="str">
        <f>IF(B18="","",IFERROR(INDEX('ImpactOutcome_Import-Export'!F$7:F$22,MATCH($A18,'ImpactOutcome_Import-Export'!$B$7:$B$22,0)),""))</f>
        <v>TB O-5(M): Couverture de traitement de la TB: Pourcentage de nouveaux cas et rechutes qui ont été notifiés et traités parmi le nombre estimé de cas de TB dans la même année (toutes formes de TB - bactériologiquement confirmées et cliniquement diagnostiquées)</v>
      </c>
      <c r="D18" s="1029" t="str">
        <f>IF(B18="","",IFERROR(IF(INDEX('ImpactOutcome_Import-Export'!K$7:K$22,MATCH($A18,'ImpactOutcome_Import-Export'!$B$7:$B$22,0))="","",INDEX('ImpactOutcome_Import-Export'!K$7:K$22,MATCH($A18,'ImpactOutcome_Import-Export'!$B$7:$B$22,0))),""))</f>
        <v>58%</v>
      </c>
      <c r="E18" s="1030" t="str">
        <f>IF(B18="","",IFERROR(IF(INDEX('ImpactOutcome_Import-Export'!L$7:L$22,MATCH($A18,'ImpactOutcome_Import-Export'!$B$7:$B$22,0))="","",INDEX('ImpactOutcome_Import-Export'!L$7:L$22,MATCH($A18,'ImpactOutcome_Import-Export'!$B$7:$B$22,0))),""))</f>
        <v>2016</v>
      </c>
      <c r="F18" s="1031">
        <f>IF(B18="","",IFERROR(IF(INDEX('ImpactOutcome_Import-Export'!M$7:M$22,MATCH($A18,'ImpactOutcome_Import-Export'!$B$7:$B$22,0))="","",INDEX('ImpactOutcome_Import-Export'!M$7:M$22,MATCH($A18,'ImpactOutcome_Import-Export'!$B$7:$B$22,0))),""))</f>
        <v>8870</v>
      </c>
      <c r="G18" s="1031">
        <f>IF(B18="","",IFERROR(IF(INDEX('ImpactOutcome_Import-Export'!N$7:N$22,MATCH($A18,'ImpactOutcome_Import-Export'!$B$7:$B$22,0))="","",INDEX('ImpactOutcome_Import-Export'!N$7:N$22,MATCH($A18,'ImpactOutcome_Import-Export'!$B$7:$B$22,0))),""))</f>
        <v>11172</v>
      </c>
      <c r="H18" s="1032">
        <f>IF(B18="","",IFERROR(IF(INDEX('ImpactOutcome_Import-Export'!O$7:O$22,MATCH($A18,'ImpactOutcome_Import-Export'!$B$7:$B$22,0))="","",INDEX('ImpactOutcome_Import-Export'!O$7:O$22,MATCH($A18,'ImpactOutcome_Import-Export'!$B$7:$B$22,0))),""))</f>
        <v>79.394915861081302</v>
      </c>
      <c r="I18" s="1030" t="str">
        <f>IF(B18="","",IFERROR(IF(INDEX('ImpactOutcome_Import-Export'!P$7:P$22,MATCH($A18,'ImpactOutcome_Import-Export'!$B$7:$B$22,0))="","",INDEX('ImpactOutcome_Import-Export'!P$7:P$22,MATCH($A18,'ImpactOutcome_Import-Export'!$B$7:$B$22,0))),""))</f>
        <v>2019</v>
      </c>
      <c r="J18" s="1033">
        <f>IF(B18="","",IFERROR(IF(INDEX('ImpactOutcome_Import-Export'!Q$7:Q$22,MATCH($A18,'ImpactOutcome_Import-Export'!$B$7:$B$22,0))="","",INDEX('ImpactOutcome_Import-Export'!Q$7:Q$22,MATCH($A18,'ImpactOutcome_Import-Export'!$B$7:$B$22,0))),""))</f>
        <v>43889</v>
      </c>
      <c r="K18" s="1030" t="str">
        <f>IF(B18="","",IFERROR(IF(INDEX('ImpactOutcome_Import-Export'!R$7:R$22,MATCH($A18,'ImpactOutcome_Import-Export'!$B$7:$B$22,0))="","",INDEX('ImpactOutcome_Import-Export'!R$7:R$22,MATCH($A18,'ImpactOutcome_Import-Export'!$B$7:$B$22,0))),""))</f>
        <v>Burundi</v>
      </c>
      <c r="L18" s="1034">
        <v>6827</v>
      </c>
      <c r="M18" s="1034">
        <v>8870</v>
      </c>
      <c r="N18" s="1035">
        <f t="shared" si="6"/>
        <v>76.967305524239009</v>
      </c>
      <c r="O18" s="1036">
        <v>2019</v>
      </c>
      <c r="P18" s="1037" t="s">
        <v>69</v>
      </c>
      <c r="Q18" s="1038" t="s">
        <v>144</v>
      </c>
      <c r="R18" s="1039" t="str">
        <f t="shared" si="0"/>
        <v>Continue</v>
      </c>
      <c r="S18" s="1037"/>
      <c r="T18" s="1034"/>
      <c r="U18" s="1034"/>
      <c r="V18" s="1035" t="str">
        <f t="shared" si="2"/>
        <v/>
      </c>
      <c r="W18" s="1036"/>
      <c r="X18" s="1037"/>
      <c r="Y18" s="1038"/>
      <c r="Z18" s="1039" t="str">
        <f t="shared" si="3"/>
        <v>No Results Reported</v>
      </c>
      <c r="AA18" s="1034"/>
      <c r="AB18" s="1034"/>
      <c r="AC18" s="1035" t="str">
        <f t="shared" si="4"/>
        <v/>
      </c>
      <c r="AD18" s="1038"/>
      <c r="AE18" s="1040" t="str">
        <f t="shared" si="5"/>
        <v>No Results Reported</v>
      </c>
    </row>
    <row r="19" spans="1:31" ht="87.75" customHeight="1" x14ac:dyDescent="0.2">
      <c r="A19" s="636" t="str">
        <f>IFERROR(IF(INDEX(Impactlist,MATCH(0,INDEX(COUNTIF(A$10:A18,Impactlist),0,0),0))&lt;&gt;"",INDEX(Impactlist,MATCH(0,INDEX(COUNTIF(A$10:A18,Impactlist),0,0),0)),INDEX(Outcomelist,MATCH(0,INDEX(COUNTIF(A$10:A18,Outcomelist),0,0),0))),"")</f>
        <v>6Outcome</v>
      </c>
      <c r="B19" s="1027" t="str">
        <f>IFERROR(INDEX('ImpactOutcome_Import-Export'!D$7:D$209,MATCH($A19,'ImpactOutcome_Import-Export'!$B$7:$B$209,0)),"")</f>
        <v>Outcome</v>
      </c>
      <c r="C19" s="1028" t="str">
        <f>IF(B19="","",IFERROR(INDEX('ImpactOutcome_Import-Export'!F$7:F$22,MATCH($A19,'ImpactOutcome_Import-Export'!$B$7:$B$22,0)),""))</f>
        <v>HIV O-1(M): Pourcentage d'adultes et d'enfants vivant avec le VIH et sous traitement 12 mois après le début du traitement antirétroviral</v>
      </c>
      <c r="D19" s="1029" t="str">
        <f>IF(B19="","",IFERROR(IF(INDEX('ImpactOutcome_Import-Export'!K$7:K$22,MATCH($A19,'ImpactOutcome_Import-Export'!$B$7:$B$22,0))="","",INDEX('ImpactOutcome_Import-Export'!K$7:K$22,MATCH($A19,'ImpactOutcome_Import-Export'!$B$7:$B$22,0))),""))</f>
        <v>90%</v>
      </c>
      <c r="E19" s="1030" t="str">
        <f>IF(B19="","",IFERROR(IF(INDEX('ImpactOutcome_Import-Export'!L$7:L$22,MATCH($A19,'ImpactOutcome_Import-Export'!$B$7:$B$22,0))="","",INDEX('ImpactOutcome_Import-Export'!L$7:L$22,MATCH($A19,'ImpactOutcome_Import-Export'!$B$7:$B$22,0))),""))</f>
        <v>2015</v>
      </c>
      <c r="F19" s="1031" t="str">
        <f>IF(B19="","",IFERROR(IF(INDEX('ImpactOutcome_Import-Export'!M$7:M$22,MATCH($A19,'ImpactOutcome_Import-Export'!$B$7:$B$22,0))="","",INDEX('ImpactOutcome_Import-Export'!M$7:M$22,MATCH($A19,'ImpactOutcome_Import-Export'!$B$7:$B$22,0))),""))</f>
        <v/>
      </c>
      <c r="G19" s="1031" t="str">
        <f>IF(B19="","",IFERROR(IF(INDEX('ImpactOutcome_Import-Export'!N$7:N$22,MATCH($A19,'ImpactOutcome_Import-Export'!$B$7:$B$22,0))="","",INDEX('ImpactOutcome_Import-Export'!N$7:N$22,MATCH($A19,'ImpactOutcome_Import-Export'!$B$7:$B$22,0))),""))</f>
        <v/>
      </c>
      <c r="H19" s="1032">
        <f>IF(B19="","",IFERROR(IF(INDEX('ImpactOutcome_Import-Export'!O$7:O$22,MATCH($A19,'ImpactOutcome_Import-Export'!$B$7:$B$22,0))="","",INDEX('ImpactOutcome_Import-Export'!O$7:O$22,MATCH($A19,'ImpactOutcome_Import-Export'!$B$7:$B$22,0))),""))</f>
        <v>92</v>
      </c>
      <c r="I19" s="1030" t="str">
        <f>IF(B19="","",IFERROR(IF(INDEX('ImpactOutcome_Import-Export'!P$7:P$22,MATCH($A19,'ImpactOutcome_Import-Export'!$B$7:$B$22,0))="","",INDEX('ImpactOutcome_Import-Export'!P$7:P$22,MATCH($A19,'ImpactOutcome_Import-Export'!$B$7:$B$22,0))),""))</f>
        <v>2019</v>
      </c>
      <c r="J19" s="1033">
        <f>IF(B19="","",IFERROR(IF(INDEX('ImpactOutcome_Import-Export'!Q$7:Q$22,MATCH($A19,'ImpactOutcome_Import-Export'!$B$7:$B$22,0))="","",INDEX('ImpactOutcome_Import-Export'!Q$7:Q$22,MATCH($A19,'ImpactOutcome_Import-Export'!$B$7:$B$22,0))),""))</f>
        <v>43876</v>
      </c>
      <c r="K19" s="1030" t="str">
        <f>IF(B19="","",IFERROR(IF(INDEX('ImpactOutcome_Import-Export'!R$7:R$22,MATCH($A19,'ImpactOutcome_Import-Export'!$B$7:$B$22,0))="","",INDEX('ImpactOutcome_Import-Export'!R$7:R$22,MATCH($A19,'ImpactOutcome_Import-Export'!$B$7:$B$22,0))),""))</f>
        <v>Burundi</v>
      </c>
      <c r="L19" s="1034"/>
      <c r="M19" s="1034"/>
      <c r="N19" s="1035" t="str">
        <f t="shared" si="6"/>
        <v/>
      </c>
      <c r="O19" s="1036"/>
      <c r="P19" s="1037"/>
      <c r="Q19" s="1038" t="s">
        <v>145</v>
      </c>
      <c r="R19" s="1039" t="str">
        <f t="shared" si="0"/>
        <v>No Results Reported</v>
      </c>
      <c r="S19" s="1037"/>
      <c r="T19" s="1034"/>
      <c r="U19" s="1034"/>
      <c r="V19" s="1035" t="str">
        <f t="shared" si="2"/>
        <v/>
      </c>
      <c r="W19" s="1036"/>
      <c r="X19" s="1037"/>
      <c r="Y19" s="1038"/>
      <c r="Z19" s="1039" t="str">
        <f t="shared" si="3"/>
        <v/>
      </c>
      <c r="AA19" s="1034"/>
      <c r="AB19" s="1034"/>
      <c r="AC19" s="1035" t="str">
        <f t="shared" si="4"/>
        <v/>
      </c>
      <c r="AD19" s="1038"/>
      <c r="AE19" s="1040" t="str">
        <f t="shared" si="5"/>
        <v>No Results Reported</v>
      </c>
    </row>
    <row r="20" spans="1:31" ht="60" customHeight="1" x14ac:dyDescent="0.2">
      <c r="A20" s="636">
        <f>IFERROR(IF(INDEX(Impactlist,MATCH(0,INDEX(COUNTIF(A$10:A19,Impactlist),0,0),0))&lt;&gt;"",INDEX(Impactlist,MATCH(0,INDEX(COUNTIF(A$10:A19,Impactlist),0,0),0)),INDEX(Outcomelist,MATCH(0,INDEX(COUNTIF(A$10:A19,Outcomelist),0,0),0))),"")</f>
        <v>0</v>
      </c>
      <c r="B20" s="1027" t="str">
        <f>IFERROR(INDEX('ImpactOutcome_Import-Export'!D$7:D$209,MATCH($A20,'ImpactOutcome_Import-Export'!$B$7:$B$209,0)),"")</f>
        <v/>
      </c>
      <c r="C20" s="1028" t="str">
        <f>IF(B20="","",IFERROR(INDEX('ImpactOutcome_Import-Export'!F$7:F$22,MATCH($A20,'ImpactOutcome_Import-Export'!$B$7:$B$22,0)),""))</f>
        <v/>
      </c>
      <c r="D20" s="1029" t="str">
        <f>IF(B20="","",IFERROR(IF(INDEX('ImpactOutcome_Import-Export'!K$7:K$22,MATCH($A20,'ImpactOutcome_Import-Export'!$B$7:$B$22,0))="","",INDEX('ImpactOutcome_Import-Export'!K$7:K$22,MATCH($A20,'ImpactOutcome_Import-Export'!$B$7:$B$22,0))),""))</f>
        <v/>
      </c>
      <c r="E20" s="1030" t="str">
        <f>IF(B20="","",IFERROR(IF(INDEX('ImpactOutcome_Import-Export'!L$7:L$22,MATCH($A20,'ImpactOutcome_Import-Export'!$B$7:$B$22,0))="","",INDEX('ImpactOutcome_Import-Export'!L$7:L$22,MATCH($A20,'ImpactOutcome_Import-Export'!$B$7:$B$22,0))),""))</f>
        <v/>
      </c>
      <c r="F20" s="1031" t="str">
        <f>IF(B20="","",IFERROR(IF(INDEX('ImpactOutcome_Import-Export'!M$7:M$22,MATCH($A20,'ImpactOutcome_Import-Export'!$B$7:$B$22,0))="","",INDEX('ImpactOutcome_Import-Export'!M$7:M$22,MATCH($A20,'ImpactOutcome_Import-Export'!$B$7:$B$22,0))),""))</f>
        <v/>
      </c>
      <c r="G20" s="1031" t="str">
        <f>IF(B20="","",IFERROR(IF(INDEX('ImpactOutcome_Import-Export'!N$7:N$22,MATCH($A20,'ImpactOutcome_Import-Export'!$B$7:$B$22,0))="","",INDEX('ImpactOutcome_Import-Export'!N$7:N$22,MATCH($A20,'ImpactOutcome_Import-Export'!$B$7:$B$22,0))),""))</f>
        <v/>
      </c>
      <c r="H20" s="1032" t="str">
        <f>IF(B20="","",IFERROR(IF(INDEX('ImpactOutcome_Import-Export'!O$7:O$22,MATCH($A20,'ImpactOutcome_Import-Export'!$B$7:$B$22,0))="","",INDEX('ImpactOutcome_Import-Export'!O$7:O$22,MATCH($A20,'ImpactOutcome_Import-Export'!$B$7:$B$22,0))),""))</f>
        <v/>
      </c>
      <c r="I20" s="1030" t="str">
        <f>IF(B20="","",IFERROR(IF(INDEX('ImpactOutcome_Import-Export'!P$7:P$22,MATCH($A20,'ImpactOutcome_Import-Export'!$B$7:$B$22,0))="","",INDEX('ImpactOutcome_Import-Export'!P$7:P$22,MATCH($A20,'ImpactOutcome_Import-Export'!$B$7:$B$22,0))),""))</f>
        <v/>
      </c>
      <c r="J20" s="1033" t="str">
        <f>IF(B20="","",IFERROR(IF(INDEX('ImpactOutcome_Import-Export'!Q$7:Q$22,MATCH($A20,'ImpactOutcome_Import-Export'!$B$7:$B$22,0))="","",INDEX('ImpactOutcome_Import-Export'!Q$7:Q$22,MATCH($A20,'ImpactOutcome_Import-Export'!$B$7:$B$22,0))),""))</f>
        <v/>
      </c>
      <c r="K20" s="1030" t="str">
        <f>IF(B20="","",IFERROR(IF(INDEX('ImpactOutcome_Import-Export'!R$7:R$22,MATCH($A20,'ImpactOutcome_Import-Export'!$B$7:$B$22,0))="","",INDEX('ImpactOutcome_Import-Export'!R$7:R$22,MATCH($A20,'ImpactOutcome_Import-Export'!$B$7:$B$22,0))),""))</f>
        <v/>
      </c>
      <c r="L20" s="1034"/>
      <c r="M20" s="1034"/>
      <c r="N20" s="1035" t="str">
        <f t="shared" ref="N20:N50" si="7">IFERROR((L20/M20)*100,"")</f>
        <v/>
      </c>
      <c r="O20" s="1036"/>
      <c r="P20" s="1037"/>
      <c r="Q20" s="1038"/>
      <c r="R20" s="1039" t="str">
        <f t="shared" si="0"/>
        <v/>
      </c>
      <c r="S20" s="1037"/>
      <c r="T20" s="1034"/>
      <c r="U20" s="1034"/>
      <c r="V20" s="1035" t="str">
        <f t="shared" si="2"/>
        <v/>
      </c>
      <c r="W20" s="1036"/>
      <c r="X20" s="1037"/>
      <c r="Y20" s="1038"/>
      <c r="Z20" s="1039" t="str">
        <f t="shared" si="3"/>
        <v/>
      </c>
      <c r="AA20" s="1034"/>
      <c r="AB20" s="1034"/>
      <c r="AC20" s="1035" t="str">
        <f t="shared" si="4"/>
        <v/>
      </c>
      <c r="AD20" s="1038"/>
      <c r="AE20" s="1040" t="str">
        <f t="shared" si="5"/>
        <v/>
      </c>
    </row>
    <row r="21" spans="1:31" ht="60" customHeight="1" x14ac:dyDescent="0.2">
      <c r="A21" s="636" t="str">
        <f>IFERROR(IF(INDEX(Impactlist,MATCH(0,INDEX(COUNTIF(A$10:A20,Impactlist),0,0),0))&lt;&gt;"",INDEX(Impactlist,MATCH(0,INDEX(COUNTIF(A$10:A20,Impactlist),0,0),0)),INDEX(Outcomelist,MATCH(0,INDEX(COUNTIF(A$10:A20,Outcomelist),0,0),0))),"")</f>
        <v/>
      </c>
      <c r="B21" s="1027" t="str">
        <f>IFERROR(INDEX('ImpactOutcome_Import-Export'!D$7:D$209,MATCH($A21,'ImpactOutcome_Import-Export'!$B$7:$B$209,0)),"")</f>
        <v/>
      </c>
      <c r="C21" s="1028" t="str">
        <f>IF(B21="","",IFERROR(INDEX('ImpactOutcome_Import-Export'!F$7:F$22,MATCH($A21,'ImpactOutcome_Import-Export'!$B$7:$B$22,0)),""))</f>
        <v/>
      </c>
      <c r="D21" s="1029" t="str">
        <f>IF(B21="","",IFERROR(IF(INDEX('ImpactOutcome_Import-Export'!K$7:K$22,MATCH($A21,'ImpactOutcome_Import-Export'!$B$7:$B$22,0))="","",INDEX('ImpactOutcome_Import-Export'!K$7:K$22,MATCH($A21,'ImpactOutcome_Import-Export'!$B$7:$B$22,0))),""))</f>
        <v/>
      </c>
      <c r="E21" s="1030" t="str">
        <f>IF(B21="","",IFERROR(IF(INDEX('ImpactOutcome_Import-Export'!L$7:L$22,MATCH($A21,'ImpactOutcome_Import-Export'!$B$7:$B$22,0))="","",INDEX('ImpactOutcome_Import-Export'!L$7:L$22,MATCH($A21,'ImpactOutcome_Import-Export'!$B$7:$B$22,0))),""))</f>
        <v/>
      </c>
      <c r="F21" s="1031" t="str">
        <f>IF(B21="","",IFERROR(IF(INDEX('ImpactOutcome_Import-Export'!M$7:M$22,MATCH($A21,'ImpactOutcome_Import-Export'!$B$7:$B$22,0))="","",INDEX('ImpactOutcome_Import-Export'!M$7:M$22,MATCH($A21,'ImpactOutcome_Import-Export'!$B$7:$B$22,0))),""))</f>
        <v/>
      </c>
      <c r="G21" s="1031" t="str">
        <f>IF(B21="","",IFERROR(IF(INDEX('ImpactOutcome_Import-Export'!N$7:N$22,MATCH($A21,'ImpactOutcome_Import-Export'!$B$7:$B$22,0))="","",INDEX('ImpactOutcome_Import-Export'!N$7:N$22,MATCH($A21,'ImpactOutcome_Import-Export'!$B$7:$B$22,0))),""))</f>
        <v/>
      </c>
      <c r="H21" s="1032" t="str">
        <f>IF(B21="","",IFERROR(IF(INDEX('ImpactOutcome_Import-Export'!O$7:O$22,MATCH($A21,'ImpactOutcome_Import-Export'!$B$7:$B$22,0))="","",INDEX('ImpactOutcome_Import-Export'!O$7:O$22,MATCH($A21,'ImpactOutcome_Import-Export'!$B$7:$B$22,0))),""))</f>
        <v/>
      </c>
      <c r="I21" s="1030" t="str">
        <f>IF(B21="","",IFERROR(IF(INDEX('ImpactOutcome_Import-Export'!P$7:P$22,MATCH($A21,'ImpactOutcome_Import-Export'!$B$7:$B$22,0))="","",INDEX('ImpactOutcome_Import-Export'!P$7:P$22,MATCH($A21,'ImpactOutcome_Import-Export'!$B$7:$B$22,0))),""))</f>
        <v/>
      </c>
      <c r="J21" s="1033" t="str">
        <f>IF(B21="","",IFERROR(IF(INDEX('ImpactOutcome_Import-Export'!Q$7:Q$22,MATCH($A21,'ImpactOutcome_Import-Export'!$B$7:$B$22,0))="","",INDEX('ImpactOutcome_Import-Export'!Q$7:Q$22,MATCH($A21,'ImpactOutcome_Import-Export'!$B$7:$B$22,0))),""))</f>
        <v/>
      </c>
      <c r="K21" s="1030" t="str">
        <f>IF(B21="","",IFERROR(IF(INDEX('ImpactOutcome_Import-Export'!R$7:R$22,MATCH($A21,'ImpactOutcome_Import-Export'!$B$7:$B$22,0))="","",INDEX('ImpactOutcome_Import-Export'!R$7:R$22,MATCH($A21,'ImpactOutcome_Import-Export'!$B$7:$B$22,0))),""))</f>
        <v/>
      </c>
      <c r="L21" s="1034"/>
      <c r="M21" s="1034"/>
      <c r="N21" s="1035" t="str">
        <f t="shared" si="7"/>
        <v/>
      </c>
      <c r="O21" s="1036"/>
      <c r="P21" s="1037"/>
      <c r="Q21" s="1038"/>
      <c r="R21" s="1039" t="str">
        <f t="shared" si="0"/>
        <v/>
      </c>
      <c r="S21" s="1037"/>
      <c r="T21" s="1034"/>
      <c r="U21" s="1034"/>
      <c r="V21" s="1035" t="str">
        <f t="shared" si="2"/>
        <v/>
      </c>
      <c r="W21" s="1036"/>
      <c r="X21" s="1037"/>
      <c r="Y21" s="1038"/>
      <c r="Z21" s="1039" t="str">
        <f t="shared" si="3"/>
        <v/>
      </c>
      <c r="AA21" s="1034"/>
      <c r="AB21" s="1034"/>
      <c r="AC21" s="1035" t="str">
        <f t="shared" si="4"/>
        <v/>
      </c>
      <c r="AD21" s="1038"/>
      <c r="AE21" s="1040" t="str">
        <f t="shared" si="5"/>
        <v/>
      </c>
    </row>
    <row r="22" spans="1:31" ht="60" customHeight="1" x14ac:dyDescent="0.2">
      <c r="A22" s="636" t="str">
        <f>IFERROR(IF(INDEX(Impactlist,MATCH(0,INDEX(COUNTIF(A$10:A21,Impactlist),0,0),0))&lt;&gt;"",INDEX(Impactlist,MATCH(0,INDEX(COUNTIF(A$10:A21,Impactlist),0,0),0)),INDEX(Outcomelist,MATCH(0,INDEX(COUNTIF(A$10:A21,Outcomelist),0,0),0))),"")</f>
        <v/>
      </c>
      <c r="B22" s="1027" t="str">
        <f>IFERROR(INDEX('ImpactOutcome_Import-Export'!D$7:D$209,MATCH($A22,'ImpactOutcome_Import-Export'!$B$7:$B$209,0)),"")</f>
        <v/>
      </c>
      <c r="C22" s="1028" t="str">
        <f>IF(B22="","",IFERROR(INDEX('ImpactOutcome_Import-Export'!F$7:F$22,MATCH($A22,'ImpactOutcome_Import-Export'!$B$7:$B$22,0)),""))</f>
        <v/>
      </c>
      <c r="D22" s="1029" t="str">
        <f>IF(B22="","",IFERROR(IF(INDEX('ImpactOutcome_Import-Export'!K$7:K$22,MATCH($A22,'ImpactOutcome_Import-Export'!$B$7:$B$22,0))="","",INDEX('ImpactOutcome_Import-Export'!K$7:K$22,MATCH($A22,'ImpactOutcome_Import-Export'!$B$7:$B$22,0))),""))</f>
        <v/>
      </c>
      <c r="E22" s="1030" t="str">
        <f>IF(B22="","",IFERROR(IF(INDEX('ImpactOutcome_Import-Export'!L$7:L$22,MATCH($A22,'ImpactOutcome_Import-Export'!$B$7:$B$22,0))="","",INDEX('ImpactOutcome_Import-Export'!L$7:L$22,MATCH($A22,'ImpactOutcome_Import-Export'!$B$7:$B$22,0))),""))</f>
        <v/>
      </c>
      <c r="F22" s="1031" t="str">
        <f>IF(B22="","",IFERROR(IF(INDEX('ImpactOutcome_Import-Export'!M$7:M$22,MATCH($A22,'ImpactOutcome_Import-Export'!$B$7:$B$22,0))="","",INDEX('ImpactOutcome_Import-Export'!M$7:M$22,MATCH($A22,'ImpactOutcome_Import-Export'!$B$7:$B$22,0))),""))</f>
        <v/>
      </c>
      <c r="G22" s="1031" t="str">
        <f>IF(B22="","",IFERROR(IF(INDEX('ImpactOutcome_Import-Export'!N$7:N$22,MATCH($A22,'ImpactOutcome_Import-Export'!$B$7:$B$22,0))="","",INDEX('ImpactOutcome_Import-Export'!N$7:N$22,MATCH($A22,'ImpactOutcome_Import-Export'!$B$7:$B$22,0))),""))</f>
        <v/>
      </c>
      <c r="H22" s="1032" t="str">
        <f>IF(B22="","",IFERROR(IF(INDEX('ImpactOutcome_Import-Export'!O$7:O$22,MATCH($A22,'ImpactOutcome_Import-Export'!$B$7:$B$22,0))="","",INDEX('ImpactOutcome_Import-Export'!O$7:O$22,MATCH($A22,'ImpactOutcome_Import-Export'!$B$7:$B$22,0))),""))</f>
        <v/>
      </c>
      <c r="I22" s="1030" t="str">
        <f>IF(B22="","",IFERROR(IF(INDEX('ImpactOutcome_Import-Export'!P$7:P$22,MATCH($A22,'ImpactOutcome_Import-Export'!$B$7:$B$22,0))="","",INDEX('ImpactOutcome_Import-Export'!P$7:P$22,MATCH($A22,'ImpactOutcome_Import-Export'!$B$7:$B$22,0))),""))</f>
        <v/>
      </c>
      <c r="J22" s="1033" t="str">
        <f>IF(B22="","",IFERROR(IF(INDEX('ImpactOutcome_Import-Export'!Q$7:Q$22,MATCH($A22,'ImpactOutcome_Import-Export'!$B$7:$B$22,0))="","",INDEX('ImpactOutcome_Import-Export'!Q$7:Q$22,MATCH($A22,'ImpactOutcome_Import-Export'!$B$7:$B$22,0))),""))</f>
        <v/>
      </c>
      <c r="K22" s="1030" t="str">
        <f>IF(B22="","",IFERROR(IF(INDEX('ImpactOutcome_Import-Export'!R$7:R$22,MATCH($A22,'ImpactOutcome_Import-Export'!$B$7:$B$22,0))="","",INDEX('ImpactOutcome_Import-Export'!R$7:R$22,MATCH($A22,'ImpactOutcome_Import-Export'!$B$7:$B$22,0))),""))</f>
        <v/>
      </c>
      <c r="L22" s="1034"/>
      <c r="M22" s="1034"/>
      <c r="N22" s="1035" t="str">
        <f t="shared" si="7"/>
        <v/>
      </c>
      <c r="O22" s="1036"/>
      <c r="P22" s="1037"/>
      <c r="Q22" s="1038"/>
      <c r="R22" s="1039" t="str">
        <f t="shared" si="0"/>
        <v/>
      </c>
      <c r="S22" s="1037"/>
      <c r="T22" s="1034"/>
      <c r="U22" s="1034"/>
      <c r="V22" s="1035" t="str">
        <f t="shared" si="2"/>
        <v/>
      </c>
      <c r="W22" s="1036"/>
      <c r="X22" s="1037"/>
      <c r="Y22" s="1038"/>
      <c r="Z22" s="1039" t="str">
        <f t="shared" si="3"/>
        <v/>
      </c>
      <c r="AA22" s="1034"/>
      <c r="AB22" s="1034"/>
      <c r="AC22" s="1035" t="str">
        <f t="shared" si="4"/>
        <v/>
      </c>
      <c r="AD22" s="1038"/>
      <c r="AE22" s="1040" t="str">
        <f t="shared" si="5"/>
        <v/>
      </c>
    </row>
    <row r="23" spans="1:31" ht="60" customHeight="1" x14ac:dyDescent="0.2">
      <c r="A23" s="636" t="str">
        <f>IFERROR(IF(INDEX(Impactlist,MATCH(0,INDEX(COUNTIF(A$10:A22,Impactlist),0,0),0))&lt;&gt;"",INDEX(Impactlist,MATCH(0,INDEX(COUNTIF(A$10:A22,Impactlist),0,0),0)),INDEX(Outcomelist,MATCH(0,INDEX(COUNTIF(A$10:A22,Outcomelist),0,0),0))),"")</f>
        <v/>
      </c>
      <c r="B23" s="1027" t="str">
        <f>IFERROR(INDEX('ImpactOutcome_Import-Export'!D$7:D$209,MATCH($A23,'ImpactOutcome_Import-Export'!$B$7:$B$209,0)),"")</f>
        <v/>
      </c>
      <c r="C23" s="1028" t="str">
        <f>IF(B23="","",IFERROR(INDEX('ImpactOutcome_Import-Export'!F$7:F$22,MATCH($A23,'ImpactOutcome_Import-Export'!$B$7:$B$22,0)),""))</f>
        <v/>
      </c>
      <c r="D23" s="1029" t="str">
        <f>IF(B23="","",IFERROR(IF(INDEX('ImpactOutcome_Import-Export'!K$7:K$22,MATCH($A23,'ImpactOutcome_Import-Export'!$B$7:$B$22,0))="","",INDEX('ImpactOutcome_Import-Export'!K$7:K$22,MATCH($A23,'ImpactOutcome_Import-Export'!$B$7:$B$22,0))),""))</f>
        <v/>
      </c>
      <c r="E23" s="1030" t="str">
        <f>IF(B23="","",IFERROR(IF(INDEX('ImpactOutcome_Import-Export'!L$7:L$22,MATCH($A23,'ImpactOutcome_Import-Export'!$B$7:$B$22,0))="","",INDEX('ImpactOutcome_Import-Export'!L$7:L$22,MATCH($A23,'ImpactOutcome_Import-Export'!$B$7:$B$22,0))),""))</f>
        <v/>
      </c>
      <c r="F23" s="1031" t="str">
        <f>IF(B23="","",IFERROR(IF(INDEX('ImpactOutcome_Import-Export'!M$7:M$22,MATCH($A23,'ImpactOutcome_Import-Export'!$B$7:$B$22,0))="","",INDEX('ImpactOutcome_Import-Export'!M$7:M$22,MATCH($A23,'ImpactOutcome_Import-Export'!$B$7:$B$22,0))),""))</f>
        <v/>
      </c>
      <c r="G23" s="1031" t="str">
        <f>IF(B23="","",IFERROR(IF(INDEX('ImpactOutcome_Import-Export'!N$7:N$22,MATCH($A23,'ImpactOutcome_Import-Export'!$B$7:$B$22,0))="","",INDEX('ImpactOutcome_Import-Export'!N$7:N$22,MATCH($A23,'ImpactOutcome_Import-Export'!$B$7:$B$22,0))),""))</f>
        <v/>
      </c>
      <c r="H23" s="1032" t="str">
        <f>IF(B23="","",IFERROR(IF(INDEX('ImpactOutcome_Import-Export'!O$7:O$22,MATCH($A23,'ImpactOutcome_Import-Export'!$B$7:$B$22,0))="","",INDEX('ImpactOutcome_Import-Export'!O$7:O$22,MATCH($A23,'ImpactOutcome_Import-Export'!$B$7:$B$22,0))),""))</f>
        <v/>
      </c>
      <c r="I23" s="1030" t="str">
        <f>IF(B23="","",IFERROR(IF(INDEX('ImpactOutcome_Import-Export'!P$7:P$22,MATCH($A23,'ImpactOutcome_Import-Export'!$B$7:$B$22,0))="","",INDEX('ImpactOutcome_Import-Export'!P$7:P$22,MATCH($A23,'ImpactOutcome_Import-Export'!$B$7:$B$22,0))),""))</f>
        <v/>
      </c>
      <c r="J23" s="1033" t="str">
        <f>IF(B23="","",IFERROR(IF(INDEX('ImpactOutcome_Import-Export'!Q$7:Q$22,MATCH($A23,'ImpactOutcome_Import-Export'!$B$7:$B$22,0))="","",INDEX('ImpactOutcome_Import-Export'!Q$7:Q$22,MATCH($A23,'ImpactOutcome_Import-Export'!$B$7:$B$22,0))),""))</f>
        <v/>
      </c>
      <c r="K23" s="1030" t="str">
        <f>IF(B23="","",IFERROR(IF(INDEX('ImpactOutcome_Import-Export'!R$7:R$22,MATCH($A23,'ImpactOutcome_Import-Export'!$B$7:$B$22,0))="","",INDEX('ImpactOutcome_Import-Export'!R$7:R$22,MATCH($A23,'ImpactOutcome_Import-Export'!$B$7:$B$22,0))),""))</f>
        <v/>
      </c>
      <c r="L23" s="1034"/>
      <c r="M23" s="1034"/>
      <c r="N23" s="1035" t="str">
        <f t="shared" si="7"/>
        <v/>
      </c>
      <c r="O23" s="1036"/>
      <c r="P23" s="1037"/>
      <c r="Q23" s="1038"/>
      <c r="R23" s="1039" t="str">
        <f t="shared" si="0"/>
        <v/>
      </c>
      <c r="S23" s="1037"/>
      <c r="T23" s="1034"/>
      <c r="U23" s="1034"/>
      <c r="V23" s="1035" t="str">
        <f t="shared" si="2"/>
        <v/>
      </c>
      <c r="W23" s="1036"/>
      <c r="X23" s="1037"/>
      <c r="Y23" s="1038"/>
      <c r="Z23" s="1039" t="str">
        <f t="shared" si="3"/>
        <v/>
      </c>
      <c r="AA23" s="1034"/>
      <c r="AB23" s="1034"/>
      <c r="AC23" s="1035" t="str">
        <f t="shared" si="4"/>
        <v/>
      </c>
      <c r="AD23" s="1038"/>
      <c r="AE23" s="1040" t="str">
        <f t="shared" si="5"/>
        <v/>
      </c>
    </row>
    <row r="24" spans="1:31" ht="60" customHeight="1" x14ac:dyDescent="0.2">
      <c r="A24" s="636" t="str">
        <f>IFERROR(IF(INDEX(Impactlist,MATCH(0,INDEX(COUNTIF(A$10:A23,Impactlist),0,0),0))&lt;&gt;"",INDEX(Impactlist,MATCH(0,INDEX(COUNTIF(A$10:A23,Impactlist),0,0),0)),INDEX(Outcomelist,MATCH(0,INDEX(COUNTIF(A$10:A23,Outcomelist),0,0),0))),"")</f>
        <v/>
      </c>
      <c r="B24" s="1027" t="str">
        <f>IFERROR(INDEX('ImpactOutcome_Import-Export'!D$7:D$209,MATCH($A24,'ImpactOutcome_Import-Export'!$B$7:$B$209,0)),"")</f>
        <v/>
      </c>
      <c r="C24" s="1028" t="str">
        <f>IF(B24="","",IFERROR(INDEX('ImpactOutcome_Import-Export'!F$7:F$22,MATCH($A24,'ImpactOutcome_Import-Export'!$B$7:$B$22,0)),""))</f>
        <v/>
      </c>
      <c r="D24" s="1029" t="str">
        <f>IF(B24="","",IFERROR(IF(INDEX('ImpactOutcome_Import-Export'!K$7:K$22,MATCH($A24,'ImpactOutcome_Import-Export'!$B$7:$B$22,0))="","",INDEX('ImpactOutcome_Import-Export'!K$7:K$22,MATCH($A24,'ImpactOutcome_Import-Export'!$B$7:$B$22,0))),""))</f>
        <v/>
      </c>
      <c r="E24" s="1030" t="str">
        <f>IF(B24="","",IFERROR(IF(INDEX('ImpactOutcome_Import-Export'!L$7:L$22,MATCH($A24,'ImpactOutcome_Import-Export'!$B$7:$B$22,0))="","",INDEX('ImpactOutcome_Import-Export'!L$7:L$22,MATCH($A24,'ImpactOutcome_Import-Export'!$B$7:$B$22,0))),""))</f>
        <v/>
      </c>
      <c r="F24" s="1031" t="str">
        <f>IF(B24="","",IFERROR(IF(INDEX('ImpactOutcome_Import-Export'!M$7:M$22,MATCH($A24,'ImpactOutcome_Import-Export'!$B$7:$B$22,0))="","",INDEX('ImpactOutcome_Import-Export'!M$7:M$22,MATCH($A24,'ImpactOutcome_Import-Export'!$B$7:$B$22,0))),""))</f>
        <v/>
      </c>
      <c r="G24" s="1031" t="str">
        <f>IF(B24="","",IFERROR(IF(INDEX('ImpactOutcome_Import-Export'!N$7:N$22,MATCH($A24,'ImpactOutcome_Import-Export'!$B$7:$B$22,0))="","",INDEX('ImpactOutcome_Import-Export'!N$7:N$22,MATCH($A24,'ImpactOutcome_Import-Export'!$B$7:$B$22,0))),""))</f>
        <v/>
      </c>
      <c r="H24" s="1032" t="str">
        <f>IF(B24="","",IFERROR(IF(INDEX('ImpactOutcome_Import-Export'!O$7:O$22,MATCH($A24,'ImpactOutcome_Import-Export'!$B$7:$B$22,0))="","",INDEX('ImpactOutcome_Import-Export'!O$7:O$22,MATCH($A24,'ImpactOutcome_Import-Export'!$B$7:$B$22,0))),""))</f>
        <v/>
      </c>
      <c r="I24" s="1030" t="str">
        <f>IF(B24="","",IFERROR(IF(INDEX('ImpactOutcome_Import-Export'!P$7:P$22,MATCH($A24,'ImpactOutcome_Import-Export'!$B$7:$B$22,0))="","",INDEX('ImpactOutcome_Import-Export'!P$7:P$22,MATCH($A24,'ImpactOutcome_Import-Export'!$B$7:$B$22,0))),""))</f>
        <v/>
      </c>
      <c r="J24" s="1033" t="str">
        <f>IF(B24="","",IFERROR(IF(INDEX('ImpactOutcome_Import-Export'!Q$7:Q$22,MATCH($A24,'ImpactOutcome_Import-Export'!$B$7:$B$22,0))="","",INDEX('ImpactOutcome_Import-Export'!Q$7:Q$22,MATCH($A24,'ImpactOutcome_Import-Export'!$B$7:$B$22,0))),""))</f>
        <v/>
      </c>
      <c r="K24" s="1030" t="str">
        <f>IF(B24="","",IFERROR(IF(INDEX('ImpactOutcome_Import-Export'!R$7:R$22,MATCH($A24,'ImpactOutcome_Import-Export'!$B$7:$B$22,0))="","",INDEX('ImpactOutcome_Import-Export'!R$7:R$22,MATCH($A24,'ImpactOutcome_Import-Export'!$B$7:$B$22,0))),""))</f>
        <v/>
      </c>
      <c r="L24" s="1034"/>
      <c r="M24" s="1034"/>
      <c r="N24" s="1035" t="str">
        <f t="shared" si="7"/>
        <v/>
      </c>
      <c r="O24" s="1036"/>
      <c r="P24" s="1037"/>
      <c r="Q24" s="1038"/>
      <c r="R24" s="1039" t="str">
        <f t="shared" si="0"/>
        <v/>
      </c>
      <c r="S24" s="1037"/>
      <c r="T24" s="1034"/>
      <c r="U24" s="1034"/>
      <c r="V24" s="1035" t="str">
        <f t="shared" si="2"/>
        <v/>
      </c>
      <c r="W24" s="1036"/>
      <c r="X24" s="1037"/>
      <c r="Y24" s="1038"/>
      <c r="Z24" s="1039" t="str">
        <f t="shared" si="3"/>
        <v/>
      </c>
      <c r="AA24" s="1034"/>
      <c r="AB24" s="1034"/>
      <c r="AC24" s="1035" t="str">
        <f t="shared" si="4"/>
        <v/>
      </c>
      <c r="AD24" s="1038"/>
      <c r="AE24" s="1040" t="str">
        <f t="shared" si="5"/>
        <v/>
      </c>
    </row>
    <row r="25" spans="1:31" ht="60" customHeight="1" x14ac:dyDescent="0.2">
      <c r="A25" s="636" t="str">
        <f>IFERROR(IF(INDEX(Impactlist,MATCH(0,INDEX(COUNTIF(A$10:A24,Impactlist),0,0),0))&lt;&gt;"",INDEX(Impactlist,MATCH(0,INDEX(COUNTIF(A$10:A24,Impactlist),0,0),0)),INDEX(Outcomelist,MATCH(0,INDEX(COUNTIF(A$10:A24,Outcomelist),0,0),0))),"")</f>
        <v/>
      </c>
      <c r="B25" s="1027" t="str">
        <f>IFERROR(INDEX('ImpactOutcome_Import-Export'!D$7:D$209,MATCH($A25,'ImpactOutcome_Import-Export'!$B$7:$B$209,0)),"")</f>
        <v/>
      </c>
      <c r="C25" s="1028" t="str">
        <f>IF(B25="","",IFERROR(INDEX('ImpactOutcome_Import-Export'!F$7:F$22,MATCH($A25,'ImpactOutcome_Import-Export'!$B$7:$B$22,0)),""))</f>
        <v/>
      </c>
      <c r="D25" s="1029" t="str">
        <f>IF(B25="","",IFERROR(IF(INDEX('ImpactOutcome_Import-Export'!K$7:K$22,MATCH($A25,'ImpactOutcome_Import-Export'!$B$7:$B$22,0))="","",INDEX('ImpactOutcome_Import-Export'!K$7:K$22,MATCH($A25,'ImpactOutcome_Import-Export'!$B$7:$B$22,0))),""))</f>
        <v/>
      </c>
      <c r="E25" s="1030" t="str">
        <f>IF(B25="","",IFERROR(IF(INDEX('ImpactOutcome_Import-Export'!L$7:L$22,MATCH($A25,'ImpactOutcome_Import-Export'!$B$7:$B$22,0))="","",INDEX('ImpactOutcome_Import-Export'!L$7:L$22,MATCH($A25,'ImpactOutcome_Import-Export'!$B$7:$B$22,0))),""))</f>
        <v/>
      </c>
      <c r="F25" s="1031" t="str">
        <f>IF(B25="","",IFERROR(IF(INDEX('ImpactOutcome_Import-Export'!M$7:M$22,MATCH($A25,'ImpactOutcome_Import-Export'!$B$7:$B$22,0))="","",INDEX('ImpactOutcome_Import-Export'!M$7:M$22,MATCH($A25,'ImpactOutcome_Import-Export'!$B$7:$B$22,0))),""))</f>
        <v/>
      </c>
      <c r="G25" s="1031" t="str">
        <f>IF(B25="","",IFERROR(IF(INDEX('ImpactOutcome_Import-Export'!N$7:N$22,MATCH($A25,'ImpactOutcome_Import-Export'!$B$7:$B$22,0))="","",INDEX('ImpactOutcome_Import-Export'!N$7:N$22,MATCH($A25,'ImpactOutcome_Import-Export'!$B$7:$B$22,0))),""))</f>
        <v/>
      </c>
      <c r="H25" s="1032" t="str">
        <f>IF(B25="","",IFERROR(IF(INDEX('ImpactOutcome_Import-Export'!O$7:O$22,MATCH($A25,'ImpactOutcome_Import-Export'!$B$7:$B$22,0))="","",INDEX('ImpactOutcome_Import-Export'!O$7:O$22,MATCH($A25,'ImpactOutcome_Import-Export'!$B$7:$B$22,0))),""))</f>
        <v/>
      </c>
      <c r="I25" s="1030" t="str">
        <f>IF(B25="","",IFERROR(IF(INDEX('ImpactOutcome_Import-Export'!P$7:P$22,MATCH($A25,'ImpactOutcome_Import-Export'!$B$7:$B$22,0))="","",INDEX('ImpactOutcome_Import-Export'!P$7:P$22,MATCH($A25,'ImpactOutcome_Import-Export'!$B$7:$B$22,0))),""))</f>
        <v/>
      </c>
      <c r="J25" s="1033" t="str">
        <f>IF(B25="","",IFERROR(IF(INDEX('ImpactOutcome_Import-Export'!Q$7:Q$22,MATCH($A25,'ImpactOutcome_Import-Export'!$B$7:$B$22,0))="","",INDEX('ImpactOutcome_Import-Export'!Q$7:Q$22,MATCH($A25,'ImpactOutcome_Import-Export'!$B$7:$B$22,0))),""))</f>
        <v/>
      </c>
      <c r="K25" s="1030" t="str">
        <f>IF(B25="","",IFERROR(IF(INDEX('ImpactOutcome_Import-Export'!R$7:R$22,MATCH($A25,'ImpactOutcome_Import-Export'!$B$7:$B$22,0))="","",INDEX('ImpactOutcome_Import-Export'!R$7:R$22,MATCH($A25,'ImpactOutcome_Import-Export'!$B$7:$B$22,0))),""))</f>
        <v/>
      </c>
      <c r="L25" s="1034"/>
      <c r="M25" s="1034"/>
      <c r="N25" s="1035" t="str">
        <f t="shared" si="7"/>
        <v/>
      </c>
      <c r="O25" s="1036"/>
      <c r="P25" s="1037"/>
      <c r="Q25" s="1038"/>
      <c r="R25" s="1039" t="str">
        <f t="shared" si="0"/>
        <v/>
      </c>
      <c r="S25" s="1037"/>
      <c r="T25" s="1034"/>
      <c r="U25" s="1034"/>
      <c r="V25" s="1035" t="str">
        <f t="shared" si="2"/>
        <v/>
      </c>
      <c r="W25" s="1036"/>
      <c r="X25" s="1037"/>
      <c r="Y25" s="1038"/>
      <c r="Z25" s="1039" t="str">
        <f t="shared" si="3"/>
        <v/>
      </c>
      <c r="AA25" s="1034"/>
      <c r="AB25" s="1034"/>
      <c r="AC25" s="1035" t="str">
        <f t="shared" si="4"/>
        <v/>
      </c>
      <c r="AD25" s="1038"/>
      <c r="AE25" s="1040" t="str">
        <f t="shared" si="5"/>
        <v/>
      </c>
    </row>
    <row r="26" spans="1:31" ht="60" customHeight="1" x14ac:dyDescent="0.2">
      <c r="A26" s="636" t="str">
        <f>IFERROR(IF(INDEX(Impactlist,MATCH(0,INDEX(COUNTIF(A$10:A25,Impactlist),0,0),0))&lt;&gt;"",INDEX(Impactlist,MATCH(0,INDEX(COUNTIF(A$10:A25,Impactlist),0,0),0)),INDEX(Outcomelist,MATCH(0,INDEX(COUNTIF(A$10:A25,Outcomelist),0,0),0))),"")</f>
        <v/>
      </c>
      <c r="B26" s="1027" t="str">
        <f>IFERROR(INDEX('ImpactOutcome_Import-Export'!D$7:D$209,MATCH($A26,'ImpactOutcome_Import-Export'!$B$7:$B$209,0)),"")</f>
        <v/>
      </c>
      <c r="C26" s="1028" t="str">
        <f>IF(B26="","",IFERROR(INDEX('ImpactOutcome_Import-Export'!F$7:F$22,MATCH($A26,'ImpactOutcome_Import-Export'!$B$7:$B$22,0)),""))</f>
        <v/>
      </c>
      <c r="D26" s="1029" t="str">
        <f>IF(B26="","",IFERROR(IF(INDEX('ImpactOutcome_Import-Export'!K$7:K$22,MATCH($A26,'ImpactOutcome_Import-Export'!$B$7:$B$22,0))="","",INDEX('ImpactOutcome_Import-Export'!K$7:K$22,MATCH($A26,'ImpactOutcome_Import-Export'!$B$7:$B$22,0))),""))</f>
        <v/>
      </c>
      <c r="E26" s="1030" t="str">
        <f>IF(B26="","",IFERROR(IF(INDEX('ImpactOutcome_Import-Export'!L$7:L$22,MATCH($A26,'ImpactOutcome_Import-Export'!$B$7:$B$22,0))="","",INDEX('ImpactOutcome_Import-Export'!L$7:L$22,MATCH($A26,'ImpactOutcome_Import-Export'!$B$7:$B$22,0))),""))</f>
        <v/>
      </c>
      <c r="F26" s="1031" t="str">
        <f>IF(B26="","",IFERROR(IF(INDEX('ImpactOutcome_Import-Export'!M$7:M$22,MATCH($A26,'ImpactOutcome_Import-Export'!$B$7:$B$22,0))="","",INDEX('ImpactOutcome_Import-Export'!M$7:M$22,MATCH($A26,'ImpactOutcome_Import-Export'!$B$7:$B$22,0))),""))</f>
        <v/>
      </c>
      <c r="G26" s="1031" t="str">
        <f>IF(B26="","",IFERROR(IF(INDEX('ImpactOutcome_Import-Export'!N$7:N$22,MATCH($A26,'ImpactOutcome_Import-Export'!$B$7:$B$22,0))="","",INDEX('ImpactOutcome_Import-Export'!N$7:N$22,MATCH($A26,'ImpactOutcome_Import-Export'!$B$7:$B$22,0))),""))</f>
        <v/>
      </c>
      <c r="H26" s="1032" t="str">
        <f>IF(B26="","",IFERROR(IF(INDEX('ImpactOutcome_Import-Export'!O$7:O$22,MATCH($A26,'ImpactOutcome_Import-Export'!$B$7:$B$22,0))="","",INDEX('ImpactOutcome_Import-Export'!O$7:O$22,MATCH($A26,'ImpactOutcome_Import-Export'!$B$7:$B$22,0))),""))</f>
        <v/>
      </c>
      <c r="I26" s="1030" t="str">
        <f>IF(B26="","",IFERROR(IF(INDEX('ImpactOutcome_Import-Export'!P$7:P$22,MATCH($A26,'ImpactOutcome_Import-Export'!$B$7:$B$22,0))="","",INDEX('ImpactOutcome_Import-Export'!P$7:P$22,MATCH($A26,'ImpactOutcome_Import-Export'!$B$7:$B$22,0))),""))</f>
        <v/>
      </c>
      <c r="J26" s="1033" t="str">
        <f>IF(B26="","",IFERROR(IF(INDEX('ImpactOutcome_Import-Export'!Q$7:Q$22,MATCH($A26,'ImpactOutcome_Import-Export'!$B$7:$B$22,0))="","",INDEX('ImpactOutcome_Import-Export'!Q$7:Q$22,MATCH($A26,'ImpactOutcome_Import-Export'!$B$7:$B$22,0))),""))</f>
        <v/>
      </c>
      <c r="K26" s="1030" t="str">
        <f>IF(B26="","",IFERROR(IF(INDEX('ImpactOutcome_Import-Export'!R$7:R$22,MATCH($A26,'ImpactOutcome_Import-Export'!$B$7:$B$22,0))="","",INDEX('ImpactOutcome_Import-Export'!R$7:R$22,MATCH($A26,'ImpactOutcome_Import-Export'!$B$7:$B$22,0))),""))</f>
        <v/>
      </c>
      <c r="L26" s="1034"/>
      <c r="M26" s="1034"/>
      <c r="N26" s="1035" t="str">
        <f t="shared" si="7"/>
        <v/>
      </c>
      <c r="O26" s="1036"/>
      <c r="P26" s="1037"/>
      <c r="Q26" s="1038"/>
      <c r="R26" s="1039" t="str">
        <f t="shared" si="0"/>
        <v/>
      </c>
      <c r="S26" s="1037"/>
      <c r="T26" s="1034"/>
      <c r="U26" s="1034"/>
      <c r="V26" s="1035" t="str">
        <f t="shared" si="2"/>
        <v/>
      </c>
      <c r="W26" s="1036"/>
      <c r="X26" s="1037"/>
      <c r="Y26" s="1038"/>
      <c r="Z26" s="1039" t="str">
        <f t="shared" si="3"/>
        <v/>
      </c>
      <c r="AA26" s="1034"/>
      <c r="AB26" s="1034"/>
      <c r="AC26" s="1035" t="str">
        <f t="shared" si="4"/>
        <v/>
      </c>
      <c r="AD26" s="1038"/>
      <c r="AE26" s="1040" t="str">
        <f t="shared" si="5"/>
        <v/>
      </c>
    </row>
    <row r="27" spans="1:31" ht="60" customHeight="1" x14ac:dyDescent="0.2">
      <c r="A27" s="636" t="str">
        <f>IFERROR(IF(INDEX(Impactlist,MATCH(0,INDEX(COUNTIF(A$10:A26,Impactlist),0,0),0))&lt;&gt;"",INDEX(Impactlist,MATCH(0,INDEX(COUNTIF(A$10:A26,Impactlist),0,0),0)),INDEX(Outcomelist,MATCH(0,INDEX(COUNTIF(A$10:A26,Outcomelist),0,0),0))),"")</f>
        <v/>
      </c>
      <c r="B27" s="1027" t="str">
        <f>IFERROR(INDEX('ImpactOutcome_Import-Export'!D$7:D$209,MATCH($A27,'ImpactOutcome_Import-Export'!$B$7:$B$209,0)),"")</f>
        <v/>
      </c>
      <c r="C27" s="1028" t="str">
        <f>IF(B27="","",IFERROR(INDEX('ImpactOutcome_Import-Export'!F$7:F$22,MATCH($A27,'ImpactOutcome_Import-Export'!$B$7:$B$22,0)),""))</f>
        <v/>
      </c>
      <c r="D27" s="1029" t="str">
        <f>IF(B27="","",IFERROR(IF(INDEX('ImpactOutcome_Import-Export'!K$7:K$22,MATCH($A27,'ImpactOutcome_Import-Export'!$B$7:$B$22,0))="","",INDEX('ImpactOutcome_Import-Export'!K$7:K$22,MATCH($A27,'ImpactOutcome_Import-Export'!$B$7:$B$22,0))),""))</f>
        <v/>
      </c>
      <c r="E27" s="1030" t="str">
        <f>IF(B27="","",IFERROR(IF(INDEX('ImpactOutcome_Import-Export'!L$7:L$22,MATCH($A27,'ImpactOutcome_Import-Export'!$B$7:$B$22,0))="","",INDEX('ImpactOutcome_Import-Export'!L$7:L$22,MATCH($A27,'ImpactOutcome_Import-Export'!$B$7:$B$22,0))),""))</f>
        <v/>
      </c>
      <c r="F27" s="1031" t="str">
        <f>IF(B27="","",IFERROR(IF(INDEX('ImpactOutcome_Import-Export'!M$7:M$22,MATCH($A27,'ImpactOutcome_Import-Export'!$B$7:$B$22,0))="","",INDEX('ImpactOutcome_Import-Export'!M$7:M$22,MATCH($A27,'ImpactOutcome_Import-Export'!$B$7:$B$22,0))),""))</f>
        <v/>
      </c>
      <c r="G27" s="1031" t="str">
        <f>IF(B27="","",IFERROR(IF(INDEX('ImpactOutcome_Import-Export'!N$7:N$22,MATCH($A27,'ImpactOutcome_Import-Export'!$B$7:$B$22,0))="","",INDEX('ImpactOutcome_Import-Export'!N$7:N$22,MATCH($A27,'ImpactOutcome_Import-Export'!$B$7:$B$22,0))),""))</f>
        <v/>
      </c>
      <c r="H27" s="1032" t="str">
        <f>IF(B27="","",IFERROR(IF(INDEX('ImpactOutcome_Import-Export'!O$7:O$22,MATCH($A27,'ImpactOutcome_Import-Export'!$B$7:$B$22,0))="","",INDEX('ImpactOutcome_Import-Export'!O$7:O$22,MATCH($A27,'ImpactOutcome_Import-Export'!$B$7:$B$22,0))),""))</f>
        <v/>
      </c>
      <c r="I27" s="1030" t="str">
        <f>IF(B27="","",IFERROR(IF(INDEX('ImpactOutcome_Import-Export'!P$7:P$22,MATCH($A27,'ImpactOutcome_Import-Export'!$B$7:$B$22,0))="","",INDEX('ImpactOutcome_Import-Export'!P$7:P$22,MATCH($A27,'ImpactOutcome_Import-Export'!$B$7:$B$22,0))),""))</f>
        <v/>
      </c>
      <c r="J27" s="1033" t="str">
        <f>IF(B27="","",IFERROR(IF(INDEX('ImpactOutcome_Import-Export'!Q$7:Q$22,MATCH($A27,'ImpactOutcome_Import-Export'!$B$7:$B$22,0))="","",INDEX('ImpactOutcome_Import-Export'!Q$7:Q$22,MATCH($A27,'ImpactOutcome_Import-Export'!$B$7:$B$22,0))),""))</f>
        <v/>
      </c>
      <c r="K27" s="1030" t="str">
        <f>IF(B27="","",IFERROR(IF(INDEX('ImpactOutcome_Import-Export'!R$7:R$22,MATCH($A27,'ImpactOutcome_Import-Export'!$B$7:$B$22,0))="","",INDEX('ImpactOutcome_Import-Export'!R$7:R$22,MATCH($A27,'ImpactOutcome_Import-Export'!$B$7:$B$22,0))),""))</f>
        <v/>
      </c>
      <c r="L27" s="1034"/>
      <c r="M27" s="1034"/>
      <c r="N27" s="1035" t="str">
        <f t="shared" si="7"/>
        <v/>
      </c>
      <c r="O27" s="1036"/>
      <c r="P27" s="1037"/>
      <c r="Q27" s="1038"/>
      <c r="R27" s="1039" t="str">
        <f t="shared" si="0"/>
        <v/>
      </c>
      <c r="S27" s="1037"/>
      <c r="T27" s="1034"/>
      <c r="U27" s="1034"/>
      <c r="V27" s="1035" t="str">
        <f t="shared" si="2"/>
        <v/>
      </c>
      <c r="W27" s="1036"/>
      <c r="X27" s="1037"/>
      <c r="Y27" s="1038"/>
      <c r="Z27" s="1039" t="str">
        <f t="shared" si="3"/>
        <v/>
      </c>
      <c r="AA27" s="1034"/>
      <c r="AB27" s="1034"/>
      <c r="AC27" s="1035" t="str">
        <f t="shared" si="4"/>
        <v/>
      </c>
      <c r="AD27" s="1038"/>
      <c r="AE27" s="1040" t="str">
        <f t="shared" si="5"/>
        <v/>
      </c>
    </row>
    <row r="28" spans="1:31" ht="60" customHeight="1" x14ac:dyDescent="0.2">
      <c r="A28" s="636" t="str">
        <f>IFERROR(IF(INDEX(Impactlist,MATCH(0,INDEX(COUNTIF(A$10:A27,Impactlist),0,0),0))&lt;&gt;"",INDEX(Impactlist,MATCH(0,INDEX(COUNTIF(A$10:A27,Impactlist),0,0),0)),INDEX(Outcomelist,MATCH(0,INDEX(COUNTIF(A$10:A27,Outcomelist),0,0),0))),"")</f>
        <v/>
      </c>
      <c r="B28" s="1027" t="str">
        <f>IFERROR(INDEX('ImpactOutcome_Import-Export'!D$7:D$209,MATCH($A28,'ImpactOutcome_Import-Export'!$B$7:$B$209,0)),"")</f>
        <v/>
      </c>
      <c r="C28" s="1028" t="str">
        <f>IF(B28="","",IFERROR(INDEX('ImpactOutcome_Import-Export'!F$7:F$22,MATCH($A28,'ImpactOutcome_Import-Export'!$B$7:$B$22,0)),""))</f>
        <v/>
      </c>
      <c r="D28" s="1029" t="str">
        <f>IF(B28="","",IFERROR(IF(INDEX('ImpactOutcome_Import-Export'!K$7:K$22,MATCH($A28,'ImpactOutcome_Import-Export'!$B$7:$B$22,0))="","",INDEX('ImpactOutcome_Import-Export'!K$7:K$22,MATCH($A28,'ImpactOutcome_Import-Export'!$B$7:$B$22,0))),""))</f>
        <v/>
      </c>
      <c r="E28" s="1030" t="str">
        <f>IF(B28="","",IFERROR(IF(INDEX('ImpactOutcome_Import-Export'!L$7:L$22,MATCH($A28,'ImpactOutcome_Import-Export'!$B$7:$B$22,0))="","",INDEX('ImpactOutcome_Import-Export'!L$7:L$22,MATCH($A28,'ImpactOutcome_Import-Export'!$B$7:$B$22,0))),""))</f>
        <v/>
      </c>
      <c r="F28" s="1031" t="str">
        <f>IF(B28="","",IFERROR(IF(INDEX('ImpactOutcome_Import-Export'!M$7:M$22,MATCH($A28,'ImpactOutcome_Import-Export'!$B$7:$B$22,0))="","",INDEX('ImpactOutcome_Import-Export'!M$7:M$22,MATCH($A28,'ImpactOutcome_Import-Export'!$B$7:$B$22,0))),""))</f>
        <v/>
      </c>
      <c r="G28" s="1031" t="str">
        <f>IF(B28="","",IFERROR(IF(INDEX('ImpactOutcome_Import-Export'!N$7:N$22,MATCH($A28,'ImpactOutcome_Import-Export'!$B$7:$B$22,0))="","",INDEX('ImpactOutcome_Import-Export'!N$7:N$22,MATCH($A28,'ImpactOutcome_Import-Export'!$B$7:$B$22,0))),""))</f>
        <v/>
      </c>
      <c r="H28" s="1032" t="str">
        <f>IF(B28="","",IFERROR(IF(INDEX('ImpactOutcome_Import-Export'!O$7:O$22,MATCH($A28,'ImpactOutcome_Import-Export'!$B$7:$B$22,0))="","",INDEX('ImpactOutcome_Import-Export'!O$7:O$22,MATCH($A28,'ImpactOutcome_Import-Export'!$B$7:$B$22,0))),""))</f>
        <v/>
      </c>
      <c r="I28" s="1030" t="str">
        <f>IF(B28="","",IFERROR(IF(INDEX('ImpactOutcome_Import-Export'!P$7:P$22,MATCH($A28,'ImpactOutcome_Import-Export'!$B$7:$B$22,0))="","",INDEX('ImpactOutcome_Import-Export'!P$7:P$22,MATCH($A28,'ImpactOutcome_Import-Export'!$B$7:$B$22,0))),""))</f>
        <v/>
      </c>
      <c r="J28" s="1033" t="str">
        <f>IF(B28="","",IFERROR(IF(INDEX('ImpactOutcome_Import-Export'!Q$7:Q$22,MATCH($A28,'ImpactOutcome_Import-Export'!$B$7:$B$22,0))="","",INDEX('ImpactOutcome_Import-Export'!Q$7:Q$22,MATCH($A28,'ImpactOutcome_Import-Export'!$B$7:$B$22,0))),""))</f>
        <v/>
      </c>
      <c r="K28" s="1030" t="str">
        <f>IF(B28="","",IFERROR(IF(INDEX('ImpactOutcome_Import-Export'!R$7:R$22,MATCH($A28,'ImpactOutcome_Import-Export'!$B$7:$B$22,0))="","",INDEX('ImpactOutcome_Import-Export'!R$7:R$22,MATCH($A28,'ImpactOutcome_Import-Export'!$B$7:$B$22,0))),""))</f>
        <v/>
      </c>
      <c r="L28" s="1034"/>
      <c r="M28" s="1034"/>
      <c r="N28" s="1035" t="str">
        <f t="shared" si="7"/>
        <v/>
      </c>
      <c r="O28" s="1036"/>
      <c r="P28" s="1037"/>
      <c r="Q28" s="1038"/>
      <c r="R28" s="1039" t="str">
        <f t="shared" si="0"/>
        <v/>
      </c>
      <c r="S28" s="1037"/>
      <c r="T28" s="1034"/>
      <c r="U28" s="1034"/>
      <c r="V28" s="1035" t="str">
        <f t="shared" si="2"/>
        <v/>
      </c>
      <c r="W28" s="1036"/>
      <c r="X28" s="1037"/>
      <c r="Y28" s="1038"/>
      <c r="Z28" s="1039" t="str">
        <f t="shared" si="3"/>
        <v/>
      </c>
      <c r="AA28" s="1034"/>
      <c r="AB28" s="1034"/>
      <c r="AC28" s="1035" t="str">
        <f t="shared" si="4"/>
        <v/>
      </c>
      <c r="AD28" s="1038"/>
      <c r="AE28" s="1040" t="str">
        <f t="shared" si="5"/>
        <v/>
      </c>
    </row>
    <row r="29" spans="1:31" ht="60" customHeight="1" x14ac:dyDescent="0.2">
      <c r="A29" s="636" t="str">
        <f>IFERROR(IF(INDEX(Impactlist,MATCH(0,INDEX(COUNTIF(A$10:A28,Impactlist),0,0),0))&lt;&gt;"",INDEX(Impactlist,MATCH(0,INDEX(COUNTIF(A$10:A28,Impactlist),0,0),0)),INDEX(Outcomelist,MATCH(0,INDEX(COUNTIF(A$10:A28,Outcomelist),0,0),0))),"")</f>
        <v/>
      </c>
      <c r="B29" s="1027" t="str">
        <f>IFERROR(INDEX('ImpactOutcome_Import-Export'!D$7:D$209,MATCH($A29,'ImpactOutcome_Import-Export'!$B$7:$B$209,0)),"")</f>
        <v/>
      </c>
      <c r="C29" s="1028" t="str">
        <f>IF(B29="","",IFERROR(INDEX('ImpactOutcome_Import-Export'!F$7:F$22,MATCH($A29,'ImpactOutcome_Import-Export'!$B$7:$B$22,0)),""))</f>
        <v/>
      </c>
      <c r="D29" s="1029" t="str">
        <f>IF(B29="","",IFERROR(IF(INDEX('ImpactOutcome_Import-Export'!K$7:K$22,MATCH($A29,'ImpactOutcome_Import-Export'!$B$7:$B$22,0))="","",INDEX('ImpactOutcome_Import-Export'!K$7:K$22,MATCH($A29,'ImpactOutcome_Import-Export'!$B$7:$B$22,0))),""))</f>
        <v/>
      </c>
      <c r="E29" s="1030" t="str">
        <f>IF(B29="","",IFERROR(IF(INDEX('ImpactOutcome_Import-Export'!L$7:L$22,MATCH($A29,'ImpactOutcome_Import-Export'!$B$7:$B$22,0))="","",INDEX('ImpactOutcome_Import-Export'!L$7:L$22,MATCH($A29,'ImpactOutcome_Import-Export'!$B$7:$B$22,0))),""))</f>
        <v/>
      </c>
      <c r="F29" s="1031" t="str">
        <f>IF(B29="","",IFERROR(IF(INDEX('ImpactOutcome_Import-Export'!M$7:M$22,MATCH($A29,'ImpactOutcome_Import-Export'!$B$7:$B$22,0))="","",INDEX('ImpactOutcome_Import-Export'!M$7:M$22,MATCH($A29,'ImpactOutcome_Import-Export'!$B$7:$B$22,0))),""))</f>
        <v/>
      </c>
      <c r="G29" s="1031" t="str">
        <f>IF(B29="","",IFERROR(IF(INDEX('ImpactOutcome_Import-Export'!N$7:N$22,MATCH($A29,'ImpactOutcome_Import-Export'!$B$7:$B$22,0))="","",INDEX('ImpactOutcome_Import-Export'!N$7:N$22,MATCH($A29,'ImpactOutcome_Import-Export'!$B$7:$B$22,0))),""))</f>
        <v/>
      </c>
      <c r="H29" s="1032" t="str">
        <f>IF(B29="","",IFERROR(IF(INDEX('ImpactOutcome_Import-Export'!O$7:O$22,MATCH($A29,'ImpactOutcome_Import-Export'!$B$7:$B$22,0))="","",INDEX('ImpactOutcome_Import-Export'!O$7:O$22,MATCH($A29,'ImpactOutcome_Import-Export'!$B$7:$B$22,0))),""))</f>
        <v/>
      </c>
      <c r="I29" s="1030" t="str">
        <f>IF(B29="","",IFERROR(IF(INDEX('ImpactOutcome_Import-Export'!P$7:P$22,MATCH($A29,'ImpactOutcome_Import-Export'!$B$7:$B$22,0))="","",INDEX('ImpactOutcome_Import-Export'!P$7:P$22,MATCH($A29,'ImpactOutcome_Import-Export'!$B$7:$B$22,0))),""))</f>
        <v/>
      </c>
      <c r="J29" s="1033" t="str">
        <f>IF(B29="","",IFERROR(IF(INDEX('ImpactOutcome_Import-Export'!Q$7:Q$22,MATCH($A29,'ImpactOutcome_Import-Export'!$B$7:$B$22,0))="","",INDEX('ImpactOutcome_Import-Export'!Q$7:Q$22,MATCH($A29,'ImpactOutcome_Import-Export'!$B$7:$B$22,0))),""))</f>
        <v/>
      </c>
      <c r="K29" s="1030" t="str">
        <f>IF(B29="","",IFERROR(IF(INDEX('ImpactOutcome_Import-Export'!R$7:R$22,MATCH($A29,'ImpactOutcome_Import-Export'!$B$7:$B$22,0))="","",INDEX('ImpactOutcome_Import-Export'!R$7:R$22,MATCH($A29,'ImpactOutcome_Import-Export'!$B$7:$B$22,0))),""))</f>
        <v/>
      </c>
      <c r="L29" s="1034"/>
      <c r="M29" s="1034"/>
      <c r="N29" s="1035" t="str">
        <f t="shared" si="7"/>
        <v/>
      </c>
      <c r="O29" s="1036"/>
      <c r="P29" s="1037"/>
      <c r="Q29" s="1038"/>
      <c r="R29" s="1039" t="str">
        <f t="shared" si="0"/>
        <v/>
      </c>
      <c r="S29" s="1037"/>
      <c r="T29" s="1034"/>
      <c r="U29" s="1034"/>
      <c r="V29" s="1035" t="str">
        <f t="shared" si="2"/>
        <v/>
      </c>
      <c r="W29" s="1036"/>
      <c r="X29" s="1037"/>
      <c r="Y29" s="1038"/>
      <c r="Z29" s="1039" t="str">
        <f t="shared" si="3"/>
        <v/>
      </c>
      <c r="AA29" s="1034"/>
      <c r="AB29" s="1034"/>
      <c r="AC29" s="1035" t="str">
        <f t="shared" si="4"/>
        <v/>
      </c>
      <c r="AD29" s="1038"/>
      <c r="AE29" s="1040" t="str">
        <f t="shared" si="5"/>
        <v/>
      </c>
    </row>
    <row r="30" spans="1:31" ht="60" customHeight="1" x14ac:dyDescent="0.2">
      <c r="A30" s="636" t="str">
        <f>IFERROR(IF(INDEX(Impactlist,MATCH(0,INDEX(COUNTIF(A$10:A29,Impactlist),0,0),0))&lt;&gt;"",INDEX(Impactlist,MATCH(0,INDEX(COUNTIF(A$10:A29,Impactlist),0,0),0)),INDEX(Outcomelist,MATCH(0,INDEX(COUNTIF(A$10:A29,Outcomelist),0,0),0))),"")</f>
        <v/>
      </c>
      <c r="B30" s="1027" t="str">
        <f>IFERROR(INDEX('ImpactOutcome_Import-Export'!D$7:D$209,MATCH($A30,'ImpactOutcome_Import-Export'!$B$7:$B$209,0)),"")</f>
        <v/>
      </c>
      <c r="C30" s="1028" t="str">
        <f>IF(B30="","",IFERROR(INDEX('ImpactOutcome_Import-Export'!F$7:F$22,MATCH($A30,'ImpactOutcome_Import-Export'!$B$7:$B$22,0)),""))</f>
        <v/>
      </c>
      <c r="D30" s="1029" t="str">
        <f>IF(B30="","",IFERROR(IF(INDEX('ImpactOutcome_Import-Export'!K$7:K$22,MATCH($A30,'ImpactOutcome_Import-Export'!$B$7:$B$22,0))="","",INDEX('ImpactOutcome_Import-Export'!K$7:K$22,MATCH($A30,'ImpactOutcome_Import-Export'!$B$7:$B$22,0))),""))</f>
        <v/>
      </c>
      <c r="E30" s="1030" t="str">
        <f>IF(B30="","",IFERROR(IF(INDEX('ImpactOutcome_Import-Export'!L$7:L$22,MATCH($A30,'ImpactOutcome_Import-Export'!$B$7:$B$22,0))="","",INDEX('ImpactOutcome_Import-Export'!L$7:L$22,MATCH($A30,'ImpactOutcome_Import-Export'!$B$7:$B$22,0))),""))</f>
        <v/>
      </c>
      <c r="F30" s="1031" t="str">
        <f>IF(B30="","",IFERROR(IF(INDEX('ImpactOutcome_Import-Export'!M$7:M$22,MATCH($A30,'ImpactOutcome_Import-Export'!$B$7:$B$22,0))="","",INDEX('ImpactOutcome_Import-Export'!M$7:M$22,MATCH($A30,'ImpactOutcome_Import-Export'!$B$7:$B$22,0))),""))</f>
        <v/>
      </c>
      <c r="G30" s="1031" t="str">
        <f>IF(B30="","",IFERROR(IF(INDEX('ImpactOutcome_Import-Export'!N$7:N$22,MATCH($A30,'ImpactOutcome_Import-Export'!$B$7:$B$22,0))="","",INDEX('ImpactOutcome_Import-Export'!N$7:N$22,MATCH($A30,'ImpactOutcome_Import-Export'!$B$7:$B$22,0))),""))</f>
        <v/>
      </c>
      <c r="H30" s="1032" t="str">
        <f>IF(B30="","",IFERROR(IF(INDEX('ImpactOutcome_Import-Export'!O$7:O$22,MATCH($A30,'ImpactOutcome_Import-Export'!$B$7:$B$22,0))="","",INDEX('ImpactOutcome_Import-Export'!O$7:O$22,MATCH($A30,'ImpactOutcome_Import-Export'!$B$7:$B$22,0))),""))</f>
        <v/>
      </c>
      <c r="I30" s="1030" t="str">
        <f>IF(B30="","",IFERROR(IF(INDEX('ImpactOutcome_Import-Export'!P$7:P$22,MATCH($A30,'ImpactOutcome_Import-Export'!$B$7:$B$22,0))="","",INDEX('ImpactOutcome_Import-Export'!P$7:P$22,MATCH($A30,'ImpactOutcome_Import-Export'!$B$7:$B$22,0))),""))</f>
        <v/>
      </c>
      <c r="J30" s="1033" t="str">
        <f>IF(B30="","",IFERROR(IF(INDEX('ImpactOutcome_Import-Export'!Q$7:Q$22,MATCH($A30,'ImpactOutcome_Import-Export'!$B$7:$B$22,0))="","",INDEX('ImpactOutcome_Import-Export'!Q$7:Q$22,MATCH($A30,'ImpactOutcome_Import-Export'!$B$7:$B$22,0))),""))</f>
        <v/>
      </c>
      <c r="K30" s="1030" t="str">
        <f>IF(B30="","",IFERROR(IF(INDEX('ImpactOutcome_Import-Export'!R$7:R$22,MATCH($A30,'ImpactOutcome_Import-Export'!$B$7:$B$22,0))="","",INDEX('ImpactOutcome_Import-Export'!R$7:R$22,MATCH($A30,'ImpactOutcome_Import-Export'!$B$7:$B$22,0))),""))</f>
        <v/>
      </c>
      <c r="L30" s="1034"/>
      <c r="M30" s="1034"/>
      <c r="N30" s="1035" t="str">
        <f t="shared" si="7"/>
        <v/>
      </c>
      <c r="O30" s="1036"/>
      <c r="P30" s="1037"/>
      <c r="Q30" s="1038"/>
      <c r="R30" s="1039" t="str">
        <f t="shared" si="0"/>
        <v/>
      </c>
      <c r="S30" s="1037"/>
      <c r="T30" s="1034"/>
      <c r="U30" s="1034"/>
      <c r="V30" s="1035" t="str">
        <f t="shared" si="2"/>
        <v/>
      </c>
      <c r="W30" s="1036"/>
      <c r="X30" s="1037"/>
      <c r="Y30" s="1038"/>
      <c r="Z30" s="1039" t="str">
        <f t="shared" si="3"/>
        <v/>
      </c>
      <c r="AA30" s="1034"/>
      <c r="AB30" s="1034"/>
      <c r="AC30" s="1035" t="str">
        <f t="shared" si="4"/>
        <v/>
      </c>
      <c r="AD30" s="1038"/>
      <c r="AE30" s="1040" t="str">
        <f t="shared" si="5"/>
        <v/>
      </c>
    </row>
    <row r="31" spans="1:31" ht="60" customHeight="1" x14ac:dyDescent="0.2">
      <c r="A31" s="636" t="str">
        <f>IFERROR(IF(INDEX(Impactlist,MATCH(0,INDEX(COUNTIF(A$10:A30,Impactlist),0,0),0))&lt;&gt;"",INDEX(Impactlist,MATCH(0,INDEX(COUNTIF(A$10:A30,Impactlist),0,0),0)),INDEX(Outcomelist,MATCH(0,INDEX(COUNTIF(A$10:A30,Outcomelist),0,0),0))),"")</f>
        <v/>
      </c>
      <c r="B31" s="1027" t="str">
        <f>IFERROR(INDEX('ImpactOutcome_Import-Export'!D$7:D$209,MATCH($A31,'ImpactOutcome_Import-Export'!$B$7:$B$209,0)),"")</f>
        <v/>
      </c>
      <c r="C31" s="1028" t="str">
        <f>IF(B31="","",IFERROR(INDEX('ImpactOutcome_Import-Export'!F$7:F$22,MATCH($A31,'ImpactOutcome_Import-Export'!$B$7:$B$22,0)),""))</f>
        <v/>
      </c>
      <c r="D31" s="1029" t="str">
        <f>IF(B31="","",IFERROR(IF(INDEX('ImpactOutcome_Import-Export'!K$7:K$22,MATCH($A31,'ImpactOutcome_Import-Export'!$B$7:$B$22,0))="","",INDEX('ImpactOutcome_Import-Export'!K$7:K$22,MATCH($A31,'ImpactOutcome_Import-Export'!$B$7:$B$22,0))),""))</f>
        <v/>
      </c>
      <c r="E31" s="1030" t="str">
        <f>IF(B31="","",IFERROR(IF(INDEX('ImpactOutcome_Import-Export'!L$7:L$22,MATCH($A31,'ImpactOutcome_Import-Export'!$B$7:$B$22,0))="","",INDEX('ImpactOutcome_Import-Export'!L$7:L$22,MATCH($A31,'ImpactOutcome_Import-Export'!$B$7:$B$22,0))),""))</f>
        <v/>
      </c>
      <c r="F31" s="1031" t="str">
        <f>IF(B31="","",IFERROR(IF(INDEX('ImpactOutcome_Import-Export'!M$7:M$22,MATCH($A31,'ImpactOutcome_Import-Export'!$B$7:$B$22,0))="","",INDEX('ImpactOutcome_Import-Export'!M$7:M$22,MATCH($A31,'ImpactOutcome_Import-Export'!$B$7:$B$22,0))),""))</f>
        <v/>
      </c>
      <c r="G31" s="1031" t="str">
        <f>IF(B31="","",IFERROR(IF(INDEX('ImpactOutcome_Import-Export'!N$7:N$22,MATCH($A31,'ImpactOutcome_Import-Export'!$B$7:$B$22,0))="","",INDEX('ImpactOutcome_Import-Export'!N$7:N$22,MATCH($A31,'ImpactOutcome_Import-Export'!$B$7:$B$22,0))),""))</f>
        <v/>
      </c>
      <c r="H31" s="1032" t="str">
        <f>IF(B31="","",IFERROR(IF(INDEX('ImpactOutcome_Import-Export'!O$7:O$22,MATCH($A31,'ImpactOutcome_Import-Export'!$B$7:$B$22,0))="","",INDEX('ImpactOutcome_Import-Export'!O$7:O$22,MATCH($A31,'ImpactOutcome_Import-Export'!$B$7:$B$22,0))),""))</f>
        <v/>
      </c>
      <c r="I31" s="1030" t="str">
        <f>IF(B31="","",IFERROR(IF(INDEX('ImpactOutcome_Import-Export'!P$7:P$22,MATCH($A31,'ImpactOutcome_Import-Export'!$B$7:$B$22,0))="","",INDEX('ImpactOutcome_Import-Export'!P$7:P$22,MATCH($A31,'ImpactOutcome_Import-Export'!$B$7:$B$22,0))),""))</f>
        <v/>
      </c>
      <c r="J31" s="1033" t="str">
        <f>IF(B31="","",IFERROR(IF(INDEX('ImpactOutcome_Import-Export'!Q$7:Q$22,MATCH($A31,'ImpactOutcome_Import-Export'!$B$7:$B$22,0))="","",INDEX('ImpactOutcome_Import-Export'!Q$7:Q$22,MATCH($A31,'ImpactOutcome_Import-Export'!$B$7:$B$22,0))),""))</f>
        <v/>
      </c>
      <c r="K31" s="1030" t="str">
        <f>IF(B31="","",IFERROR(IF(INDEX('ImpactOutcome_Import-Export'!R$7:R$22,MATCH($A31,'ImpactOutcome_Import-Export'!$B$7:$B$22,0))="","",INDEX('ImpactOutcome_Import-Export'!R$7:R$22,MATCH($A31,'ImpactOutcome_Import-Export'!$B$7:$B$22,0))),""))</f>
        <v/>
      </c>
      <c r="L31" s="1034"/>
      <c r="M31" s="1034"/>
      <c r="N31" s="1035" t="str">
        <f t="shared" si="7"/>
        <v/>
      </c>
      <c r="O31" s="1036"/>
      <c r="P31" s="1037"/>
      <c r="Q31" s="1038"/>
      <c r="R31" s="1039" t="str">
        <f t="shared" si="0"/>
        <v/>
      </c>
      <c r="S31" s="1037"/>
      <c r="T31" s="1034"/>
      <c r="U31" s="1034"/>
      <c r="V31" s="1035" t="str">
        <f t="shared" si="2"/>
        <v/>
      </c>
      <c r="W31" s="1036"/>
      <c r="X31" s="1037"/>
      <c r="Y31" s="1038"/>
      <c r="Z31" s="1039" t="str">
        <f t="shared" si="3"/>
        <v/>
      </c>
      <c r="AA31" s="1034"/>
      <c r="AB31" s="1034"/>
      <c r="AC31" s="1035" t="str">
        <f t="shared" si="4"/>
        <v/>
      </c>
      <c r="AD31" s="1038"/>
      <c r="AE31" s="1040" t="str">
        <f t="shared" si="5"/>
        <v/>
      </c>
    </row>
    <row r="32" spans="1:31" ht="60" customHeight="1" x14ac:dyDescent="0.2">
      <c r="A32" s="636" t="str">
        <f>IFERROR(IF(INDEX(Impactlist,MATCH(0,INDEX(COUNTIF(A$10:A31,Impactlist),0,0),0))&lt;&gt;"",INDEX(Impactlist,MATCH(0,INDEX(COUNTIF(A$10:A31,Impactlist),0,0),0)),INDEX(Outcomelist,MATCH(0,INDEX(COUNTIF(A$10:A31,Outcomelist),0,0),0))),"")</f>
        <v/>
      </c>
      <c r="B32" s="1027" t="str">
        <f>IFERROR(INDEX('ImpactOutcome_Import-Export'!D$7:D$209,MATCH($A32,'ImpactOutcome_Import-Export'!$B$7:$B$209,0)),"")</f>
        <v/>
      </c>
      <c r="C32" s="1028" t="str">
        <f>IF(B32="","",IFERROR(INDEX('ImpactOutcome_Import-Export'!F$7:F$22,MATCH($A32,'ImpactOutcome_Import-Export'!$B$7:$B$22,0)),""))</f>
        <v/>
      </c>
      <c r="D32" s="1029" t="str">
        <f>IF(B32="","",IFERROR(IF(INDEX('ImpactOutcome_Import-Export'!K$7:K$22,MATCH($A32,'ImpactOutcome_Import-Export'!$B$7:$B$22,0))="","",INDEX('ImpactOutcome_Import-Export'!K$7:K$22,MATCH($A32,'ImpactOutcome_Import-Export'!$B$7:$B$22,0))),""))</f>
        <v/>
      </c>
      <c r="E32" s="1030" t="str">
        <f>IF(B32="","",IFERROR(IF(INDEX('ImpactOutcome_Import-Export'!L$7:L$22,MATCH($A32,'ImpactOutcome_Import-Export'!$B$7:$B$22,0))="","",INDEX('ImpactOutcome_Import-Export'!L$7:L$22,MATCH($A32,'ImpactOutcome_Import-Export'!$B$7:$B$22,0))),""))</f>
        <v/>
      </c>
      <c r="F32" s="1031" t="str">
        <f>IF(B32="","",IFERROR(IF(INDEX('ImpactOutcome_Import-Export'!M$7:M$22,MATCH($A32,'ImpactOutcome_Import-Export'!$B$7:$B$22,0))="","",INDEX('ImpactOutcome_Import-Export'!M$7:M$22,MATCH($A32,'ImpactOutcome_Import-Export'!$B$7:$B$22,0))),""))</f>
        <v/>
      </c>
      <c r="G32" s="1031" t="str">
        <f>IF(B32="","",IFERROR(IF(INDEX('ImpactOutcome_Import-Export'!N$7:N$22,MATCH($A32,'ImpactOutcome_Import-Export'!$B$7:$B$22,0))="","",INDEX('ImpactOutcome_Import-Export'!N$7:N$22,MATCH($A32,'ImpactOutcome_Import-Export'!$B$7:$B$22,0))),""))</f>
        <v/>
      </c>
      <c r="H32" s="1032" t="str">
        <f>IF(B32="","",IFERROR(IF(INDEX('ImpactOutcome_Import-Export'!O$7:O$22,MATCH($A32,'ImpactOutcome_Import-Export'!$B$7:$B$22,0))="","",INDEX('ImpactOutcome_Import-Export'!O$7:O$22,MATCH($A32,'ImpactOutcome_Import-Export'!$B$7:$B$22,0))),""))</f>
        <v/>
      </c>
      <c r="I32" s="1030" t="str">
        <f>IF(B32="","",IFERROR(IF(INDEX('ImpactOutcome_Import-Export'!P$7:P$22,MATCH($A32,'ImpactOutcome_Import-Export'!$B$7:$B$22,0))="","",INDEX('ImpactOutcome_Import-Export'!P$7:P$22,MATCH($A32,'ImpactOutcome_Import-Export'!$B$7:$B$22,0))),""))</f>
        <v/>
      </c>
      <c r="J32" s="1033" t="str">
        <f>IF(B32="","",IFERROR(IF(INDEX('ImpactOutcome_Import-Export'!Q$7:Q$22,MATCH($A32,'ImpactOutcome_Import-Export'!$B$7:$B$22,0))="","",INDEX('ImpactOutcome_Import-Export'!Q$7:Q$22,MATCH($A32,'ImpactOutcome_Import-Export'!$B$7:$B$22,0))),""))</f>
        <v/>
      </c>
      <c r="K32" s="1030" t="str">
        <f>IF(B32="","",IFERROR(IF(INDEX('ImpactOutcome_Import-Export'!R$7:R$22,MATCH($A32,'ImpactOutcome_Import-Export'!$B$7:$B$22,0))="","",INDEX('ImpactOutcome_Import-Export'!R$7:R$22,MATCH($A32,'ImpactOutcome_Import-Export'!$B$7:$B$22,0))),""))</f>
        <v/>
      </c>
      <c r="L32" s="1034"/>
      <c r="M32" s="1034"/>
      <c r="N32" s="1035" t="str">
        <f t="shared" si="7"/>
        <v/>
      </c>
      <c r="O32" s="1036"/>
      <c r="P32" s="1037"/>
      <c r="Q32" s="1038"/>
      <c r="R32" s="1039" t="str">
        <f t="shared" si="0"/>
        <v/>
      </c>
      <c r="S32" s="1037"/>
      <c r="T32" s="1034"/>
      <c r="U32" s="1034"/>
      <c r="V32" s="1035" t="str">
        <f t="shared" si="2"/>
        <v/>
      </c>
      <c r="W32" s="1036"/>
      <c r="X32" s="1037"/>
      <c r="Y32" s="1038"/>
      <c r="Z32" s="1039" t="str">
        <f t="shared" si="3"/>
        <v/>
      </c>
      <c r="AA32" s="1034"/>
      <c r="AB32" s="1034"/>
      <c r="AC32" s="1035" t="str">
        <f t="shared" si="4"/>
        <v/>
      </c>
      <c r="AD32" s="1038"/>
      <c r="AE32" s="1040" t="str">
        <f t="shared" si="5"/>
        <v/>
      </c>
    </row>
    <row r="33" spans="1:31" ht="60" customHeight="1" x14ac:dyDescent="0.2">
      <c r="A33" s="636" t="str">
        <f>IFERROR(IF(INDEX(Impactlist,MATCH(0,INDEX(COUNTIF(A$10:A32,Impactlist),0,0),0))&lt;&gt;"",INDEX(Impactlist,MATCH(0,INDEX(COUNTIF(A$10:A32,Impactlist),0,0),0)),INDEX(Outcomelist,MATCH(0,INDEX(COUNTIF(A$10:A32,Outcomelist),0,0),0))),"")</f>
        <v/>
      </c>
      <c r="B33" s="1027" t="str">
        <f>IFERROR(INDEX('ImpactOutcome_Import-Export'!D$7:D$209,MATCH($A33,'ImpactOutcome_Import-Export'!$B$7:$B$209,0)),"")</f>
        <v/>
      </c>
      <c r="C33" s="1028" t="str">
        <f>IF(B33="","",IFERROR(INDEX('ImpactOutcome_Import-Export'!F$7:F$22,MATCH($A33,'ImpactOutcome_Import-Export'!$B$7:$B$22,0)),""))</f>
        <v/>
      </c>
      <c r="D33" s="1029" t="str">
        <f>IF(B33="","",IFERROR(IF(INDEX('ImpactOutcome_Import-Export'!K$7:K$22,MATCH($A33,'ImpactOutcome_Import-Export'!$B$7:$B$22,0))="","",INDEX('ImpactOutcome_Import-Export'!K$7:K$22,MATCH($A33,'ImpactOutcome_Import-Export'!$B$7:$B$22,0))),""))</f>
        <v/>
      </c>
      <c r="E33" s="1030" t="str">
        <f>IF(B33="","",IFERROR(IF(INDEX('ImpactOutcome_Import-Export'!L$7:L$22,MATCH($A33,'ImpactOutcome_Import-Export'!$B$7:$B$22,0))="","",INDEX('ImpactOutcome_Import-Export'!L$7:L$22,MATCH($A33,'ImpactOutcome_Import-Export'!$B$7:$B$22,0))),""))</f>
        <v/>
      </c>
      <c r="F33" s="1031" t="str">
        <f>IF(B33="","",IFERROR(IF(INDEX('ImpactOutcome_Import-Export'!M$7:M$22,MATCH($A33,'ImpactOutcome_Import-Export'!$B$7:$B$22,0))="","",INDEX('ImpactOutcome_Import-Export'!M$7:M$22,MATCH($A33,'ImpactOutcome_Import-Export'!$B$7:$B$22,0))),""))</f>
        <v/>
      </c>
      <c r="G33" s="1031" t="str">
        <f>IF(B33="","",IFERROR(IF(INDEX('ImpactOutcome_Import-Export'!N$7:N$22,MATCH($A33,'ImpactOutcome_Import-Export'!$B$7:$B$22,0))="","",INDEX('ImpactOutcome_Import-Export'!N$7:N$22,MATCH($A33,'ImpactOutcome_Import-Export'!$B$7:$B$22,0))),""))</f>
        <v/>
      </c>
      <c r="H33" s="1032" t="str">
        <f>IF(B33="","",IFERROR(IF(INDEX('ImpactOutcome_Import-Export'!O$7:O$22,MATCH($A33,'ImpactOutcome_Import-Export'!$B$7:$B$22,0))="","",INDEX('ImpactOutcome_Import-Export'!O$7:O$22,MATCH($A33,'ImpactOutcome_Import-Export'!$B$7:$B$22,0))),""))</f>
        <v/>
      </c>
      <c r="I33" s="1030" t="str">
        <f>IF(B33="","",IFERROR(IF(INDEX('ImpactOutcome_Import-Export'!P$7:P$22,MATCH($A33,'ImpactOutcome_Import-Export'!$B$7:$B$22,0))="","",INDEX('ImpactOutcome_Import-Export'!P$7:P$22,MATCH($A33,'ImpactOutcome_Import-Export'!$B$7:$B$22,0))),""))</f>
        <v/>
      </c>
      <c r="J33" s="1033" t="str">
        <f>IF(B33="","",IFERROR(IF(INDEX('ImpactOutcome_Import-Export'!Q$7:Q$22,MATCH($A33,'ImpactOutcome_Import-Export'!$B$7:$B$22,0))="","",INDEX('ImpactOutcome_Import-Export'!Q$7:Q$22,MATCH($A33,'ImpactOutcome_Import-Export'!$B$7:$B$22,0))),""))</f>
        <v/>
      </c>
      <c r="K33" s="1030" t="str">
        <f>IF(B33="","",IFERROR(IF(INDEX('ImpactOutcome_Import-Export'!R$7:R$22,MATCH($A33,'ImpactOutcome_Import-Export'!$B$7:$B$22,0))="","",INDEX('ImpactOutcome_Import-Export'!R$7:R$22,MATCH($A33,'ImpactOutcome_Import-Export'!$B$7:$B$22,0))),""))</f>
        <v/>
      </c>
      <c r="L33" s="1034"/>
      <c r="M33" s="1034"/>
      <c r="N33" s="1035" t="str">
        <f t="shared" si="7"/>
        <v/>
      </c>
      <c r="O33" s="1036"/>
      <c r="P33" s="1037"/>
      <c r="Q33" s="1038"/>
      <c r="R33" s="1039" t="str">
        <f t="shared" si="0"/>
        <v/>
      </c>
      <c r="S33" s="1037"/>
      <c r="T33" s="1034"/>
      <c r="U33" s="1034"/>
      <c r="V33" s="1035" t="str">
        <f t="shared" si="2"/>
        <v/>
      </c>
      <c r="W33" s="1036"/>
      <c r="X33" s="1037"/>
      <c r="Y33" s="1038"/>
      <c r="Z33" s="1039" t="str">
        <f t="shared" si="3"/>
        <v/>
      </c>
      <c r="AA33" s="1034"/>
      <c r="AB33" s="1034"/>
      <c r="AC33" s="1035" t="str">
        <f t="shared" si="4"/>
        <v/>
      </c>
      <c r="AD33" s="1038"/>
      <c r="AE33" s="1040" t="str">
        <f t="shared" si="5"/>
        <v/>
      </c>
    </row>
    <row r="34" spans="1:31" ht="60" customHeight="1" x14ac:dyDescent="0.2">
      <c r="A34" s="636" t="str">
        <f>IFERROR(IF(INDEX(Impactlist,MATCH(0,INDEX(COUNTIF(A$10:A33,Impactlist),0,0),0))&lt;&gt;"",INDEX(Impactlist,MATCH(0,INDEX(COUNTIF(A$10:A33,Impactlist),0,0),0)),INDEX(Outcomelist,MATCH(0,INDEX(COUNTIF(A$10:A33,Outcomelist),0,0),0))),"")</f>
        <v/>
      </c>
      <c r="B34" s="1027" t="str">
        <f>IFERROR(INDEX('ImpactOutcome_Import-Export'!D$7:D$209,MATCH($A34,'ImpactOutcome_Import-Export'!$B$7:$B$209,0)),"")</f>
        <v/>
      </c>
      <c r="C34" s="1028" t="str">
        <f>IF(B34="","",IFERROR(INDEX('ImpactOutcome_Import-Export'!F$7:F$22,MATCH($A34,'ImpactOutcome_Import-Export'!$B$7:$B$22,0)),""))</f>
        <v/>
      </c>
      <c r="D34" s="1029" t="str">
        <f>IF(B34="","",IFERROR(IF(INDEX('ImpactOutcome_Import-Export'!K$7:K$22,MATCH($A34,'ImpactOutcome_Import-Export'!$B$7:$B$22,0))="","",INDEX('ImpactOutcome_Import-Export'!K$7:K$22,MATCH($A34,'ImpactOutcome_Import-Export'!$B$7:$B$22,0))),""))</f>
        <v/>
      </c>
      <c r="E34" s="1030" t="str">
        <f>IF(B34="","",IFERROR(IF(INDEX('ImpactOutcome_Import-Export'!L$7:L$22,MATCH($A34,'ImpactOutcome_Import-Export'!$B$7:$B$22,0))="","",INDEX('ImpactOutcome_Import-Export'!L$7:L$22,MATCH($A34,'ImpactOutcome_Import-Export'!$B$7:$B$22,0))),""))</f>
        <v/>
      </c>
      <c r="F34" s="1031" t="str">
        <f>IF(B34="","",IFERROR(IF(INDEX('ImpactOutcome_Import-Export'!M$7:M$22,MATCH($A34,'ImpactOutcome_Import-Export'!$B$7:$B$22,0))="","",INDEX('ImpactOutcome_Import-Export'!M$7:M$22,MATCH($A34,'ImpactOutcome_Import-Export'!$B$7:$B$22,0))),""))</f>
        <v/>
      </c>
      <c r="G34" s="1031" t="str">
        <f>IF(B34="","",IFERROR(IF(INDEX('ImpactOutcome_Import-Export'!N$7:N$22,MATCH($A34,'ImpactOutcome_Import-Export'!$B$7:$B$22,0))="","",INDEX('ImpactOutcome_Import-Export'!N$7:N$22,MATCH($A34,'ImpactOutcome_Import-Export'!$B$7:$B$22,0))),""))</f>
        <v/>
      </c>
      <c r="H34" s="1032" t="str">
        <f>IF(B34="","",IFERROR(IF(INDEX('ImpactOutcome_Import-Export'!O$7:O$22,MATCH($A34,'ImpactOutcome_Import-Export'!$B$7:$B$22,0))="","",INDEX('ImpactOutcome_Import-Export'!O$7:O$22,MATCH($A34,'ImpactOutcome_Import-Export'!$B$7:$B$22,0))),""))</f>
        <v/>
      </c>
      <c r="I34" s="1030" t="str">
        <f>IF(B34="","",IFERROR(IF(INDEX('ImpactOutcome_Import-Export'!P$7:P$22,MATCH($A34,'ImpactOutcome_Import-Export'!$B$7:$B$22,0))="","",INDEX('ImpactOutcome_Import-Export'!P$7:P$22,MATCH($A34,'ImpactOutcome_Import-Export'!$B$7:$B$22,0))),""))</f>
        <v/>
      </c>
      <c r="J34" s="1033" t="str">
        <f>IF(B34="","",IFERROR(IF(INDEX('ImpactOutcome_Import-Export'!Q$7:Q$22,MATCH($A34,'ImpactOutcome_Import-Export'!$B$7:$B$22,0))="","",INDEX('ImpactOutcome_Import-Export'!Q$7:Q$22,MATCH($A34,'ImpactOutcome_Import-Export'!$B$7:$B$22,0))),""))</f>
        <v/>
      </c>
      <c r="K34" s="1030" t="str">
        <f>IF(B34="","",IFERROR(IF(INDEX('ImpactOutcome_Import-Export'!R$7:R$22,MATCH($A34,'ImpactOutcome_Import-Export'!$B$7:$B$22,0))="","",INDEX('ImpactOutcome_Import-Export'!R$7:R$22,MATCH($A34,'ImpactOutcome_Import-Export'!$B$7:$B$22,0))),""))</f>
        <v/>
      </c>
      <c r="L34" s="1034"/>
      <c r="M34" s="1034"/>
      <c r="N34" s="1035" t="str">
        <f t="shared" si="7"/>
        <v/>
      </c>
      <c r="O34" s="1036"/>
      <c r="P34" s="1037"/>
      <c r="Q34" s="1038"/>
      <c r="R34" s="1039" t="str">
        <f t="shared" si="0"/>
        <v/>
      </c>
      <c r="S34" s="1037"/>
      <c r="T34" s="1034"/>
      <c r="U34" s="1034"/>
      <c r="V34" s="1035" t="str">
        <f t="shared" si="2"/>
        <v/>
      </c>
      <c r="W34" s="1036"/>
      <c r="X34" s="1037"/>
      <c r="Y34" s="1038"/>
      <c r="Z34" s="1039" t="str">
        <f t="shared" si="3"/>
        <v/>
      </c>
      <c r="AA34" s="1034"/>
      <c r="AB34" s="1034"/>
      <c r="AC34" s="1035" t="str">
        <f t="shared" si="4"/>
        <v/>
      </c>
      <c r="AD34" s="1038"/>
      <c r="AE34" s="1040" t="str">
        <f t="shared" si="5"/>
        <v/>
      </c>
    </row>
    <row r="35" spans="1:31" ht="60" customHeight="1" x14ac:dyDescent="0.2">
      <c r="A35" s="636" t="str">
        <f>IFERROR(IF(INDEX(Impactlist,MATCH(0,INDEX(COUNTIF(A$10:A34,Impactlist),0,0),0))&lt;&gt;"",INDEX(Impactlist,MATCH(0,INDEX(COUNTIF(A$10:A34,Impactlist),0,0),0)),INDEX(Outcomelist,MATCH(0,INDEX(COUNTIF(A$10:A34,Outcomelist),0,0),0))),"")</f>
        <v/>
      </c>
      <c r="B35" s="1027" t="str">
        <f>IFERROR(INDEX('ImpactOutcome_Import-Export'!D$7:D$209,MATCH($A35,'ImpactOutcome_Import-Export'!$B$7:$B$209,0)),"")</f>
        <v/>
      </c>
      <c r="C35" s="1028" t="str">
        <f>IF(B35="","",IFERROR(INDEX('ImpactOutcome_Import-Export'!F$7:F$22,MATCH($A35,'ImpactOutcome_Import-Export'!$B$7:$B$22,0)),""))</f>
        <v/>
      </c>
      <c r="D35" s="1029" t="str">
        <f>IF(B35="","",IFERROR(IF(INDEX('ImpactOutcome_Import-Export'!K$7:K$22,MATCH($A35,'ImpactOutcome_Import-Export'!$B$7:$B$22,0))="","",INDEX('ImpactOutcome_Import-Export'!K$7:K$22,MATCH($A35,'ImpactOutcome_Import-Export'!$B$7:$B$22,0))),""))</f>
        <v/>
      </c>
      <c r="E35" s="1030" t="str">
        <f>IF(B35="","",IFERROR(IF(INDEX('ImpactOutcome_Import-Export'!L$7:L$22,MATCH($A35,'ImpactOutcome_Import-Export'!$B$7:$B$22,0))="","",INDEX('ImpactOutcome_Import-Export'!L$7:L$22,MATCH($A35,'ImpactOutcome_Import-Export'!$B$7:$B$22,0))),""))</f>
        <v/>
      </c>
      <c r="F35" s="1031" t="str">
        <f>IF(B35="","",IFERROR(IF(INDEX('ImpactOutcome_Import-Export'!M$7:M$22,MATCH($A35,'ImpactOutcome_Import-Export'!$B$7:$B$22,0))="","",INDEX('ImpactOutcome_Import-Export'!M$7:M$22,MATCH($A35,'ImpactOutcome_Import-Export'!$B$7:$B$22,0))),""))</f>
        <v/>
      </c>
      <c r="G35" s="1031" t="str">
        <f>IF(B35="","",IFERROR(IF(INDEX('ImpactOutcome_Import-Export'!N$7:N$22,MATCH($A35,'ImpactOutcome_Import-Export'!$B$7:$B$22,0))="","",INDEX('ImpactOutcome_Import-Export'!N$7:N$22,MATCH($A35,'ImpactOutcome_Import-Export'!$B$7:$B$22,0))),""))</f>
        <v/>
      </c>
      <c r="H35" s="1032" t="str">
        <f>IF(B35="","",IFERROR(IF(INDEX('ImpactOutcome_Import-Export'!O$7:O$22,MATCH($A35,'ImpactOutcome_Import-Export'!$B$7:$B$22,0))="","",INDEX('ImpactOutcome_Import-Export'!O$7:O$22,MATCH($A35,'ImpactOutcome_Import-Export'!$B$7:$B$22,0))),""))</f>
        <v/>
      </c>
      <c r="I35" s="1030" t="str">
        <f>IF(B35="","",IFERROR(IF(INDEX('ImpactOutcome_Import-Export'!P$7:P$22,MATCH($A35,'ImpactOutcome_Import-Export'!$B$7:$B$22,0))="","",INDEX('ImpactOutcome_Import-Export'!P$7:P$22,MATCH($A35,'ImpactOutcome_Import-Export'!$B$7:$B$22,0))),""))</f>
        <v/>
      </c>
      <c r="J35" s="1033" t="str">
        <f>IF(B35="","",IFERROR(IF(INDEX('ImpactOutcome_Import-Export'!Q$7:Q$22,MATCH($A35,'ImpactOutcome_Import-Export'!$B$7:$B$22,0))="","",INDEX('ImpactOutcome_Import-Export'!Q$7:Q$22,MATCH($A35,'ImpactOutcome_Import-Export'!$B$7:$B$22,0))),""))</f>
        <v/>
      </c>
      <c r="K35" s="1030" t="str">
        <f>IF(B35="","",IFERROR(IF(INDEX('ImpactOutcome_Import-Export'!R$7:R$22,MATCH($A35,'ImpactOutcome_Import-Export'!$B$7:$B$22,0))="","",INDEX('ImpactOutcome_Import-Export'!R$7:R$22,MATCH($A35,'ImpactOutcome_Import-Export'!$B$7:$B$22,0))),""))</f>
        <v/>
      </c>
      <c r="L35" s="1034"/>
      <c r="M35" s="1034"/>
      <c r="N35" s="1035" t="str">
        <f t="shared" si="7"/>
        <v/>
      </c>
      <c r="O35" s="1036"/>
      <c r="P35" s="1037"/>
      <c r="Q35" s="1038"/>
      <c r="R35" s="1039" t="str">
        <f t="shared" si="0"/>
        <v/>
      </c>
      <c r="S35" s="1037"/>
      <c r="T35" s="1034"/>
      <c r="U35" s="1034"/>
      <c r="V35" s="1035" t="str">
        <f t="shared" si="2"/>
        <v/>
      </c>
      <c r="W35" s="1036"/>
      <c r="X35" s="1037"/>
      <c r="Y35" s="1038"/>
      <c r="Z35" s="1039" t="str">
        <f t="shared" si="3"/>
        <v/>
      </c>
      <c r="AA35" s="1034"/>
      <c r="AB35" s="1034"/>
      <c r="AC35" s="1035" t="str">
        <f t="shared" si="4"/>
        <v/>
      </c>
      <c r="AD35" s="1038"/>
      <c r="AE35" s="1040" t="str">
        <f t="shared" si="5"/>
        <v/>
      </c>
    </row>
    <row r="36" spans="1:31" ht="60" customHeight="1" x14ac:dyDescent="0.2">
      <c r="A36" s="636" t="str">
        <f>IFERROR(IF(INDEX(Impactlist,MATCH(0,INDEX(COUNTIF(A$10:A35,Impactlist),0,0),0))&lt;&gt;"",INDEX(Impactlist,MATCH(0,INDEX(COUNTIF(A$10:A35,Impactlist),0,0),0)),INDEX(Outcomelist,MATCH(0,INDEX(COUNTIF(A$10:A35,Outcomelist),0,0),0))),"")</f>
        <v/>
      </c>
      <c r="B36" s="1027" t="str">
        <f>IFERROR(INDEX('ImpactOutcome_Import-Export'!D$7:D$209,MATCH($A36,'ImpactOutcome_Import-Export'!$B$7:$B$209,0)),"")</f>
        <v/>
      </c>
      <c r="C36" s="1028" t="str">
        <f>IF(B36="","",IFERROR(INDEX('ImpactOutcome_Import-Export'!F$7:F$22,MATCH($A36,'ImpactOutcome_Import-Export'!$B$7:$B$22,0)),""))</f>
        <v/>
      </c>
      <c r="D36" s="1029" t="str">
        <f>IF(B36="","",IFERROR(IF(INDEX('ImpactOutcome_Import-Export'!K$7:K$22,MATCH($A36,'ImpactOutcome_Import-Export'!$B$7:$B$22,0))="","",INDEX('ImpactOutcome_Import-Export'!K$7:K$22,MATCH($A36,'ImpactOutcome_Import-Export'!$B$7:$B$22,0))),""))</f>
        <v/>
      </c>
      <c r="E36" s="1030" t="str">
        <f>IF(B36="","",IFERROR(IF(INDEX('ImpactOutcome_Import-Export'!L$7:L$22,MATCH($A36,'ImpactOutcome_Import-Export'!$B$7:$B$22,0))="","",INDEX('ImpactOutcome_Import-Export'!L$7:L$22,MATCH($A36,'ImpactOutcome_Import-Export'!$B$7:$B$22,0))),""))</f>
        <v/>
      </c>
      <c r="F36" s="1031" t="str">
        <f>IF(B36="","",IFERROR(IF(INDEX('ImpactOutcome_Import-Export'!M$7:M$22,MATCH($A36,'ImpactOutcome_Import-Export'!$B$7:$B$22,0))="","",INDEX('ImpactOutcome_Import-Export'!M$7:M$22,MATCH($A36,'ImpactOutcome_Import-Export'!$B$7:$B$22,0))),""))</f>
        <v/>
      </c>
      <c r="G36" s="1031" t="str">
        <f>IF(B36="","",IFERROR(IF(INDEX('ImpactOutcome_Import-Export'!N$7:N$22,MATCH($A36,'ImpactOutcome_Import-Export'!$B$7:$B$22,0))="","",INDEX('ImpactOutcome_Import-Export'!N$7:N$22,MATCH($A36,'ImpactOutcome_Import-Export'!$B$7:$B$22,0))),""))</f>
        <v/>
      </c>
      <c r="H36" s="1032" t="str">
        <f>IF(B36="","",IFERROR(IF(INDEX('ImpactOutcome_Import-Export'!O$7:O$22,MATCH($A36,'ImpactOutcome_Import-Export'!$B$7:$B$22,0))="","",INDEX('ImpactOutcome_Import-Export'!O$7:O$22,MATCH($A36,'ImpactOutcome_Import-Export'!$B$7:$B$22,0))),""))</f>
        <v/>
      </c>
      <c r="I36" s="1030" t="str">
        <f>IF(B36="","",IFERROR(IF(INDEX('ImpactOutcome_Import-Export'!P$7:P$22,MATCH($A36,'ImpactOutcome_Import-Export'!$B$7:$B$22,0))="","",INDEX('ImpactOutcome_Import-Export'!P$7:P$22,MATCH($A36,'ImpactOutcome_Import-Export'!$B$7:$B$22,0))),""))</f>
        <v/>
      </c>
      <c r="J36" s="1033" t="str">
        <f>IF(B36="","",IFERROR(IF(INDEX('ImpactOutcome_Import-Export'!Q$7:Q$22,MATCH($A36,'ImpactOutcome_Import-Export'!$B$7:$B$22,0))="","",INDEX('ImpactOutcome_Import-Export'!Q$7:Q$22,MATCH($A36,'ImpactOutcome_Import-Export'!$B$7:$B$22,0))),""))</f>
        <v/>
      </c>
      <c r="K36" s="1030" t="str">
        <f>IF(B36="","",IFERROR(IF(INDEX('ImpactOutcome_Import-Export'!R$7:R$22,MATCH($A36,'ImpactOutcome_Import-Export'!$B$7:$B$22,0))="","",INDEX('ImpactOutcome_Import-Export'!R$7:R$22,MATCH($A36,'ImpactOutcome_Import-Export'!$B$7:$B$22,0))),""))</f>
        <v/>
      </c>
      <c r="L36" s="1034"/>
      <c r="M36" s="1034"/>
      <c r="N36" s="1035" t="str">
        <f t="shared" si="7"/>
        <v/>
      </c>
      <c r="O36" s="1036"/>
      <c r="P36" s="1037"/>
      <c r="Q36" s="1038"/>
      <c r="R36" s="1039" t="str">
        <f t="shared" si="0"/>
        <v/>
      </c>
      <c r="S36" s="1037"/>
      <c r="T36" s="1034"/>
      <c r="U36" s="1034"/>
      <c r="V36" s="1035" t="str">
        <f t="shared" si="2"/>
        <v/>
      </c>
      <c r="W36" s="1036"/>
      <c r="X36" s="1037"/>
      <c r="Y36" s="1038"/>
      <c r="Z36" s="1039" t="str">
        <f t="shared" si="3"/>
        <v/>
      </c>
      <c r="AA36" s="1034"/>
      <c r="AB36" s="1034"/>
      <c r="AC36" s="1035" t="str">
        <f t="shared" si="4"/>
        <v/>
      </c>
      <c r="AD36" s="1038"/>
      <c r="AE36" s="1040" t="str">
        <f t="shared" si="5"/>
        <v/>
      </c>
    </row>
    <row r="37" spans="1:31" ht="60" customHeight="1" x14ac:dyDescent="0.2">
      <c r="A37" s="636" t="str">
        <f>IFERROR(IF(INDEX(Impactlist,MATCH(0,INDEX(COUNTIF(A$10:A36,Impactlist),0,0),0))&lt;&gt;"",INDEX(Impactlist,MATCH(0,INDEX(COUNTIF(A$10:A36,Impactlist),0,0),0)),INDEX(Outcomelist,MATCH(0,INDEX(COUNTIF(A$10:A36,Outcomelist),0,0),0))),"")</f>
        <v/>
      </c>
      <c r="B37" s="1027" t="str">
        <f>IFERROR(INDEX('ImpactOutcome_Import-Export'!D$7:D$209,MATCH($A37,'ImpactOutcome_Import-Export'!$B$7:$B$209,0)),"")</f>
        <v/>
      </c>
      <c r="C37" s="1028" t="str">
        <f>IF(B37="","",IFERROR(INDEX('ImpactOutcome_Import-Export'!F$7:F$22,MATCH($A37,'ImpactOutcome_Import-Export'!$B$7:$B$22,0)),""))</f>
        <v/>
      </c>
      <c r="D37" s="1029" t="str">
        <f>IF(B37="","",IFERROR(IF(INDEX('ImpactOutcome_Import-Export'!K$7:K$22,MATCH($A37,'ImpactOutcome_Import-Export'!$B$7:$B$22,0))="","",INDEX('ImpactOutcome_Import-Export'!K$7:K$22,MATCH($A37,'ImpactOutcome_Import-Export'!$B$7:$B$22,0))),""))</f>
        <v/>
      </c>
      <c r="E37" s="1030" t="str">
        <f>IF(B37="","",IFERROR(IF(INDEX('ImpactOutcome_Import-Export'!L$7:L$22,MATCH($A37,'ImpactOutcome_Import-Export'!$B$7:$B$22,0))="","",INDEX('ImpactOutcome_Import-Export'!L$7:L$22,MATCH($A37,'ImpactOutcome_Import-Export'!$B$7:$B$22,0))),""))</f>
        <v/>
      </c>
      <c r="F37" s="1031" t="str">
        <f>IF(B37="","",IFERROR(IF(INDEX('ImpactOutcome_Import-Export'!M$7:M$22,MATCH($A37,'ImpactOutcome_Import-Export'!$B$7:$B$22,0))="","",INDEX('ImpactOutcome_Import-Export'!M$7:M$22,MATCH($A37,'ImpactOutcome_Import-Export'!$B$7:$B$22,0))),""))</f>
        <v/>
      </c>
      <c r="G37" s="1031" t="str">
        <f>IF(B37="","",IFERROR(IF(INDEX('ImpactOutcome_Import-Export'!N$7:N$22,MATCH($A37,'ImpactOutcome_Import-Export'!$B$7:$B$22,0))="","",INDEX('ImpactOutcome_Import-Export'!N$7:N$22,MATCH($A37,'ImpactOutcome_Import-Export'!$B$7:$B$22,0))),""))</f>
        <v/>
      </c>
      <c r="H37" s="1032" t="str">
        <f>IF(B37="","",IFERROR(IF(INDEX('ImpactOutcome_Import-Export'!O$7:O$22,MATCH($A37,'ImpactOutcome_Import-Export'!$B$7:$B$22,0))="","",INDEX('ImpactOutcome_Import-Export'!O$7:O$22,MATCH($A37,'ImpactOutcome_Import-Export'!$B$7:$B$22,0))),""))</f>
        <v/>
      </c>
      <c r="I37" s="1030" t="str">
        <f>IF(B37="","",IFERROR(IF(INDEX('ImpactOutcome_Import-Export'!P$7:P$22,MATCH($A37,'ImpactOutcome_Import-Export'!$B$7:$B$22,0))="","",INDEX('ImpactOutcome_Import-Export'!P$7:P$22,MATCH($A37,'ImpactOutcome_Import-Export'!$B$7:$B$22,0))),""))</f>
        <v/>
      </c>
      <c r="J37" s="1033" t="str">
        <f>IF(B37="","",IFERROR(IF(INDEX('ImpactOutcome_Import-Export'!Q$7:Q$22,MATCH($A37,'ImpactOutcome_Import-Export'!$B$7:$B$22,0))="","",INDEX('ImpactOutcome_Import-Export'!Q$7:Q$22,MATCH($A37,'ImpactOutcome_Import-Export'!$B$7:$B$22,0))),""))</f>
        <v/>
      </c>
      <c r="K37" s="1030" t="str">
        <f>IF(B37="","",IFERROR(IF(INDEX('ImpactOutcome_Import-Export'!R$7:R$22,MATCH($A37,'ImpactOutcome_Import-Export'!$B$7:$B$22,0))="","",INDEX('ImpactOutcome_Import-Export'!R$7:R$22,MATCH($A37,'ImpactOutcome_Import-Export'!$B$7:$B$22,0))),""))</f>
        <v/>
      </c>
      <c r="L37" s="1034"/>
      <c r="M37" s="1034"/>
      <c r="N37" s="1035" t="str">
        <f t="shared" si="7"/>
        <v/>
      </c>
      <c r="O37" s="1036"/>
      <c r="P37" s="1037"/>
      <c r="Q37" s="1038"/>
      <c r="R37" s="1039" t="str">
        <f t="shared" si="0"/>
        <v/>
      </c>
      <c r="S37" s="1037"/>
      <c r="T37" s="1034"/>
      <c r="U37" s="1034"/>
      <c r="V37" s="1035" t="str">
        <f t="shared" si="2"/>
        <v/>
      </c>
      <c r="W37" s="1036"/>
      <c r="X37" s="1037"/>
      <c r="Y37" s="1038"/>
      <c r="Z37" s="1039" t="str">
        <f t="shared" si="3"/>
        <v/>
      </c>
      <c r="AA37" s="1034"/>
      <c r="AB37" s="1034"/>
      <c r="AC37" s="1035" t="str">
        <f t="shared" si="4"/>
        <v/>
      </c>
      <c r="AD37" s="1038"/>
      <c r="AE37" s="1040" t="str">
        <f t="shared" si="5"/>
        <v/>
      </c>
    </row>
    <row r="38" spans="1:31" ht="60" customHeight="1" x14ac:dyDescent="0.2">
      <c r="A38" s="636" t="str">
        <f>IFERROR(IF(INDEX(Impactlist,MATCH(0,INDEX(COUNTIF(A$10:A37,Impactlist),0,0),0))&lt;&gt;"",INDEX(Impactlist,MATCH(0,INDEX(COUNTIF(A$10:A37,Impactlist),0,0),0)),INDEX(Outcomelist,MATCH(0,INDEX(COUNTIF(A$10:A37,Outcomelist),0,0),0))),"")</f>
        <v/>
      </c>
      <c r="B38" s="1027" t="str">
        <f>IFERROR(INDEX('ImpactOutcome_Import-Export'!D$7:D$209,MATCH($A38,'ImpactOutcome_Import-Export'!$B$7:$B$209,0)),"")</f>
        <v/>
      </c>
      <c r="C38" s="1028" t="str">
        <f>IF(B38="","",IFERROR(INDEX('ImpactOutcome_Import-Export'!F$7:F$22,MATCH($A38,'ImpactOutcome_Import-Export'!$B$7:$B$22,0)),""))</f>
        <v/>
      </c>
      <c r="D38" s="1029" t="str">
        <f>IF(B38="","",IFERROR(IF(INDEX('ImpactOutcome_Import-Export'!K$7:K$22,MATCH($A38,'ImpactOutcome_Import-Export'!$B$7:$B$22,0))="","",INDEX('ImpactOutcome_Import-Export'!K$7:K$22,MATCH($A38,'ImpactOutcome_Import-Export'!$B$7:$B$22,0))),""))</f>
        <v/>
      </c>
      <c r="E38" s="1030" t="str">
        <f>IF(B38="","",IFERROR(IF(INDEX('ImpactOutcome_Import-Export'!L$7:L$22,MATCH($A38,'ImpactOutcome_Import-Export'!$B$7:$B$22,0))="","",INDEX('ImpactOutcome_Import-Export'!L$7:L$22,MATCH($A38,'ImpactOutcome_Import-Export'!$B$7:$B$22,0))),""))</f>
        <v/>
      </c>
      <c r="F38" s="1031" t="str">
        <f>IF(B38="","",IFERROR(IF(INDEX('ImpactOutcome_Import-Export'!M$7:M$22,MATCH($A38,'ImpactOutcome_Import-Export'!$B$7:$B$22,0))="","",INDEX('ImpactOutcome_Import-Export'!M$7:M$22,MATCH($A38,'ImpactOutcome_Import-Export'!$B$7:$B$22,0))),""))</f>
        <v/>
      </c>
      <c r="G38" s="1031" t="str">
        <f>IF(B38="","",IFERROR(IF(INDEX('ImpactOutcome_Import-Export'!N$7:N$22,MATCH($A38,'ImpactOutcome_Import-Export'!$B$7:$B$22,0))="","",INDEX('ImpactOutcome_Import-Export'!N$7:N$22,MATCH($A38,'ImpactOutcome_Import-Export'!$B$7:$B$22,0))),""))</f>
        <v/>
      </c>
      <c r="H38" s="1032" t="str">
        <f>IF(B38="","",IFERROR(IF(INDEX('ImpactOutcome_Import-Export'!O$7:O$22,MATCH($A38,'ImpactOutcome_Import-Export'!$B$7:$B$22,0))="","",INDEX('ImpactOutcome_Import-Export'!O$7:O$22,MATCH($A38,'ImpactOutcome_Import-Export'!$B$7:$B$22,0))),""))</f>
        <v/>
      </c>
      <c r="I38" s="1030" t="str">
        <f>IF(B38="","",IFERROR(IF(INDEX('ImpactOutcome_Import-Export'!P$7:P$22,MATCH($A38,'ImpactOutcome_Import-Export'!$B$7:$B$22,0))="","",INDEX('ImpactOutcome_Import-Export'!P$7:P$22,MATCH($A38,'ImpactOutcome_Import-Export'!$B$7:$B$22,0))),""))</f>
        <v/>
      </c>
      <c r="J38" s="1033" t="str">
        <f>IF(B38="","",IFERROR(IF(INDEX('ImpactOutcome_Import-Export'!Q$7:Q$22,MATCH($A38,'ImpactOutcome_Import-Export'!$B$7:$B$22,0))="","",INDEX('ImpactOutcome_Import-Export'!Q$7:Q$22,MATCH($A38,'ImpactOutcome_Import-Export'!$B$7:$B$22,0))),""))</f>
        <v/>
      </c>
      <c r="K38" s="1030" t="str">
        <f>IF(B38="","",IFERROR(IF(INDEX('ImpactOutcome_Import-Export'!R$7:R$22,MATCH($A38,'ImpactOutcome_Import-Export'!$B$7:$B$22,0))="","",INDEX('ImpactOutcome_Import-Export'!R$7:R$22,MATCH($A38,'ImpactOutcome_Import-Export'!$B$7:$B$22,0))),""))</f>
        <v/>
      </c>
      <c r="L38" s="1034"/>
      <c r="M38" s="1034"/>
      <c r="N38" s="1035" t="str">
        <f t="shared" si="7"/>
        <v/>
      </c>
      <c r="O38" s="1036"/>
      <c r="P38" s="1037"/>
      <c r="Q38" s="1038"/>
      <c r="R38" s="1039" t="str">
        <f t="shared" si="0"/>
        <v/>
      </c>
      <c r="S38" s="1037"/>
      <c r="T38" s="1034"/>
      <c r="U38" s="1034"/>
      <c r="V38" s="1035" t="str">
        <f t="shared" si="2"/>
        <v/>
      </c>
      <c r="W38" s="1036"/>
      <c r="X38" s="1037"/>
      <c r="Y38" s="1038"/>
      <c r="Z38" s="1039" t="str">
        <f t="shared" si="3"/>
        <v/>
      </c>
      <c r="AA38" s="1034"/>
      <c r="AB38" s="1034"/>
      <c r="AC38" s="1035" t="str">
        <f t="shared" si="4"/>
        <v/>
      </c>
      <c r="AD38" s="1038"/>
      <c r="AE38" s="1040" t="str">
        <f t="shared" si="5"/>
        <v/>
      </c>
    </row>
    <row r="39" spans="1:31" ht="60" customHeight="1" x14ac:dyDescent="0.2">
      <c r="A39" s="636" t="str">
        <f>IFERROR(IF(INDEX(Impactlist,MATCH(0,INDEX(COUNTIF(A$10:A38,Impactlist),0,0),0))&lt;&gt;"",INDEX(Impactlist,MATCH(0,INDEX(COUNTIF(A$10:A38,Impactlist),0,0),0)),INDEX(Outcomelist,MATCH(0,INDEX(COUNTIF(A$10:A38,Outcomelist),0,0),0))),"")</f>
        <v/>
      </c>
      <c r="B39" s="1027" t="str">
        <f>IFERROR(INDEX('ImpactOutcome_Import-Export'!D$7:D$209,MATCH($A39,'ImpactOutcome_Import-Export'!$B$7:$B$209,0)),"")</f>
        <v/>
      </c>
      <c r="C39" s="1028" t="str">
        <f>IF(B39="","",IFERROR(INDEX('ImpactOutcome_Import-Export'!F$7:F$22,MATCH($A39,'ImpactOutcome_Import-Export'!$B$7:$B$22,0)),""))</f>
        <v/>
      </c>
      <c r="D39" s="1029" t="str">
        <f>IF(B39="","",IFERROR(IF(INDEX('ImpactOutcome_Import-Export'!K$7:K$22,MATCH($A39,'ImpactOutcome_Import-Export'!$B$7:$B$22,0))="","",INDEX('ImpactOutcome_Import-Export'!K$7:K$22,MATCH($A39,'ImpactOutcome_Import-Export'!$B$7:$B$22,0))),""))</f>
        <v/>
      </c>
      <c r="E39" s="1030" t="str">
        <f>IF(B39="","",IFERROR(IF(INDEX('ImpactOutcome_Import-Export'!L$7:L$22,MATCH($A39,'ImpactOutcome_Import-Export'!$B$7:$B$22,0))="","",INDEX('ImpactOutcome_Import-Export'!L$7:L$22,MATCH($A39,'ImpactOutcome_Import-Export'!$B$7:$B$22,0))),""))</f>
        <v/>
      </c>
      <c r="F39" s="1031" t="str">
        <f>IF(B39="","",IFERROR(IF(INDEX('ImpactOutcome_Import-Export'!M$7:M$22,MATCH($A39,'ImpactOutcome_Import-Export'!$B$7:$B$22,0))="","",INDEX('ImpactOutcome_Import-Export'!M$7:M$22,MATCH($A39,'ImpactOutcome_Import-Export'!$B$7:$B$22,0))),""))</f>
        <v/>
      </c>
      <c r="G39" s="1031" t="str">
        <f>IF(B39="","",IFERROR(IF(INDEX('ImpactOutcome_Import-Export'!N$7:N$22,MATCH($A39,'ImpactOutcome_Import-Export'!$B$7:$B$22,0))="","",INDEX('ImpactOutcome_Import-Export'!N$7:N$22,MATCH($A39,'ImpactOutcome_Import-Export'!$B$7:$B$22,0))),""))</f>
        <v/>
      </c>
      <c r="H39" s="1032" t="str">
        <f>IF(B39="","",IFERROR(IF(INDEX('ImpactOutcome_Import-Export'!O$7:O$22,MATCH($A39,'ImpactOutcome_Import-Export'!$B$7:$B$22,0))="","",INDEX('ImpactOutcome_Import-Export'!O$7:O$22,MATCH($A39,'ImpactOutcome_Import-Export'!$B$7:$B$22,0))),""))</f>
        <v/>
      </c>
      <c r="I39" s="1030" t="str">
        <f>IF(B39="","",IFERROR(IF(INDEX('ImpactOutcome_Import-Export'!P$7:P$22,MATCH($A39,'ImpactOutcome_Import-Export'!$B$7:$B$22,0))="","",INDEX('ImpactOutcome_Import-Export'!P$7:P$22,MATCH($A39,'ImpactOutcome_Import-Export'!$B$7:$B$22,0))),""))</f>
        <v/>
      </c>
      <c r="J39" s="1033" t="str">
        <f>IF(B39="","",IFERROR(IF(INDEX('ImpactOutcome_Import-Export'!Q$7:Q$22,MATCH($A39,'ImpactOutcome_Import-Export'!$B$7:$B$22,0))="","",INDEX('ImpactOutcome_Import-Export'!Q$7:Q$22,MATCH($A39,'ImpactOutcome_Import-Export'!$B$7:$B$22,0))),""))</f>
        <v/>
      </c>
      <c r="K39" s="1030" t="str">
        <f>IF(B39="","",IFERROR(IF(INDEX('ImpactOutcome_Import-Export'!R$7:R$22,MATCH($A39,'ImpactOutcome_Import-Export'!$B$7:$B$22,0))="","",INDEX('ImpactOutcome_Import-Export'!R$7:R$22,MATCH($A39,'ImpactOutcome_Import-Export'!$B$7:$B$22,0))),""))</f>
        <v/>
      </c>
      <c r="L39" s="1034"/>
      <c r="M39" s="1034"/>
      <c r="N39" s="1035" t="str">
        <f t="shared" si="7"/>
        <v/>
      </c>
      <c r="O39" s="1036"/>
      <c r="P39" s="1037"/>
      <c r="Q39" s="1038"/>
      <c r="R39" s="1039" t="str">
        <f t="shared" si="0"/>
        <v/>
      </c>
      <c r="S39" s="1037"/>
      <c r="T39" s="1034"/>
      <c r="U39" s="1034"/>
      <c r="V39" s="1035" t="str">
        <f t="shared" si="2"/>
        <v/>
      </c>
      <c r="W39" s="1036"/>
      <c r="X39" s="1037"/>
      <c r="Y39" s="1038"/>
      <c r="Z39" s="1039" t="str">
        <f t="shared" si="3"/>
        <v/>
      </c>
      <c r="AA39" s="1034"/>
      <c r="AB39" s="1034"/>
      <c r="AC39" s="1035" t="str">
        <f t="shared" si="4"/>
        <v/>
      </c>
      <c r="AD39" s="1038"/>
      <c r="AE39" s="1040" t="str">
        <f t="shared" si="5"/>
        <v/>
      </c>
    </row>
    <row r="40" spans="1:31" ht="60" customHeight="1" x14ac:dyDescent="0.2">
      <c r="A40" s="636" t="str">
        <f>IFERROR(IF(INDEX(Impactlist,MATCH(0,INDEX(COUNTIF(A$10:A39,Impactlist),0,0),0))&lt;&gt;"",INDEX(Impactlist,MATCH(0,INDEX(COUNTIF(A$10:A39,Impactlist),0,0),0)),INDEX(Outcomelist,MATCH(0,INDEX(COUNTIF(A$10:A39,Outcomelist),0,0),0))),"")</f>
        <v/>
      </c>
      <c r="B40" s="1027" t="str">
        <f>IFERROR(INDEX('ImpactOutcome_Import-Export'!D$7:D$209,MATCH($A40,'ImpactOutcome_Import-Export'!$B$7:$B$209,0)),"")</f>
        <v/>
      </c>
      <c r="C40" s="1028" t="str">
        <f>IF(B40="","",IFERROR(INDEX('ImpactOutcome_Import-Export'!F$7:F$22,MATCH($A40,'ImpactOutcome_Import-Export'!$B$7:$B$22,0)),""))</f>
        <v/>
      </c>
      <c r="D40" s="1029" t="str">
        <f>IF(B40="","",IFERROR(IF(INDEX('ImpactOutcome_Import-Export'!K$7:K$22,MATCH($A40,'ImpactOutcome_Import-Export'!$B$7:$B$22,0))="","",INDEX('ImpactOutcome_Import-Export'!K$7:K$22,MATCH($A40,'ImpactOutcome_Import-Export'!$B$7:$B$22,0))),""))</f>
        <v/>
      </c>
      <c r="E40" s="1030" t="str">
        <f>IF(B40="","",IFERROR(IF(INDEX('ImpactOutcome_Import-Export'!L$7:L$22,MATCH($A40,'ImpactOutcome_Import-Export'!$B$7:$B$22,0))="","",INDEX('ImpactOutcome_Import-Export'!L$7:L$22,MATCH($A40,'ImpactOutcome_Import-Export'!$B$7:$B$22,0))),""))</f>
        <v/>
      </c>
      <c r="F40" s="1031" t="str">
        <f>IF(B40="","",IFERROR(IF(INDEX('ImpactOutcome_Import-Export'!M$7:M$22,MATCH($A40,'ImpactOutcome_Import-Export'!$B$7:$B$22,0))="","",INDEX('ImpactOutcome_Import-Export'!M$7:M$22,MATCH($A40,'ImpactOutcome_Import-Export'!$B$7:$B$22,0))),""))</f>
        <v/>
      </c>
      <c r="G40" s="1031" t="str">
        <f>IF(B40="","",IFERROR(IF(INDEX('ImpactOutcome_Import-Export'!N$7:N$22,MATCH($A40,'ImpactOutcome_Import-Export'!$B$7:$B$22,0))="","",INDEX('ImpactOutcome_Import-Export'!N$7:N$22,MATCH($A40,'ImpactOutcome_Import-Export'!$B$7:$B$22,0))),""))</f>
        <v/>
      </c>
      <c r="H40" s="1032" t="str">
        <f>IF(B40="","",IFERROR(IF(INDEX('ImpactOutcome_Import-Export'!O$7:O$22,MATCH($A40,'ImpactOutcome_Import-Export'!$B$7:$B$22,0))="","",INDEX('ImpactOutcome_Import-Export'!O$7:O$22,MATCH($A40,'ImpactOutcome_Import-Export'!$B$7:$B$22,0))),""))</f>
        <v/>
      </c>
      <c r="I40" s="1030" t="str">
        <f>IF(B40="","",IFERROR(IF(INDEX('ImpactOutcome_Import-Export'!P$7:P$22,MATCH($A40,'ImpactOutcome_Import-Export'!$B$7:$B$22,0))="","",INDEX('ImpactOutcome_Import-Export'!P$7:P$22,MATCH($A40,'ImpactOutcome_Import-Export'!$B$7:$B$22,0))),""))</f>
        <v/>
      </c>
      <c r="J40" s="1033" t="str">
        <f>IF(B40="","",IFERROR(IF(INDEX('ImpactOutcome_Import-Export'!Q$7:Q$22,MATCH($A40,'ImpactOutcome_Import-Export'!$B$7:$B$22,0))="","",INDEX('ImpactOutcome_Import-Export'!Q$7:Q$22,MATCH($A40,'ImpactOutcome_Import-Export'!$B$7:$B$22,0))),""))</f>
        <v/>
      </c>
      <c r="K40" s="1030" t="str">
        <f>IF(B40="","",IFERROR(IF(INDEX('ImpactOutcome_Import-Export'!R$7:R$22,MATCH($A40,'ImpactOutcome_Import-Export'!$B$7:$B$22,0))="","",INDEX('ImpactOutcome_Import-Export'!R$7:R$22,MATCH($A40,'ImpactOutcome_Import-Export'!$B$7:$B$22,0))),""))</f>
        <v/>
      </c>
      <c r="L40" s="1034"/>
      <c r="M40" s="1034"/>
      <c r="N40" s="1035" t="str">
        <f t="shared" si="7"/>
        <v/>
      </c>
      <c r="O40" s="1036"/>
      <c r="P40" s="1037"/>
      <c r="Q40" s="1038"/>
      <c r="R40" s="1039" t="str">
        <f t="shared" si="0"/>
        <v/>
      </c>
      <c r="S40" s="1037"/>
      <c r="T40" s="1034"/>
      <c r="U40" s="1034"/>
      <c r="V40" s="1035" t="str">
        <f t="shared" si="2"/>
        <v/>
      </c>
      <c r="W40" s="1036"/>
      <c r="X40" s="1037"/>
      <c r="Y40" s="1038"/>
      <c r="Z40" s="1039" t="str">
        <f t="shared" si="3"/>
        <v/>
      </c>
      <c r="AA40" s="1034"/>
      <c r="AB40" s="1034"/>
      <c r="AC40" s="1035" t="str">
        <f t="shared" si="4"/>
        <v/>
      </c>
      <c r="AD40" s="1038"/>
      <c r="AE40" s="1040" t="str">
        <f t="shared" si="5"/>
        <v/>
      </c>
    </row>
    <row r="41" spans="1:31" ht="60" customHeight="1" x14ac:dyDescent="0.2">
      <c r="A41" s="636" t="str">
        <f>IFERROR(IF(INDEX(Impactlist,MATCH(0,INDEX(COUNTIF(A$10:A40,Impactlist),0,0),0))&lt;&gt;"",INDEX(Impactlist,MATCH(0,INDEX(COUNTIF(A$10:A40,Impactlist),0,0),0)),INDEX(Outcomelist,MATCH(0,INDEX(COUNTIF(A$10:A40,Outcomelist),0,0),0))),"")</f>
        <v/>
      </c>
      <c r="B41" s="1027" t="str">
        <f>IFERROR(INDEX('ImpactOutcome_Import-Export'!D$7:D$209,MATCH($A41,'ImpactOutcome_Import-Export'!$B$7:$B$209,0)),"")</f>
        <v/>
      </c>
      <c r="C41" s="1028" t="str">
        <f>IF(B41="","",IFERROR(INDEX('ImpactOutcome_Import-Export'!F$7:F$22,MATCH($A41,'ImpactOutcome_Import-Export'!$B$7:$B$22,0)),""))</f>
        <v/>
      </c>
      <c r="D41" s="1029" t="str">
        <f>IF(B41="","",IFERROR(IF(INDEX('ImpactOutcome_Import-Export'!K$7:K$22,MATCH($A41,'ImpactOutcome_Import-Export'!$B$7:$B$22,0))="","",INDEX('ImpactOutcome_Import-Export'!K$7:K$22,MATCH($A41,'ImpactOutcome_Import-Export'!$B$7:$B$22,0))),""))</f>
        <v/>
      </c>
      <c r="E41" s="1030" t="str">
        <f>IF(B41="","",IFERROR(IF(INDEX('ImpactOutcome_Import-Export'!L$7:L$22,MATCH($A41,'ImpactOutcome_Import-Export'!$B$7:$B$22,0))="","",INDEX('ImpactOutcome_Import-Export'!L$7:L$22,MATCH($A41,'ImpactOutcome_Import-Export'!$B$7:$B$22,0))),""))</f>
        <v/>
      </c>
      <c r="F41" s="1031" t="str">
        <f>IF(B41="","",IFERROR(IF(INDEX('ImpactOutcome_Import-Export'!M$7:M$22,MATCH($A41,'ImpactOutcome_Import-Export'!$B$7:$B$22,0))="","",INDEX('ImpactOutcome_Import-Export'!M$7:M$22,MATCH($A41,'ImpactOutcome_Import-Export'!$B$7:$B$22,0))),""))</f>
        <v/>
      </c>
      <c r="G41" s="1031" t="str">
        <f>IF(B41="","",IFERROR(IF(INDEX('ImpactOutcome_Import-Export'!N$7:N$22,MATCH($A41,'ImpactOutcome_Import-Export'!$B$7:$B$22,0))="","",INDEX('ImpactOutcome_Import-Export'!N$7:N$22,MATCH($A41,'ImpactOutcome_Import-Export'!$B$7:$B$22,0))),""))</f>
        <v/>
      </c>
      <c r="H41" s="1032" t="str">
        <f>IF(B41="","",IFERROR(IF(INDEX('ImpactOutcome_Import-Export'!O$7:O$22,MATCH($A41,'ImpactOutcome_Import-Export'!$B$7:$B$22,0))="","",INDEX('ImpactOutcome_Import-Export'!O$7:O$22,MATCH($A41,'ImpactOutcome_Import-Export'!$B$7:$B$22,0))),""))</f>
        <v/>
      </c>
      <c r="I41" s="1030" t="str">
        <f>IF(B41="","",IFERROR(IF(INDEX('ImpactOutcome_Import-Export'!P$7:P$22,MATCH($A41,'ImpactOutcome_Import-Export'!$B$7:$B$22,0))="","",INDEX('ImpactOutcome_Import-Export'!P$7:P$22,MATCH($A41,'ImpactOutcome_Import-Export'!$B$7:$B$22,0))),""))</f>
        <v/>
      </c>
      <c r="J41" s="1033" t="str">
        <f>IF(B41="","",IFERROR(IF(INDEX('ImpactOutcome_Import-Export'!Q$7:Q$22,MATCH($A41,'ImpactOutcome_Import-Export'!$B$7:$B$22,0))="","",INDEX('ImpactOutcome_Import-Export'!Q$7:Q$22,MATCH($A41,'ImpactOutcome_Import-Export'!$B$7:$B$22,0))),""))</f>
        <v/>
      </c>
      <c r="K41" s="1030" t="str">
        <f>IF(B41="","",IFERROR(IF(INDEX('ImpactOutcome_Import-Export'!R$7:R$22,MATCH($A41,'ImpactOutcome_Import-Export'!$B$7:$B$22,0))="","",INDEX('ImpactOutcome_Import-Export'!R$7:R$22,MATCH($A41,'ImpactOutcome_Import-Export'!$B$7:$B$22,0))),""))</f>
        <v/>
      </c>
      <c r="L41" s="1034"/>
      <c r="M41" s="1034"/>
      <c r="N41" s="1035" t="str">
        <f t="shared" si="7"/>
        <v/>
      </c>
      <c r="O41" s="1036"/>
      <c r="P41" s="1037"/>
      <c r="Q41" s="1038"/>
      <c r="R41" s="1039" t="str">
        <f t="shared" si="0"/>
        <v/>
      </c>
      <c r="S41" s="1037"/>
      <c r="T41" s="1034"/>
      <c r="U41" s="1034"/>
      <c r="V41" s="1035" t="str">
        <f t="shared" si="2"/>
        <v/>
      </c>
      <c r="W41" s="1036"/>
      <c r="X41" s="1037"/>
      <c r="Y41" s="1038"/>
      <c r="Z41" s="1039" t="str">
        <f t="shared" si="3"/>
        <v/>
      </c>
      <c r="AA41" s="1034"/>
      <c r="AB41" s="1034"/>
      <c r="AC41" s="1035" t="str">
        <f t="shared" si="4"/>
        <v/>
      </c>
      <c r="AD41" s="1038"/>
      <c r="AE41" s="1040" t="str">
        <f t="shared" si="5"/>
        <v/>
      </c>
    </row>
    <row r="42" spans="1:31" ht="60" customHeight="1" x14ac:dyDescent="0.2">
      <c r="A42" s="636" t="str">
        <f>IFERROR(IF(INDEX(Impactlist,MATCH(0,INDEX(COUNTIF(A$10:A41,Impactlist),0,0),0))&lt;&gt;"",INDEX(Impactlist,MATCH(0,INDEX(COUNTIF(A$10:A41,Impactlist),0,0),0)),INDEX(Outcomelist,MATCH(0,INDEX(COUNTIF(A$10:A41,Outcomelist),0,0),0))),"")</f>
        <v/>
      </c>
      <c r="B42" s="1027" t="str">
        <f>IFERROR(INDEX('ImpactOutcome_Import-Export'!D$7:D$209,MATCH($A42,'ImpactOutcome_Import-Export'!$B$7:$B$209,0)),"")</f>
        <v/>
      </c>
      <c r="C42" s="1028" t="str">
        <f>IF(B42="","",IFERROR(INDEX('ImpactOutcome_Import-Export'!F$7:F$22,MATCH($A42,'ImpactOutcome_Import-Export'!$B$7:$B$22,0)),""))</f>
        <v/>
      </c>
      <c r="D42" s="1029" t="str">
        <f>IF(B42="","",IFERROR(IF(INDEX('ImpactOutcome_Import-Export'!K$7:K$22,MATCH($A42,'ImpactOutcome_Import-Export'!$B$7:$B$22,0))="","",INDEX('ImpactOutcome_Import-Export'!K$7:K$22,MATCH($A42,'ImpactOutcome_Import-Export'!$B$7:$B$22,0))),""))</f>
        <v/>
      </c>
      <c r="E42" s="1030" t="str">
        <f>IF(B42="","",IFERROR(IF(INDEX('ImpactOutcome_Import-Export'!L$7:L$22,MATCH($A42,'ImpactOutcome_Import-Export'!$B$7:$B$22,0))="","",INDEX('ImpactOutcome_Import-Export'!L$7:L$22,MATCH($A42,'ImpactOutcome_Import-Export'!$B$7:$B$22,0))),""))</f>
        <v/>
      </c>
      <c r="F42" s="1031" t="str">
        <f>IF(B42="","",IFERROR(IF(INDEX('ImpactOutcome_Import-Export'!M$7:M$22,MATCH($A42,'ImpactOutcome_Import-Export'!$B$7:$B$22,0))="","",INDEX('ImpactOutcome_Import-Export'!M$7:M$22,MATCH($A42,'ImpactOutcome_Import-Export'!$B$7:$B$22,0))),""))</f>
        <v/>
      </c>
      <c r="G42" s="1031" t="str">
        <f>IF(B42="","",IFERROR(IF(INDEX('ImpactOutcome_Import-Export'!N$7:N$22,MATCH($A42,'ImpactOutcome_Import-Export'!$B$7:$B$22,0))="","",INDEX('ImpactOutcome_Import-Export'!N$7:N$22,MATCH($A42,'ImpactOutcome_Import-Export'!$B$7:$B$22,0))),""))</f>
        <v/>
      </c>
      <c r="H42" s="1032" t="str">
        <f>IF(B42="","",IFERROR(IF(INDEX('ImpactOutcome_Import-Export'!O$7:O$22,MATCH($A42,'ImpactOutcome_Import-Export'!$B$7:$B$22,0))="","",INDEX('ImpactOutcome_Import-Export'!O$7:O$22,MATCH($A42,'ImpactOutcome_Import-Export'!$B$7:$B$22,0))),""))</f>
        <v/>
      </c>
      <c r="I42" s="1030" t="str">
        <f>IF(B42="","",IFERROR(IF(INDEX('ImpactOutcome_Import-Export'!P$7:P$22,MATCH($A42,'ImpactOutcome_Import-Export'!$B$7:$B$22,0))="","",INDEX('ImpactOutcome_Import-Export'!P$7:P$22,MATCH($A42,'ImpactOutcome_Import-Export'!$B$7:$B$22,0))),""))</f>
        <v/>
      </c>
      <c r="J42" s="1033" t="str">
        <f>IF(B42="","",IFERROR(IF(INDEX('ImpactOutcome_Import-Export'!Q$7:Q$22,MATCH($A42,'ImpactOutcome_Import-Export'!$B$7:$B$22,0))="","",INDEX('ImpactOutcome_Import-Export'!Q$7:Q$22,MATCH($A42,'ImpactOutcome_Import-Export'!$B$7:$B$22,0))),""))</f>
        <v/>
      </c>
      <c r="K42" s="1030" t="str">
        <f>IF(B42="","",IFERROR(IF(INDEX('ImpactOutcome_Import-Export'!R$7:R$22,MATCH($A42,'ImpactOutcome_Import-Export'!$B$7:$B$22,0))="","",INDEX('ImpactOutcome_Import-Export'!R$7:R$22,MATCH($A42,'ImpactOutcome_Import-Export'!$B$7:$B$22,0))),""))</f>
        <v/>
      </c>
      <c r="L42" s="1034"/>
      <c r="M42" s="1034"/>
      <c r="N42" s="1035" t="str">
        <f t="shared" si="7"/>
        <v/>
      </c>
      <c r="O42" s="1036"/>
      <c r="P42" s="1037"/>
      <c r="Q42" s="1038"/>
      <c r="R42" s="1039" t="str">
        <f t="shared" si="0"/>
        <v/>
      </c>
      <c r="S42" s="1037"/>
      <c r="T42" s="1034"/>
      <c r="U42" s="1034"/>
      <c r="V42" s="1035" t="str">
        <f t="shared" si="2"/>
        <v/>
      </c>
      <c r="W42" s="1036"/>
      <c r="X42" s="1037"/>
      <c r="Y42" s="1038"/>
      <c r="Z42" s="1039" t="str">
        <f t="shared" si="3"/>
        <v/>
      </c>
      <c r="AA42" s="1034"/>
      <c r="AB42" s="1034"/>
      <c r="AC42" s="1035" t="str">
        <f t="shared" si="4"/>
        <v/>
      </c>
      <c r="AD42" s="1038"/>
      <c r="AE42" s="1040" t="str">
        <f t="shared" si="5"/>
        <v/>
      </c>
    </row>
    <row r="43" spans="1:31" ht="60" customHeight="1" x14ac:dyDescent="0.2">
      <c r="A43" s="636" t="str">
        <f>IFERROR(IF(INDEX(Impactlist,MATCH(0,INDEX(COUNTIF(A$10:A42,Impactlist),0,0),0))&lt;&gt;"",INDEX(Impactlist,MATCH(0,INDEX(COUNTIF(A$10:A42,Impactlist),0,0),0)),INDEX(Outcomelist,MATCH(0,INDEX(COUNTIF(A$10:A42,Outcomelist),0,0),0))),"")</f>
        <v/>
      </c>
      <c r="B43" s="1027" t="str">
        <f>IFERROR(INDEX('ImpactOutcome_Import-Export'!D$7:D$209,MATCH($A43,'ImpactOutcome_Import-Export'!$B$7:$B$209,0)),"")</f>
        <v/>
      </c>
      <c r="C43" s="1028" t="str">
        <f>IF(B43="","",IFERROR(INDEX('ImpactOutcome_Import-Export'!F$7:F$22,MATCH($A43,'ImpactOutcome_Import-Export'!$B$7:$B$22,0)),""))</f>
        <v/>
      </c>
      <c r="D43" s="1029" t="str">
        <f>IF(B43="","",IFERROR(IF(INDEX('ImpactOutcome_Import-Export'!K$7:K$22,MATCH($A43,'ImpactOutcome_Import-Export'!$B$7:$B$22,0))="","",INDEX('ImpactOutcome_Import-Export'!K$7:K$22,MATCH($A43,'ImpactOutcome_Import-Export'!$B$7:$B$22,0))),""))</f>
        <v/>
      </c>
      <c r="E43" s="1030" t="str">
        <f>IF(B43="","",IFERROR(IF(INDEX('ImpactOutcome_Import-Export'!L$7:L$22,MATCH($A43,'ImpactOutcome_Import-Export'!$B$7:$B$22,0))="","",INDEX('ImpactOutcome_Import-Export'!L$7:L$22,MATCH($A43,'ImpactOutcome_Import-Export'!$B$7:$B$22,0))),""))</f>
        <v/>
      </c>
      <c r="F43" s="1031" t="str">
        <f>IF(B43="","",IFERROR(IF(INDEX('ImpactOutcome_Import-Export'!M$7:M$22,MATCH($A43,'ImpactOutcome_Import-Export'!$B$7:$B$22,0))="","",INDEX('ImpactOutcome_Import-Export'!M$7:M$22,MATCH($A43,'ImpactOutcome_Import-Export'!$B$7:$B$22,0))),""))</f>
        <v/>
      </c>
      <c r="G43" s="1031" t="str">
        <f>IF(B43="","",IFERROR(IF(INDEX('ImpactOutcome_Import-Export'!N$7:N$22,MATCH($A43,'ImpactOutcome_Import-Export'!$B$7:$B$22,0))="","",INDEX('ImpactOutcome_Import-Export'!N$7:N$22,MATCH($A43,'ImpactOutcome_Import-Export'!$B$7:$B$22,0))),""))</f>
        <v/>
      </c>
      <c r="H43" s="1032" t="str">
        <f>IF(B43="","",IFERROR(IF(INDEX('ImpactOutcome_Import-Export'!O$7:O$22,MATCH($A43,'ImpactOutcome_Import-Export'!$B$7:$B$22,0))="","",INDEX('ImpactOutcome_Import-Export'!O$7:O$22,MATCH($A43,'ImpactOutcome_Import-Export'!$B$7:$B$22,0))),""))</f>
        <v/>
      </c>
      <c r="I43" s="1030" t="str">
        <f>IF(B43="","",IFERROR(IF(INDEX('ImpactOutcome_Import-Export'!P$7:P$22,MATCH($A43,'ImpactOutcome_Import-Export'!$B$7:$B$22,0))="","",INDEX('ImpactOutcome_Import-Export'!P$7:P$22,MATCH($A43,'ImpactOutcome_Import-Export'!$B$7:$B$22,0))),""))</f>
        <v/>
      </c>
      <c r="J43" s="1033" t="str">
        <f>IF(B43="","",IFERROR(IF(INDEX('ImpactOutcome_Import-Export'!Q$7:Q$22,MATCH($A43,'ImpactOutcome_Import-Export'!$B$7:$B$22,0))="","",INDEX('ImpactOutcome_Import-Export'!Q$7:Q$22,MATCH($A43,'ImpactOutcome_Import-Export'!$B$7:$B$22,0))),""))</f>
        <v/>
      </c>
      <c r="K43" s="1030" t="str">
        <f>IF(B43="","",IFERROR(IF(INDEX('ImpactOutcome_Import-Export'!R$7:R$22,MATCH($A43,'ImpactOutcome_Import-Export'!$B$7:$B$22,0))="","",INDEX('ImpactOutcome_Import-Export'!R$7:R$22,MATCH($A43,'ImpactOutcome_Import-Export'!$B$7:$B$22,0))),""))</f>
        <v/>
      </c>
      <c r="L43" s="1034"/>
      <c r="M43" s="1034"/>
      <c r="N43" s="1035" t="str">
        <f t="shared" si="7"/>
        <v/>
      </c>
      <c r="O43" s="1036"/>
      <c r="P43" s="1037"/>
      <c r="Q43" s="1038"/>
      <c r="R43" s="1039" t="str">
        <f t="shared" si="0"/>
        <v/>
      </c>
      <c r="S43" s="1037"/>
      <c r="T43" s="1034"/>
      <c r="U43" s="1034"/>
      <c r="V43" s="1035" t="str">
        <f t="shared" si="2"/>
        <v/>
      </c>
      <c r="W43" s="1036"/>
      <c r="X43" s="1037"/>
      <c r="Y43" s="1038"/>
      <c r="Z43" s="1039" t="str">
        <f t="shared" si="3"/>
        <v/>
      </c>
      <c r="AA43" s="1034"/>
      <c r="AB43" s="1034"/>
      <c r="AC43" s="1035" t="str">
        <f t="shared" si="4"/>
        <v/>
      </c>
      <c r="AD43" s="1038"/>
      <c r="AE43" s="1040" t="str">
        <f t="shared" si="5"/>
        <v/>
      </c>
    </row>
    <row r="44" spans="1:31" ht="60" customHeight="1" x14ac:dyDescent="0.2">
      <c r="A44" s="636" t="str">
        <f>IFERROR(IF(INDEX(Impactlist,MATCH(0,INDEX(COUNTIF(A$10:A43,Impactlist),0,0),0))&lt;&gt;"",INDEX(Impactlist,MATCH(0,INDEX(COUNTIF(A$10:A43,Impactlist),0,0),0)),INDEX(Outcomelist,MATCH(0,INDEX(COUNTIF(A$10:A43,Outcomelist),0,0),0))),"")</f>
        <v/>
      </c>
      <c r="B44" s="1027" t="str">
        <f>IFERROR(INDEX('ImpactOutcome_Import-Export'!D$7:D$209,MATCH($A44,'ImpactOutcome_Import-Export'!$B$7:$B$209,0)),"")</f>
        <v/>
      </c>
      <c r="C44" s="1028" t="str">
        <f>IF(B44="","",IFERROR(INDEX('ImpactOutcome_Import-Export'!F$7:F$22,MATCH($A44,'ImpactOutcome_Import-Export'!$B$7:$B$22,0)),""))</f>
        <v/>
      </c>
      <c r="D44" s="1029" t="str">
        <f>IF(B44="","",IFERROR(IF(INDEX('ImpactOutcome_Import-Export'!K$7:K$22,MATCH($A44,'ImpactOutcome_Import-Export'!$B$7:$B$22,0))="","",INDEX('ImpactOutcome_Import-Export'!K$7:K$22,MATCH($A44,'ImpactOutcome_Import-Export'!$B$7:$B$22,0))),""))</f>
        <v/>
      </c>
      <c r="E44" s="1030" t="str">
        <f>IF(B44="","",IFERROR(IF(INDEX('ImpactOutcome_Import-Export'!L$7:L$22,MATCH($A44,'ImpactOutcome_Import-Export'!$B$7:$B$22,0))="","",INDEX('ImpactOutcome_Import-Export'!L$7:L$22,MATCH($A44,'ImpactOutcome_Import-Export'!$B$7:$B$22,0))),""))</f>
        <v/>
      </c>
      <c r="F44" s="1031" t="str">
        <f>IF(B44="","",IFERROR(IF(INDEX('ImpactOutcome_Import-Export'!M$7:M$22,MATCH($A44,'ImpactOutcome_Import-Export'!$B$7:$B$22,0))="","",INDEX('ImpactOutcome_Import-Export'!M$7:M$22,MATCH($A44,'ImpactOutcome_Import-Export'!$B$7:$B$22,0))),""))</f>
        <v/>
      </c>
      <c r="G44" s="1031" t="str">
        <f>IF(B44="","",IFERROR(IF(INDEX('ImpactOutcome_Import-Export'!N$7:N$22,MATCH($A44,'ImpactOutcome_Import-Export'!$B$7:$B$22,0))="","",INDEX('ImpactOutcome_Import-Export'!N$7:N$22,MATCH($A44,'ImpactOutcome_Import-Export'!$B$7:$B$22,0))),""))</f>
        <v/>
      </c>
      <c r="H44" s="1032" t="str">
        <f>IF(B44="","",IFERROR(IF(INDEX('ImpactOutcome_Import-Export'!O$7:O$22,MATCH($A44,'ImpactOutcome_Import-Export'!$B$7:$B$22,0))="","",INDEX('ImpactOutcome_Import-Export'!O$7:O$22,MATCH($A44,'ImpactOutcome_Import-Export'!$B$7:$B$22,0))),""))</f>
        <v/>
      </c>
      <c r="I44" s="1030" t="str">
        <f>IF(B44="","",IFERROR(IF(INDEX('ImpactOutcome_Import-Export'!P$7:P$22,MATCH($A44,'ImpactOutcome_Import-Export'!$B$7:$B$22,0))="","",INDEX('ImpactOutcome_Import-Export'!P$7:P$22,MATCH($A44,'ImpactOutcome_Import-Export'!$B$7:$B$22,0))),""))</f>
        <v/>
      </c>
      <c r="J44" s="1033" t="str">
        <f>IF(B44="","",IFERROR(IF(INDEX('ImpactOutcome_Import-Export'!Q$7:Q$22,MATCH($A44,'ImpactOutcome_Import-Export'!$B$7:$B$22,0))="","",INDEX('ImpactOutcome_Import-Export'!Q$7:Q$22,MATCH($A44,'ImpactOutcome_Import-Export'!$B$7:$B$22,0))),""))</f>
        <v/>
      </c>
      <c r="K44" s="1030" t="str">
        <f>IF(B44="","",IFERROR(IF(INDEX('ImpactOutcome_Import-Export'!R$7:R$22,MATCH($A44,'ImpactOutcome_Import-Export'!$B$7:$B$22,0))="","",INDEX('ImpactOutcome_Import-Export'!R$7:R$22,MATCH($A44,'ImpactOutcome_Import-Export'!$B$7:$B$22,0))),""))</f>
        <v/>
      </c>
      <c r="L44" s="1034"/>
      <c r="M44" s="1034"/>
      <c r="N44" s="1035" t="str">
        <f t="shared" si="7"/>
        <v/>
      </c>
      <c r="O44" s="1036"/>
      <c r="P44" s="1037"/>
      <c r="Q44" s="1038"/>
      <c r="R44" s="1039" t="str">
        <f t="shared" si="0"/>
        <v/>
      </c>
      <c r="S44" s="1037"/>
      <c r="T44" s="1034"/>
      <c r="U44" s="1034"/>
      <c r="V44" s="1035" t="str">
        <f t="shared" si="2"/>
        <v/>
      </c>
      <c r="W44" s="1036"/>
      <c r="X44" s="1037"/>
      <c r="Y44" s="1038"/>
      <c r="Z44" s="1039" t="str">
        <f t="shared" si="3"/>
        <v/>
      </c>
      <c r="AA44" s="1034"/>
      <c r="AB44" s="1034"/>
      <c r="AC44" s="1035" t="str">
        <f t="shared" si="4"/>
        <v/>
      </c>
      <c r="AD44" s="1038"/>
      <c r="AE44" s="1040" t="str">
        <f t="shared" si="5"/>
        <v/>
      </c>
    </row>
    <row r="45" spans="1:31" ht="60" customHeight="1" x14ac:dyDescent="0.2">
      <c r="A45" s="636" t="str">
        <f>IFERROR(IF(INDEX(Impactlist,MATCH(0,INDEX(COUNTIF(A$10:A44,Impactlist),0,0),0))&lt;&gt;"",INDEX(Impactlist,MATCH(0,INDEX(COUNTIF(A$10:A44,Impactlist),0,0),0)),INDEX(Outcomelist,MATCH(0,INDEX(COUNTIF(A$10:A44,Outcomelist),0,0),0))),"")</f>
        <v/>
      </c>
      <c r="B45" s="1027" t="str">
        <f>IFERROR(INDEX('ImpactOutcome_Import-Export'!D$7:D$209,MATCH($A45,'ImpactOutcome_Import-Export'!$B$7:$B$209,0)),"")</f>
        <v/>
      </c>
      <c r="C45" s="1028" t="str">
        <f>IF(B45="","",IFERROR(INDEX('ImpactOutcome_Import-Export'!F$7:F$22,MATCH($A45,'ImpactOutcome_Import-Export'!$B$7:$B$22,0)),""))</f>
        <v/>
      </c>
      <c r="D45" s="1029" t="str">
        <f>IF(B45="","",IFERROR(IF(INDEX('ImpactOutcome_Import-Export'!K$7:K$22,MATCH($A45,'ImpactOutcome_Import-Export'!$B$7:$B$22,0))="","",INDEX('ImpactOutcome_Import-Export'!K$7:K$22,MATCH($A45,'ImpactOutcome_Import-Export'!$B$7:$B$22,0))),""))</f>
        <v/>
      </c>
      <c r="E45" s="1030" t="str">
        <f>IF(B45="","",IFERROR(IF(INDEX('ImpactOutcome_Import-Export'!L$7:L$22,MATCH($A45,'ImpactOutcome_Import-Export'!$B$7:$B$22,0))="","",INDEX('ImpactOutcome_Import-Export'!L$7:L$22,MATCH($A45,'ImpactOutcome_Import-Export'!$B$7:$B$22,0))),""))</f>
        <v/>
      </c>
      <c r="F45" s="1031" t="str">
        <f>IF(B45="","",IFERROR(IF(INDEX('ImpactOutcome_Import-Export'!M$7:M$22,MATCH($A45,'ImpactOutcome_Import-Export'!$B$7:$B$22,0))="","",INDEX('ImpactOutcome_Import-Export'!M$7:M$22,MATCH($A45,'ImpactOutcome_Import-Export'!$B$7:$B$22,0))),""))</f>
        <v/>
      </c>
      <c r="G45" s="1031" t="str">
        <f>IF(B45="","",IFERROR(IF(INDEX('ImpactOutcome_Import-Export'!N$7:N$22,MATCH($A45,'ImpactOutcome_Import-Export'!$B$7:$B$22,0))="","",INDEX('ImpactOutcome_Import-Export'!N$7:N$22,MATCH($A45,'ImpactOutcome_Import-Export'!$B$7:$B$22,0))),""))</f>
        <v/>
      </c>
      <c r="H45" s="1032" t="str">
        <f>IF(B45="","",IFERROR(IF(INDEX('ImpactOutcome_Import-Export'!O$7:O$22,MATCH($A45,'ImpactOutcome_Import-Export'!$B$7:$B$22,0))="","",INDEX('ImpactOutcome_Import-Export'!O$7:O$22,MATCH($A45,'ImpactOutcome_Import-Export'!$B$7:$B$22,0))),""))</f>
        <v/>
      </c>
      <c r="I45" s="1030" t="str">
        <f>IF(B45="","",IFERROR(IF(INDEX('ImpactOutcome_Import-Export'!P$7:P$22,MATCH($A45,'ImpactOutcome_Import-Export'!$B$7:$B$22,0))="","",INDEX('ImpactOutcome_Import-Export'!P$7:P$22,MATCH($A45,'ImpactOutcome_Import-Export'!$B$7:$B$22,0))),""))</f>
        <v/>
      </c>
      <c r="J45" s="1033" t="str">
        <f>IF(B45="","",IFERROR(IF(INDEX('ImpactOutcome_Import-Export'!Q$7:Q$22,MATCH($A45,'ImpactOutcome_Import-Export'!$B$7:$B$22,0))="","",INDEX('ImpactOutcome_Import-Export'!Q$7:Q$22,MATCH($A45,'ImpactOutcome_Import-Export'!$B$7:$B$22,0))),""))</f>
        <v/>
      </c>
      <c r="K45" s="1030" t="str">
        <f>IF(B45="","",IFERROR(IF(INDEX('ImpactOutcome_Import-Export'!R$7:R$22,MATCH($A45,'ImpactOutcome_Import-Export'!$B$7:$B$22,0))="","",INDEX('ImpactOutcome_Import-Export'!R$7:R$22,MATCH($A45,'ImpactOutcome_Import-Export'!$B$7:$B$22,0))),""))</f>
        <v/>
      </c>
      <c r="L45" s="1034"/>
      <c r="M45" s="1034"/>
      <c r="N45" s="1035" t="str">
        <f t="shared" si="7"/>
        <v/>
      </c>
      <c r="O45" s="1036"/>
      <c r="P45" s="1037"/>
      <c r="Q45" s="1038"/>
      <c r="R45" s="1039" t="str">
        <f t="shared" si="0"/>
        <v/>
      </c>
      <c r="S45" s="1037"/>
      <c r="T45" s="1034"/>
      <c r="U45" s="1034"/>
      <c r="V45" s="1035" t="str">
        <f t="shared" si="2"/>
        <v/>
      </c>
      <c r="W45" s="1036"/>
      <c r="X45" s="1037"/>
      <c r="Y45" s="1038"/>
      <c r="Z45" s="1039" t="str">
        <f t="shared" si="3"/>
        <v/>
      </c>
      <c r="AA45" s="1034"/>
      <c r="AB45" s="1034"/>
      <c r="AC45" s="1035" t="str">
        <f t="shared" si="4"/>
        <v/>
      </c>
      <c r="AD45" s="1038"/>
      <c r="AE45" s="1040" t="str">
        <f t="shared" si="5"/>
        <v/>
      </c>
    </row>
    <row r="46" spans="1:31" ht="60" customHeight="1" x14ac:dyDescent="0.2">
      <c r="A46" s="636" t="str">
        <f>IFERROR(IF(INDEX(Impactlist,MATCH(0,INDEX(COUNTIF(A$10:A45,Impactlist),0,0),0))&lt;&gt;"",INDEX(Impactlist,MATCH(0,INDEX(COUNTIF(A$10:A45,Impactlist),0,0),0)),INDEX(Outcomelist,MATCH(0,INDEX(COUNTIF(A$10:A45,Outcomelist),0,0),0))),"")</f>
        <v/>
      </c>
      <c r="B46" s="1027" t="str">
        <f>IFERROR(INDEX('ImpactOutcome_Import-Export'!D$7:D$209,MATCH($A46,'ImpactOutcome_Import-Export'!$B$7:$B$209,0)),"")</f>
        <v/>
      </c>
      <c r="C46" s="1028" t="str">
        <f>IF(B46="","",IFERROR(INDEX('ImpactOutcome_Import-Export'!F$7:F$22,MATCH($A46,'ImpactOutcome_Import-Export'!$B$7:$B$22,0)),""))</f>
        <v/>
      </c>
      <c r="D46" s="1029" t="str">
        <f>IF(B46="","",IFERROR(IF(INDEX('ImpactOutcome_Import-Export'!K$7:K$22,MATCH($A46,'ImpactOutcome_Import-Export'!$B$7:$B$22,0))="","",INDEX('ImpactOutcome_Import-Export'!K$7:K$22,MATCH($A46,'ImpactOutcome_Import-Export'!$B$7:$B$22,0))),""))</f>
        <v/>
      </c>
      <c r="E46" s="1030" t="str">
        <f>IF(B46="","",IFERROR(IF(INDEX('ImpactOutcome_Import-Export'!L$7:L$22,MATCH($A46,'ImpactOutcome_Import-Export'!$B$7:$B$22,0))="","",INDEX('ImpactOutcome_Import-Export'!L$7:L$22,MATCH($A46,'ImpactOutcome_Import-Export'!$B$7:$B$22,0))),""))</f>
        <v/>
      </c>
      <c r="F46" s="1031" t="str">
        <f>IF(B46="","",IFERROR(IF(INDEX('ImpactOutcome_Import-Export'!M$7:M$22,MATCH($A46,'ImpactOutcome_Import-Export'!$B$7:$B$22,0))="","",INDEX('ImpactOutcome_Import-Export'!M$7:M$22,MATCH($A46,'ImpactOutcome_Import-Export'!$B$7:$B$22,0))),""))</f>
        <v/>
      </c>
      <c r="G46" s="1031" t="str">
        <f>IF(B46="","",IFERROR(IF(INDEX('ImpactOutcome_Import-Export'!N$7:N$22,MATCH($A46,'ImpactOutcome_Import-Export'!$B$7:$B$22,0))="","",INDEX('ImpactOutcome_Import-Export'!N$7:N$22,MATCH($A46,'ImpactOutcome_Import-Export'!$B$7:$B$22,0))),""))</f>
        <v/>
      </c>
      <c r="H46" s="1032" t="str">
        <f>IF(B46="","",IFERROR(IF(INDEX('ImpactOutcome_Import-Export'!O$7:O$22,MATCH($A46,'ImpactOutcome_Import-Export'!$B$7:$B$22,0))="","",INDEX('ImpactOutcome_Import-Export'!O$7:O$22,MATCH($A46,'ImpactOutcome_Import-Export'!$B$7:$B$22,0))),""))</f>
        <v/>
      </c>
      <c r="I46" s="1030" t="str">
        <f>IF(B46="","",IFERROR(IF(INDEX('ImpactOutcome_Import-Export'!P$7:P$22,MATCH($A46,'ImpactOutcome_Import-Export'!$B$7:$B$22,0))="","",INDEX('ImpactOutcome_Import-Export'!P$7:P$22,MATCH($A46,'ImpactOutcome_Import-Export'!$B$7:$B$22,0))),""))</f>
        <v/>
      </c>
      <c r="J46" s="1033" t="str">
        <f>IF(B46="","",IFERROR(IF(INDEX('ImpactOutcome_Import-Export'!Q$7:Q$22,MATCH($A46,'ImpactOutcome_Import-Export'!$B$7:$B$22,0))="","",INDEX('ImpactOutcome_Import-Export'!Q$7:Q$22,MATCH($A46,'ImpactOutcome_Import-Export'!$B$7:$B$22,0))),""))</f>
        <v/>
      </c>
      <c r="K46" s="1030" t="str">
        <f>IF(B46="","",IFERROR(IF(INDEX('ImpactOutcome_Import-Export'!R$7:R$22,MATCH($A46,'ImpactOutcome_Import-Export'!$B$7:$B$22,0))="","",INDEX('ImpactOutcome_Import-Export'!R$7:R$22,MATCH($A46,'ImpactOutcome_Import-Export'!$B$7:$B$22,0))),""))</f>
        <v/>
      </c>
      <c r="L46" s="1034"/>
      <c r="M46" s="1034"/>
      <c r="N46" s="1035" t="str">
        <f t="shared" si="7"/>
        <v/>
      </c>
      <c r="O46" s="1036"/>
      <c r="P46" s="1037"/>
      <c r="Q46" s="1038"/>
      <c r="R46" s="1039" t="str">
        <f t="shared" si="0"/>
        <v/>
      </c>
      <c r="S46" s="1037"/>
      <c r="T46" s="1034"/>
      <c r="U46" s="1034"/>
      <c r="V46" s="1035" t="str">
        <f t="shared" si="2"/>
        <v/>
      </c>
      <c r="W46" s="1036"/>
      <c r="X46" s="1037"/>
      <c r="Y46" s="1038"/>
      <c r="Z46" s="1039" t="str">
        <f t="shared" si="3"/>
        <v/>
      </c>
      <c r="AA46" s="1034"/>
      <c r="AB46" s="1034"/>
      <c r="AC46" s="1035" t="str">
        <f t="shared" si="4"/>
        <v/>
      </c>
      <c r="AD46" s="1038"/>
      <c r="AE46" s="1040" t="str">
        <f t="shared" si="5"/>
        <v/>
      </c>
    </row>
    <row r="47" spans="1:31" ht="60" customHeight="1" x14ac:dyDescent="0.2">
      <c r="A47" s="636" t="str">
        <f>IFERROR(IF(INDEX(Impactlist,MATCH(0,INDEX(COUNTIF(A$10:A46,Impactlist),0,0),0))&lt;&gt;"",INDEX(Impactlist,MATCH(0,INDEX(COUNTIF(A$10:A46,Impactlist),0,0),0)),INDEX(Outcomelist,MATCH(0,INDEX(COUNTIF(A$10:A46,Outcomelist),0,0),0))),"")</f>
        <v/>
      </c>
      <c r="B47" s="1027" t="str">
        <f>IFERROR(INDEX('ImpactOutcome_Import-Export'!D$7:D$209,MATCH($A47,'ImpactOutcome_Import-Export'!$B$7:$B$209,0)),"")</f>
        <v/>
      </c>
      <c r="C47" s="1028" t="str">
        <f>IF(B47="","",IFERROR(INDEX('ImpactOutcome_Import-Export'!F$7:F$22,MATCH($A47,'ImpactOutcome_Import-Export'!$B$7:$B$22,0)),""))</f>
        <v/>
      </c>
      <c r="D47" s="1029" t="str">
        <f>IF(B47="","",IFERROR(IF(INDEX('ImpactOutcome_Import-Export'!K$7:K$22,MATCH($A47,'ImpactOutcome_Import-Export'!$B$7:$B$22,0))="","",INDEX('ImpactOutcome_Import-Export'!K$7:K$22,MATCH($A47,'ImpactOutcome_Import-Export'!$B$7:$B$22,0))),""))</f>
        <v/>
      </c>
      <c r="E47" s="1030" t="str">
        <f>IF(B47="","",IFERROR(IF(INDEX('ImpactOutcome_Import-Export'!L$7:L$22,MATCH($A47,'ImpactOutcome_Import-Export'!$B$7:$B$22,0))="","",INDEX('ImpactOutcome_Import-Export'!L$7:L$22,MATCH($A47,'ImpactOutcome_Import-Export'!$B$7:$B$22,0))),""))</f>
        <v/>
      </c>
      <c r="F47" s="1031" t="str">
        <f>IF(B47="","",IFERROR(IF(INDEX('ImpactOutcome_Import-Export'!M$7:M$22,MATCH($A47,'ImpactOutcome_Import-Export'!$B$7:$B$22,0))="","",INDEX('ImpactOutcome_Import-Export'!M$7:M$22,MATCH($A47,'ImpactOutcome_Import-Export'!$B$7:$B$22,0))),""))</f>
        <v/>
      </c>
      <c r="G47" s="1031" t="str">
        <f>IF(B47="","",IFERROR(IF(INDEX('ImpactOutcome_Import-Export'!N$7:N$22,MATCH($A47,'ImpactOutcome_Import-Export'!$B$7:$B$22,0))="","",INDEX('ImpactOutcome_Import-Export'!N$7:N$22,MATCH($A47,'ImpactOutcome_Import-Export'!$B$7:$B$22,0))),""))</f>
        <v/>
      </c>
      <c r="H47" s="1032" t="str">
        <f>IF(B47="","",IFERROR(IF(INDEX('ImpactOutcome_Import-Export'!O$7:O$22,MATCH($A47,'ImpactOutcome_Import-Export'!$B$7:$B$22,0))="","",INDEX('ImpactOutcome_Import-Export'!O$7:O$22,MATCH($A47,'ImpactOutcome_Import-Export'!$B$7:$B$22,0))),""))</f>
        <v/>
      </c>
      <c r="I47" s="1030" t="str">
        <f>IF(B47="","",IFERROR(IF(INDEX('ImpactOutcome_Import-Export'!P$7:P$22,MATCH($A47,'ImpactOutcome_Import-Export'!$B$7:$B$22,0))="","",INDEX('ImpactOutcome_Import-Export'!P$7:P$22,MATCH($A47,'ImpactOutcome_Import-Export'!$B$7:$B$22,0))),""))</f>
        <v/>
      </c>
      <c r="J47" s="1033" t="str">
        <f>IF(B47="","",IFERROR(IF(INDEX('ImpactOutcome_Import-Export'!Q$7:Q$22,MATCH($A47,'ImpactOutcome_Import-Export'!$B$7:$B$22,0))="","",INDEX('ImpactOutcome_Import-Export'!Q$7:Q$22,MATCH($A47,'ImpactOutcome_Import-Export'!$B$7:$B$22,0))),""))</f>
        <v/>
      </c>
      <c r="K47" s="1030" t="str">
        <f>IF(B47="","",IFERROR(IF(INDEX('ImpactOutcome_Import-Export'!R$7:R$22,MATCH($A47,'ImpactOutcome_Import-Export'!$B$7:$B$22,0))="","",INDEX('ImpactOutcome_Import-Export'!R$7:R$22,MATCH($A47,'ImpactOutcome_Import-Export'!$B$7:$B$22,0))),""))</f>
        <v/>
      </c>
      <c r="L47" s="1034"/>
      <c r="M47" s="1034"/>
      <c r="N47" s="1035" t="str">
        <f t="shared" si="7"/>
        <v/>
      </c>
      <c r="O47" s="1036"/>
      <c r="P47" s="1037"/>
      <c r="Q47" s="1038"/>
      <c r="R47" s="1039" t="str">
        <f t="shared" si="0"/>
        <v/>
      </c>
      <c r="S47" s="1037"/>
      <c r="T47" s="1034"/>
      <c r="U47" s="1034"/>
      <c r="V47" s="1035" t="str">
        <f t="shared" si="2"/>
        <v/>
      </c>
      <c r="W47" s="1036"/>
      <c r="X47" s="1037"/>
      <c r="Y47" s="1038"/>
      <c r="Z47" s="1039" t="str">
        <f t="shared" si="3"/>
        <v/>
      </c>
      <c r="AA47" s="1034"/>
      <c r="AB47" s="1034"/>
      <c r="AC47" s="1035" t="str">
        <f t="shared" si="4"/>
        <v/>
      </c>
      <c r="AD47" s="1038"/>
      <c r="AE47" s="1040" t="str">
        <f t="shared" si="5"/>
        <v/>
      </c>
    </row>
    <row r="48" spans="1:31" ht="60" customHeight="1" x14ac:dyDescent="0.2">
      <c r="A48" s="636" t="str">
        <f>IFERROR(IF(INDEX(Impactlist,MATCH(0,INDEX(COUNTIF(A$10:A47,Impactlist),0,0),0))&lt;&gt;"",INDEX(Impactlist,MATCH(0,INDEX(COUNTIF(A$10:A47,Impactlist),0,0),0)),INDEX(Outcomelist,MATCH(0,INDEX(COUNTIF(A$10:A47,Outcomelist),0,0),0))),"")</f>
        <v/>
      </c>
      <c r="B48" s="1027" t="str">
        <f>IFERROR(INDEX('ImpactOutcome_Import-Export'!D$7:D$209,MATCH($A48,'ImpactOutcome_Import-Export'!$B$7:$B$209,0)),"")</f>
        <v/>
      </c>
      <c r="C48" s="1028" t="str">
        <f>IF(B48="","",IFERROR(INDEX('ImpactOutcome_Import-Export'!F$7:F$22,MATCH($A48,'ImpactOutcome_Import-Export'!$B$7:$B$22,0)),""))</f>
        <v/>
      </c>
      <c r="D48" s="1029" t="str">
        <f>IF(B48="","",IFERROR(IF(INDEX('ImpactOutcome_Import-Export'!K$7:K$22,MATCH($A48,'ImpactOutcome_Import-Export'!$B$7:$B$22,0))="","",INDEX('ImpactOutcome_Import-Export'!K$7:K$22,MATCH($A48,'ImpactOutcome_Import-Export'!$B$7:$B$22,0))),""))</f>
        <v/>
      </c>
      <c r="E48" s="1030" t="str">
        <f>IF(B48="","",IFERROR(IF(INDEX('ImpactOutcome_Import-Export'!L$7:L$22,MATCH($A48,'ImpactOutcome_Import-Export'!$B$7:$B$22,0))="","",INDEX('ImpactOutcome_Import-Export'!L$7:L$22,MATCH($A48,'ImpactOutcome_Import-Export'!$B$7:$B$22,0))),""))</f>
        <v/>
      </c>
      <c r="F48" s="1031" t="str">
        <f>IF(B48="","",IFERROR(IF(INDEX('ImpactOutcome_Import-Export'!M$7:M$22,MATCH($A48,'ImpactOutcome_Import-Export'!$B$7:$B$22,0))="","",INDEX('ImpactOutcome_Import-Export'!M$7:M$22,MATCH($A48,'ImpactOutcome_Import-Export'!$B$7:$B$22,0))),""))</f>
        <v/>
      </c>
      <c r="G48" s="1031" t="str">
        <f>IF(B48="","",IFERROR(IF(INDEX('ImpactOutcome_Import-Export'!N$7:N$22,MATCH($A48,'ImpactOutcome_Import-Export'!$B$7:$B$22,0))="","",INDEX('ImpactOutcome_Import-Export'!N$7:N$22,MATCH($A48,'ImpactOutcome_Import-Export'!$B$7:$B$22,0))),""))</f>
        <v/>
      </c>
      <c r="H48" s="1032" t="str">
        <f>IF(B48="","",IFERROR(IF(INDEX('ImpactOutcome_Import-Export'!O$7:O$22,MATCH($A48,'ImpactOutcome_Import-Export'!$B$7:$B$22,0))="","",INDEX('ImpactOutcome_Import-Export'!O$7:O$22,MATCH($A48,'ImpactOutcome_Import-Export'!$B$7:$B$22,0))),""))</f>
        <v/>
      </c>
      <c r="I48" s="1030" t="str">
        <f>IF(B48="","",IFERROR(IF(INDEX('ImpactOutcome_Import-Export'!P$7:P$22,MATCH($A48,'ImpactOutcome_Import-Export'!$B$7:$B$22,0))="","",INDEX('ImpactOutcome_Import-Export'!P$7:P$22,MATCH($A48,'ImpactOutcome_Import-Export'!$B$7:$B$22,0))),""))</f>
        <v/>
      </c>
      <c r="J48" s="1033" t="str">
        <f>IF(B48="","",IFERROR(IF(INDEX('ImpactOutcome_Import-Export'!Q$7:Q$22,MATCH($A48,'ImpactOutcome_Import-Export'!$B$7:$B$22,0))="","",INDEX('ImpactOutcome_Import-Export'!Q$7:Q$22,MATCH($A48,'ImpactOutcome_Import-Export'!$B$7:$B$22,0))),""))</f>
        <v/>
      </c>
      <c r="K48" s="1030" t="str">
        <f>IF(B48="","",IFERROR(IF(INDEX('ImpactOutcome_Import-Export'!R$7:R$22,MATCH($A48,'ImpactOutcome_Import-Export'!$B$7:$B$22,0))="","",INDEX('ImpactOutcome_Import-Export'!R$7:R$22,MATCH($A48,'ImpactOutcome_Import-Export'!$B$7:$B$22,0))),""))</f>
        <v/>
      </c>
      <c r="L48" s="1034"/>
      <c r="M48" s="1034"/>
      <c r="N48" s="1035" t="str">
        <f t="shared" si="7"/>
        <v/>
      </c>
      <c r="O48" s="1036"/>
      <c r="P48" s="1037"/>
      <c r="Q48" s="1038"/>
      <c r="R48" s="1039" t="str">
        <f t="shared" si="0"/>
        <v/>
      </c>
      <c r="S48" s="1037"/>
      <c r="T48" s="1034"/>
      <c r="U48" s="1034"/>
      <c r="V48" s="1035" t="str">
        <f t="shared" si="2"/>
        <v/>
      </c>
      <c r="W48" s="1036"/>
      <c r="X48" s="1037"/>
      <c r="Y48" s="1038"/>
      <c r="Z48" s="1039" t="str">
        <f t="shared" si="3"/>
        <v/>
      </c>
      <c r="AA48" s="1034"/>
      <c r="AB48" s="1034"/>
      <c r="AC48" s="1035" t="str">
        <f t="shared" si="4"/>
        <v/>
      </c>
      <c r="AD48" s="1038"/>
      <c r="AE48" s="1040" t="str">
        <f t="shared" si="5"/>
        <v/>
      </c>
    </row>
    <row r="49" spans="1:31" ht="60" customHeight="1" x14ac:dyDescent="0.2">
      <c r="A49" s="636" t="str">
        <f>IFERROR(IF(INDEX(Impactlist,MATCH(0,INDEX(COUNTIF(A$10:A48,Impactlist),0,0),0))&lt;&gt;"",INDEX(Impactlist,MATCH(0,INDEX(COUNTIF(A$10:A48,Impactlist),0,0),0)),INDEX(Outcomelist,MATCH(0,INDEX(COUNTIF(A$10:A48,Outcomelist),0,0),0))),"")</f>
        <v/>
      </c>
      <c r="B49" s="1027" t="str">
        <f>IFERROR(INDEX('ImpactOutcome_Import-Export'!D$7:D$209,MATCH($A49,'ImpactOutcome_Import-Export'!$B$7:$B$209,0)),"")</f>
        <v/>
      </c>
      <c r="C49" s="1028" t="str">
        <f>IF(B49="","",IFERROR(INDEX('ImpactOutcome_Import-Export'!F$7:F$22,MATCH($A49,'ImpactOutcome_Import-Export'!$B$7:$B$22,0)),""))</f>
        <v/>
      </c>
      <c r="D49" s="1029" t="str">
        <f>IF(B49="","",IFERROR(IF(INDEX('ImpactOutcome_Import-Export'!K$7:K$22,MATCH($A49,'ImpactOutcome_Import-Export'!$B$7:$B$22,0))="","",INDEX('ImpactOutcome_Import-Export'!K$7:K$22,MATCH($A49,'ImpactOutcome_Import-Export'!$B$7:$B$22,0))),""))</f>
        <v/>
      </c>
      <c r="E49" s="1030" t="str">
        <f>IF(B49="","",IFERROR(IF(INDEX('ImpactOutcome_Import-Export'!L$7:L$22,MATCH($A49,'ImpactOutcome_Import-Export'!$B$7:$B$22,0))="","",INDEX('ImpactOutcome_Import-Export'!L$7:L$22,MATCH($A49,'ImpactOutcome_Import-Export'!$B$7:$B$22,0))),""))</f>
        <v/>
      </c>
      <c r="F49" s="1031" t="str">
        <f>IF(B49="","",IFERROR(IF(INDEX('ImpactOutcome_Import-Export'!M$7:M$22,MATCH($A49,'ImpactOutcome_Import-Export'!$B$7:$B$22,0))="","",INDEX('ImpactOutcome_Import-Export'!M$7:M$22,MATCH($A49,'ImpactOutcome_Import-Export'!$B$7:$B$22,0))),""))</f>
        <v/>
      </c>
      <c r="G49" s="1031" t="str">
        <f>IF(B49="","",IFERROR(IF(INDEX('ImpactOutcome_Import-Export'!N$7:N$22,MATCH($A49,'ImpactOutcome_Import-Export'!$B$7:$B$22,0))="","",INDEX('ImpactOutcome_Import-Export'!N$7:N$22,MATCH($A49,'ImpactOutcome_Import-Export'!$B$7:$B$22,0))),""))</f>
        <v/>
      </c>
      <c r="H49" s="1032" t="str">
        <f>IF(B49="","",IFERROR(IF(INDEX('ImpactOutcome_Import-Export'!O$7:O$22,MATCH($A49,'ImpactOutcome_Import-Export'!$B$7:$B$22,0))="","",INDEX('ImpactOutcome_Import-Export'!O$7:O$22,MATCH($A49,'ImpactOutcome_Import-Export'!$B$7:$B$22,0))),""))</f>
        <v/>
      </c>
      <c r="I49" s="1030" t="str">
        <f>IF(B49="","",IFERROR(IF(INDEX('ImpactOutcome_Import-Export'!P$7:P$22,MATCH($A49,'ImpactOutcome_Import-Export'!$B$7:$B$22,0))="","",INDEX('ImpactOutcome_Import-Export'!P$7:P$22,MATCH($A49,'ImpactOutcome_Import-Export'!$B$7:$B$22,0))),""))</f>
        <v/>
      </c>
      <c r="J49" s="1033" t="str">
        <f>IF(B49="","",IFERROR(IF(INDEX('ImpactOutcome_Import-Export'!Q$7:Q$22,MATCH($A49,'ImpactOutcome_Import-Export'!$B$7:$B$22,0))="","",INDEX('ImpactOutcome_Import-Export'!Q$7:Q$22,MATCH($A49,'ImpactOutcome_Import-Export'!$B$7:$B$22,0))),""))</f>
        <v/>
      </c>
      <c r="K49" s="1030" t="str">
        <f>IF(B49="","",IFERROR(IF(INDEX('ImpactOutcome_Import-Export'!R$7:R$22,MATCH($A49,'ImpactOutcome_Import-Export'!$B$7:$B$22,0))="","",INDEX('ImpactOutcome_Import-Export'!R$7:R$22,MATCH($A49,'ImpactOutcome_Import-Export'!$B$7:$B$22,0))),""))</f>
        <v/>
      </c>
      <c r="L49" s="1034"/>
      <c r="M49" s="1034"/>
      <c r="N49" s="1035" t="str">
        <f t="shared" si="7"/>
        <v/>
      </c>
      <c r="O49" s="1036"/>
      <c r="P49" s="1037"/>
      <c r="Q49" s="1038"/>
      <c r="R49" s="1039" t="str">
        <f t="shared" si="0"/>
        <v/>
      </c>
      <c r="S49" s="1037"/>
      <c r="T49" s="1034"/>
      <c r="U49" s="1034"/>
      <c r="V49" s="1035" t="str">
        <f t="shared" si="2"/>
        <v/>
      </c>
      <c r="W49" s="1036"/>
      <c r="X49" s="1037"/>
      <c r="Y49" s="1038"/>
      <c r="Z49" s="1039" t="str">
        <f t="shared" si="3"/>
        <v/>
      </c>
      <c r="AA49" s="1034"/>
      <c r="AB49" s="1034"/>
      <c r="AC49" s="1035" t="str">
        <f t="shared" si="4"/>
        <v/>
      </c>
      <c r="AD49" s="1038"/>
      <c r="AE49" s="1040" t="str">
        <f t="shared" si="5"/>
        <v/>
      </c>
    </row>
    <row r="50" spans="1:31" ht="60" customHeight="1" x14ac:dyDescent="0.2">
      <c r="A50" s="636" t="str">
        <f>IFERROR(IF(INDEX(Impactlist,MATCH(0,INDEX(COUNTIF(A$10:A49,Impactlist),0,0),0))&lt;&gt;"",INDEX(Impactlist,MATCH(0,INDEX(COUNTIF(A$10:A49,Impactlist),0,0),0)),INDEX(Outcomelist,MATCH(0,INDEX(COUNTIF(A$10:A49,Outcomelist),0,0),0))),"")</f>
        <v/>
      </c>
      <c r="B50" s="1027" t="str">
        <f>IFERROR(INDEX('ImpactOutcome_Import-Export'!D$7:D$209,MATCH($A50,'ImpactOutcome_Import-Export'!$B$7:$B$209,0)),"")</f>
        <v/>
      </c>
      <c r="C50" s="1028" t="str">
        <f>IF(B50="","",IFERROR(INDEX('ImpactOutcome_Import-Export'!F$7:F$22,MATCH($A50,'ImpactOutcome_Import-Export'!$B$7:$B$22,0)),""))</f>
        <v/>
      </c>
      <c r="D50" s="1029" t="str">
        <f>IF(B50="","",IFERROR(IF(INDEX('ImpactOutcome_Import-Export'!K$7:K$22,MATCH($A50,'ImpactOutcome_Import-Export'!$B$7:$B$22,0))="","",INDEX('ImpactOutcome_Import-Export'!K$7:K$22,MATCH($A50,'ImpactOutcome_Import-Export'!$B$7:$B$22,0))),""))</f>
        <v/>
      </c>
      <c r="E50" s="1030" t="str">
        <f>IF(B50="","",IFERROR(IF(INDEX('ImpactOutcome_Import-Export'!L$7:L$22,MATCH($A50,'ImpactOutcome_Import-Export'!$B$7:$B$22,0))="","",INDEX('ImpactOutcome_Import-Export'!L$7:L$22,MATCH($A50,'ImpactOutcome_Import-Export'!$B$7:$B$22,0))),""))</f>
        <v/>
      </c>
      <c r="F50" s="1031" t="str">
        <f>IF(B50="","",IFERROR(IF(INDEX('ImpactOutcome_Import-Export'!M$7:M$22,MATCH($A50,'ImpactOutcome_Import-Export'!$B$7:$B$22,0))="","",INDEX('ImpactOutcome_Import-Export'!M$7:M$22,MATCH($A50,'ImpactOutcome_Import-Export'!$B$7:$B$22,0))),""))</f>
        <v/>
      </c>
      <c r="G50" s="1031" t="str">
        <f>IF(B50="","",IFERROR(IF(INDEX('ImpactOutcome_Import-Export'!N$7:N$22,MATCH($A50,'ImpactOutcome_Import-Export'!$B$7:$B$22,0))="","",INDEX('ImpactOutcome_Import-Export'!N$7:N$22,MATCH($A50,'ImpactOutcome_Import-Export'!$B$7:$B$22,0))),""))</f>
        <v/>
      </c>
      <c r="H50" s="1032" t="str">
        <f>IF(B50="","",IFERROR(IF(INDEX('ImpactOutcome_Import-Export'!O$7:O$22,MATCH($A50,'ImpactOutcome_Import-Export'!$B$7:$B$22,0))="","",INDEX('ImpactOutcome_Import-Export'!O$7:O$22,MATCH($A50,'ImpactOutcome_Import-Export'!$B$7:$B$22,0))),""))</f>
        <v/>
      </c>
      <c r="I50" s="1030" t="str">
        <f>IF(B50="","",IFERROR(IF(INDEX('ImpactOutcome_Import-Export'!P$7:P$22,MATCH($A50,'ImpactOutcome_Import-Export'!$B$7:$B$22,0))="","",INDEX('ImpactOutcome_Import-Export'!P$7:P$22,MATCH($A50,'ImpactOutcome_Import-Export'!$B$7:$B$22,0))),""))</f>
        <v/>
      </c>
      <c r="J50" s="1033" t="str">
        <f>IF(B50="","",IFERROR(IF(INDEX('ImpactOutcome_Import-Export'!Q$7:Q$22,MATCH($A50,'ImpactOutcome_Import-Export'!$B$7:$B$22,0))="","",INDEX('ImpactOutcome_Import-Export'!Q$7:Q$22,MATCH($A50,'ImpactOutcome_Import-Export'!$B$7:$B$22,0))),""))</f>
        <v/>
      </c>
      <c r="K50" s="1030" t="str">
        <f>IF(B50="","",IFERROR(IF(INDEX('ImpactOutcome_Import-Export'!R$7:R$22,MATCH($A50,'ImpactOutcome_Import-Export'!$B$7:$B$22,0))="","",INDEX('ImpactOutcome_Import-Export'!R$7:R$22,MATCH($A50,'ImpactOutcome_Import-Export'!$B$7:$B$22,0))),""))</f>
        <v/>
      </c>
      <c r="L50" s="1034"/>
      <c r="M50" s="1034"/>
      <c r="N50" s="1035" t="str">
        <f t="shared" si="7"/>
        <v/>
      </c>
      <c r="O50" s="1036"/>
      <c r="P50" s="1037"/>
      <c r="Q50" s="1038"/>
      <c r="R50" s="1039" t="str">
        <f t="shared" si="0"/>
        <v/>
      </c>
      <c r="S50" s="1037"/>
      <c r="T50" s="1034"/>
      <c r="U50" s="1034"/>
      <c r="V50" s="1035" t="str">
        <f t="shared" si="2"/>
        <v/>
      </c>
      <c r="W50" s="1036"/>
      <c r="X50" s="1037"/>
      <c r="Y50" s="1038"/>
      <c r="Z50" s="1039" t="str">
        <f t="shared" si="3"/>
        <v/>
      </c>
      <c r="AA50" s="1034"/>
      <c r="AB50" s="1034"/>
      <c r="AC50" s="1035" t="str">
        <f t="shared" si="4"/>
        <v/>
      </c>
      <c r="AD50" s="1038"/>
      <c r="AE50" s="1040" t="str">
        <f t="shared" si="5"/>
        <v/>
      </c>
    </row>
    <row r="51" spans="1:31" ht="60" customHeight="1" x14ac:dyDescent="0.2">
      <c r="A51" s="636" t="str">
        <f>IFERROR(IF(INDEX(Impactlist,MATCH(0,INDEX(COUNTIF(A$10:A50,Impactlist),0,0),0))&lt;&gt;"",INDEX(Impactlist,MATCH(0,INDEX(COUNTIF(A$10:A50,Impactlist),0,0),0)),INDEX(Outcomelist,MATCH(0,INDEX(COUNTIF(A$10:A50,Outcomelist),0,0),0))),"")</f>
        <v/>
      </c>
      <c r="B51" s="1027" t="str">
        <f>IFERROR(INDEX('ImpactOutcome_Import-Export'!D$7:D$209,MATCH($A51,'ImpactOutcome_Import-Export'!$B$7:$B$209,0)),"")</f>
        <v/>
      </c>
      <c r="C51" s="1028" t="str">
        <f>IF(B51="","",IFERROR(INDEX('ImpactOutcome_Import-Export'!F$7:F$22,MATCH($A51,'ImpactOutcome_Import-Export'!$B$7:$B$22,0)),""))</f>
        <v/>
      </c>
      <c r="D51" s="1029" t="str">
        <f>IF(B51="","",IFERROR(IF(INDEX('ImpactOutcome_Import-Export'!K$7:K$22,MATCH($A51,'ImpactOutcome_Import-Export'!$B$7:$B$22,0))="","",INDEX('ImpactOutcome_Import-Export'!K$7:K$22,MATCH($A51,'ImpactOutcome_Import-Export'!$B$7:$B$22,0))),""))</f>
        <v/>
      </c>
      <c r="E51" s="1030" t="str">
        <f>IF(B51="","",IFERROR(IF(INDEX('ImpactOutcome_Import-Export'!L$7:L$22,MATCH($A51,'ImpactOutcome_Import-Export'!$B$7:$B$22,0))="","",INDEX('ImpactOutcome_Import-Export'!L$7:L$22,MATCH($A51,'ImpactOutcome_Import-Export'!$B$7:$B$22,0))),""))</f>
        <v/>
      </c>
      <c r="F51" s="1031" t="str">
        <f>IF(B51="","",IFERROR(IF(INDEX('ImpactOutcome_Import-Export'!M$7:M$22,MATCH($A51,'ImpactOutcome_Import-Export'!$B$7:$B$22,0))="","",INDEX('ImpactOutcome_Import-Export'!M$7:M$22,MATCH($A51,'ImpactOutcome_Import-Export'!$B$7:$B$22,0))),""))</f>
        <v/>
      </c>
      <c r="G51" s="1031" t="str">
        <f>IF(B51="","",IFERROR(IF(INDEX('ImpactOutcome_Import-Export'!N$7:N$22,MATCH($A51,'ImpactOutcome_Import-Export'!$B$7:$B$22,0))="","",INDEX('ImpactOutcome_Import-Export'!N$7:N$22,MATCH($A51,'ImpactOutcome_Import-Export'!$B$7:$B$22,0))),""))</f>
        <v/>
      </c>
      <c r="H51" s="1032" t="str">
        <f>IF(B51="","",IFERROR(IF(INDEX('ImpactOutcome_Import-Export'!O$7:O$22,MATCH($A51,'ImpactOutcome_Import-Export'!$B$7:$B$22,0))="","",INDEX('ImpactOutcome_Import-Export'!O$7:O$22,MATCH($A51,'ImpactOutcome_Import-Export'!$B$7:$B$22,0))),""))</f>
        <v/>
      </c>
      <c r="I51" s="1030" t="str">
        <f>IF(B51="","",IFERROR(IF(INDEX('ImpactOutcome_Import-Export'!P$7:P$22,MATCH($A51,'ImpactOutcome_Import-Export'!$B$7:$B$22,0))="","",INDEX('ImpactOutcome_Import-Export'!P$7:P$22,MATCH($A51,'ImpactOutcome_Import-Export'!$B$7:$B$22,0))),""))</f>
        <v/>
      </c>
      <c r="J51" s="1033" t="str">
        <f>IF(B51="","",IFERROR(IF(INDEX('ImpactOutcome_Import-Export'!Q$7:Q$22,MATCH($A51,'ImpactOutcome_Import-Export'!$B$7:$B$22,0))="","",INDEX('ImpactOutcome_Import-Export'!Q$7:Q$22,MATCH($A51,'ImpactOutcome_Import-Export'!$B$7:$B$22,0))),""))</f>
        <v/>
      </c>
      <c r="K51" s="1030" t="str">
        <f>IF(B51="","",IFERROR(IF(INDEX('ImpactOutcome_Import-Export'!R$7:R$22,MATCH($A51,'ImpactOutcome_Import-Export'!$B$7:$B$22,0))="","",INDEX('ImpactOutcome_Import-Export'!R$7:R$22,MATCH($A51,'ImpactOutcome_Import-Export'!$B$7:$B$22,0))),""))</f>
        <v/>
      </c>
      <c r="L51" s="1034"/>
      <c r="M51" s="1034"/>
      <c r="N51" s="1035" t="str">
        <f t="shared" ref="N51:N80" si="8">IFERROR((L51/M51)*100,"")</f>
        <v/>
      </c>
      <c r="O51" s="1036"/>
      <c r="P51" s="1037"/>
      <c r="Q51" s="1038"/>
      <c r="R51" s="1039" t="str">
        <f t="shared" ref="R51:R80" si="9">IF(AND(F51="",G51="",H51=""),"",IF(AND(L51="",M51="",N51=""),"No Results Reported",IF(AND(F51&lt;&gt;"",G51="",H51="",OR(M51&lt;&gt;"",N51&lt;&gt;"")),"Target contains only a numerator. Please Report only a numerator for the result","Continue")))</f>
        <v/>
      </c>
      <c r="S51" s="1037"/>
      <c r="T51" s="1034"/>
      <c r="U51" s="1034"/>
      <c r="V51" s="1035" t="str">
        <f t="shared" ref="V51:V80" si="10">IFERROR((T51/U51)*100,"")</f>
        <v/>
      </c>
      <c r="W51" s="1036"/>
      <c r="X51" s="1037"/>
      <c r="Y51" s="1038"/>
      <c r="Z51" s="1039" t="str">
        <f t="shared" ref="Z51:Z80" si="11">IF(AND(L51="",M51="",N51=""),"",IF(AND(T51="",U51="",V51=""),"No Results Reported",IF(AND(L51&lt;&gt;"",M51="",N51="",OR(U51&lt;&gt;"",V51&lt;&gt;"")),"Target contains only a numerator. Please Report only a numerator for the result","Continue")))</f>
        <v/>
      </c>
      <c r="AA51" s="1034"/>
      <c r="AB51" s="1034"/>
      <c r="AC51" s="1035" t="str">
        <f t="shared" ref="AC51:AC80" si="12">IFERROR((AA51/AB51)*100,"")</f>
        <v/>
      </c>
      <c r="AD51" s="1038"/>
      <c r="AE51" s="1040" t="str">
        <f t="shared" ref="AE51:AE80" si="13">IF(AND(F51="",G51="",H51=""),"",IF(AND(AA51="",AB51="",AC51=""),"No Results Reported",IF(AND(F51&lt;&gt;"",G51="",H51="",OR(AB51&lt;&gt;"",AC51&lt;&gt;"")),"Target contains only a numerator. Please Report only a numerator for the result","Continue")))</f>
        <v/>
      </c>
    </row>
    <row r="52" spans="1:31" x14ac:dyDescent="0.2">
      <c r="A52" s="636" t="str">
        <f>IFERROR(IF(INDEX(Impactlist,MATCH(0,INDEX(COUNTIF(A$10:A51,Impactlist),0,0),0))&lt;&gt;"",INDEX(Impactlist,MATCH(0,INDEX(COUNTIF(A$10:A51,Impactlist),0,0),0)),INDEX(Outcomelist,MATCH(0,INDEX(COUNTIF(A$10:A51,Outcomelist),0,0),0))),"")</f>
        <v/>
      </c>
      <c r="B52" s="1027" t="str">
        <f>IFERROR(INDEX('ImpactOutcome_Import-Export'!D$7:D$209,MATCH($A52,'ImpactOutcome_Import-Export'!$B$7:$B$209,0)),"")</f>
        <v/>
      </c>
      <c r="C52" s="1028" t="str">
        <f>IF(B52="","",IFERROR(INDEX('ImpactOutcome_Import-Export'!F$7:F$22,MATCH($A52,'ImpactOutcome_Import-Export'!$B$7:$B$22,0)),""))</f>
        <v/>
      </c>
      <c r="D52" s="1029" t="str">
        <f>IF(B52="","",IFERROR(IF(INDEX('ImpactOutcome_Import-Export'!K$7:K$22,MATCH($A52,'ImpactOutcome_Import-Export'!$B$7:$B$22,0))="","",INDEX('ImpactOutcome_Import-Export'!K$7:K$22,MATCH($A52,'ImpactOutcome_Import-Export'!$B$7:$B$22,0))),""))</f>
        <v/>
      </c>
      <c r="E52" s="1030" t="str">
        <f>IF(B52="","",IFERROR(IF(INDEX('ImpactOutcome_Import-Export'!L$7:L$22,MATCH($A52,'ImpactOutcome_Import-Export'!$B$7:$B$22,0))="","",INDEX('ImpactOutcome_Import-Export'!L$7:L$22,MATCH($A52,'ImpactOutcome_Import-Export'!$B$7:$B$22,0))),""))</f>
        <v/>
      </c>
      <c r="F52" s="1031" t="str">
        <f>IF(B52="","",IFERROR(IF(INDEX('ImpactOutcome_Import-Export'!M$7:M$22,MATCH($A52,'ImpactOutcome_Import-Export'!$B$7:$B$22,0))="","",INDEX('ImpactOutcome_Import-Export'!M$7:M$22,MATCH($A52,'ImpactOutcome_Import-Export'!$B$7:$B$22,0))),""))</f>
        <v/>
      </c>
      <c r="G52" s="1031" t="str">
        <f>IF(B52="","",IFERROR(IF(INDEX('ImpactOutcome_Import-Export'!N$7:N$22,MATCH($A52,'ImpactOutcome_Import-Export'!$B$7:$B$22,0))="","",INDEX('ImpactOutcome_Import-Export'!N$7:N$22,MATCH($A52,'ImpactOutcome_Import-Export'!$B$7:$B$22,0))),""))</f>
        <v/>
      </c>
      <c r="H52" s="1032" t="str">
        <f>IF(B52="","",IFERROR(IF(INDEX('ImpactOutcome_Import-Export'!O$7:O$22,MATCH($A52,'ImpactOutcome_Import-Export'!$B$7:$B$22,0))="","",INDEX('ImpactOutcome_Import-Export'!O$7:O$22,MATCH($A52,'ImpactOutcome_Import-Export'!$B$7:$B$22,0))),""))</f>
        <v/>
      </c>
      <c r="I52" s="1030" t="str">
        <f>IF(B52="","",IFERROR(IF(INDEX('ImpactOutcome_Import-Export'!P$7:P$22,MATCH($A52,'ImpactOutcome_Import-Export'!$B$7:$B$22,0))="","",INDEX('ImpactOutcome_Import-Export'!P$7:P$22,MATCH($A52,'ImpactOutcome_Import-Export'!$B$7:$B$22,0))),""))</f>
        <v/>
      </c>
      <c r="J52" s="1033" t="str">
        <f>IF(B52="","",IFERROR(IF(INDEX('ImpactOutcome_Import-Export'!Q$7:Q$22,MATCH($A52,'ImpactOutcome_Import-Export'!$B$7:$B$22,0))="","",INDEX('ImpactOutcome_Import-Export'!Q$7:Q$22,MATCH($A52,'ImpactOutcome_Import-Export'!$B$7:$B$22,0))),""))</f>
        <v/>
      </c>
      <c r="K52" s="1030" t="str">
        <f>IF(B52="","",IFERROR(IF(INDEX('ImpactOutcome_Import-Export'!R$7:R$22,MATCH($A52,'ImpactOutcome_Import-Export'!$B$7:$B$22,0))="","",INDEX('ImpactOutcome_Import-Export'!R$7:R$22,MATCH($A52,'ImpactOutcome_Import-Export'!$B$7:$B$22,0))),""))</f>
        <v/>
      </c>
      <c r="L52" s="1034"/>
      <c r="M52" s="1034"/>
      <c r="N52" s="1035" t="str">
        <f t="shared" si="8"/>
        <v/>
      </c>
      <c r="O52" s="1036"/>
      <c r="P52" s="1037"/>
      <c r="Q52" s="1038"/>
      <c r="R52" s="1039" t="str">
        <f t="shared" si="9"/>
        <v/>
      </c>
      <c r="S52" s="1037"/>
      <c r="T52" s="1034"/>
      <c r="U52" s="1034"/>
      <c r="V52" s="1035" t="str">
        <f t="shared" si="10"/>
        <v/>
      </c>
      <c r="W52" s="1036"/>
      <c r="X52" s="1037"/>
      <c r="Y52" s="1038"/>
      <c r="Z52" s="1039" t="str">
        <f t="shared" si="11"/>
        <v/>
      </c>
      <c r="AA52" s="1034"/>
      <c r="AB52" s="1034"/>
      <c r="AC52" s="1035" t="str">
        <f t="shared" si="12"/>
        <v/>
      </c>
      <c r="AD52" s="1038"/>
      <c r="AE52" s="1040" t="str">
        <f t="shared" si="13"/>
        <v/>
      </c>
    </row>
    <row r="53" spans="1:31" x14ac:dyDescent="0.2">
      <c r="A53" s="636" t="str">
        <f>IFERROR(IF(INDEX(Impactlist,MATCH(0,INDEX(COUNTIF(A$10:A52,Impactlist),0,0),0))&lt;&gt;"",INDEX(Impactlist,MATCH(0,INDEX(COUNTIF(A$10:A52,Impactlist),0,0),0)),INDEX(Outcomelist,MATCH(0,INDEX(COUNTIF(A$10:A52,Outcomelist),0,0),0))),"")</f>
        <v/>
      </c>
      <c r="B53" s="1027" t="str">
        <f>IFERROR(INDEX('ImpactOutcome_Import-Export'!D$7:D$209,MATCH($A53,'ImpactOutcome_Import-Export'!$B$7:$B$209,0)),"")</f>
        <v/>
      </c>
      <c r="C53" s="1028" t="str">
        <f>IF(B53="","",IFERROR(INDEX('ImpactOutcome_Import-Export'!F$7:F$22,MATCH($A53,'ImpactOutcome_Import-Export'!$B$7:$B$22,0)),""))</f>
        <v/>
      </c>
      <c r="D53" s="1029" t="str">
        <f>IF(B53="","",IFERROR(IF(INDEX('ImpactOutcome_Import-Export'!K$7:K$22,MATCH($A53,'ImpactOutcome_Import-Export'!$B$7:$B$22,0))="","",INDEX('ImpactOutcome_Import-Export'!K$7:K$22,MATCH($A53,'ImpactOutcome_Import-Export'!$B$7:$B$22,0))),""))</f>
        <v/>
      </c>
      <c r="E53" s="1030" t="str">
        <f>IF(B53="","",IFERROR(IF(INDEX('ImpactOutcome_Import-Export'!L$7:L$22,MATCH($A53,'ImpactOutcome_Import-Export'!$B$7:$B$22,0))="","",INDEX('ImpactOutcome_Import-Export'!L$7:L$22,MATCH($A53,'ImpactOutcome_Import-Export'!$B$7:$B$22,0))),""))</f>
        <v/>
      </c>
      <c r="F53" s="1031" t="str">
        <f>IF(B53="","",IFERROR(IF(INDEX('ImpactOutcome_Import-Export'!M$7:M$22,MATCH($A53,'ImpactOutcome_Import-Export'!$B$7:$B$22,0))="","",INDEX('ImpactOutcome_Import-Export'!M$7:M$22,MATCH($A53,'ImpactOutcome_Import-Export'!$B$7:$B$22,0))),""))</f>
        <v/>
      </c>
      <c r="G53" s="1031" t="str">
        <f>IF(B53="","",IFERROR(IF(INDEX('ImpactOutcome_Import-Export'!N$7:N$22,MATCH($A53,'ImpactOutcome_Import-Export'!$B$7:$B$22,0))="","",INDEX('ImpactOutcome_Import-Export'!N$7:N$22,MATCH($A53,'ImpactOutcome_Import-Export'!$B$7:$B$22,0))),""))</f>
        <v/>
      </c>
      <c r="H53" s="1032" t="str">
        <f>IF(B53="","",IFERROR(IF(INDEX('ImpactOutcome_Import-Export'!O$7:O$22,MATCH($A53,'ImpactOutcome_Import-Export'!$B$7:$B$22,0))="","",INDEX('ImpactOutcome_Import-Export'!O$7:O$22,MATCH($A53,'ImpactOutcome_Import-Export'!$B$7:$B$22,0))),""))</f>
        <v/>
      </c>
      <c r="I53" s="1030" t="str">
        <f>IF(B53="","",IFERROR(IF(INDEX('ImpactOutcome_Import-Export'!P$7:P$22,MATCH($A53,'ImpactOutcome_Import-Export'!$B$7:$B$22,0))="","",INDEX('ImpactOutcome_Import-Export'!P$7:P$22,MATCH($A53,'ImpactOutcome_Import-Export'!$B$7:$B$22,0))),""))</f>
        <v/>
      </c>
      <c r="J53" s="1033" t="str">
        <f>IF(B53="","",IFERROR(IF(INDEX('ImpactOutcome_Import-Export'!Q$7:Q$22,MATCH($A53,'ImpactOutcome_Import-Export'!$B$7:$B$22,0))="","",INDEX('ImpactOutcome_Import-Export'!Q$7:Q$22,MATCH($A53,'ImpactOutcome_Import-Export'!$B$7:$B$22,0))),""))</f>
        <v/>
      </c>
      <c r="K53" s="1030" t="str">
        <f>IF(B53="","",IFERROR(IF(INDEX('ImpactOutcome_Import-Export'!R$7:R$22,MATCH($A53,'ImpactOutcome_Import-Export'!$B$7:$B$22,0))="","",INDEX('ImpactOutcome_Import-Export'!R$7:R$22,MATCH($A53,'ImpactOutcome_Import-Export'!$B$7:$B$22,0))),""))</f>
        <v/>
      </c>
      <c r="L53" s="1034"/>
      <c r="M53" s="1034"/>
      <c r="N53" s="1035" t="str">
        <f t="shared" si="8"/>
        <v/>
      </c>
      <c r="O53" s="1036"/>
      <c r="P53" s="1037"/>
      <c r="Q53" s="1038"/>
      <c r="R53" s="1039" t="str">
        <f t="shared" si="9"/>
        <v/>
      </c>
      <c r="S53" s="1037"/>
      <c r="T53" s="1034"/>
      <c r="U53" s="1034"/>
      <c r="V53" s="1035" t="str">
        <f t="shared" si="10"/>
        <v/>
      </c>
      <c r="W53" s="1036"/>
      <c r="X53" s="1037"/>
      <c r="Y53" s="1038"/>
      <c r="Z53" s="1039" t="str">
        <f t="shared" si="11"/>
        <v/>
      </c>
      <c r="AA53" s="1034"/>
      <c r="AB53" s="1034"/>
      <c r="AC53" s="1035" t="str">
        <f t="shared" si="12"/>
        <v/>
      </c>
      <c r="AD53" s="1038"/>
      <c r="AE53" s="1040" t="str">
        <f t="shared" si="13"/>
        <v/>
      </c>
    </row>
    <row r="54" spans="1:31" x14ac:dyDescent="0.2">
      <c r="A54" s="636" t="str">
        <f>IFERROR(IF(INDEX(Impactlist,MATCH(0,INDEX(COUNTIF(A$10:A53,Impactlist),0,0),0))&lt;&gt;"",INDEX(Impactlist,MATCH(0,INDEX(COUNTIF(A$10:A53,Impactlist),0,0),0)),INDEX(Outcomelist,MATCH(0,INDEX(COUNTIF(A$10:A53,Outcomelist),0,0),0))),"")</f>
        <v/>
      </c>
      <c r="B54" s="1027" t="str">
        <f>IFERROR(INDEX('ImpactOutcome_Import-Export'!D$7:D$209,MATCH($A54,'ImpactOutcome_Import-Export'!$B$7:$B$209,0)),"")</f>
        <v/>
      </c>
      <c r="C54" s="1028" t="str">
        <f>IF(B54="","",IFERROR(INDEX('ImpactOutcome_Import-Export'!F$7:F$22,MATCH($A54,'ImpactOutcome_Import-Export'!$B$7:$B$22,0)),""))</f>
        <v/>
      </c>
      <c r="D54" s="1029" t="str">
        <f>IF(B54="","",IFERROR(IF(INDEX('ImpactOutcome_Import-Export'!K$7:K$22,MATCH($A54,'ImpactOutcome_Import-Export'!$B$7:$B$22,0))="","",INDEX('ImpactOutcome_Import-Export'!K$7:K$22,MATCH($A54,'ImpactOutcome_Import-Export'!$B$7:$B$22,0))),""))</f>
        <v/>
      </c>
      <c r="E54" s="1030" t="str">
        <f>IF(B54="","",IFERROR(IF(INDEX('ImpactOutcome_Import-Export'!L$7:L$22,MATCH($A54,'ImpactOutcome_Import-Export'!$B$7:$B$22,0))="","",INDEX('ImpactOutcome_Import-Export'!L$7:L$22,MATCH($A54,'ImpactOutcome_Import-Export'!$B$7:$B$22,0))),""))</f>
        <v/>
      </c>
      <c r="F54" s="1031" t="str">
        <f>IF(B54="","",IFERROR(IF(INDEX('ImpactOutcome_Import-Export'!M$7:M$22,MATCH($A54,'ImpactOutcome_Import-Export'!$B$7:$B$22,0))="","",INDEX('ImpactOutcome_Import-Export'!M$7:M$22,MATCH($A54,'ImpactOutcome_Import-Export'!$B$7:$B$22,0))),""))</f>
        <v/>
      </c>
      <c r="G54" s="1031" t="str">
        <f>IF(B54="","",IFERROR(IF(INDEX('ImpactOutcome_Import-Export'!N$7:N$22,MATCH($A54,'ImpactOutcome_Import-Export'!$B$7:$B$22,0))="","",INDEX('ImpactOutcome_Import-Export'!N$7:N$22,MATCH($A54,'ImpactOutcome_Import-Export'!$B$7:$B$22,0))),""))</f>
        <v/>
      </c>
      <c r="H54" s="1032" t="str">
        <f>IF(B54="","",IFERROR(IF(INDEX('ImpactOutcome_Import-Export'!O$7:O$22,MATCH($A54,'ImpactOutcome_Import-Export'!$B$7:$B$22,0))="","",INDEX('ImpactOutcome_Import-Export'!O$7:O$22,MATCH($A54,'ImpactOutcome_Import-Export'!$B$7:$B$22,0))),""))</f>
        <v/>
      </c>
      <c r="I54" s="1030" t="str">
        <f>IF(B54="","",IFERROR(IF(INDEX('ImpactOutcome_Import-Export'!P$7:P$22,MATCH($A54,'ImpactOutcome_Import-Export'!$B$7:$B$22,0))="","",INDEX('ImpactOutcome_Import-Export'!P$7:P$22,MATCH($A54,'ImpactOutcome_Import-Export'!$B$7:$B$22,0))),""))</f>
        <v/>
      </c>
      <c r="J54" s="1033" t="str">
        <f>IF(B54="","",IFERROR(IF(INDEX('ImpactOutcome_Import-Export'!Q$7:Q$22,MATCH($A54,'ImpactOutcome_Import-Export'!$B$7:$B$22,0))="","",INDEX('ImpactOutcome_Import-Export'!Q$7:Q$22,MATCH($A54,'ImpactOutcome_Import-Export'!$B$7:$B$22,0))),""))</f>
        <v/>
      </c>
      <c r="K54" s="1030" t="str">
        <f>IF(B54="","",IFERROR(IF(INDEX('ImpactOutcome_Import-Export'!R$7:R$22,MATCH($A54,'ImpactOutcome_Import-Export'!$B$7:$B$22,0))="","",INDEX('ImpactOutcome_Import-Export'!R$7:R$22,MATCH($A54,'ImpactOutcome_Import-Export'!$B$7:$B$22,0))),""))</f>
        <v/>
      </c>
      <c r="L54" s="1034"/>
      <c r="M54" s="1034"/>
      <c r="N54" s="1035" t="str">
        <f t="shared" si="8"/>
        <v/>
      </c>
      <c r="O54" s="1036"/>
      <c r="P54" s="1037"/>
      <c r="Q54" s="1038"/>
      <c r="R54" s="1039" t="str">
        <f t="shared" si="9"/>
        <v/>
      </c>
      <c r="S54" s="1037"/>
      <c r="T54" s="1034"/>
      <c r="U54" s="1034"/>
      <c r="V54" s="1035" t="str">
        <f t="shared" si="10"/>
        <v/>
      </c>
      <c r="W54" s="1036"/>
      <c r="X54" s="1037"/>
      <c r="Y54" s="1038"/>
      <c r="Z54" s="1039" t="str">
        <f t="shared" si="11"/>
        <v/>
      </c>
      <c r="AA54" s="1034"/>
      <c r="AB54" s="1034"/>
      <c r="AC54" s="1035" t="str">
        <f t="shared" si="12"/>
        <v/>
      </c>
      <c r="AD54" s="1038"/>
      <c r="AE54" s="1040" t="str">
        <f t="shared" si="13"/>
        <v/>
      </c>
    </row>
    <row r="55" spans="1:31" x14ac:dyDescent="0.2">
      <c r="A55" s="636" t="str">
        <f>IFERROR(IF(INDEX(Impactlist,MATCH(0,INDEX(COUNTIF(A$10:A54,Impactlist),0,0),0))&lt;&gt;"",INDEX(Impactlist,MATCH(0,INDEX(COUNTIF(A$10:A54,Impactlist),0,0),0)),INDEX(Outcomelist,MATCH(0,INDEX(COUNTIF(A$10:A54,Outcomelist),0,0),0))),"")</f>
        <v/>
      </c>
      <c r="B55" s="1027" t="str">
        <f>IFERROR(INDEX('ImpactOutcome_Import-Export'!D$7:D$209,MATCH($A55,'ImpactOutcome_Import-Export'!$B$7:$B$209,0)),"")</f>
        <v/>
      </c>
      <c r="C55" s="1028" t="str">
        <f>IF(B55="","",IFERROR(INDEX('ImpactOutcome_Import-Export'!F$7:F$22,MATCH($A55,'ImpactOutcome_Import-Export'!$B$7:$B$22,0)),""))</f>
        <v/>
      </c>
      <c r="D55" s="1029" t="str">
        <f>IF(B55="","",IFERROR(IF(INDEX('ImpactOutcome_Import-Export'!K$7:K$22,MATCH($A55,'ImpactOutcome_Import-Export'!$B$7:$B$22,0))="","",INDEX('ImpactOutcome_Import-Export'!K$7:K$22,MATCH($A55,'ImpactOutcome_Import-Export'!$B$7:$B$22,0))),""))</f>
        <v/>
      </c>
      <c r="E55" s="1030" t="str">
        <f>IF(B55="","",IFERROR(IF(INDEX('ImpactOutcome_Import-Export'!L$7:L$22,MATCH($A55,'ImpactOutcome_Import-Export'!$B$7:$B$22,0))="","",INDEX('ImpactOutcome_Import-Export'!L$7:L$22,MATCH($A55,'ImpactOutcome_Import-Export'!$B$7:$B$22,0))),""))</f>
        <v/>
      </c>
      <c r="F55" s="1031" t="str">
        <f>IF(B55="","",IFERROR(IF(INDEX('ImpactOutcome_Import-Export'!M$7:M$22,MATCH($A55,'ImpactOutcome_Import-Export'!$B$7:$B$22,0))="","",INDEX('ImpactOutcome_Import-Export'!M$7:M$22,MATCH($A55,'ImpactOutcome_Import-Export'!$B$7:$B$22,0))),""))</f>
        <v/>
      </c>
      <c r="G55" s="1031" t="str">
        <f>IF(B55="","",IFERROR(IF(INDEX('ImpactOutcome_Import-Export'!N$7:N$22,MATCH($A55,'ImpactOutcome_Import-Export'!$B$7:$B$22,0))="","",INDEX('ImpactOutcome_Import-Export'!N$7:N$22,MATCH($A55,'ImpactOutcome_Import-Export'!$B$7:$B$22,0))),""))</f>
        <v/>
      </c>
      <c r="H55" s="1032" t="str">
        <f>IF(B55="","",IFERROR(IF(INDEX('ImpactOutcome_Import-Export'!O$7:O$22,MATCH($A55,'ImpactOutcome_Import-Export'!$B$7:$B$22,0))="","",INDEX('ImpactOutcome_Import-Export'!O$7:O$22,MATCH($A55,'ImpactOutcome_Import-Export'!$B$7:$B$22,0))),""))</f>
        <v/>
      </c>
      <c r="I55" s="1030" t="str">
        <f>IF(B55="","",IFERROR(IF(INDEX('ImpactOutcome_Import-Export'!P$7:P$22,MATCH($A55,'ImpactOutcome_Import-Export'!$B$7:$B$22,0))="","",INDEX('ImpactOutcome_Import-Export'!P$7:P$22,MATCH($A55,'ImpactOutcome_Import-Export'!$B$7:$B$22,0))),""))</f>
        <v/>
      </c>
      <c r="J55" s="1033" t="str">
        <f>IF(B55="","",IFERROR(IF(INDEX('ImpactOutcome_Import-Export'!Q$7:Q$22,MATCH($A55,'ImpactOutcome_Import-Export'!$B$7:$B$22,0))="","",INDEX('ImpactOutcome_Import-Export'!Q$7:Q$22,MATCH($A55,'ImpactOutcome_Import-Export'!$B$7:$B$22,0))),""))</f>
        <v/>
      </c>
      <c r="K55" s="1030" t="str">
        <f>IF(B55="","",IFERROR(IF(INDEX('ImpactOutcome_Import-Export'!R$7:R$22,MATCH($A55,'ImpactOutcome_Import-Export'!$B$7:$B$22,0))="","",INDEX('ImpactOutcome_Import-Export'!R$7:R$22,MATCH($A55,'ImpactOutcome_Import-Export'!$B$7:$B$22,0))),""))</f>
        <v/>
      </c>
      <c r="L55" s="1034"/>
      <c r="M55" s="1034"/>
      <c r="N55" s="1035" t="str">
        <f t="shared" si="8"/>
        <v/>
      </c>
      <c r="O55" s="1036"/>
      <c r="P55" s="1037"/>
      <c r="Q55" s="1038"/>
      <c r="R55" s="1039" t="str">
        <f t="shared" si="9"/>
        <v/>
      </c>
      <c r="S55" s="1037"/>
      <c r="T55" s="1034"/>
      <c r="U55" s="1034"/>
      <c r="V55" s="1035" t="str">
        <f t="shared" si="10"/>
        <v/>
      </c>
      <c r="W55" s="1036"/>
      <c r="X55" s="1037"/>
      <c r="Y55" s="1038"/>
      <c r="Z55" s="1039" t="str">
        <f t="shared" si="11"/>
        <v/>
      </c>
      <c r="AA55" s="1034"/>
      <c r="AB55" s="1034"/>
      <c r="AC55" s="1035" t="str">
        <f t="shared" si="12"/>
        <v/>
      </c>
      <c r="AD55" s="1038"/>
      <c r="AE55" s="1040" t="str">
        <f t="shared" si="13"/>
        <v/>
      </c>
    </row>
    <row r="56" spans="1:31" x14ac:dyDescent="0.2">
      <c r="A56" s="636" t="str">
        <f>IFERROR(IF(INDEX(Impactlist,MATCH(0,INDEX(COUNTIF(A$10:A55,Impactlist),0,0),0))&lt;&gt;"",INDEX(Impactlist,MATCH(0,INDEX(COUNTIF(A$10:A55,Impactlist),0,0),0)),INDEX(Outcomelist,MATCH(0,INDEX(COUNTIF(A$10:A55,Outcomelist),0,0),0))),"")</f>
        <v/>
      </c>
      <c r="B56" s="1027" t="str">
        <f>IFERROR(INDEX('ImpactOutcome_Import-Export'!D$7:D$209,MATCH($A56,'ImpactOutcome_Import-Export'!$B$7:$B$209,0)),"")</f>
        <v/>
      </c>
      <c r="C56" s="1028" t="str">
        <f>IF(B56="","",IFERROR(INDEX('ImpactOutcome_Import-Export'!F$7:F$22,MATCH($A56,'ImpactOutcome_Import-Export'!$B$7:$B$22,0)),""))</f>
        <v/>
      </c>
      <c r="D56" s="1029" t="str">
        <f>IF(B56="","",IFERROR(IF(INDEX('ImpactOutcome_Import-Export'!K$7:K$22,MATCH($A56,'ImpactOutcome_Import-Export'!$B$7:$B$22,0))="","",INDEX('ImpactOutcome_Import-Export'!K$7:K$22,MATCH($A56,'ImpactOutcome_Import-Export'!$B$7:$B$22,0))),""))</f>
        <v/>
      </c>
      <c r="E56" s="1030" t="str">
        <f>IF(B56="","",IFERROR(IF(INDEX('ImpactOutcome_Import-Export'!L$7:L$22,MATCH($A56,'ImpactOutcome_Import-Export'!$B$7:$B$22,0))="","",INDEX('ImpactOutcome_Import-Export'!L$7:L$22,MATCH($A56,'ImpactOutcome_Import-Export'!$B$7:$B$22,0))),""))</f>
        <v/>
      </c>
      <c r="F56" s="1031" t="str">
        <f>IF(B56="","",IFERROR(IF(INDEX('ImpactOutcome_Import-Export'!M$7:M$22,MATCH($A56,'ImpactOutcome_Import-Export'!$B$7:$B$22,0))="","",INDEX('ImpactOutcome_Import-Export'!M$7:M$22,MATCH($A56,'ImpactOutcome_Import-Export'!$B$7:$B$22,0))),""))</f>
        <v/>
      </c>
      <c r="G56" s="1031" t="str">
        <f>IF(B56="","",IFERROR(IF(INDEX('ImpactOutcome_Import-Export'!N$7:N$22,MATCH($A56,'ImpactOutcome_Import-Export'!$B$7:$B$22,0))="","",INDEX('ImpactOutcome_Import-Export'!N$7:N$22,MATCH($A56,'ImpactOutcome_Import-Export'!$B$7:$B$22,0))),""))</f>
        <v/>
      </c>
      <c r="H56" s="1032" t="str">
        <f>IF(B56="","",IFERROR(IF(INDEX('ImpactOutcome_Import-Export'!O$7:O$22,MATCH($A56,'ImpactOutcome_Import-Export'!$B$7:$B$22,0))="","",INDEX('ImpactOutcome_Import-Export'!O$7:O$22,MATCH($A56,'ImpactOutcome_Import-Export'!$B$7:$B$22,0))),""))</f>
        <v/>
      </c>
      <c r="I56" s="1030" t="str">
        <f>IF(B56="","",IFERROR(IF(INDEX('ImpactOutcome_Import-Export'!P$7:P$22,MATCH($A56,'ImpactOutcome_Import-Export'!$B$7:$B$22,0))="","",INDEX('ImpactOutcome_Import-Export'!P$7:P$22,MATCH($A56,'ImpactOutcome_Import-Export'!$B$7:$B$22,0))),""))</f>
        <v/>
      </c>
      <c r="J56" s="1033" t="str">
        <f>IF(B56="","",IFERROR(IF(INDEX('ImpactOutcome_Import-Export'!Q$7:Q$22,MATCH($A56,'ImpactOutcome_Import-Export'!$B$7:$B$22,0))="","",INDEX('ImpactOutcome_Import-Export'!Q$7:Q$22,MATCH($A56,'ImpactOutcome_Import-Export'!$B$7:$B$22,0))),""))</f>
        <v/>
      </c>
      <c r="K56" s="1030" t="str">
        <f>IF(B56="","",IFERROR(IF(INDEX('ImpactOutcome_Import-Export'!R$7:R$22,MATCH($A56,'ImpactOutcome_Import-Export'!$B$7:$B$22,0))="","",INDEX('ImpactOutcome_Import-Export'!R$7:R$22,MATCH($A56,'ImpactOutcome_Import-Export'!$B$7:$B$22,0))),""))</f>
        <v/>
      </c>
      <c r="L56" s="1034"/>
      <c r="M56" s="1034"/>
      <c r="N56" s="1035" t="str">
        <f t="shared" si="8"/>
        <v/>
      </c>
      <c r="O56" s="1036"/>
      <c r="P56" s="1037"/>
      <c r="Q56" s="1038"/>
      <c r="R56" s="1039" t="str">
        <f t="shared" si="9"/>
        <v/>
      </c>
      <c r="S56" s="1037"/>
      <c r="T56" s="1034"/>
      <c r="U56" s="1034"/>
      <c r="V56" s="1035" t="str">
        <f t="shared" si="10"/>
        <v/>
      </c>
      <c r="W56" s="1036"/>
      <c r="X56" s="1037"/>
      <c r="Y56" s="1038"/>
      <c r="Z56" s="1039" t="str">
        <f t="shared" si="11"/>
        <v/>
      </c>
      <c r="AA56" s="1034"/>
      <c r="AB56" s="1034"/>
      <c r="AC56" s="1035" t="str">
        <f t="shared" si="12"/>
        <v/>
      </c>
      <c r="AD56" s="1038"/>
      <c r="AE56" s="1040" t="str">
        <f t="shared" si="13"/>
        <v/>
      </c>
    </row>
    <row r="57" spans="1:31" x14ac:dyDescent="0.2">
      <c r="A57" s="636" t="str">
        <f>IFERROR(IF(INDEX(Impactlist,MATCH(0,INDEX(COUNTIF(A$10:A56,Impactlist),0,0),0))&lt;&gt;"",INDEX(Impactlist,MATCH(0,INDEX(COUNTIF(A$10:A56,Impactlist),0,0),0)),INDEX(Outcomelist,MATCH(0,INDEX(COUNTIF(A$10:A56,Outcomelist),0,0),0))),"")</f>
        <v/>
      </c>
      <c r="B57" s="1027" t="str">
        <f>IFERROR(INDEX('ImpactOutcome_Import-Export'!D$7:D$209,MATCH($A57,'ImpactOutcome_Import-Export'!$B$7:$B$209,0)),"")</f>
        <v/>
      </c>
      <c r="C57" s="1028" t="str">
        <f>IF(B57="","",IFERROR(INDEX('ImpactOutcome_Import-Export'!F$7:F$22,MATCH($A57,'ImpactOutcome_Import-Export'!$B$7:$B$22,0)),""))</f>
        <v/>
      </c>
      <c r="D57" s="1029" t="str">
        <f>IF(B57="","",IFERROR(IF(INDEX('ImpactOutcome_Import-Export'!K$7:K$22,MATCH($A57,'ImpactOutcome_Import-Export'!$B$7:$B$22,0))="","",INDEX('ImpactOutcome_Import-Export'!K$7:K$22,MATCH($A57,'ImpactOutcome_Import-Export'!$B$7:$B$22,0))),""))</f>
        <v/>
      </c>
      <c r="E57" s="1030" t="str">
        <f>IF(B57="","",IFERROR(IF(INDEX('ImpactOutcome_Import-Export'!L$7:L$22,MATCH($A57,'ImpactOutcome_Import-Export'!$B$7:$B$22,0))="","",INDEX('ImpactOutcome_Import-Export'!L$7:L$22,MATCH($A57,'ImpactOutcome_Import-Export'!$B$7:$B$22,0))),""))</f>
        <v/>
      </c>
      <c r="F57" s="1031" t="str">
        <f>IF(B57="","",IFERROR(IF(INDEX('ImpactOutcome_Import-Export'!M$7:M$22,MATCH($A57,'ImpactOutcome_Import-Export'!$B$7:$B$22,0))="","",INDEX('ImpactOutcome_Import-Export'!M$7:M$22,MATCH($A57,'ImpactOutcome_Import-Export'!$B$7:$B$22,0))),""))</f>
        <v/>
      </c>
      <c r="G57" s="1031" t="str">
        <f>IF(B57="","",IFERROR(IF(INDEX('ImpactOutcome_Import-Export'!N$7:N$22,MATCH($A57,'ImpactOutcome_Import-Export'!$B$7:$B$22,0))="","",INDEX('ImpactOutcome_Import-Export'!N$7:N$22,MATCH($A57,'ImpactOutcome_Import-Export'!$B$7:$B$22,0))),""))</f>
        <v/>
      </c>
      <c r="H57" s="1032" t="str">
        <f>IF(B57="","",IFERROR(IF(INDEX('ImpactOutcome_Import-Export'!O$7:O$22,MATCH($A57,'ImpactOutcome_Import-Export'!$B$7:$B$22,0))="","",INDEX('ImpactOutcome_Import-Export'!O$7:O$22,MATCH($A57,'ImpactOutcome_Import-Export'!$B$7:$B$22,0))),""))</f>
        <v/>
      </c>
      <c r="I57" s="1030" t="str">
        <f>IF(B57="","",IFERROR(IF(INDEX('ImpactOutcome_Import-Export'!P$7:P$22,MATCH($A57,'ImpactOutcome_Import-Export'!$B$7:$B$22,0))="","",INDEX('ImpactOutcome_Import-Export'!P$7:P$22,MATCH($A57,'ImpactOutcome_Import-Export'!$B$7:$B$22,0))),""))</f>
        <v/>
      </c>
      <c r="J57" s="1033" t="str">
        <f>IF(B57="","",IFERROR(IF(INDEX('ImpactOutcome_Import-Export'!Q$7:Q$22,MATCH($A57,'ImpactOutcome_Import-Export'!$B$7:$B$22,0))="","",INDEX('ImpactOutcome_Import-Export'!Q$7:Q$22,MATCH($A57,'ImpactOutcome_Import-Export'!$B$7:$B$22,0))),""))</f>
        <v/>
      </c>
      <c r="K57" s="1030" t="str">
        <f>IF(B57="","",IFERROR(IF(INDEX('ImpactOutcome_Import-Export'!R$7:R$22,MATCH($A57,'ImpactOutcome_Import-Export'!$B$7:$B$22,0))="","",INDEX('ImpactOutcome_Import-Export'!R$7:R$22,MATCH($A57,'ImpactOutcome_Import-Export'!$B$7:$B$22,0))),""))</f>
        <v/>
      </c>
      <c r="L57" s="1034"/>
      <c r="M57" s="1034"/>
      <c r="N57" s="1035" t="str">
        <f t="shared" si="8"/>
        <v/>
      </c>
      <c r="O57" s="1036"/>
      <c r="P57" s="1037"/>
      <c r="Q57" s="1038"/>
      <c r="R57" s="1039" t="str">
        <f t="shared" si="9"/>
        <v/>
      </c>
      <c r="S57" s="1037"/>
      <c r="T57" s="1034"/>
      <c r="U57" s="1034"/>
      <c r="V57" s="1035" t="str">
        <f t="shared" si="10"/>
        <v/>
      </c>
      <c r="W57" s="1036"/>
      <c r="X57" s="1037"/>
      <c r="Y57" s="1038"/>
      <c r="Z57" s="1039" t="str">
        <f t="shared" si="11"/>
        <v/>
      </c>
      <c r="AA57" s="1034"/>
      <c r="AB57" s="1034"/>
      <c r="AC57" s="1035" t="str">
        <f t="shared" si="12"/>
        <v/>
      </c>
      <c r="AD57" s="1038"/>
      <c r="AE57" s="1040" t="str">
        <f t="shared" si="13"/>
        <v/>
      </c>
    </row>
    <row r="58" spans="1:31" x14ac:dyDescent="0.2">
      <c r="A58" s="636" t="str">
        <f>IFERROR(IF(INDEX(Impactlist,MATCH(0,INDEX(COUNTIF(A$10:A57,Impactlist),0,0),0))&lt;&gt;"",INDEX(Impactlist,MATCH(0,INDEX(COUNTIF(A$10:A57,Impactlist),0,0),0)),INDEX(Outcomelist,MATCH(0,INDEX(COUNTIF(A$10:A57,Outcomelist),0,0),0))),"")</f>
        <v/>
      </c>
      <c r="B58" s="1027" t="str">
        <f>IFERROR(INDEX('ImpactOutcome_Import-Export'!D$7:D$209,MATCH($A58,'ImpactOutcome_Import-Export'!$B$7:$B$209,0)),"")</f>
        <v/>
      </c>
      <c r="C58" s="1028" t="str">
        <f>IF(B58="","",IFERROR(INDEX('ImpactOutcome_Import-Export'!F$7:F$22,MATCH($A58,'ImpactOutcome_Import-Export'!$B$7:$B$22,0)),""))</f>
        <v/>
      </c>
      <c r="D58" s="1029" t="str">
        <f>IF(B58="","",IFERROR(IF(INDEX('ImpactOutcome_Import-Export'!K$7:K$22,MATCH($A58,'ImpactOutcome_Import-Export'!$B$7:$B$22,0))="","",INDEX('ImpactOutcome_Import-Export'!K$7:K$22,MATCH($A58,'ImpactOutcome_Import-Export'!$B$7:$B$22,0))),""))</f>
        <v/>
      </c>
      <c r="E58" s="1030" t="str">
        <f>IF(B58="","",IFERROR(IF(INDEX('ImpactOutcome_Import-Export'!L$7:L$22,MATCH($A58,'ImpactOutcome_Import-Export'!$B$7:$B$22,0))="","",INDEX('ImpactOutcome_Import-Export'!L$7:L$22,MATCH($A58,'ImpactOutcome_Import-Export'!$B$7:$B$22,0))),""))</f>
        <v/>
      </c>
      <c r="F58" s="1031" t="str">
        <f>IF(B58="","",IFERROR(IF(INDEX('ImpactOutcome_Import-Export'!M$7:M$22,MATCH($A58,'ImpactOutcome_Import-Export'!$B$7:$B$22,0))="","",INDEX('ImpactOutcome_Import-Export'!M$7:M$22,MATCH($A58,'ImpactOutcome_Import-Export'!$B$7:$B$22,0))),""))</f>
        <v/>
      </c>
      <c r="G58" s="1031" t="str">
        <f>IF(B58="","",IFERROR(IF(INDEX('ImpactOutcome_Import-Export'!N$7:N$22,MATCH($A58,'ImpactOutcome_Import-Export'!$B$7:$B$22,0))="","",INDEX('ImpactOutcome_Import-Export'!N$7:N$22,MATCH($A58,'ImpactOutcome_Import-Export'!$B$7:$B$22,0))),""))</f>
        <v/>
      </c>
      <c r="H58" s="1032" t="str">
        <f>IF(B58="","",IFERROR(IF(INDEX('ImpactOutcome_Import-Export'!O$7:O$22,MATCH($A58,'ImpactOutcome_Import-Export'!$B$7:$B$22,0))="","",INDEX('ImpactOutcome_Import-Export'!O$7:O$22,MATCH($A58,'ImpactOutcome_Import-Export'!$B$7:$B$22,0))),""))</f>
        <v/>
      </c>
      <c r="I58" s="1030" t="str">
        <f>IF(B58="","",IFERROR(IF(INDEX('ImpactOutcome_Import-Export'!P$7:P$22,MATCH($A58,'ImpactOutcome_Import-Export'!$B$7:$B$22,0))="","",INDEX('ImpactOutcome_Import-Export'!P$7:P$22,MATCH($A58,'ImpactOutcome_Import-Export'!$B$7:$B$22,0))),""))</f>
        <v/>
      </c>
      <c r="J58" s="1033" t="str">
        <f>IF(B58="","",IFERROR(IF(INDEX('ImpactOutcome_Import-Export'!Q$7:Q$22,MATCH($A58,'ImpactOutcome_Import-Export'!$B$7:$B$22,0))="","",INDEX('ImpactOutcome_Import-Export'!Q$7:Q$22,MATCH($A58,'ImpactOutcome_Import-Export'!$B$7:$B$22,0))),""))</f>
        <v/>
      </c>
      <c r="K58" s="1030" t="str">
        <f>IF(B58="","",IFERROR(IF(INDEX('ImpactOutcome_Import-Export'!R$7:R$22,MATCH($A58,'ImpactOutcome_Import-Export'!$B$7:$B$22,0))="","",INDEX('ImpactOutcome_Import-Export'!R$7:R$22,MATCH($A58,'ImpactOutcome_Import-Export'!$B$7:$B$22,0))),""))</f>
        <v/>
      </c>
      <c r="L58" s="1034"/>
      <c r="M58" s="1034"/>
      <c r="N58" s="1035" t="str">
        <f t="shared" si="8"/>
        <v/>
      </c>
      <c r="O58" s="1036"/>
      <c r="P58" s="1037"/>
      <c r="Q58" s="1038"/>
      <c r="R58" s="1039" t="str">
        <f t="shared" si="9"/>
        <v/>
      </c>
      <c r="S58" s="1037"/>
      <c r="T58" s="1034"/>
      <c r="U58" s="1034"/>
      <c r="V58" s="1035" t="str">
        <f t="shared" si="10"/>
        <v/>
      </c>
      <c r="W58" s="1036"/>
      <c r="X58" s="1037"/>
      <c r="Y58" s="1038"/>
      <c r="Z58" s="1039" t="str">
        <f t="shared" si="11"/>
        <v/>
      </c>
      <c r="AA58" s="1034"/>
      <c r="AB58" s="1034"/>
      <c r="AC58" s="1035" t="str">
        <f t="shared" si="12"/>
        <v/>
      </c>
      <c r="AD58" s="1038"/>
      <c r="AE58" s="1040" t="str">
        <f t="shared" si="13"/>
        <v/>
      </c>
    </row>
    <row r="59" spans="1:31" x14ac:dyDescent="0.2">
      <c r="A59" s="636" t="str">
        <f>IFERROR(IF(INDEX(Impactlist,MATCH(0,INDEX(COUNTIF(A$10:A58,Impactlist),0,0),0))&lt;&gt;"",INDEX(Impactlist,MATCH(0,INDEX(COUNTIF(A$10:A58,Impactlist),0,0),0)),INDEX(Outcomelist,MATCH(0,INDEX(COUNTIF(A$10:A58,Outcomelist),0,0),0))),"")</f>
        <v/>
      </c>
      <c r="B59" s="1027" t="str">
        <f>IFERROR(INDEX('ImpactOutcome_Import-Export'!D$7:D$209,MATCH($A59,'ImpactOutcome_Import-Export'!$B$7:$B$209,0)),"")</f>
        <v/>
      </c>
      <c r="C59" s="1028" t="str">
        <f>IF(B59="","",IFERROR(INDEX('ImpactOutcome_Import-Export'!F$7:F$22,MATCH($A59,'ImpactOutcome_Import-Export'!$B$7:$B$22,0)),""))</f>
        <v/>
      </c>
      <c r="D59" s="1029" t="str">
        <f>IF(B59="","",IFERROR(IF(INDEX('ImpactOutcome_Import-Export'!K$7:K$22,MATCH($A59,'ImpactOutcome_Import-Export'!$B$7:$B$22,0))="","",INDEX('ImpactOutcome_Import-Export'!K$7:K$22,MATCH($A59,'ImpactOutcome_Import-Export'!$B$7:$B$22,0))),""))</f>
        <v/>
      </c>
      <c r="E59" s="1030" t="str">
        <f>IF(B59="","",IFERROR(IF(INDEX('ImpactOutcome_Import-Export'!L$7:L$22,MATCH($A59,'ImpactOutcome_Import-Export'!$B$7:$B$22,0))="","",INDEX('ImpactOutcome_Import-Export'!L$7:L$22,MATCH($A59,'ImpactOutcome_Import-Export'!$B$7:$B$22,0))),""))</f>
        <v/>
      </c>
      <c r="F59" s="1031" t="str">
        <f>IF(B59="","",IFERROR(IF(INDEX('ImpactOutcome_Import-Export'!M$7:M$22,MATCH($A59,'ImpactOutcome_Import-Export'!$B$7:$B$22,0))="","",INDEX('ImpactOutcome_Import-Export'!M$7:M$22,MATCH($A59,'ImpactOutcome_Import-Export'!$B$7:$B$22,0))),""))</f>
        <v/>
      </c>
      <c r="G59" s="1031" t="str">
        <f>IF(B59="","",IFERROR(IF(INDEX('ImpactOutcome_Import-Export'!N$7:N$22,MATCH($A59,'ImpactOutcome_Import-Export'!$B$7:$B$22,0))="","",INDEX('ImpactOutcome_Import-Export'!N$7:N$22,MATCH($A59,'ImpactOutcome_Import-Export'!$B$7:$B$22,0))),""))</f>
        <v/>
      </c>
      <c r="H59" s="1032" t="str">
        <f>IF(B59="","",IFERROR(IF(INDEX('ImpactOutcome_Import-Export'!O$7:O$22,MATCH($A59,'ImpactOutcome_Import-Export'!$B$7:$B$22,0))="","",INDEX('ImpactOutcome_Import-Export'!O$7:O$22,MATCH($A59,'ImpactOutcome_Import-Export'!$B$7:$B$22,0))),""))</f>
        <v/>
      </c>
      <c r="I59" s="1030" t="str">
        <f>IF(B59="","",IFERROR(IF(INDEX('ImpactOutcome_Import-Export'!P$7:P$22,MATCH($A59,'ImpactOutcome_Import-Export'!$B$7:$B$22,0))="","",INDEX('ImpactOutcome_Import-Export'!P$7:P$22,MATCH($A59,'ImpactOutcome_Import-Export'!$B$7:$B$22,0))),""))</f>
        <v/>
      </c>
      <c r="J59" s="1033" t="str">
        <f>IF(B59="","",IFERROR(IF(INDEX('ImpactOutcome_Import-Export'!Q$7:Q$22,MATCH($A59,'ImpactOutcome_Import-Export'!$B$7:$B$22,0))="","",INDEX('ImpactOutcome_Import-Export'!Q$7:Q$22,MATCH($A59,'ImpactOutcome_Import-Export'!$B$7:$B$22,0))),""))</f>
        <v/>
      </c>
      <c r="K59" s="1030" t="str">
        <f>IF(B59="","",IFERROR(IF(INDEX('ImpactOutcome_Import-Export'!R$7:R$22,MATCH($A59,'ImpactOutcome_Import-Export'!$B$7:$B$22,0))="","",INDEX('ImpactOutcome_Import-Export'!R$7:R$22,MATCH($A59,'ImpactOutcome_Import-Export'!$B$7:$B$22,0))),""))</f>
        <v/>
      </c>
      <c r="L59" s="1034"/>
      <c r="M59" s="1034"/>
      <c r="N59" s="1035" t="str">
        <f t="shared" si="8"/>
        <v/>
      </c>
      <c r="O59" s="1036"/>
      <c r="P59" s="1037"/>
      <c r="Q59" s="1038"/>
      <c r="R59" s="1039" t="str">
        <f t="shared" si="9"/>
        <v/>
      </c>
      <c r="S59" s="1037"/>
      <c r="T59" s="1034"/>
      <c r="U59" s="1034"/>
      <c r="V59" s="1035" t="str">
        <f t="shared" si="10"/>
        <v/>
      </c>
      <c r="W59" s="1036"/>
      <c r="X59" s="1037"/>
      <c r="Y59" s="1038"/>
      <c r="Z59" s="1039" t="str">
        <f t="shared" si="11"/>
        <v/>
      </c>
      <c r="AA59" s="1034"/>
      <c r="AB59" s="1034"/>
      <c r="AC59" s="1035" t="str">
        <f t="shared" si="12"/>
        <v/>
      </c>
      <c r="AD59" s="1038"/>
      <c r="AE59" s="1040" t="str">
        <f t="shared" si="13"/>
        <v/>
      </c>
    </row>
    <row r="60" spans="1:31" x14ac:dyDescent="0.2">
      <c r="A60" s="636" t="str">
        <f>IFERROR(IF(INDEX(Impactlist,MATCH(0,INDEX(COUNTIF(A$10:A59,Impactlist),0,0),0))&lt;&gt;"",INDEX(Impactlist,MATCH(0,INDEX(COUNTIF(A$10:A59,Impactlist),0,0),0)),INDEX(Outcomelist,MATCH(0,INDEX(COUNTIF(A$10:A59,Outcomelist),0,0),0))),"")</f>
        <v/>
      </c>
      <c r="B60" s="1027" t="str">
        <f>IFERROR(INDEX('ImpactOutcome_Import-Export'!D$7:D$209,MATCH($A60,'ImpactOutcome_Import-Export'!$B$7:$B$209,0)),"")</f>
        <v/>
      </c>
      <c r="C60" s="1028" t="str">
        <f>IF(B60="","",IFERROR(INDEX('ImpactOutcome_Import-Export'!F$7:F$22,MATCH($A60,'ImpactOutcome_Import-Export'!$B$7:$B$22,0)),""))</f>
        <v/>
      </c>
      <c r="D60" s="1029" t="str">
        <f>IF(B60="","",IFERROR(IF(INDEX('ImpactOutcome_Import-Export'!K$7:K$22,MATCH($A60,'ImpactOutcome_Import-Export'!$B$7:$B$22,0))="","",INDEX('ImpactOutcome_Import-Export'!K$7:K$22,MATCH($A60,'ImpactOutcome_Import-Export'!$B$7:$B$22,0))),""))</f>
        <v/>
      </c>
      <c r="E60" s="1030" t="str">
        <f>IF(B60="","",IFERROR(IF(INDEX('ImpactOutcome_Import-Export'!L$7:L$22,MATCH($A60,'ImpactOutcome_Import-Export'!$B$7:$B$22,0))="","",INDEX('ImpactOutcome_Import-Export'!L$7:L$22,MATCH($A60,'ImpactOutcome_Import-Export'!$B$7:$B$22,0))),""))</f>
        <v/>
      </c>
      <c r="F60" s="1031" t="str">
        <f>IF(B60="","",IFERROR(IF(INDEX('ImpactOutcome_Import-Export'!M$7:M$22,MATCH($A60,'ImpactOutcome_Import-Export'!$B$7:$B$22,0))="","",INDEX('ImpactOutcome_Import-Export'!M$7:M$22,MATCH($A60,'ImpactOutcome_Import-Export'!$B$7:$B$22,0))),""))</f>
        <v/>
      </c>
      <c r="G60" s="1031" t="str">
        <f>IF(B60="","",IFERROR(IF(INDEX('ImpactOutcome_Import-Export'!N$7:N$22,MATCH($A60,'ImpactOutcome_Import-Export'!$B$7:$B$22,0))="","",INDEX('ImpactOutcome_Import-Export'!N$7:N$22,MATCH($A60,'ImpactOutcome_Import-Export'!$B$7:$B$22,0))),""))</f>
        <v/>
      </c>
      <c r="H60" s="1032" t="str">
        <f>IF(B60="","",IFERROR(IF(INDEX('ImpactOutcome_Import-Export'!O$7:O$22,MATCH($A60,'ImpactOutcome_Import-Export'!$B$7:$B$22,0))="","",INDEX('ImpactOutcome_Import-Export'!O$7:O$22,MATCH($A60,'ImpactOutcome_Import-Export'!$B$7:$B$22,0))),""))</f>
        <v/>
      </c>
      <c r="I60" s="1030" t="str">
        <f>IF(B60="","",IFERROR(IF(INDEX('ImpactOutcome_Import-Export'!P$7:P$22,MATCH($A60,'ImpactOutcome_Import-Export'!$B$7:$B$22,0))="","",INDEX('ImpactOutcome_Import-Export'!P$7:P$22,MATCH($A60,'ImpactOutcome_Import-Export'!$B$7:$B$22,0))),""))</f>
        <v/>
      </c>
      <c r="J60" s="1033" t="str">
        <f>IF(B60="","",IFERROR(IF(INDEX('ImpactOutcome_Import-Export'!Q$7:Q$22,MATCH($A60,'ImpactOutcome_Import-Export'!$B$7:$B$22,0))="","",INDEX('ImpactOutcome_Import-Export'!Q$7:Q$22,MATCH($A60,'ImpactOutcome_Import-Export'!$B$7:$B$22,0))),""))</f>
        <v/>
      </c>
      <c r="K60" s="1030" t="str">
        <f>IF(B60="","",IFERROR(IF(INDEX('ImpactOutcome_Import-Export'!R$7:R$22,MATCH($A60,'ImpactOutcome_Import-Export'!$B$7:$B$22,0))="","",INDEX('ImpactOutcome_Import-Export'!R$7:R$22,MATCH($A60,'ImpactOutcome_Import-Export'!$B$7:$B$22,0))),""))</f>
        <v/>
      </c>
      <c r="L60" s="1034"/>
      <c r="M60" s="1034"/>
      <c r="N60" s="1035" t="str">
        <f t="shared" si="8"/>
        <v/>
      </c>
      <c r="O60" s="1036"/>
      <c r="P60" s="1037"/>
      <c r="Q60" s="1038"/>
      <c r="R60" s="1039" t="str">
        <f t="shared" si="9"/>
        <v/>
      </c>
      <c r="S60" s="1037"/>
      <c r="T60" s="1034"/>
      <c r="U60" s="1034"/>
      <c r="V60" s="1035" t="str">
        <f t="shared" si="10"/>
        <v/>
      </c>
      <c r="W60" s="1036"/>
      <c r="X60" s="1037"/>
      <c r="Y60" s="1038"/>
      <c r="Z60" s="1039" t="str">
        <f t="shared" si="11"/>
        <v/>
      </c>
      <c r="AA60" s="1034"/>
      <c r="AB60" s="1034"/>
      <c r="AC60" s="1035" t="str">
        <f t="shared" si="12"/>
        <v/>
      </c>
      <c r="AD60" s="1038"/>
      <c r="AE60" s="1040" t="str">
        <f t="shared" si="13"/>
        <v/>
      </c>
    </row>
    <row r="61" spans="1:31" x14ac:dyDescent="0.2">
      <c r="A61" s="636" t="str">
        <f>IFERROR(IF(INDEX(Impactlist,MATCH(0,INDEX(COUNTIF(A$10:A60,Impactlist),0,0),0))&lt;&gt;"",INDEX(Impactlist,MATCH(0,INDEX(COUNTIF(A$10:A60,Impactlist),0,0),0)),INDEX(Outcomelist,MATCH(0,INDEX(COUNTIF(A$10:A60,Outcomelist),0,0),0))),"")</f>
        <v/>
      </c>
      <c r="B61" s="1027" t="str">
        <f>IFERROR(INDEX('ImpactOutcome_Import-Export'!D$7:D$209,MATCH($A61,'ImpactOutcome_Import-Export'!$B$7:$B$209,0)),"")</f>
        <v/>
      </c>
      <c r="C61" s="1028" t="str">
        <f>IF(B61="","",IFERROR(INDEX('ImpactOutcome_Import-Export'!F$7:F$22,MATCH($A61,'ImpactOutcome_Import-Export'!$B$7:$B$22,0)),""))</f>
        <v/>
      </c>
      <c r="D61" s="1029" t="str">
        <f>IF(B61="","",IFERROR(IF(INDEX('ImpactOutcome_Import-Export'!K$7:K$22,MATCH($A61,'ImpactOutcome_Import-Export'!$B$7:$B$22,0))="","",INDEX('ImpactOutcome_Import-Export'!K$7:K$22,MATCH($A61,'ImpactOutcome_Import-Export'!$B$7:$B$22,0))),""))</f>
        <v/>
      </c>
      <c r="E61" s="1030" t="str">
        <f>IF(B61="","",IFERROR(IF(INDEX('ImpactOutcome_Import-Export'!L$7:L$22,MATCH($A61,'ImpactOutcome_Import-Export'!$B$7:$B$22,0))="","",INDEX('ImpactOutcome_Import-Export'!L$7:L$22,MATCH($A61,'ImpactOutcome_Import-Export'!$B$7:$B$22,0))),""))</f>
        <v/>
      </c>
      <c r="F61" s="1031" t="str">
        <f>IF(B61="","",IFERROR(IF(INDEX('ImpactOutcome_Import-Export'!M$7:M$22,MATCH($A61,'ImpactOutcome_Import-Export'!$B$7:$B$22,0))="","",INDEX('ImpactOutcome_Import-Export'!M$7:M$22,MATCH($A61,'ImpactOutcome_Import-Export'!$B$7:$B$22,0))),""))</f>
        <v/>
      </c>
      <c r="G61" s="1031" t="str">
        <f>IF(B61="","",IFERROR(IF(INDEX('ImpactOutcome_Import-Export'!N$7:N$22,MATCH($A61,'ImpactOutcome_Import-Export'!$B$7:$B$22,0))="","",INDEX('ImpactOutcome_Import-Export'!N$7:N$22,MATCH($A61,'ImpactOutcome_Import-Export'!$B$7:$B$22,0))),""))</f>
        <v/>
      </c>
      <c r="H61" s="1032" t="str">
        <f>IF(B61="","",IFERROR(IF(INDEX('ImpactOutcome_Import-Export'!O$7:O$22,MATCH($A61,'ImpactOutcome_Import-Export'!$B$7:$B$22,0))="","",INDEX('ImpactOutcome_Import-Export'!O$7:O$22,MATCH($A61,'ImpactOutcome_Import-Export'!$B$7:$B$22,0))),""))</f>
        <v/>
      </c>
      <c r="I61" s="1030" t="str">
        <f>IF(B61="","",IFERROR(IF(INDEX('ImpactOutcome_Import-Export'!P$7:P$22,MATCH($A61,'ImpactOutcome_Import-Export'!$B$7:$B$22,0))="","",INDEX('ImpactOutcome_Import-Export'!P$7:P$22,MATCH($A61,'ImpactOutcome_Import-Export'!$B$7:$B$22,0))),""))</f>
        <v/>
      </c>
      <c r="J61" s="1033" t="str">
        <f>IF(B61="","",IFERROR(IF(INDEX('ImpactOutcome_Import-Export'!Q$7:Q$22,MATCH($A61,'ImpactOutcome_Import-Export'!$B$7:$B$22,0))="","",INDEX('ImpactOutcome_Import-Export'!Q$7:Q$22,MATCH($A61,'ImpactOutcome_Import-Export'!$B$7:$B$22,0))),""))</f>
        <v/>
      </c>
      <c r="K61" s="1030" t="str">
        <f>IF(B61="","",IFERROR(IF(INDEX('ImpactOutcome_Import-Export'!R$7:R$22,MATCH($A61,'ImpactOutcome_Import-Export'!$B$7:$B$22,0))="","",INDEX('ImpactOutcome_Import-Export'!R$7:R$22,MATCH($A61,'ImpactOutcome_Import-Export'!$B$7:$B$22,0))),""))</f>
        <v/>
      </c>
      <c r="L61" s="1034"/>
      <c r="M61" s="1034"/>
      <c r="N61" s="1035" t="str">
        <f t="shared" si="8"/>
        <v/>
      </c>
      <c r="O61" s="1036"/>
      <c r="P61" s="1037"/>
      <c r="Q61" s="1038"/>
      <c r="R61" s="1039" t="str">
        <f t="shared" si="9"/>
        <v/>
      </c>
      <c r="S61" s="1037"/>
      <c r="T61" s="1034"/>
      <c r="U61" s="1034"/>
      <c r="V61" s="1035" t="str">
        <f t="shared" si="10"/>
        <v/>
      </c>
      <c r="W61" s="1036"/>
      <c r="X61" s="1037"/>
      <c r="Y61" s="1038"/>
      <c r="Z61" s="1039" t="str">
        <f t="shared" si="11"/>
        <v/>
      </c>
      <c r="AA61" s="1034"/>
      <c r="AB61" s="1034"/>
      <c r="AC61" s="1035" t="str">
        <f t="shared" si="12"/>
        <v/>
      </c>
      <c r="AD61" s="1038"/>
      <c r="AE61" s="1040" t="str">
        <f t="shared" si="13"/>
        <v/>
      </c>
    </row>
    <row r="62" spans="1:31" x14ac:dyDescent="0.2">
      <c r="A62" s="636" t="str">
        <f>IFERROR(IF(INDEX(Impactlist,MATCH(0,INDEX(COUNTIF(A$10:A61,Impactlist),0,0),0))&lt;&gt;"",INDEX(Impactlist,MATCH(0,INDEX(COUNTIF(A$10:A61,Impactlist),0,0),0)),INDEX(Outcomelist,MATCH(0,INDEX(COUNTIF(A$10:A61,Outcomelist),0,0),0))),"")</f>
        <v/>
      </c>
      <c r="B62" s="1027" t="str">
        <f>IFERROR(INDEX('ImpactOutcome_Import-Export'!D$7:D$209,MATCH($A62,'ImpactOutcome_Import-Export'!$B$7:$B$209,0)),"")</f>
        <v/>
      </c>
      <c r="C62" s="1028" t="str">
        <f>IF(B62="","",IFERROR(INDEX('ImpactOutcome_Import-Export'!F$7:F$22,MATCH($A62,'ImpactOutcome_Import-Export'!$B$7:$B$22,0)),""))</f>
        <v/>
      </c>
      <c r="D62" s="1029" t="str">
        <f>IF(B62="","",IFERROR(IF(INDEX('ImpactOutcome_Import-Export'!K$7:K$22,MATCH($A62,'ImpactOutcome_Import-Export'!$B$7:$B$22,0))="","",INDEX('ImpactOutcome_Import-Export'!K$7:K$22,MATCH($A62,'ImpactOutcome_Import-Export'!$B$7:$B$22,0))),""))</f>
        <v/>
      </c>
      <c r="E62" s="1030" t="str">
        <f>IF(B62="","",IFERROR(IF(INDEX('ImpactOutcome_Import-Export'!L$7:L$22,MATCH($A62,'ImpactOutcome_Import-Export'!$B$7:$B$22,0))="","",INDEX('ImpactOutcome_Import-Export'!L$7:L$22,MATCH($A62,'ImpactOutcome_Import-Export'!$B$7:$B$22,0))),""))</f>
        <v/>
      </c>
      <c r="F62" s="1031" t="str">
        <f>IF(B62="","",IFERROR(IF(INDEX('ImpactOutcome_Import-Export'!M$7:M$22,MATCH($A62,'ImpactOutcome_Import-Export'!$B$7:$B$22,0))="","",INDEX('ImpactOutcome_Import-Export'!M$7:M$22,MATCH($A62,'ImpactOutcome_Import-Export'!$B$7:$B$22,0))),""))</f>
        <v/>
      </c>
      <c r="G62" s="1031" t="str">
        <f>IF(B62="","",IFERROR(IF(INDEX('ImpactOutcome_Import-Export'!N$7:N$22,MATCH($A62,'ImpactOutcome_Import-Export'!$B$7:$B$22,0))="","",INDEX('ImpactOutcome_Import-Export'!N$7:N$22,MATCH($A62,'ImpactOutcome_Import-Export'!$B$7:$B$22,0))),""))</f>
        <v/>
      </c>
      <c r="H62" s="1032" t="str">
        <f>IF(B62="","",IFERROR(IF(INDEX('ImpactOutcome_Import-Export'!O$7:O$22,MATCH($A62,'ImpactOutcome_Import-Export'!$B$7:$B$22,0))="","",INDEX('ImpactOutcome_Import-Export'!O$7:O$22,MATCH($A62,'ImpactOutcome_Import-Export'!$B$7:$B$22,0))),""))</f>
        <v/>
      </c>
      <c r="I62" s="1030" t="str">
        <f>IF(B62="","",IFERROR(IF(INDEX('ImpactOutcome_Import-Export'!P$7:P$22,MATCH($A62,'ImpactOutcome_Import-Export'!$B$7:$B$22,0))="","",INDEX('ImpactOutcome_Import-Export'!P$7:P$22,MATCH($A62,'ImpactOutcome_Import-Export'!$B$7:$B$22,0))),""))</f>
        <v/>
      </c>
      <c r="J62" s="1033" t="str">
        <f>IF(B62="","",IFERROR(IF(INDEX('ImpactOutcome_Import-Export'!Q$7:Q$22,MATCH($A62,'ImpactOutcome_Import-Export'!$B$7:$B$22,0))="","",INDEX('ImpactOutcome_Import-Export'!Q$7:Q$22,MATCH($A62,'ImpactOutcome_Import-Export'!$B$7:$B$22,0))),""))</f>
        <v/>
      </c>
      <c r="K62" s="1030" t="str">
        <f>IF(B62="","",IFERROR(IF(INDEX('ImpactOutcome_Import-Export'!R$7:R$22,MATCH($A62,'ImpactOutcome_Import-Export'!$B$7:$B$22,0))="","",INDEX('ImpactOutcome_Import-Export'!R$7:R$22,MATCH($A62,'ImpactOutcome_Import-Export'!$B$7:$B$22,0))),""))</f>
        <v/>
      </c>
      <c r="L62" s="1034"/>
      <c r="M62" s="1034"/>
      <c r="N62" s="1035" t="str">
        <f t="shared" si="8"/>
        <v/>
      </c>
      <c r="O62" s="1036"/>
      <c r="P62" s="1037"/>
      <c r="Q62" s="1038"/>
      <c r="R62" s="1039" t="str">
        <f t="shared" si="9"/>
        <v/>
      </c>
      <c r="S62" s="1037"/>
      <c r="T62" s="1034"/>
      <c r="U62" s="1034"/>
      <c r="V62" s="1035" t="str">
        <f t="shared" si="10"/>
        <v/>
      </c>
      <c r="W62" s="1036"/>
      <c r="X62" s="1037"/>
      <c r="Y62" s="1038"/>
      <c r="Z62" s="1039" t="str">
        <f t="shared" si="11"/>
        <v/>
      </c>
      <c r="AA62" s="1034"/>
      <c r="AB62" s="1034"/>
      <c r="AC62" s="1035" t="str">
        <f t="shared" si="12"/>
        <v/>
      </c>
      <c r="AD62" s="1038"/>
      <c r="AE62" s="1040" t="str">
        <f t="shared" si="13"/>
        <v/>
      </c>
    </row>
    <row r="63" spans="1:31" x14ac:dyDescent="0.2">
      <c r="A63" s="636" t="str">
        <f>IFERROR(IF(INDEX(Impactlist,MATCH(0,INDEX(COUNTIF(A$10:A62,Impactlist),0,0),0))&lt;&gt;"",INDEX(Impactlist,MATCH(0,INDEX(COUNTIF(A$10:A62,Impactlist),0,0),0)),INDEX(Outcomelist,MATCH(0,INDEX(COUNTIF(A$10:A62,Outcomelist),0,0),0))),"")</f>
        <v/>
      </c>
      <c r="B63" s="1027" t="str">
        <f>IFERROR(INDEX('ImpactOutcome_Import-Export'!D$7:D$209,MATCH($A63,'ImpactOutcome_Import-Export'!$B$7:$B$209,0)),"")</f>
        <v/>
      </c>
      <c r="C63" s="1028" t="str">
        <f>IF(B63="","",IFERROR(INDEX('ImpactOutcome_Import-Export'!F$7:F$22,MATCH($A63,'ImpactOutcome_Import-Export'!$B$7:$B$22,0)),""))</f>
        <v/>
      </c>
      <c r="D63" s="1029" t="str">
        <f>IF(B63="","",IFERROR(IF(INDEX('ImpactOutcome_Import-Export'!K$7:K$22,MATCH($A63,'ImpactOutcome_Import-Export'!$B$7:$B$22,0))="","",INDEX('ImpactOutcome_Import-Export'!K$7:K$22,MATCH($A63,'ImpactOutcome_Import-Export'!$B$7:$B$22,0))),""))</f>
        <v/>
      </c>
      <c r="E63" s="1030" t="str">
        <f>IF(B63="","",IFERROR(IF(INDEX('ImpactOutcome_Import-Export'!L$7:L$22,MATCH($A63,'ImpactOutcome_Import-Export'!$B$7:$B$22,0))="","",INDEX('ImpactOutcome_Import-Export'!L$7:L$22,MATCH($A63,'ImpactOutcome_Import-Export'!$B$7:$B$22,0))),""))</f>
        <v/>
      </c>
      <c r="F63" s="1031" t="str">
        <f>IF(B63="","",IFERROR(IF(INDEX('ImpactOutcome_Import-Export'!M$7:M$22,MATCH($A63,'ImpactOutcome_Import-Export'!$B$7:$B$22,0))="","",INDEX('ImpactOutcome_Import-Export'!M$7:M$22,MATCH($A63,'ImpactOutcome_Import-Export'!$B$7:$B$22,0))),""))</f>
        <v/>
      </c>
      <c r="G63" s="1031" t="str">
        <f>IF(B63="","",IFERROR(IF(INDEX('ImpactOutcome_Import-Export'!N$7:N$22,MATCH($A63,'ImpactOutcome_Import-Export'!$B$7:$B$22,0))="","",INDEX('ImpactOutcome_Import-Export'!N$7:N$22,MATCH($A63,'ImpactOutcome_Import-Export'!$B$7:$B$22,0))),""))</f>
        <v/>
      </c>
      <c r="H63" s="1032" t="str">
        <f>IF(B63="","",IFERROR(IF(INDEX('ImpactOutcome_Import-Export'!O$7:O$22,MATCH($A63,'ImpactOutcome_Import-Export'!$B$7:$B$22,0))="","",INDEX('ImpactOutcome_Import-Export'!O$7:O$22,MATCH($A63,'ImpactOutcome_Import-Export'!$B$7:$B$22,0))),""))</f>
        <v/>
      </c>
      <c r="I63" s="1030" t="str">
        <f>IF(B63="","",IFERROR(IF(INDEX('ImpactOutcome_Import-Export'!P$7:P$22,MATCH($A63,'ImpactOutcome_Import-Export'!$B$7:$B$22,0))="","",INDEX('ImpactOutcome_Import-Export'!P$7:P$22,MATCH($A63,'ImpactOutcome_Import-Export'!$B$7:$B$22,0))),""))</f>
        <v/>
      </c>
      <c r="J63" s="1033" t="str">
        <f>IF(B63="","",IFERROR(IF(INDEX('ImpactOutcome_Import-Export'!Q$7:Q$22,MATCH($A63,'ImpactOutcome_Import-Export'!$B$7:$B$22,0))="","",INDEX('ImpactOutcome_Import-Export'!Q$7:Q$22,MATCH($A63,'ImpactOutcome_Import-Export'!$B$7:$B$22,0))),""))</f>
        <v/>
      </c>
      <c r="K63" s="1030" t="str">
        <f>IF(B63="","",IFERROR(IF(INDEX('ImpactOutcome_Import-Export'!R$7:R$22,MATCH($A63,'ImpactOutcome_Import-Export'!$B$7:$B$22,0))="","",INDEX('ImpactOutcome_Import-Export'!R$7:R$22,MATCH($A63,'ImpactOutcome_Import-Export'!$B$7:$B$22,0))),""))</f>
        <v/>
      </c>
      <c r="L63" s="1034"/>
      <c r="M63" s="1034"/>
      <c r="N63" s="1035" t="str">
        <f t="shared" si="8"/>
        <v/>
      </c>
      <c r="O63" s="1036"/>
      <c r="P63" s="1037"/>
      <c r="Q63" s="1038"/>
      <c r="R63" s="1039" t="str">
        <f t="shared" si="9"/>
        <v/>
      </c>
      <c r="S63" s="1037"/>
      <c r="T63" s="1034"/>
      <c r="U63" s="1034"/>
      <c r="V63" s="1035" t="str">
        <f t="shared" si="10"/>
        <v/>
      </c>
      <c r="W63" s="1036"/>
      <c r="X63" s="1037"/>
      <c r="Y63" s="1038"/>
      <c r="Z63" s="1039" t="str">
        <f t="shared" si="11"/>
        <v/>
      </c>
      <c r="AA63" s="1034"/>
      <c r="AB63" s="1034"/>
      <c r="AC63" s="1035" t="str">
        <f t="shared" si="12"/>
        <v/>
      </c>
      <c r="AD63" s="1038"/>
      <c r="AE63" s="1040" t="str">
        <f t="shared" si="13"/>
        <v/>
      </c>
    </row>
    <row r="64" spans="1:31" x14ac:dyDescent="0.2">
      <c r="A64" s="636" t="str">
        <f>IFERROR(IF(INDEX(Impactlist,MATCH(0,INDEX(COUNTIF(A$10:A63,Impactlist),0,0),0))&lt;&gt;"",INDEX(Impactlist,MATCH(0,INDEX(COUNTIF(A$10:A63,Impactlist),0,0),0)),INDEX(Outcomelist,MATCH(0,INDEX(COUNTIF(A$10:A63,Outcomelist),0,0),0))),"")</f>
        <v/>
      </c>
      <c r="B64" s="1027" t="str">
        <f>IFERROR(INDEX('ImpactOutcome_Import-Export'!D$7:D$209,MATCH($A64,'ImpactOutcome_Import-Export'!$B$7:$B$209,0)),"")</f>
        <v/>
      </c>
      <c r="C64" s="1028" t="str">
        <f>IF(B64="","",IFERROR(INDEX('ImpactOutcome_Import-Export'!F$7:F$22,MATCH($A64,'ImpactOutcome_Import-Export'!$B$7:$B$22,0)),""))</f>
        <v/>
      </c>
      <c r="D64" s="1029" t="str">
        <f>IF(B64="","",IFERROR(IF(INDEX('ImpactOutcome_Import-Export'!K$7:K$22,MATCH($A64,'ImpactOutcome_Import-Export'!$B$7:$B$22,0))="","",INDEX('ImpactOutcome_Import-Export'!K$7:K$22,MATCH($A64,'ImpactOutcome_Import-Export'!$B$7:$B$22,0))),""))</f>
        <v/>
      </c>
      <c r="E64" s="1030" t="str">
        <f>IF(B64="","",IFERROR(IF(INDEX('ImpactOutcome_Import-Export'!L$7:L$22,MATCH($A64,'ImpactOutcome_Import-Export'!$B$7:$B$22,0))="","",INDEX('ImpactOutcome_Import-Export'!L$7:L$22,MATCH($A64,'ImpactOutcome_Import-Export'!$B$7:$B$22,0))),""))</f>
        <v/>
      </c>
      <c r="F64" s="1031" t="str">
        <f>IF(B64="","",IFERROR(IF(INDEX('ImpactOutcome_Import-Export'!M$7:M$22,MATCH($A64,'ImpactOutcome_Import-Export'!$B$7:$B$22,0))="","",INDEX('ImpactOutcome_Import-Export'!M$7:M$22,MATCH($A64,'ImpactOutcome_Import-Export'!$B$7:$B$22,0))),""))</f>
        <v/>
      </c>
      <c r="G64" s="1031" t="str">
        <f>IF(B64="","",IFERROR(IF(INDEX('ImpactOutcome_Import-Export'!N$7:N$22,MATCH($A64,'ImpactOutcome_Import-Export'!$B$7:$B$22,0))="","",INDEX('ImpactOutcome_Import-Export'!N$7:N$22,MATCH($A64,'ImpactOutcome_Import-Export'!$B$7:$B$22,0))),""))</f>
        <v/>
      </c>
      <c r="H64" s="1032" t="str">
        <f>IF(B64="","",IFERROR(IF(INDEX('ImpactOutcome_Import-Export'!O$7:O$22,MATCH($A64,'ImpactOutcome_Import-Export'!$B$7:$B$22,0))="","",INDEX('ImpactOutcome_Import-Export'!O$7:O$22,MATCH($A64,'ImpactOutcome_Import-Export'!$B$7:$B$22,0))),""))</f>
        <v/>
      </c>
      <c r="I64" s="1030" t="str">
        <f>IF(B64="","",IFERROR(IF(INDEX('ImpactOutcome_Import-Export'!P$7:P$22,MATCH($A64,'ImpactOutcome_Import-Export'!$B$7:$B$22,0))="","",INDEX('ImpactOutcome_Import-Export'!P$7:P$22,MATCH($A64,'ImpactOutcome_Import-Export'!$B$7:$B$22,0))),""))</f>
        <v/>
      </c>
      <c r="J64" s="1033" t="str">
        <f>IF(B64="","",IFERROR(IF(INDEX('ImpactOutcome_Import-Export'!Q$7:Q$22,MATCH($A64,'ImpactOutcome_Import-Export'!$B$7:$B$22,0))="","",INDEX('ImpactOutcome_Import-Export'!Q$7:Q$22,MATCH($A64,'ImpactOutcome_Import-Export'!$B$7:$B$22,0))),""))</f>
        <v/>
      </c>
      <c r="K64" s="1030" t="str">
        <f>IF(B64="","",IFERROR(IF(INDEX('ImpactOutcome_Import-Export'!R$7:R$22,MATCH($A64,'ImpactOutcome_Import-Export'!$B$7:$B$22,0))="","",INDEX('ImpactOutcome_Import-Export'!R$7:R$22,MATCH($A64,'ImpactOutcome_Import-Export'!$B$7:$B$22,0))),""))</f>
        <v/>
      </c>
      <c r="L64" s="1034"/>
      <c r="M64" s="1034"/>
      <c r="N64" s="1035" t="str">
        <f t="shared" si="8"/>
        <v/>
      </c>
      <c r="O64" s="1036"/>
      <c r="P64" s="1037"/>
      <c r="Q64" s="1038"/>
      <c r="R64" s="1039" t="str">
        <f t="shared" si="9"/>
        <v/>
      </c>
      <c r="S64" s="1037"/>
      <c r="T64" s="1034"/>
      <c r="U64" s="1034"/>
      <c r="V64" s="1035" t="str">
        <f t="shared" si="10"/>
        <v/>
      </c>
      <c r="W64" s="1036"/>
      <c r="X64" s="1037"/>
      <c r="Y64" s="1038"/>
      <c r="Z64" s="1039" t="str">
        <f t="shared" si="11"/>
        <v/>
      </c>
      <c r="AA64" s="1034"/>
      <c r="AB64" s="1034"/>
      <c r="AC64" s="1035" t="str">
        <f t="shared" si="12"/>
        <v/>
      </c>
      <c r="AD64" s="1038"/>
      <c r="AE64" s="1040" t="str">
        <f t="shared" si="13"/>
        <v/>
      </c>
    </row>
    <row r="65" spans="1:31" x14ac:dyDescent="0.2">
      <c r="A65" s="636" t="str">
        <f>IFERROR(IF(INDEX(Impactlist,MATCH(0,INDEX(COUNTIF(A$10:A64,Impactlist),0,0),0))&lt;&gt;"",INDEX(Impactlist,MATCH(0,INDEX(COUNTIF(A$10:A64,Impactlist),0,0),0)),INDEX(Outcomelist,MATCH(0,INDEX(COUNTIF(A$10:A64,Outcomelist),0,0),0))),"")</f>
        <v/>
      </c>
      <c r="B65" s="1027" t="str">
        <f>IFERROR(INDEX('ImpactOutcome_Import-Export'!D$7:D$209,MATCH($A65,'ImpactOutcome_Import-Export'!$B$7:$B$209,0)),"")</f>
        <v/>
      </c>
      <c r="C65" s="1028" t="str">
        <f>IF(B65="","",IFERROR(INDEX('ImpactOutcome_Import-Export'!F$7:F$22,MATCH($A65,'ImpactOutcome_Import-Export'!$B$7:$B$22,0)),""))</f>
        <v/>
      </c>
      <c r="D65" s="1029" t="str">
        <f>IF(B65="","",IFERROR(IF(INDEX('ImpactOutcome_Import-Export'!K$7:K$22,MATCH($A65,'ImpactOutcome_Import-Export'!$B$7:$B$22,0))="","",INDEX('ImpactOutcome_Import-Export'!K$7:K$22,MATCH($A65,'ImpactOutcome_Import-Export'!$B$7:$B$22,0))),""))</f>
        <v/>
      </c>
      <c r="E65" s="1030" t="str">
        <f>IF(B65="","",IFERROR(IF(INDEX('ImpactOutcome_Import-Export'!L$7:L$22,MATCH($A65,'ImpactOutcome_Import-Export'!$B$7:$B$22,0))="","",INDEX('ImpactOutcome_Import-Export'!L$7:L$22,MATCH($A65,'ImpactOutcome_Import-Export'!$B$7:$B$22,0))),""))</f>
        <v/>
      </c>
      <c r="F65" s="1031" t="str">
        <f>IF(B65="","",IFERROR(IF(INDEX('ImpactOutcome_Import-Export'!M$7:M$22,MATCH($A65,'ImpactOutcome_Import-Export'!$B$7:$B$22,0))="","",INDEX('ImpactOutcome_Import-Export'!M$7:M$22,MATCH($A65,'ImpactOutcome_Import-Export'!$B$7:$B$22,0))),""))</f>
        <v/>
      </c>
      <c r="G65" s="1031" t="str">
        <f>IF(B65="","",IFERROR(IF(INDEX('ImpactOutcome_Import-Export'!N$7:N$22,MATCH($A65,'ImpactOutcome_Import-Export'!$B$7:$B$22,0))="","",INDEX('ImpactOutcome_Import-Export'!N$7:N$22,MATCH($A65,'ImpactOutcome_Import-Export'!$B$7:$B$22,0))),""))</f>
        <v/>
      </c>
      <c r="H65" s="1032" t="str">
        <f>IF(B65="","",IFERROR(IF(INDEX('ImpactOutcome_Import-Export'!O$7:O$22,MATCH($A65,'ImpactOutcome_Import-Export'!$B$7:$B$22,0))="","",INDEX('ImpactOutcome_Import-Export'!O$7:O$22,MATCH($A65,'ImpactOutcome_Import-Export'!$B$7:$B$22,0))),""))</f>
        <v/>
      </c>
      <c r="I65" s="1030" t="str">
        <f>IF(B65="","",IFERROR(IF(INDEX('ImpactOutcome_Import-Export'!P$7:P$22,MATCH($A65,'ImpactOutcome_Import-Export'!$B$7:$B$22,0))="","",INDEX('ImpactOutcome_Import-Export'!P$7:P$22,MATCH($A65,'ImpactOutcome_Import-Export'!$B$7:$B$22,0))),""))</f>
        <v/>
      </c>
      <c r="J65" s="1033" t="str">
        <f>IF(B65="","",IFERROR(IF(INDEX('ImpactOutcome_Import-Export'!Q$7:Q$22,MATCH($A65,'ImpactOutcome_Import-Export'!$B$7:$B$22,0))="","",INDEX('ImpactOutcome_Import-Export'!Q$7:Q$22,MATCH($A65,'ImpactOutcome_Import-Export'!$B$7:$B$22,0))),""))</f>
        <v/>
      </c>
      <c r="K65" s="1030" t="str">
        <f>IF(B65="","",IFERROR(IF(INDEX('ImpactOutcome_Import-Export'!R$7:R$22,MATCH($A65,'ImpactOutcome_Import-Export'!$B$7:$B$22,0))="","",INDEX('ImpactOutcome_Import-Export'!R$7:R$22,MATCH($A65,'ImpactOutcome_Import-Export'!$B$7:$B$22,0))),""))</f>
        <v/>
      </c>
      <c r="L65" s="1034"/>
      <c r="M65" s="1034"/>
      <c r="N65" s="1035" t="str">
        <f t="shared" si="8"/>
        <v/>
      </c>
      <c r="O65" s="1036"/>
      <c r="P65" s="1037"/>
      <c r="Q65" s="1038"/>
      <c r="R65" s="1039" t="str">
        <f t="shared" si="9"/>
        <v/>
      </c>
      <c r="S65" s="1037"/>
      <c r="T65" s="1034"/>
      <c r="U65" s="1034"/>
      <c r="V65" s="1035" t="str">
        <f t="shared" si="10"/>
        <v/>
      </c>
      <c r="W65" s="1036"/>
      <c r="X65" s="1037"/>
      <c r="Y65" s="1038"/>
      <c r="Z65" s="1039" t="str">
        <f t="shared" si="11"/>
        <v/>
      </c>
      <c r="AA65" s="1034"/>
      <c r="AB65" s="1034"/>
      <c r="AC65" s="1035" t="str">
        <f t="shared" si="12"/>
        <v/>
      </c>
      <c r="AD65" s="1038"/>
      <c r="AE65" s="1040" t="str">
        <f t="shared" si="13"/>
        <v/>
      </c>
    </row>
    <row r="66" spans="1:31" x14ac:dyDescent="0.2">
      <c r="A66" s="636" t="str">
        <f>IFERROR(IF(INDEX(Impactlist,MATCH(0,INDEX(COUNTIF(A$10:A65,Impactlist),0,0),0))&lt;&gt;"",INDEX(Impactlist,MATCH(0,INDEX(COUNTIF(A$10:A65,Impactlist),0,0),0)),INDEX(Outcomelist,MATCH(0,INDEX(COUNTIF(A$10:A65,Outcomelist),0,0),0))),"")</f>
        <v/>
      </c>
      <c r="B66" s="1027" t="str">
        <f>IFERROR(INDEX('ImpactOutcome_Import-Export'!D$7:D$209,MATCH($A66,'ImpactOutcome_Import-Export'!$B$7:$B$209,0)),"")</f>
        <v/>
      </c>
      <c r="C66" s="1028" t="str">
        <f>IF(B66="","",IFERROR(INDEX('ImpactOutcome_Import-Export'!F$7:F$22,MATCH($A66,'ImpactOutcome_Import-Export'!$B$7:$B$22,0)),""))</f>
        <v/>
      </c>
      <c r="D66" s="1029" t="str">
        <f>IF(B66="","",IFERROR(IF(INDEX('ImpactOutcome_Import-Export'!K$7:K$22,MATCH($A66,'ImpactOutcome_Import-Export'!$B$7:$B$22,0))="","",INDEX('ImpactOutcome_Import-Export'!K$7:K$22,MATCH($A66,'ImpactOutcome_Import-Export'!$B$7:$B$22,0))),""))</f>
        <v/>
      </c>
      <c r="E66" s="1030" t="str">
        <f>IF(B66="","",IFERROR(IF(INDEX('ImpactOutcome_Import-Export'!L$7:L$22,MATCH($A66,'ImpactOutcome_Import-Export'!$B$7:$B$22,0))="","",INDEX('ImpactOutcome_Import-Export'!L$7:L$22,MATCH($A66,'ImpactOutcome_Import-Export'!$B$7:$B$22,0))),""))</f>
        <v/>
      </c>
      <c r="F66" s="1031" t="str">
        <f>IF(B66="","",IFERROR(IF(INDEX('ImpactOutcome_Import-Export'!M$7:M$22,MATCH($A66,'ImpactOutcome_Import-Export'!$B$7:$B$22,0))="","",INDEX('ImpactOutcome_Import-Export'!M$7:M$22,MATCH($A66,'ImpactOutcome_Import-Export'!$B$7:$B$22,0))),""))</f>
        <v/>
      </c>
      <c r="G66" s="1031" t="str">
        <f>IF(B66="","",IFERROR(IF(INDEX('ImpactOutcome_Import-Export'!N$7:N$22,MATCH($A66,'ImpactOutcome_Import-Export'!$B$7:$B$22,0))="","",INDEX('ImpactOutcome_Import-Export'!N$7:N$22,MATCH($A66,'ImpactOutcome_Import-Export'!$B$7:$B$22,0))),""))</f>
        <v/>
      </c>
      <c r="H66" s="1032" t="str">
        <f>IF(B66="","",IFERROR(IF(INDEX('ImpactOutcome_Import-Export'!O$7:O$22,MATCH($A66,'ImpactOutcome_Import-Export'!$B$7:$B$22,0))="","",INDEX('ImpactOutcome_Import-Export'!O$7:O$22,MATCH($A66,'ImpactOutcome_Import-Export'!$B$7:$B$22,0))),""))</f>
        <v/>
      </c>
      <c r="I66" s="1030" t="str">
        <f>IF(B66="","",IFERROR(IF(INDEX('ImpactOutcome_Import-Export'!P$7:P$22,MATCH($A66,'ImpactOutcome_Import-Export'!$B$7:$B$22,0))="","",INDEX('ImpactOutcome_Import-Export'!P$7:P$22,MATCH($A66,'ImpactOutcome_Import-Export'!$B$7:$B$22,0))),""))</f>
        <v/>
      </c>
      <c r="J66" s="1033" t="str">
        <f>IF(B66="","",IFERROR(IF(INDEX('ImpactOutcome_Import-Export'!Q$7:Q$22,MATCH($A66,'ImpactOutcome_Import-Export'!$B$7:$B$22,0))="","",INDEX('ImpactOutcome_Import-Export'!Q$7:Q$22,MATCH($A66,'ImpactOutcome_Import-Export'!$B$7:$B$22,0))),""))</f>
        <v/>
      </c>
      <c r="K66" s="1030" t="str">
        <f>IF(B66="","",IFERROR(IF(INDEX('ImpactOutcome_Import-Export'!R$7:R$22,MATCH($A66,'ImpactOutcome_Import-Export'!$B$7:$B$22,0))="","",INDEX('ImpactOutcome_Import-Export'!R$7:R$22,MATCH($A66,'ImpactOutcome_Import-Export'!$B$7:$B$22,0))),""))</f>
        <v/>
      </c>
      <c r="L66" s="1034"/>
      <c r="M66" s="1034"/>
      <c r="N66" s="1035" t="str">
        <f t="shared" si="8"/>
        <v/>
      </c>
      <c r="O66" s="1036"/>
      <c r="P66" s="1037"/>
      <c r="Q66" s="1038"/>
      <c r="R66" s="1039" t="str">
        <f t="shared" si="9"/>
        <v/>
      </c>
      <c r="S66" s="1037"/>
      <c r="T66" s="1034"/>
      <c r="U66" s="1034"/>
      <c r="V66" s="1035" t="str">
        <f t="shared" si="10"/>
        <v/>
      </c>
      <c r="W66" s="1036"/>
      <c r="X66" s="1037"/>
      <c r="Y66" s="1038"/>
      <c r="Z66" s="1039" t="str">
        <f t="shared" si="11"/>
        <v/>
      </c>
      <c r="AA66" s="1034"/>
      <c r="AB66" s="1034"/>
      <c r="AC66" s="1035" t="str">
        <f t="shared" si="12"/>
        <v/>
      </c>
      <c r="AD66" s="1038"/>
      <c r="AE66" s="1040" t="str">
        <f t="shared" si="13"/>
        <v/>
      </c>
    </row>
    <row r="67" spans="1:31" x14ac:dyDescent="0.2">
      <c r="A67" s="636" t="str">
        <f>IFERROR(IF(INDEX(Impactlist,MATCH(0,INDEX(COUNTIF(A$10:A66,Impactlist),0,0),0))&lt;&gt;"",INDEX(Impactlist,MATCH(0,INDEX(COUNTIF(A$10:A66,Impactlist),0,0),0)),INDEX(Outcomelist,MATCH(0,INDEX(COUNTIF(A$10:A66,Outcomelist),0,0),0))),"")</f>
        <v/>
      </c>
      <c r="B67" s="1027" t="str">
        <f>IFERROR(INDEX('ImpactOutcome_Import-Export'!D$7:D$209,MATCH($A67,'ImpactOutcome_Import-Export'!$B$7:$B$209,0)),"")</f>
        <v/>
      </c>
      <c r="C67" s="1028" t="str">
        <f>IF(B67="","",IFERROR(INDEX('ImpactOutcome_Import-Export'!F$7:F$22,MATCH($A67,'ImpactOutcome_Import-Export'!$B$7:$B$22,0)),""))</f>
        <v/>
      </c>
      <c r="D67" s="1029" t="str">
        <f>IF(B67="","",IFERROR(IF(INDEX('ImpactOutcome_Import-Export'!K$7:K$22,MATCH($A67,'ImpactOutcome_Import-Export'!$B$7:$B$22,0))="","",INDEX('ImpactOutcome_Import-Export'!K$7:K$22,MATCH($A67,'ImpactOutcome_Import-Export'!$B$7:$B$22,0))),""))</f>
        <v/>
      </c>
      <c r="E67" s="1030" t="str">
        <f>IF(B67="","",IFERROR(IF(INDEX('ImpactOutcome_Import-Export'!L$7:L$22,MATCH($A67,'ImpactOutcome_Import-Export'!$B$7:$B$22,0))="","",INDEX('ImpactOutcome_Import-Export'!L$7:L$22,MATCH($A67,'ImpactOutcome_Import-Export'!$B$7:$B$22,0))),""))</f>
        <v/>
      </c>
      <c r="F67" s="1031" t="str">
        <f>IF(B67="","",IFERROR(IF(INDEX('ImpactOutcome_Import-Export'!M$7:M$22,MATCH($A67,'ImpactOutcome_Import-Export'!$B$7:$B$22,0))="","",INDEX('ImpactOutcome_Import-Export'!M$7:M$22,MATCH($A67,'ImpactOutcome_Import-Export'!$B$7:$B$22,0))),""))</f>
        <v/>
      </c>
      <c r="G67" s="1031" t="str">
        <f>IF(B67="","",IFERROR(IF(INDEX('ImpactOutcome_Import-Export'!N$7:N$22,MATCH($A67,'ImpactOutcome_Import-Export'!$B$7:$B$22,0))="","",INDEX('ImpactOutcome_Import-Export'!N$7:N$22,MATCH($A67,'ImpactOutcome_Import-Export'!$B$7:$B$22,0))),""))</f>
        <v/>
      </c>
      <c r="H67" s="1032" t="str">
        <f>IF(B67="","",IFERROR(IF(INDEX('ImpactOutcome_Import-Export'!O$7:O$22,MATCH($A67,'ImpactOutcome_Import-Export'!$B$7:$B$22,0))="","",INDEX('ImpactOutcome_Import-Export'!O$7:O$22,MATCH($A67,'ImpactOutcome_Import-Export'!$B$7:$B$22,0))),""))</f>
        <v/>
      </c>
      <c r="I67" s="1030" t="str">
        <f>IF(B67="","",IFERROR(IF(INDEX('ImpactOutcome_Import-Export'!P$7:P$22,MATCH($A67,'ImpactOutcome_Import-Export'!$B$7:$B$22,0))="","",INDEX('ImpactOutcome_Import-Export'!P$7:P$22,MATCH($A67,'ImpactOutcome_Import-Export'!$B$7:$B$22,0))),""))</f>
        <v/>
      </c>
      <c r="J67" s="1033" t="str">
        <f>IF(B67="","",IFERROR(IF(INDEX('ImpactOutcome_Import-Export'!Q$7:Q$22,MATCH($A67,'ImpactOutcome_Import-Export'!$B$7:$B$22,0))="","",INDEX('ImpactOutcome_Import-Export'!Q$7:Q$22,MATCH($A67,'ImpactOutcome_Import-Export'!$B$7:$B$22,0))),""))</f>
        <v/>
      </c>
      <c r="K67" s="1030" t="str">
        <f>IF(B67="","",IFERROR(IF(INDEX('ImpactOutcome_Import-Export'!R$7:R$22,MATCH($A67,'ImpactOutcome_Import-Export'!$B$7:$B$22,0))="","",INDEX('ImpactOutcome_Import-Export'!R$7:R$22,MATCH($A67,'ImpactOutcome_Import-Export'!$B$7:$B$22,0))),""))</f>
        <v/>
      </c>
      <c r="L67" s="1034"/>
      <c r="M67" s="1034"/>
      <c r="N67" s="1035" t="str">
        <f t="shared" si="8"/>
        <v/>
      </c>
      <c r="O67" s="1036"/>
      <c r="P67" s="1037"/>
      <c r="Q67" s="1038"/>
      <c r="R67" s="1039" t="str">
        <f t="shared" si="9"/>
        <v/>
      </c>
      <c r="S67" s="1037"/>
      <c r="T67" s="1034"/>
      <c r="U67" s="1034"/>
      <c r="V67" s="1035" t="str">
        <f t="shared" si="10"/>
        <v/>
      </c>
      <c r="W67" s="1036"/>
      <c r="X67" s="1037"/>
      <c r="Y67" s="1038"/>
      <c r="Z67" s="1039" t="str">
        <f t="shared" si="11"/>
        <v/>
      </c>
      <c r="AA67" s="1034"/>
      <c r="AB67" s="1034"/>
      <c r="AC67" s="1035" t="str">
        <f t="shared" si="12"/>
        <v/>
      </c>
      <c r="AD67" s="1038"/>
      <c r="AE67" s="1040" t="str">
        <f t="shared" si="13"/>
        <v/>
      </c>
    </row>
    <row r="68" spans="1:31" x14ac:dyDescent="0.2">
      <c r="A68" s="636" t="str">
        <f>IFERROR(IF(INDEX(Impactlist,MATCH(0,INDEX(COUNTIF(A$10:A67,Impactlist),0,0),0))&lt;&gt;"",INDEX(Impactlist,MATCH(0,INDEX(COUNTIF(A$10:A67,Impactlist),0,0),0)),INDEX(Outcomelist,MATCH(0,INDEX(COUNTIF(A$10:A67,Outcomelist),0,0),0))),"")</f>
        <v/>
      </c>
      <c r="B68" s="1027" t="str">
        <f>IFERROR(INDEX('ImpactOutcome_Import-Export'!D$7:D$209,MATCH($A68,'ImpactOutcome_Import-Export'!$B$7:$B$209,0)),"")</f>
        <v/>
      </c>
      <c r="C68" s="1028" t="str">
        <f>IF(B68="","",IFERROR(INDEX('ImpactOutcome_Import-Export'!F$7:F$22,MATCH($A68,'ImpactOutcome_Import-Export'!$B$7:$B$22,0)),""))</f>
        <v/>
      </c>
      <c r="D68" s="1029" t="str">
        <f>IF(B68="","",IFERROR(IF(INDEX('ImpactOutcome_Import-Export'!K$7:K$22,MATCH($A68,'ImpactOutcome_Import-Export'!$B$7:$B$22,0))="","",INDEX('ImpactOutcome_Import-Export'!K$7:K$22,MATCH($A68,'ImpactOutcome_Import-Export'!$B$7:$B$22,0))),""))</f>
        <v/>
      </c>
      <c r="E68" s="1030" t="str">
        <f>IF(B68="","",IFERROR(IF(INDEX('ImpactOutcome_Import-Export'!L$7:L$22,MATCH($A68,'ImpactOutcome_Import-Export'!$B$7:$B$22,0))="","",INDEX('ImpactOutcome_Import-Export'!L$7:L$22,MATCH($A68,'ImpactOutcome_Import-Export'!$B$7:$B$22,0))),""))</f>
        <v/>
      </c>
      <c r="F68" s="1031" t="str">
        <f>IF(B68="","",IFERROR(IF(INDEX('ImpactOutcome_Import-Export'!M$7:M$22,MATCH($A68,'ImpactOutcome_Import-Export'!$B$7:$B$22,0))="","",INDEX('ImpactOutcome_Import-Export'!M$7:M$22,MATCH($A68,'ImpactOutcome_Import-Export'!$B$7:$B$22,0))),""))</f>
        <v/>
      </c>
      <c r="G68" s="1031" t="str">
        <f>IF(B68="","",IFERROR(IF(INDEX('ImpactOutcome_Import-Export'!N$7:N$22,MATCH($A68,'ImpactOutcome_Import-Export'!$B$7:$B$22,0))="","",INDEX('ImpactOutcome_Import-Export'!N$7:N$22,MATCH($A68,'ImpactOutcome_Import-Export'!$B$7:$B$22,0))),""))</f>
        <v/>
      </c>
      <c r="H68" s="1032" t="str">
        <f>IF(B68="","",IFERROR(IF(INDEX('ImpactOutcome_Import-Export'!O$7:O$22,MATCH($A68,'ImpactOutcome_Import-Export'!$B$7:$B$22,0))="","",INDEX('ImpactOutcome_Import-Export'!O$7:O$22,MATCH($A68,'ImpactOutcome_Import-Export'!$B$7:$B$22,0))),""))</f>
        <v/>
      </c>
      <c r="I68" s="1030" t="str">
        <f>IF(B68="","",IFERROR(IF(INDEX('ImpactOutcome_Import-Export'!P$7:P$22,MATCH($A68,'ImpactOutcome_Import-Export'!$B$7:$B$22,0))="","",INDEX('ImpactOutcome_Import-Export'!P$7:P$22,MATCH($A68,'ImpactOutcome_Import-Export'!$B$7:$B$22,0))),""))</f>
        <v/>
      </c>
      <c r="J68" s="1033" t="str">
        <f>IF(B68="","",IFERROR(IF(INDEX('ImpactOutcome_Import-Export'!Q$7:Q$22,MATCH($A68,'ImpactOutcome_Import-Export'!$B$7:$B$22,0))="","",INDEX('ImpactOutcome_Import-Export'!Q$7:Q$22,MATCH($A68,'ImpactOutcome_Import-Export'!$B$7:$B$22,0))),""))</f>
        <v/>
      </c>
      <c r="K68" s="1030" t="str">
        <f>IF(B68="","",IFERROR(IF(INDEX('ImpactOutcome_Import-Export'!R$7:R$22,MATCH($A68,'ImpactOutcome_Import-Export'!$B$7:$B$22,0))="","",INDEX('ImpactOutcome_Import-Export'!R$7:R$22,MATCH($A68,'ImpactOutcome_Import-Export'!$B$7:$B$22,0))),""))</f>
        <v/>
      </c>
      <c r="L68" s="1034"/>
      <c r="M68" s="1034"/>
      <c r="N68" s="1035" t="str">
        <f t="shared" si="8"/>
        <v/>
      </c>
      <c r="O68" s="1036"/>
      <c r="P68" s="1037"/>
      <c r="Q68" s="1038"/>
      <c r="R68" s="1039" t="str">
        <f t="shared" si="9"/>
        <v/>
      </c>
      <c r="S68" s="1037"/>
      <c r="T68" s="1034"/>
      <c r="U68" s="1034"/>
      <c r="V68" s="1035" t="str">
        <f t="shared" si="10"/>
        <v/>
      </c>
      <c r="W68" s="1036"/>
      <c r="X68" s="1037"/>
      <c r="Y68" s="1038"/>
      <c r="Z68" s="1039" t="str">
        <f t="shared" si="11"/>
        <v/>
      </c>
      <c r="AA68" s="1034"/>
      <c r="AB68" s="1034"/>
      <c r="AC68" s="1035" t="str">
        <f t="shared" si="12"/>
        <v/>
      </c>
      <c r="AD68" s="1038"/>
      <c r="AE68" s="1040" t="str">
        <f t="shared" si="13"/>
        <v/>
      </c>
    </row>
    <row r="69" spans="1:31" x14ac:dyDescent="0.2">
      <c r="A69" s="636" t="str">
        <f>IFERROR(IF(INDEX(Impactlist,MATCH(0,INDEX(COUNTIF(A$10:A68,Impactlist),0,0),0))&lt;&gt;"",INDEX(Impactlist,MATCH(0,INDEX(COUNTIF(A$10:A68,Impactlist),0,0),0)),INDEX(Outcomelist,MATCH(0,INDEX(COUNTIF(A$10:A68,Outcomelist),0,0),0))),"")</f>
        <v/>
      </c>
      <c r="B69" s="1027" t="str">
        <f>IFERROR(INDEX('ImpactOutcome_Import-Export'!D$7:D$209,MATCH($A69,'ImpactOutcome_Import-Export'!$B$7:$B$209,0)),"")</f>
        <v/>
      </c>
      <c r="C69" s="1028" t="str">
        <f>IF(B69="","",IFERROR(INDEX('ImpactOutcome_Import-Export'!F$7:F$22,MATCH($A69,'ImpactOutcome_Import-Export'!$B$7:$B$22,0)),""))</f>
        <v/>
      </c>
      <c r="D69" s="1029" t="str">
        <f>IF(B69="","",IFERROR(IF(INDEX('ImpactOutcome_Import-Export'!K$7:K$22,MATCH($A69,'ImpactOutcome_Import-Export'!$B$7:$B$22,0))="","",INDEX('ImpactOutcome_Import-Export'!K$7:K$22,MATCH($A69,'ImpactOutcome_Import-Export'!$B$7:$B$22,0))),""))</f>
        <v/>
      </c>
      <c r="E69" s="1030" t="str">
        <f>IF(B69="","",IFERROR(IF(INDEX('ImpactOutcome_Import-Export'!L$7:L$22,MATCH($A69,'ImpactOutcome_Import-Export'!$B$7:$B$22,0))="","",INDEX('ImpactOutcome_Import-Export'!L$7:L$22,MATCH($A69,'ImpactOutcome_Import-Export'!$B$7:$B$22,0))),""))</f>
        <v/>
      </c>
      <c r="F69" s="1031" t="str">
        <f>IF(B69="","",IFERROR(IF(INDEX('ImpactOutcome_Import-Export'!M$7:M$22,MATCH($A69,'ImpactOutcome_Import-Export'!$B$7:$B$22,0))="","",INDEX('ImpactOutcome_Import-Export'!M$7:M$22,MATCH($A69,'ImpactOutcome_Import-Export'!$B$7:$B$22,0))),""))</f>
        <v/>
      </c>
      <c r="G69" s="1031" t="str">
        <f>IF(B69="","",IFERROR(IF(INDEX('ImpactOutcome_Import-Export'!N$7:N$22,MATCH($A69,'ImpactOutcome_Import-Export'!$B$7:$B$22,0))="","",INDEX('ImpactOutcome_Import-Export'!N$7:N$22,MATCH($A69,'ImpactOutcome_Import-Export'!$B$7:$B$22,0))),""))</f>
        <v/>
      </c>
      <c r="H69" s="1032" t="str">
        <f>IF(B69="","",IFERROR(IF(INDEX('ImpactOutcome_Import-Export'!O$7:O$22,MATCH($A69,'ImpactOutcome_Import-Export'!$B$7:$B$22,0))="","",INDEX('ImpactOutcome_Import-Export'!O$7:O$22,MATCH($A69,'ImpactOutcome_Import-Export'!$B$7:$B$22,0))),""))</f>
        <v/>
      </c>
      <c r="I69" s="1030" t="str">
        <f>IF(B69="","",IFERROR(IF(INDEX('ImpactOutcome_Import-Export'!P$7:P$22,MATCH($A69,'ImpactOutcome_Import-Export'!$B$7:$B$22,0))="","",INDEX('ImpactOutcome_Import-Export'!P$7:P$22,MATCH($A69,'ImpactOutcome_Import-Export'!$B$7:$B$22,0))),""))</f>
        <v/>
      </c>
      <c r="J69" s="1033" t="str">
        <f>IF(B69="","",IFERROR(IF(INDEX('ImpactOutcome_Import-Export'!Q$7:Q$22,MATCH($A69,'ImpactOutcome_Import-Export'!$B$7:$B$22,0))="","",INDEX('ImpactOutcome_Import-Export'!Q$7:Q$22,MATCH($A69,'ImpactOutcome_Import-Export'!$B$7:$B$22,0))),""))</f>
        <v/>
      </c>
      <c r="K69" s="1030" t="str">
        <f>IF(B69="","",IFERROR(IF(INDEX('ImpactOutcome_Import-Export'!R$7:R$22,MATCH($A69,'ImpactOutcome_Import-Export'!$B$7:$B$22,0))="","",INDEX('ImpactOutcome_Import-Export'!R$7:R$22,MATCH($A69,'ImpactOutcome_Import-Export'!$B$7:$B$22,0))),""))</f>
        <v/>
      </c>
      <c r="L69" s="1034"/>
      <c r="M69" s="1034"/>
      <c r="N69" s="1035" t="str">
        <f t="shared" si="8"/>
        <v/>
      </c>
      <c r="O69" s="1036"/>
      <c r="P69" s="1037"/>
      <c r="Q69" s="1038"/>
      <c r="R69" s="1039" t="str">
        <f t="shared" si="9"/>
        <v/>
      </c>
      <c r="S69" s="1037"/>
      <c r="T69" s="1034"/>
      <c r="U69" s="1034"/>
      <c r="V69" s="1035" t="str">
        <f t="shared" si="10"/>
        <v/>
      </c>
      <c r="W69" s="1036"/>
      <c r="X69" s="1037"/>
      <c r="Y69" s="1038"/>
      <c r="Z69" s="1039" t="str">
        <f t="shared" si="11"/>
        <v/>
      </c>
      <c r="AA69" s="1034"/>
      <c r="AB69" s="1034"/>
      <c r="AC69" s="1035" t="str">
        <f t="shared" si="12"/>
        <v/>
      </c>
      <c r="AD69" s="1038"/>
      <c r="AE69" s="1040" t="str">
        <f t="shared" si="13"/>
        <v/>
      </c>
    </row>
    <row r="70" spans="1:31" x14ac:dyDescent="0.2">
      <c r="A70" s="636" t="str">
        <f>IFERROR(IF(INDEX(Impactlist,MATCH(0,INDEX(COUNTIF(A$10:A69,Impactlist),0,0),0))&lt;&gt;"",INDEX(Impactlist,MATCH(0,INDEX(COUNTIF(A$10:A69,Impactlist),0,0),0)),INDEX(Outcomelist,MATCH(0,INDEX(COUNTIF(A$10:A69,Outcomelist),0,0),0))),"")</f>
        <v/>
      </c>
      <c r="B70" s="1027" t="str">
        <f>IFERROR(INDEX('ImpactOutcome_Import-Export'!D$7:D$209,MATCH($A70,'ImpactOutcome_Import-Export'!$B$7:$B$209,0)),"")</f>
        <v/>
      </c>
      <c r="C70" s="1028" t="str">
        <f>IF(B70="","",IFERROR(INDEX('ImpactOutcome_Import-Export'!F$7:F$22,MATCH($A70,'ImpactOutcome_Import-Export'!$B$7:$B$22,0)),""))</f>
        <v/>
      </c>
      <c r="D70" s="1029" t="str">
        <f>IF(B70="","",IFERROR(IF(INDEX('ImpactOutcome_Import-Export'!K$7:K$22,MATCH($A70,'ImpactOutcome_Import-Export'!$B$7:$B$22,0))="","",INDEX('ImpactOutcome_Import-Export'!K$7:K$22,MATCH($A70,'ImpactOutcome_Import-Export'!$B$7:$B$22,0))),""))</f>
        <v/>
      </c>
      <c r="E70" s="1030" t="str">
        <f>IF(B70="","",IFERROR(IF(INDEX('ImpactOutcome_Import-Export'!L$7:L$22,MATCH($A70,'ImpactOutcome_Import-Export'!$B$7:$B$22,0))="","",INDEX('ImpactOutcome_Import-Export'!L$7:L$22,MATCH($A70,'ImpactOutcome_Import-Export'!$B$7:$B$22,0))),""))</f>
        <v/>
      </c>
      <c r="F70" s="1031" t="str">
        <f>IF(B70="","",IFERROR(IF(INDEX('ImpactOutcome_Import-Export'!M$7:M$22,MATCH($A70,'ImpactOutcome_Import-Export'!$B$7:$B$22,0))="","",INDEX('ImpactOutcome_Import-Export'!M$7:M$22,MATCH($A70,'ImpactOutcome_Import-Export'!$B$7:$B$22,0))),""))</f>
        <v/>
      </c>
      <c r="G70" s="1031" t="str">
        <f>IF(B70="","",IFERROR(IF(INDEX('ImpactOutcome_Import-Export'!N$7:N$22,MATCH($A70,'ImpactOutcome_Import-Export'!$B$7:$B$22,0))="","",INDEX('ImpactOutcome_Import-Export'!N$7:N$22,MATCH($A70,'ImpactOutcome_Import-Export'!$B$7:$B$22,0))),""))</f>
        <v/>
      </c>
      <c r="H70" s="1032" t="str">
        <f>IF(B70="","",IFERROR(IF(INDEX('ImpactOutcome_Import-Export'!O$7:O$22,MATCH($A70,'ImpactOutcome_Import-Export'!$B$7:$B$22,0))="","",INDEX('ImpactOutcome_Import-Export'!O$7:O$22,MATCH($A70,'ImpactOutcome_Import-Export'!$B$7:$B$22,0))),""))</f>
        <v/>
      </c>
      <c r="I70" s="1030" t="str">
        <f>IF(B70="","",IFERROR(IF(INDEX('ImpactOutcome_Import-Export'!P$7:P$22,MATCH($A70,'ImpactOutcome_Import-Export'!$B$7:$B$22,0))="","",INDEX('ImpactOutcome_Import-Export'!P$7:P$22,MATCH($A70,'ImpactOutcome_Import-Export'!$B$7:$B$22,0))),""))</f>
        <v/>
      </c>
      <c r="J70" s="1033" t="str">
        <f>IF(B70="","",IFERROR(IF(INDEX('ImpactOutcome_Import-Export'!Q$7:Q$22,MATCH($A70,'ImpactOutcome_Import-Export'!$B$7:$B$22,0))="","",INDEX('ImpactOutcome_Import-Export'!Q$7:Q$22,MATCH($A70,'ImpactOutcome_Import-Export'!$B$7:$B$22,0))),""))</f>
        <v/>
      </c>
      <c r="K70" s="1030" t="str">
        <f>IF(B70="","",IFERROR(IF(INDEX('ImpactOutcome_Import-Export'!R$7:R$22,MATCH($A70,'ImpactOutcome_Import-Export'!$B$7:$B$22,0))="","",INDEX('ImpactOutcome_Import-Export'!R$7:R$22,MATCH($A70,'ImpactOutcome_Import-Export'!$B$7:$B$22,0))),""))</f>
        <v/>
      </c>
      <c r="L70" s="1034"/>
      <c r="M70" s="1034"/>
      <c r="N70" s="1035" t="str">
        <f t="shared" si="8"/>
        <v/>
      </c>
      <c r="O70" s="1036"/>
      <c r="P70" s="1037"/>
      <c r="Q70" s="1038"/>
      <c r="R70" s="1039" t="str">
        <f t="shared" si="9"/>
        <v/>
      </c>
      <c r="S70" s="1037"/>
      <c r="T70" s="1034"/>
      <c r="U70" s="1034"/>
      <c r="V70" s="1035" t="str">
        <f t="shared" si="10"/>
        <v/>
      </c>
      <c r="W70" s="1036"/>
      <c r="X70" s="1037"/>
      <c r="Y70" s="1038"/>
      <c r="Z70" s="1039" t="str">
        <f t="shared" si="11"/>
        <v/>
      </c>
      <c r="AA70" s="1034"/>
      <c r="AB70" s="1034"/>
      <c r="AC70" s="1035" t="str">
        <f t="shared" si="12"/>
        <v/>
      </c>
      <c r="AD70" s="1038"/>
      <c r="AE70" s="1040" t="str">
        <f t="shared" si="13"/>
        <v/>
      </c>
    </row>
    <row r="71" spans="1:31" x14ac:dyDescent="0.2">
      <c r="A71" s="636" t="str">
        <f>IFERROR(IF(INDEX(Impactlist,MATCH(0,INDEX(COUNTIF(A$10:A70,Impactlist),0,0),0))&lt;&gt;"",INDEX(Impactlist,MATCH(0,INDEX(COUNTIF(A$10:A70,Impactlist),0,0),0)),INDEX(Outcomelist,MATCH(0,INDEX(COUNTIF(A$10:A70,Outcomelist),0,0),0))),"")</f>
        <v/>
      </c>
      <c r="B71" s="1027" t="str">
        <f>IFERROR(INDEX('ImpactOutcome_Import-Export'!D$7:D$209,MATCH($A71,'ImpactOutcome_Import-Export'!$B$7:$B$209,0)),"")</f>
        <v/>
      </c>
      <c r="C71" s="1028" t="str">
        <f>IF(B71="","",IFERROR(INDEX('ImpactOutcome_Import-Export'!F$7:F$22,MATCH($A71,'ImpactOutcome_Import-Export'!$B$7:$B$22,0)),""))</f>
        <v/>
      </c>
      <c r="D71" s="1029" t="str">
        <f>IF(B71="","",IFERROR(IF(INDEX('ImpactOutcome_Import-Export'!K$7:K$22,MATCH($A71,'ImpactOutcome_Import-Export'!$B$7:$B$22,0))="","",INDEX('ImpactOutcome_Import-Export'!K$7:K$22,MATCH($A71,'ImpactOutcome_Import-Export'!$B$7:$B$22,0))),""))</f>
        <v/>
      </c>
      <c r="E71" s="1030" t="str">
        <f>IF(B71="","",IFERROR(IF(INDEX('ImpactOutcome_Import-Export'!L$7:L$22,MATCH($A71,'ImpactOutcome_Import-Export'!$B$7:$B$22,0))="","",INDEX('ImpactOutcome_Import-Export'!L$7:L$22,MATCH($A71,'ImpactOutcome_Import-Export'!$B$7:$B$22,0))),""))</f>
        <v/>
      </c>
      <c r="F71" s="1031" t="str">
        <f>IF(B71="","",IFERROR(IF(INDEX('ImpactOutcome_Import-Export'!M$7:M$22,MATCH($A71,'ImpactOutcome_Import-Export'!$B$7:$B$22,0))="","",INDEX('ImpactOutcome_Import-Export'!M$7:M$22,MATCH($A71,'ImpactOutcome_Import-Export'!$B$7:$B$22,0))),""))</f>
        <v/>
      </c>
      <c r="G71" s="1031" t="str">
        <f>IF(B71="","",IFERROR(IF(INDEX('ImpactOutcome_Import-Export'!N$7:N$22,MATCH($A71,'ImpactOutcome_Import-Export'!$B$7:$B$22,0))="","",INDEX('ImpactOutcome_Import-Export'!N$7:N$22,MATCH($A71,'ImpactOutcome_Import-Export'!$B$7:$B$22,0))),""))</f>
        <v/>
      </c>
      <c r="H71" s="1032" t="str">
        <f>IF(B71="","",IFERROR(IF(INDEX('ImpactOutcome_Import-Export'!O$7:O$22,MATCH($A71,'ImpactOutcome_Import-Export'!$B$7:$B$22,0))="","",INDEX('ImpactOutcome_Import-Export'!O$7:O$22,MATCH($A71,'ImpactOutcome_Import-Export'!$B$7:$B$22,0))),""))</f>
        <v/>
      </c>
      <c r="I71" s="1030" t="str">
        <f>IF(B71="","",IFERROR(IF(INDEX('ImpactOutcome_Import-Export'!P$7:P$22,MATCH($A71,'ImpactOutcome_Import-Export'!$B$7:$B$22,0))="","",INDEX('ImpactOutcome_Import-Export'!P$7:P$22,MATCH($A71,'ImpactOutcome_Import-Export'!$B$7:$B$22,0))),""))</f>
        <v/>
      </c>
      <c r="J71" s="1033" t="str">
        <f>IF(B71="","",IFERROR(IF(INDEX('ImpactOutcome_Import-Export'!Q$7:Q$22,MATCH($A71,'ImpactOutcome_Import-Export'!$B$7:$B$22,0))="","",INDEX('ImpactOutcome_Import-Export'!Q$7:Q$22,MATCH($A71,'ImpactOutcome_Import-Export'!$B$7:$B$22,0))),""))</f>
        <v/>
      </c>
      <c r="K71" s="1030" t="str">
        <f>IF(B71="","",IFERROR(IF(INDEX('ImpactOutcome_Import-Export'!R$7:R$22,MATCH($A71,'ImpactOutcome_Import-Export'!$B$7:$B$22,0))="","",INDEX('ImpactOutcome_Import-Export'!R$7:R$22,MATCH($A71,'ImpactOutcome_Import-Export'!$B$7:$B$22,0))),""))</f>
        <v/>
      </c>
      <c r="L71" s="1034"/>
      <c r="M71" s="1034"/>
      <c r="N71" s="1035" t="str">
        <f t="shared" si="8"/>
        <v/>
      </c>
      <c r="O71" s="1036"/>
      <c r="P71" s="1037"/>
      <c r="Q71" s="1038"/>
      <c r="R71" s="1039" t="str">
        <f t="shared" si="9"/>
        <v/>
      </c>
      <c r="S71" s="1037"/>
      <c r="T71" s="1034"/>
      <c r="U71" s="1034"/>
      <c r="V71" s="1035" t="str">
        <f t="shared" si="10"/>
        <v/>
      </c>
      <c r="W71" s="1036"/>
      <c r="X71" s="1037"/>
      <c r="Y71" s="1038"/>
      <c r="Z71" s="1039" t="str">
        <f t="shared" si="11"/>
        <v/>
      </c>
      <c r="AA71" s="1034"/>
      <c r="AB71" s="1034"/>
      <c r="AC71" s="1035" t="str">
        <f t="shared" si="12"/>
        <v/>
      </c>
      <c r="AD71" s="1038"/>
      <c r="AE71" s="1040" t="str">
        <f t="shared" si="13"/>
        <v/>
      </c>
    </row>
    <row r="72" spans="1:31" x14ac:dyDescent="0.2">
      <c r="A72" s="636" t="str">
        <f>IFERROR(IF(INDEX(Impactlist,MATCH(0,INDEX(COUNTIF(A$10:A71,Impactlist),0,0),0))&lt;&gt;"",INDEX(Impactlist,MATCH(0,INDEX(COUNTIF(A$10:A71,Impactlist),0,0),0)),INDEX(Outcomelist,MATCH(0,INDEX(COUNTIF(A$10:A71,Outcomelist),0,0),0))),"")</f>
        <v/>
      </c>
      <c r="B72" s="1027" t="str">
        <f>IFERROR(INDEX('ImpactOutcome_Import-Export'!D$7:D$209,MATCH($A72,'ImpactOutcome_Import-Export'!$B$7:$B$209,0)),"")</f>
        <v/>
      </c>
      <c r="C72" s="1028" t="str">
        <f>IF(B72="","",IFERROR(INDEX('ImpactOutcome_Import-Export'!F$7:F$22,MATCH($A72,'ImpactOutcome_Import-Export'!$B$7:$B$22,0)),""))</f>
        <v/>
      </c>
      <c r="D72" s="1029" t="str">
        <f>IF(B72="","",IFERROR(IF(INDEX('ImpactOutcome_Import-Export'!K$7:K$22,MATCH($A72,'ImpactOutcome_Import-Export'!$B$7:$B$22,0))="","",INDEX('ImpactOutcome_Import-Export'!K$7:K$22,MATCH($A72,'ImpactOutcome_Import-Export'!$B$7:$B$22,0))),""))</f>
        <v/>
      </c>
      <c r="E72" s="1030" t="str">
        <f>IF(B72="","",IFERROR(IF(INDEX('ImpactOutcome_Import-Export'!L$7:L$22,MATCH($A72,'ImpactOutcome_Import-Export'!$B$7:$B$22,0))="","",INDEX('ImpactOutcome_Import-Export'!L$7:L$22,MATCH($A72,'ImpactOutcome_Import-Export'!$B$7:$B$22,0))),""))</f>
        <v/>
      </c>
      <c r="F72" s="1031" t="str">
        <f>IF(B72="","",IFERROR(IF(INDEX('ImpactOutcome_Import-Export'!M$7:M$22,MATCH($A72,'ImpactOutcome_Import-Export'!$B$7:$B$22,0))="","",INDEX('ImpactOutcome_Import-Export'!M$7:M$22,MATCH($A72,'ImpactOutcome_Import-Export'!$B$7:$B$22,0))),""))</f>
        <v/>
      </c>
      <c r="G72" s="1031" t="str">
        <f>IF(B72="","",IFERROR(IF(INDEX('ImpactOutcome_Import-Export'!N$7:N$22,MATCH($A72,'ImpactOutcome_Import-Export'!$B$7:$B$22,0))="","",INDEX('ImpactOutcome_Import-Export'!N$7:N$22,MATCH($A72,'ImpactOutcome_Import-Export'!$B$7:$B$22,0))),""))</f>
        <v/>
      </c>
      <c r="H72" s="1032" t="str">
        <f>IF(B72="","",IFERROR(IF(INDEX('ImpactOutcome_Import-Export'!O$7:O$22,MATCH($A72,'ImpactOutcome_Import-Export'!$B$7:$B$22,0))="","",INDEX('ImpactOutcome_Import-Export'!O$7:O$22,MATCH($A72,'ImpactOutcome_Import-Export'!$B$7:$B$22,0))),""))</f>
        <v/>
      </c>
      <c r="I72" s="1030" t="str">
        <f>IF(B72="","",IFERROR(IF(INDEX('ImpactOutcome_Import-Export'!P$7:P$22,MATCH($A72,'ImpactOutcome_Import-Export'!$B$7:$B$22,0))="","",INDEX('ImpactOutcome_Import-Export'!P$7:P$22,MATCH($A72,'ImpactOutcome_Import-Export'!$B$7:$B$22,0))),""))</f>
        <v/>
      </c>
      <c r="J72" s="1033" t="str">
        <f>IF(B72="","",IFERROR(IF(INDEX('ImpactOutcome_Import-Export'!Q$7:Q$22,MATCH($A72,'ImpactOutcome_Import-Export'!$B$7:$B$22,0))="","",INDEX('ImpactOutcome_Import-Export'!Q$7:Q$22,MATCH($A72,'ImpactOutcome_Import-Export'!$B$7:$B$22,0))),""))</f>
        <v/>
      </c>
      <c r="K72" s="1030" t="str">
        <f>IF(B72="","",IFERROR(IF(INDEX('ImpactOutcome_Import-Export'!R$7:R$22,MATCH($A72,'ImpactOutcome_Import-Export'!$B$7:$B$22,0))="","",INDEX('ImpactOutcome_Import-Export'!R$7:R$22,MATCH($A72,'ImpactOutcome_Import-Export'!$B$7:$B$22,0))),""))</f>
        <v/>
      </c>
      <c r="L72" s="1034"/>
      <c r="M72" s="1034"/>
      <c r="N72" s="1035" t="str">
        <f t="shared" si="8"/>
        <v/>
      </c>
      <c r="O72" s="1036"/>
      <c r="P72" s="1037"/>
      <c r="Q72" s="1038"/>
      <c r="R72" s="1039" t="str">
        <f t="shared" si="9"/>
        <v/>
      </c>
      <c r="S72" s="1037"/>
      <c r="T72" s="1034"/>
      <c r="U72" s="1034"/>
      <c r="V72" s="1035" t="str">
        <f t="shared" si="10"/>
        <v/>
      </c>
      <c r="W72" s="1036"/>
      <c r="X72" s="1037"/>
      <c r="Y72" s="1038"/>
      <c r="Z72" s="1039" t="str">
        <f t="shared" si="11"/>
        <v/>
      </c>
      <c r="AA72" s="1034"/>
      <c r="AB72" s="1034"/>
      <c r="AC72" s="1035" t="str">
        <f t="shared" si="12"/>
        <v/>
      </c>
      <c r="AD72" s="1038"/>
      <c r="AE72" s="1040" t="str">
        <f t="shared" si="13"/>
        <v/>
      </c>
    </row>
    <row r="73" spans="1:31" x14ac:dyDescent="0.2">
      <c r="A73" s="636" t="str">
        <f>IFERROR(IF(INDEX(Impactlist,MATCH(0,INDEX(COUNTIF(A$10:A72,Impactlist),0,0),0))&lt;&gt;"",INDEX(Impactlist,MATCH(0,INDEX(COUNTIF(A$10:A72,Impactlist),0,0),0)),INDEX(Outcomelist,MATCH(0,INDEX(COUNTIF(A$10:A72,Outcomelist),0,0),0))),"")</f>
        <v/>
      </c>
      <c r="B73" s="1027" t="str">
        <f>IFERROR(INDEX('ImpactOutcome_Import-Export'!D$7:D$209,MATCH($A73,'ImpactOutcome_Import-Export'!$B$7:$B$209,0)),"")</f>
        <v/>
      </c>
      <c r="C73" s="1028" t="str">
        <f>IF(B73="","",IFERROR(INDEX('ImpactOutcome_Import-Export'!F$7:F$22,MATCH($A73,'ImpactOutcome_Import-Export'!$B$7:$B$22,0)),""))</f>
        <v/>
      </c>
      <c r="D73" s="1029" t="str">
        <f>IF(B73="","",IFERROR(IF(INDEX('ImpactOutcome_Import-Export'!K$7:K$22,MATCH($A73,'ImpactOutcome_Import-Export'!$B$7:$B$22,0))="","",INDEX('ImpactOutcome_Import-Export'!K$7:K$22,MATCH($A73,'ImpactOutcome_Import-Export'!$B$7:$B$22,0))),""))</f>
        <v/>
      </c>
      <c r="E73" s="1030" t="str">
        <f>IF(B73="","",IFERROR(IF(INDEX('ImpactOutcome_Import-Export'!L$7:L$22,MATCH($A73,'ImpactOutcome_Import-Export'!$B$7:$B$22,0))="","",INDEX('ImpactOutcome_Import-Export'!L$7:L$22,MATCH($A73,'ImpactOutcome_Import-Export'!$B$7:$B$22,0))),""))</f>
        <v/>
      </c>
      <c r="F73" s="1031" t="str">
        <f>IF(B73="","",IFERROR(IF(INDEX('ImpactOutcome_Import-Export'!M$7:M$22,MATCH($A73,'ImpactOutcome_Import-Export'!$B$7:$B$22,0))="","",INDEX('ImpactOutcome_Import-Export'!M$7:M$22,MATCH($A73,'ImpactOutcome_Import-Export'!$B$7:$B$22,0))),""))</f>
        <v/>
      </c>
      <c r="G73" s="1031" t="str">
        <f>IF(B73="","",IFERROR(IF(INDEX('ImpactOutcome_Import-Export'!N$7:N$22,MATCH($A73,'ImpactOutcome_Import-Export'!$B$7:$B$22,0))="","",INDEX('ImpactOutcome_Import-Export'!N$7:N$22,MATCH($A73,'ImpactOutcome_Import-Export'!$B$7:$B$22,0))),""))</f>
        <v/>
      </c>
      <c r="H73" s="1032" t="str">
        <f>IF(B73="","",IFERROR(IF(INDEX('ImpactOutcome_Import-Export'!O$7:O$22,MATCH($A73,'ImpactOutcome_Import-Export'!$B$7:$B$22,0))="","",INDEX('ImpactOutcome_Import-Export'!O$7:O$22,MATCH($A73,'ImpactOutcome_Import-Export'!$B$7:$B$22,0))),""))</f>
        <v/>
      </c>
      <c r="I73" s="1030" t="str">
        <f>IF(B73="","",IFERROR(IF(INDEX('ImpactOutcome_Import-Export'!P$7:P$22,MATCH($A73,'ImpactOutcome_Import-Export'!$B$7:$B$22,0))="","",INDEX('ImpactOutcome_Import-Export'!P$7:P$22,MATCH($A73,'ImpactOutcome_Import-Export'!$B$7:$B$22,0))),""))</f>
        <v/>
      </c>
      <c r="J73" s="1033" t="str">
        <f>IF(B73="","",IFERROR(IF(INDEX('ImpactOutcome_Import-Export'!Q$7:Q$22,MATCH($A73,'ImpactOutcome_Import-Export'!$B$7:$B$22,0))="","",INDEX('ImpactOutcome_Import-Export'!Q$7:Q$22,MATCH($A73,'ImpactOutcome_Import-Export'!$B$7:$B$22,0))),""))</f>
        <v/>
      </c>
      <c r="K73" s="1030" t="str">
        <f>IF(B73="","",IFERROR(IF(INDEX('ImpactOutcome_Import-Export'!R$7:R$22,MATCH($A73,'ImpactOutcome_Import-Export'!$B$7:$B$22,0))="","",INDEX('ImpactOutcome_Import-Export'!R$7:R$22,MATCH($A73,'ImpactOutcome_Import-Export'!$B$7:$B$22,0))),""))</f>
        <v/>
      </c>
      <c r="L73" s="1034"/>
      <c r="M73" s="1034"/>
      <c r="N73" s="1035" t="str">
        <f t="shared" si="8"/>
        <v/>
      </c>
      <c r="O73" s="1036"/>
      <c r="P73" s="1037"/>
      <c r="Q73" s="1038"/>
      <c r="R73" s="1039" t="str">
        <f t="shared" si="9"/>
        <v/>
      </c>
      <c r="S73" s="1037"/>
      <c r="T73" s="1034"/>
      <c r="U73" s="1034"/>
      <c r="V73" s="1035" t="str">
        <f t="shared" si="10"/>
        <v/>
      </c>
      <c r="W73" s="1036"/>
      <c r="X73" s="1037"/>
      <c r="Y73" s="1038"/>
      <c r="Z73" s="1039" t="str">
        <f t="shared" si="11"/>
        <v/>
      </c>
      <c r="AA73" s="1034"/>
      <c r="AB73" s="1034"/>
      <c r="AC73" s="1035" t="str">
        <f t="shared" si="12"/>
        <v/>
      </c>
      <c r="AD73" s="1038"/>
      <c r="AE73" s="1040" t="str">
        <f t="shared" si="13"/>
        <v/>
      </c>
    </row>
    <row r="74" spans="1:31" x14ac:dyDescent="0.2">
      <c r="A74" s="636" t="str">
        <f>IFERROR(IF(INDEX(Impactlist,MATCH(0,INDEX(COUNTIF(A$10:A73,Impactlist),0,0),0))&lt;&gt;"",INDEX(Impactlist,MATCH(0,INDEX(COUNTIF(A$10:A73,Impactlist),0,0),0)),INDEX(Outcomelist,MATCH(0,INDEX(COUNTIF(A$10:A73,Outcomelist),0,0),0))),"")</f>
        <v/>
      </c>
      <c r="B74" s="1027" t="str">
        <f>IFERROR(INDEX('ImpactOutcome_Import-Export'!D$7:D$209,MATCH($A74,'ImpactOutcome_Import-Export'!$B$7:$B$209,0)),"")</f>
        <v/>
      </c>
      <c r="C74" s="1028" t="str">
        <f>IF(B74="","",IFERROR(INDEX('ImpactOutcome_Import-Export'!F$7:F$22,MATCH($A74,'ImpactOutcome_Import-Export'!$B$7:$B$22,0)),""))</f>
        <v/>
      </c>
      <c r="D74" s="1029" t="str">
        <f>IF(B74="","",IFERROR(IF(INDEX('ImpactOutcome_Import-Export'!K$7:K$22,MATCH($A74,'ImpactOutcome_Import-Export'!$B$7:$B$22,0))="","",INDEX('ImpactOutcome_Import-Export'!K$7:K$22,MATCH($A74,'ImpactOutcome_Import-Export'!$B$7:$B$22,0))),""))</f>
        <v/>
      </c>
      <c r="E74" s="1030" t="str">
        <f>IF(B74="","",IFERROR(IF(INDEX('ImpactOutcome_Import-Export'!L$7:L$22,MATCH($A74,'ImpactOutcome_Import-Export'!$B$7:$B$22,0))="","",INDEX('ImpactOutcome_Import-Export'!L$7:L$22,MATCH($A74,'ImpactOutcome_Import-Export'!$B$7:$B$22,0))),""))</f>
        <v/>
      </c>
      <c r="F74" s="1031" t="str">
        <f>IF(B74="","",IFERROR(IF(INDEX('ImpactOutcome_Import-Export'!M$7:M$22,MATCH($A74,'ImpactOutcome_Import-Export'!$B$7:$B$22,0))="","",INDEX('ImpactOutcome_Import-Export'!M$7:M$22,MATCH($A74,'ImpactOutcome_Import-Export'!$B$7:$B$22,0))),""))</f>
        <v/>
      </c>
      <c r="G74" s="1031" t="str">
        <f>IF(B74="","",IFERROR(IF(INDEX('ImpactOutcome_Import-Export'!N$7:N$22,MATCH($A74,'ImpactOutcome_Import-Export'!$B$7:$B$22,0))="","",INDEX('ImpactOutcome_Import-Export'!N$7:N$22,MATCH($A74,'ImpactOutcome_Import-Export'!$B$7:$B$22,0))),""))</f>
        <v/>
      </c>
      <c r="H74" s="1032" t="str">
        <f>IF(B74="","",IFERROR(IF(INDEX('ImpactOutcome_Import-Export'!O$7:O$22,MATCH($A74,'ImpactOutcome_Import-Export'!$B$7:$B$22,0))="","",INDEX('ImpactOutcome_Import-Export'!O$7:O$22,MATCH($A74,'ImpactOutcome_Import-Export'!$B$7:$B$22,0))),""))</f>
        <v/>
      </c>
      <c r="I74" s="1030" t="str">
        <f>IF(B74="","",IFERROR(IF(INDEX('ImpactOutcome_Import-Export'!P$7:P$22,MATCH($A74,'ImpactOutcome_Import-Export'!$B$7:$B$22,0))="","",INDEX('ImpactOutcome_Import-Export'!P$7:P$22,MATCH($A74,'ImpactOutcome_Import-Export'!$B$7:$B$22,0))),""))</f>
        <v/>
      </c>
      <c r="J74" s="1033" t="str">
        <f>IF(B74="","",IFERROR(IF(INDEX('ImpactOutcome_Import-Export'!Q$7:Q$22,MATCH($A74,'ImpactOutcome_Import-Export'!$B$7:$B$22,0))="","",INDEX('ImpactOutcome_Import-Export'!Q$7:Q$22,MATCH($A74,'ImpactOutcome_Import-Export'!$B$7:$B$22,0))),""))</f>
        <v/>
      </c>
      <c r="K74" s="1030" t="str">
        <f>IF(B74="","",IFERROR(IF(INDEX('ImpactOutcome_Import-Export'!R$7:R$22,MATCH($A74,'ImpactOutcome_Import-Export'!$B$7:$B$22,0))="","",INDEX('ImpactOutcome_Import-Export'!R$7:R$22,MATCH($A74,'ImpactOutcome_Import-Export'!$B$7:$B$22,0))),""))</f>
        <v/>
      </c>
      <c r="L74" s="1034"/>
      <c r="M74" s="1034"/>
      <c r="N74" s="1035" t="str">
        <f t="shared" si="8"/>
        <v/>
      </c>
      <c r="O74" s="1036"/>
      <c r="P74" s="1037"/>
      <c r="Q74" s="1038"/>
      <c r="R74" s="1039" t="str">
        <f t="shared" si="9"/>
        <v/>
      </c>
      <c r="S74" s="1037"/>
      <c r="T74" s="1034"/>
      <c r="U74" s="1034"/>
      <c r="V74" s="1035" t="str">
        <f t="shared" si="10"/>
        <v/>
      </c>
      <c r="W74" s="1036"/>
      <c r="X74" s="1037"/>
      <c r="Y74" s="1038"/>
      <c r="Z74" s="1039" t="str">
        <f t="shared" si="11"/>
        <v/>
      </c>
      <c r="AA74" s="1034"/>
      <c r="AB74" s="1034"/>
      <c r="AC74" s="1035" t="str">
        <f t="shared" si="12"/>
        <v/>
      </c>
      <c r="AD74" s="1038"/>
      <c r="AE74" s="1040" t="str">
        <f t="shared" si="13"/>
        <v/>
      </c>
    </row>
    <row r="75" spans="1:31" x14ac:dyDescent="0.2">
      <c r="A75" s="636" t="str">
        <f>IFERROR(IF(INDEX(Impactlist,MATCH(0,INDEX(COUNTIF(A$10:A74,Impactlist),0,0),0))&lt;&gt;"",INDEX(Impactlist,MATCH(0,INDEX(COUNTIF(A$10:A74,Impactlist),0,0),0)),INDEX(Outcomelist,MATCH(0,INDEX(COUNTIF(A$10:A74,Outcomelist),0,0),0))),"")</f>
        <v/>
      </c>
      <c r="B75" s="1027" t="str">
        <f>IFERROR(INDEX('ImpactOutcome_Import-Export'!D$7:D$209,MATCH($A75,'ImpactOutcome_Import-Export'!$B$7:$B$209,0)),"")</f>
        <v/>
      </c>
      <c r="C75" s="1028" t="str">
        <f>IF(B75="","",IFERROR(INDEX('ImpactOutcome_Import-Export'!F$7:F$22,MATCH($A75,'ImpactOutcome_Import-Export'!$B$7:$B$22,0)),""))</f>
        <v/>
      </c>
      <c r="D75" s="1029" t="str">
        <f>IF(B75="","",IFERROR(IF(INDEX('ImpactOutcome_Import-Export'!K$7:K$22,MATCH($A75,'ImpactOutcome_Import-Export'!$B$7:$B$22,0))="","",INDEX('ImpactOutcome_Import-Export'!K$7:K$22,MATCH($A75,'ImpactOutcome_Import-Export'!$B$7:$B$22,0))),""))</f>
        <v/>
      </c>
      <c r="E75" s="1030" t="str">
        <f>IF(B75="","",IFERROR(IF(INDEX('ImpactOutcome_Import-Export'!L$7:L$22,MATCH($A75,'ImpactOutcome_Import-Export'!$B$7:$B$22,0))="","",INDEX('ImpactOutcome_Import-Export'!L$7:L$22,MATCH($A75,'ImpactOutcome_Import-Export'!$B$7:$B$22,0))),""))</f>
        <v/>
      </c>
      <c r="F75" s="1031" t="str">
        <f>IF(B75="","",IFERROR(IF(INDEX('ImpactOutcome_Import-Export'!M$7:M$22,MATCH($A75,'ImpactOutcome_Import-Export'!$B$7:$B$22,0))="","",INDEX('ImpactOutcome_Import-Export'!M$7:M$22,MATCH($A75,'ImpactOutcome_Import-Export'!$B$7:$B$22,0))),""))</f>
        <v/>
      </c>
      <c r="G75" s="1031" t="str">
        <f>IF(B75="","",IFERROR(IF(INDEX('ImpactOutcome_Import-Export'!N$7:N$22,MATCH($A75,'ImpactOutcome_Import-Export'!$B$7:$B$22,0))="","",INDEX('ImpactOutcome_Import-Export'!N$7:N$22,MATCH($A75,'ImpactOutcome_Import-Export'!$B$7:$B$22,0))),""))</f>
        <v/>
      </c>
      <c r="H75" s="1032" t="str">
        <f>IF(B75="","",IFERROR(IF(INDEX('ImpactOutcome_Import-Export'!O$7:O$22,MATCH($A75,'ImpactOutcome_Import-Export'!$B$7:$B$22,0))="","",INDEX('ImpactOutcome_Import-Export'!O$7:O$22,MATCH($A75,'ImpactOutcome_Import-Export'!$B$7:$B$22,0))),""))</f>
        <v/>
      </c>
      <c r="I75" s="1030" t="str">
        <f>IF(B75="","",IFERROR(IF(INDEX('ImpactOutcome_Import-Export'!P$7:P$22,MATCH($A75,'ImpactOutcome_Import-Export'!$B$7:$B$22,0))="","",INDEX('ImpactOutcome_Import-Export'!P$7:P$22,MATCH($A75,'ImpactOutcome_Import-Export'!$B$7:$B$22,0))),""))</f>
        <v/>
      </c>
      <c r="J75" s="1033" t="str">
        <f>IF(B75="","",IFERROR(IF(INDEX('ImpactOutcome_Import-Export'!Q$7:Q$22,MATCH($A75,'ImpactOutcome_Import-Export'!$B$7:$B$22,0))="","",INDEX('ImpactOutcome_Import-Export'!Q$7:Q$22,MATCH($A75,'ImpactOutcome_Import-Export'!$B$7:$B$22,0))),""))</f>
        <v/>
      </c>
      <c r="K75" s="1030" t="str">
        <f>IF(B75="","",IFERROR(IF(INDEX('ImpactOutcome_Import-Export'!R$7:R$22,MATCH($A75,'ImpactOutcome_Import-Export'!$B$7:$B$22,0))="","",INDEX('ImpactOutcome_Import-Export'!R$7:R$22,MATCH($A75,'ImpactOutcome_Import-Export'!$B$7:$B$22,0))),""))</f>
        <v/>
      </c>
      <c r="L75" s="1034"/>
      <c r="M75" s="1034"/>
      <c r="N75" s="1035" t="str">
        <f t="shared" si="8"/>
        <v/>
      </c>
      <c r="O75" s="1036"/>
      <c r="P75" s="1037"/>
      <c r="Q75" s="1038"/>
      <c r="R75" s="1039" t="str">
        <f t="shared" si="9"/>
        <v/>
      </c>
      <c r="S75" s="1037"/>
      <c r="T75" s="1034"/>
      <c r="U75" s="1034"/>
      <c r="V75" s="1035" t="str">
        <f t="shared" si="10"/>
        <v/>
      </c>
      <c r="W75" s="1036"/>
      <c r="X75" s="1037"/>
      <c r="Y75" s="1038"/>
      <c r="Z75" s="1039" t="str">
        <f t="shared" si="11"/>
        <v/>
      </c>
      <c r="AA75" s="1034"/>
      <c r="AB75" s="1034"/>
      <c r="AC75" s="1035" t="str">
        <f t="shared" si="12"/>
        <v/>
      </c>
      <c r="AD75" s="1038"/>
      <c r="AE75" s="1040" t="str">
        <f t="shared" si="13"/>
        <v/>
      </c>
    </row>
    <row r="76" spans="1:31" x14ac:dyDescent="0.2">
      <c r="A76" s="636" t="str">
        <f>IFERROR(IF(INDEX(Impactlist,MATCH(0,INDEX(COUNTIF(A$10:A75,Impactlist),0,0),0))&lt;&gt;"",INDEX(Impactlist,MATCH(0,INDEX(COUNTIF(A$10:A75,Impactlist),0,0),0)),INDEX(Outcomelist,MATCH(0,INDEX(COUNTIF(A$10:A75,Outcomelist),0,0),0))),"")</f>
        <v/>
      </c>
      <c r="B76" s="1027" t="str">
        <f>IFERROR(INDEX('ImpactOutcome_Import-Export'!D$7:D$209,MATCH($A76,'ImpactOutcome_Import-Export'!$B$7:$B$209,0)),"")</f>
        <v/>
      </c>
      <c r="C76" s="1028" t="str">
        <f>IF(B76="","",IFERROR(INDEX('ImpactOutcome_Import-Export'!F$7:F$22,MATCH($A76,'ImpactOutcome_Import-Export'!$B$7:$B$22,0)),""))</f>
        <v/>
      </c>
      <c r="D76" s="1029" t="str">
        <f>IF(B76="","",IFERROR(IF(INDEX('ImpactOutcome_Import-Export'!K$7:K$22,MATCH($A76,'ImpactOutcome_Import-Export'!$B$7:$B$22,0))="","",INDEX('ImpactOutcome_Import-Export'!K$7:K$22,MATCH($A76,'ImpactOutcome_Import-Export'!$B$7:$B$22,0))),""))</f>
        <v/>
      </c>
      <c r="E76" s="1030" t="str">
        <f>IF(B76="","",IFERROR(IF(INDEX('ImpactOutcome_Import-Export'!L$7:L$22,MATCH($A76,'ImpactOutcome_Import-Export'!$B$7:$B$22,0))="","",INDEX('ImpactOutcome_Import-Export'!L$7:L$22,MATCH($A76,'ImpactOutcome_Import-Export'!$B$7:$B$22,0))),""))</f>
        <v/>
      </c>
      <c r="F76" s="1031" t="str">
        <f>IF(B76="","",IFERROR(IF(INDEX('ImpactOutcome_Import-Export'!M$7:M$22,MATCH($A76,'ImpactOutcome_Import-Export'!$B$7:$B$22,0))="","",INDEX('ImpactOutcome_Import-Export'!M$7:M$22,MATCH($A76,'ImpactOutcome_Import-Export'!$B$7:$B$22,0))),""))</f>
        <v/>
      </c>
      <c r="G76" s="1031" t="str">
        <f>IF(B76="","",IFERROR(IF(INDEX('ImpactOutcome_Import-Export'!N$7:N$22,MATCH($A76,'ImpactOutcome_Import-Export'!$B$7:$B$22,0))="","",INDEX('ImpactOutcome_Import-Export'!N$7:N$22,MATCH($A76,'ImpactOutcome_Import-Export'!$B$7:$B$22,0))),""))</f>
        <v/>
      </c>
      <c r="H76" s="1032" t="str">
        <f>IF(B76="","",IFERROR(IF(INDEX('ImpactOutcome_Import-Export'!O$7:O$22,MATCH($A76,'ImpactOutcome_Import-Export'!$B$7:$B$22,0))="","",INDEX('ImpactOutcome_Import-Export'!O$7:O$22,MATCH($A76,'ImpactOutcome_Import-Export'!$B$7:$B$22,0))),""))</f>
        <v/>
      </c>
      <c r="I76" s="1030" t="str">
        <f>IF(B76="","",IFERROR(IF(INDEX('ImpactOutcome_Import-Export'!P$7:P$22,MATCH($A76,'ImpactOutcome_Import-Export'!$B$7:$B$22,0))="","",INDEX('ImpactOutcome_Import-Export'!P$7:P$22,MATCH($A76,'ImpactOutcome_Import-Export'!$B$7:$B$22,0))),""))</f>
        <v/>
      </c>
      <c r="J76" s="1033" t="str">
        <f>IF(B76="","",IFERROR(IF(INDEX('ImpactOutcome_Import-Export'!Q$7:Q$22,MATCH($A76,'ImpactOutcome_Import-Export'!$B$7:$B$22,0))="","",INDEX('ImpactOutcome_Import-Export'!Q$7:Q$22,MATCH($A76,'ImpactOutcome_Import-Export'!$B$7:$B$22,0))),""))</f>
        <v/>
      </c>
      <c r="K76" s="1030" t="str">
        <f>IF(B76="","",IFERROR(IF(INDEX('ImpactOutcome_Import-Export'!R$7:R$22,MATCH($A76,'ImpactOutcome_Import-Export'!$B$7:$B$22,0))="","",INDEX('ImpactOutcome_Import-Export'!R$7:R$22,MATCH($A76,'ImpactOutcome_Import-Export'!$B$7:$B$22,0))),""))</f>
        <v/>
      </c>
      <c r="L76" s="1034"/>
      <c r="M76" s="1034"/>
      <c r="N76" s="1035" t="str">
        <f t="shared" si="8"/>
        <v/>
      </c>
      <c r="O76" s="1036"/>
      <c r="P76" s="1037"/>
      <c r="Q76" s="1038"/>
      <c r="R76" s="1039" t="str">
        <f t="shared" si="9"/>
        <v/>
      </c>
      <c r="S76" s="1037"/>
      <c r="T76" s="1034"/>
      <c r="U76" s="1034"/>
      <c r="V76" s="1035" t="str">
        <f t="shared" si="10"/>
        <v/>
      </c>
      <c r="W76" s="1036"/>
      <c r="X76" s="1037"/>
      <c r="Y76" s="1038"/>
      <c r="Z76" s="1039" t="str">
        <f t="shared" si="11"/>
        <v/>
      </c>
      <c r="AA76" s="1034"/>
      <c r="AB76" s="1034"/>
      <c r="AC76" s="1035" t="str">
        <f t="shared" si="12"/>
        <v/>
      </c>
      <c r="AD76" s="1038"/>
      <c r="AE76" s="1040" t="str">
        <f t="shared" si="13"/>
        <v/>
      </c>
    </row>
    <row r="77" spans="1:31" x14ac:dyDescent="0.2">
      <c r="A77" s="636" t="str">
        <f>IFERROR(IF(INDEX(Impactlist,MATCH(0,INDEX(COUNTIF(A$10:A76,Impactlist),0,0),0))&lt;&gt;"",INDEX(Impactlist,MATCH(0,INDEX(COUNTIF(A$10:A76,Impactlist),0,0),0)),INDEX(Outcomelist,MATCH(0,INDEX(COUNTIF(A$10:A76,Outcomelist),0,0),0))),"")</f>
        <v/>
      </c>
      <c r="B77" s="1027" t="str">
        <f>IFERROR(INDEX('ImpactOutcome_Import-Export'!D$7:D$209,MATCH($A77,'ImpactOutcome_Import-Export'!$B$7:$B$209,0)),"")</f>
        <v/>
      </c>
      <c r="C77" s="1028" t="str">
        <f>IF(B77="","",IFERROR(INDEX('ImpactOutcome_Import-Export'!F$7:F$22,MATCH($A77,'ImpactOutcome_Import-Export'!$B$7:$B$22,0)),""))</f>
        <v/>
      </c>
      <c r="D77" s="1029" t="str">
        <f>IF(B77="","",IFERROR(IF(INDEX('ImpactOutcome_Import-Export'!K$7:K$22,MATCH($A77,'ImpactOutcome_Import-Export'!$B$7:$B$22,0))="","",INDEX('ImpactOutcome_Import-Export'!K$7:K$22,MATCH($A77,'ImpactOutcome_Import-Export'!$B$7:$B$22,0))),""))</f>
        <v/>
      </c>
      <c r="E77" s="1030" t="str">
        <f>IF(B77="","",IFERROR(IF(INDEX('ImpactOutcome_Import-Export'!L$7:L$22,MATCH($A77,'ImpactOutcome_Import-Export'!$B$7:$B$22,0))="","",INDEX('ImpactOutcome_Import-Export'!L$7:L$22,MATCH($A77,'ImpactOutcome_Import-Export'!$B$7:$B$22,0))),""))</f>
        <v/>
      </c>
      <c r="F77" s="1031" t="str">
        <f>IF(B77="","",IFERROR(IF(INDEX('ImpactOutcome_Import-Export'!M$7:M$22,MATCH($A77,'ImpactOutcome_Import-Export'!$B$7:$B$22,0))="","",INDEX('ImpactOutcome_Import-Export'!M$7:M$22,MATCH($A77,'ImpactOutcome_Import-Export'!$B$7:$B$22,0))),""))</f>
        <v/>
      </c>
      <c r="G77" s="1031" t="str">
        <f>IF(B77="","",IFERROR(IF(INDEX('ImpactOutcome_Import-Export'!N$7:N$22,MATCH($A77,'ImpactOutcome_Import-Export'!$B$7:$B$22,0))="","",INDEX('ImpactOutcome_Import-Export'!N$7:N$22,MATCH($A77,'ImpactOutcome_Import-Export'!$B$7:$B$22,0))),""))</f>
        <v/>
      </c>
      <c r="H77" s="1032" t="str">
        <f>IF(B77="","",IFERROR(IF(INDEX('ImpactOutcome_Import-Export'!O$7:O$22,MATCH($A77,'ImpactOutcome_Import-Export'!$B$7:$B$22,0))="","",INDEX('ImpactOutcome_Import-Export'!O$7:O$22,MATCH($A77,'ImpactOutcome_Import-Export'!$B$7:$B$22,0))),""))</f>
        <v/>
      </c>
      <c r="I77" s="1030" t="str">
        <f>IF(B77="","",IFERROR(IF(INDEX('ImpactOutcome_Import-Export'!P$7:P$22,MATCH($A77,'ImpactOutcome_Import-Export'!$B$7:$B$22,0))="","",INDEX('ImpactOutcome_Import-Export'!P$7:P$22,MATCH($A77,'ImpactOutcome_Import-Export'!$B$7:$B$22,0))),""))</f>
        <v/>
      </c>
      <c r="J77" s="1033" t="str">
        <f>IF(B77="","",IFERROR(IF(INDEX('ImpactOutcome_Import-Export'!Q$7:Q$22,MATCH($A77,'ImpactOutcome_Import-Export'!$B$7:$B$22,0))="","",INDEX('ImpactOutcome_Import-Export'!Q$7:Q$22,MATCH($A77,'ImpactOutcome_Import-Export'!$B$7:$B$22,0))),""))</f>
        <v/>
      </c>
      <c r="K77" s="1030" t="str">
        <f>IF(B77="","",IFERROR(IF(INDEX('ImpactOutcome_Import-Export'!R$7:R$22,MATCH($A77,'ImpactOutcome_Import-Export'!$B$7:$B$22,0))="","",INDEX('ImpactOutcome_Import-Export'!R$7:R$22,MATCH($A77,'ImpactOutcome_Import-Export'!$B$7:$B$22,0))),""))</f>
        <v/>
      </c>
      <c r="L77" s="1034"/>
      <c r="M77" s="1034"/>
      <c r="N77" s="1035" t="str">
        <f t="shared" si="8"/>
        <v/>
      </c>
      <c r="O77" s="1036"/>
      <c r="P77" s="1037"/>
      <c r="Q77" s="1038"/>
      <c r="R77" s="1039" t="str">
        <f t="shared" si="9"/>
        <v/>
      </c>
      <c r="S77" s="1037"/>
      <c r="T77" s="1034"/>
      <c r="U77" s="1034"/>
      <c r="V77" s="1035" t="str">
        <f t="shared" si="10"/>
        <v/>
      </c>
      <c r="W77" s="1036"/>
      <c r="X77" s="1037"/>
      <c r="Y77" s="1038"/>
      <c r="Z77" s="1039" t="str">
        <f t="shared" si="11"/>
        <v/>
      </c>
      <c r="AA77" s="1034"/>
      <c r="AB77" s="1034"/>
      <c r="AC77" s="1035" t="str">
        <f t="shared" si="12"/>
        <v/>
      </c>
      <c r="AD77" s="1038"/>
      <c r="AE77" s="1040" t="str">
        <f t="shared" si="13"/>
        <v/>
      </c>
    </row>
    <row r="78" spans="1:31" x14ac:dyDescent="0.2">
      <c r="A78" s="636" t="str">
        <f>IFERROR(IF(INDEX(Impactlist,MATCH(0,INDEX(COUNTIF(A$10:A77,Impactlist),0,0),0))&lt;&gt;"",INDEX(Impactlist,MATCH(0,INDEX(COUNTIF(A$10:A77,Impactlist),0,0),0)),INDEX(Outcomelist,MATCH(0,INDEX(COUNTIF(A$10:A77,Outcomelist),0,0),0))),"")</f>
        <v/>
      </c>
      <c r="B78" s="1027" t="str">
        <f>IFERROR(INDEX('ImpactOutcome_Import-Export'!D$7:D$209,MATCH($A78,'ImpactOutcome_Import-Export'!$B$7:$B$209,0)),"")</f>
        <v/>
      </c>
      <c r="C78" s="1028" t="str">
        <f>IF(B78="","",IFERROR(INDEX('ImpactOutcome_Import-Export'!F$7:F$22,MATCH($A78,'ImpactOutcome_Import-Export'!$B$7:$B$22,0)),""))</f>
        <v/>
      </c>
      <c r="D78" s="1029" t="str">
        <f>IF(B78="","",IFERROR(IF(INDEX('ImpactOutcome_Import-Export'!K$7:K$22,MATCH($A78,'ImpactOutcome_Import-Export'!$B$7:$B$22,0))="","",INDEX('ImpactOutcome_Import-Export'!K$7:K$22,MATCH($A78,'ImpactOutcome_Import-Export'!$B$7:$B$22,0))),""))</f>
        <v/>
      </c>
      <c r="E78" s="1030" t="str">
        <f>IF(B78="","",IFERROR(IF(INDEX('ImpactOutcome_Import-Export'!L$7:L$22,MATCH($A78,'ImpactOutcome_Import-Export'!$B$7:$B$22,0))="","",INDEX('ImpactOutcome_Import-Export'!L$7:L$22,MATCH($A78,'ImpactOutcome_Import-Export'!$B$7:$B$22,0))),""))</f>
        <v/>
      </c>
      <c r="F78" s="1031" t="str">
        <f>IF(B78="","",IFERROR(IF(INDEX('ImpactOutcome_Import-Export'!M$7:M$22,MATCH($A78,'ImpactOutcome_Import-Export'!$B$7:$B$22,0))="","",INDEX('ImpactOutcome_Import-Export'!M$7:M$22,MATCH($A78,'ImpactOutcome_Import-Export'!$B$7:$B$22,0))),""))</f>
        <v/>
      </c>
      <c r="G78" s="1031" t="str">
        <f>IF(B78="","",IFERROR(IF(INDEX('ImpactOutcome_Import-Export'!N$7:N$22,MATCH($A78,'ImpactOutcome_Import-Export'!$B$7:$B$22,0))="","",INDEX('ImpactOutcome_Import-Export'!N$7:N$22,MATCH($A78,'ImpactOutcome_Import-Export'!$B$7:$B$22,0))),""))</f>
        <v/>
      </c>
      <c r="H78" s="1032" t="str">
        <f>IF(B78="","",IFERROR(IF(INDEX('ImpactOutcome_Import-Export'!O$7:O$22,MATCH($A78,'ImpactOutcome_Import-Export'!$B$7:$B$22,0))="","",INDEX('ImpactOutcome_Import-Export'!O$7:O$22,MATCH($A78,'ImpactOutcome_Import-Export'!$B$7:$B$22,0))),""))</f>
        <v/>
      </c>
      <c r="I78" s="1030" t="str">
        <f>IF(B78="","",IFERROR(IF(INDEX('ImpactOutcome_Import-Export'!P$7:P$22,MATCH($A78,'ImpactOutcome_Import-Export'!$B$7:$B$22,0))="","",INDEX('ImpactOutcome_Import-Export'!P$7:P$22,MATCH($A78,'ImpactOutcome_Import-Export'!$B$7:$B$22,0))),""))</f>
        <v/>
      </c>
      <c r="J78" s="1033" t="str">
        <f>IF(B78="","",IFERROR(IF(INDEX('ImpactOutcome_Import-Export'!Q$7:Q$22,MATCH($A78,'ImpactOutcome_Import-Export'!$B$7:$B$22,0))="","",INDEX('ImpactOutcome_Import-Export'!Q$7:Q$22,MATCH($A78,'ImpactOutcome_Import-Export'!$B$7:$B$22,0))),""))</f>
        <v/>
      </c>
      <c r="K78" s="1030" t="str">
        <f>IF(B78="","",IFERROR(IF(INDEX('ImpactOutcome_Import-Export'!R$7:R$22,MATCH($A78,'ImpactOutcome_Import-Export'!$B$7:$B$22,0))="","",INDEX('ImpactOutcome_Import-Export'!R$7:R$22,MATCH($A78,'ImpactOutcome_Import-Export'!$B$7:$B$22,0))),""))</f>
        <v/>
      </c>
      <c r="L78" s="1034"/>
      <c r="M78" s="1034"/>
      <c r="N78" s="1035" t="str">
        <f t="shared" si="8"/>
        <v/>
      </c>
      <c r="O78" s="1036"/>
      <c r="P78" s="1037"/>
      <c r="Q78" s="1038"/>
      <c r="R78" s="1039" t="str">
        <f t="shared" si="9"/>
        <v/>
      </c>
      <c r="S78" s="1037"/>
      <c r="T78" s="1034"/>
      <c r="U78" s="1034"/>
      <c r="V78" s="1035" t="str">
        <f t="shared" si="10"/>
        <v/>
      </c>
      <c r="W78" s="1036"/>
      <c r="X78" s="1037"/>
      <c r="Y78" s="1038"/>
      <c r="Z78" s="1039" t="str">
        <f t="shared" si="11"/>
        <v/>
      </c>
      <c r="AA78" s="1034"/>
      <c r="AB78" s="1034"/>
      <c r="AC78" s="1035" t="str">
        <f t="shared" si="12"/>
        <v/>
      </c>
      <c r="AD78" s="1038"/>
      <c r="AE78" s="1040" t="str">
        <f t="shared" si="13"/>
        <v/>
      </c>
    </row>
    <row r="79" spans="1:31" x14ac:dyDescent="0.2">
      <c r="A79" s="636" t="str">
        <f>IFERROR(IF(INDEX(Impactlist,MATCH(0,INDEX(COUNTIF(A$10:A78,Impactlist),0,0),0))&lt;&gt;"",INDEX(Impactlist,MATCH(0,INDEX(COUNTIF(A$10:A78,Impactlist),0,0),0)),INDEX(Outcomelist,MATCH(0,INDEX(COUNTIF(A$10:A78,Outcomelist),0,0),0))),"")</f>
        <v/>
      </c>
      <c r="B79" s="1027" t="str">
        <f>IFERROR(INDEX('ImpactOutcome_Import-Export'!D$7:D$209,MATCH($A79,'ImpactOutcome_Import-Export'!$B$7:$B$209,0)),"")</f>
        <v/>
      </c>
      <c r="C79" s="1028" t="str">
        <f>IF(B79="","",IFERROR(INDEX('ImpactOutcome_Import-Export'!F$7:F$22,MATCH($A79,'ImpactOutcome_Import-Export'!$B$7:$B$22,0)),""))</f>
        <v/>
      </c>
      <c r="D79" s="1029" t="str">
        <f>IF(B79="","",IFERROR(IF(INDEX('ImpactOutcome_Import-Export'!K$7:K$22,MATCH($A79,'ImpactOutcome_Import-Export'!$B$7:$B$22,0))="","",INDEX('ImpactOutcome_Import-Export'!K$7:K$22,MATCH($A79,'ImpactOutcome_Import-Export'!$B$7:$B$22,0))),""))</f>
        <v/>
      </c>
      <c r="E79" s="1030" t="str">
        <f>IF(B79="","",IFERROR(IF(INDEX('ImpactOutcome_Import-Export'!L$7:L$22,MATCH($A79,'ImpactOutcome_Import-Export'!$B$7:$B$22,0))="","",INDEX('ImpactOutcome_Import-Export'!L$7:L$22,MATCH($A79,'ImpactOutcome_Import-Export'!$B$7:$B$22,0))),""))</f>
        <v/>
      </c>
      <c r="F79" s="1031" t="str">
        <f>IF(B79="","",IFERROR(IF(INDEX('ImpactOutcome_Import-Export'!M$7:M$22,MATCH($A79,'ImpactOutcome_Import-Export'!$B$7:$B$22,0))="","",INDEX('ImpactOutcome_Import-Export'!M$7:M$22,MATCH($A79,'ImpactOutcome_Import-Export'!$B$7:$B$22,0))),""))</f>
        <v/>
      </c>
      <c r="G79" s="1031" t="str">
        <f>IF(B79="","",IFERROR(IF(INDEX('ImpactOutcome_Import-Export'!N$7:N$22,MATCH($A79,'ImpactOutcome_Import-Export'!$B$7:$B$22,0))="","",INDEX('ImpactOutcome_Import-Export'!N$7:N$22,MATCH($A79,'ImpactOutcome_Import-Export'!$B$7:$B$22,0))),""))</f>
        <v/>
      </c>
      <c r="H79" s="1032" t="str">
        <f>IF(B79="","",IFERROR(IF(INDEX('ImpactOutcome_Import-Export'!O$7:O$22,MATCH($A79,'ImpactOutcome_Import-Export'!$B$7:$B$22,0))="","",INDEX('ImpactOutcome_Import-Export'!O$7:O$22,MATCH($A79,'ImpactOutcome_Import-Export'!$B$7:$B$22,0))),""))</f>
        <v/>
      </c>
      <c r="I79" s="1030" t="str">
        <f>IF(B79="","",IFERROR(IF(INDEX('ImpactOutcome_Import-Export'!P$7:P$22,MATCH($A79,'ImpactOutcome_Import-Export'!$B$7:$B$22,0))="","",INDEX('ImpactOutcome_Import-Export'!P$7:P$22,MATCH($A79,'ImpactOutcome_Import-Export'!$B$7:$B$22,0))),""))</f>
        <v/>
      </c>
      <c r="J79" s="1033" t="str">
        <f>IF(B79="","",IFERROR(IF(INDEX('ImpactOutcome_Import-Export'!Q$7:Q$22,MATCH($A79,'ImpactOutcome_Import-Export'!$B$7:$B$22,0))="","",INDEX('ImpactOutcome_Import-Export'!Q$7:Q$22,MATCH($A79,'ImpactOutcome_Import-Export'!$B$7:$B$22,0))),""))</f>
        <v/>
      </c>
      <c r="K79" s="1030" t="str">
        <f>IF(B79="","",IFERROR(IF(INDEX('ImpactOutcome_Import-Export'!R$7:R$22,MATCH($A79,'ImpactOutcome_Import-Export'!$B$7:$B$22,0))="","",INDEX('ImpactOutcome_Import-Export'!R$7:R$22,MATCH($A79,'ImpactOutcome_Import-Export'!$B$7:$B$22,0))),""))</f>
        <v/>
      </c>
      <c r="L79" s="1034"/>
      <c r="M79" s="1034"/>
      <c r="N79" s="1035" t="str">
        <f t="shared" si="8"/>
        <v/>
      </c>
      <c r="O79" s="1036"/>
      <c r="P79" s="1037"/>
      <c r="Q79" s="1038"/>
      <c r="R79" s="1039" t="str">
        <f t="shared" si="9"/>
        <v/>
      </c>
      <c r="S79" s="1037"/>
      <c r="T79" s="1034"/>
      <c r="U79" s="1034"/>
      <c r="V79" s="1035" t="str">
        <f t="shared" si="10"/>
        <v/>
      </c>
      <c r="W79" s="1036"/>
      <c r="X79" s="1037"/>
      <c r="Y79" s="1038"/>
      <c r="Z79" s="1039" t="str">
        <f t="shared" si="11"/>
        <v/>
      </c>
      <c r="AA79" s="1034"/>
      <c r="AB79" s="1034"/>
      <c r="AC79" s="1035" t="str">
        <f t="shared" si="12"/>
        <v/>
      </c>
      <c r="AD79" s="1038"/>
      <c r="AE79" s="1040" t="str">
        <f t="shared" si="13"/>
        <v/>
      </c>
    </row>
    <row r="80" spans="1:31" ht="15.75" thickBot="1" x14ac:dyDescent="0.25">
      <c r="A80" s="636" t="str">
        <f>IFERROR(IF(INDEX(Impactlist,MATCH(0,INDEX(COUNTIF(A$10:A79,Impactlist),0,0),0))&lt;&gt;"",INDEX(Impactlist,MATCH(0,INDEX(COUNTIF(A$10:A79,Impactlist),0,0),0)),INDEX(Outcomelist,MATCH(0,INDEX(COUNTIF(A$10:A79,Outcomelist),0,0),0))),"")</f>
        <v/>
      </c>
      <c r="B80" s="1042" t="str">
        <f>IFERROR(INDEX('ImpactOutcome_Import-Export'!D$7:D$209,MATCH($A80,'ImpactOutcome_Import-Export'!$B$7:$B$209,0)),"")</f>
        <v/>
      </c>
      <c r="C80" s="1043" t="str">
        <f>IF(B80="","",IFERROR(INDEX('ImpactOutcome_Import-Export'!F$7:F$22,MATCH($A80,'ImpactOutcome_Import-Export'!$B$7:$B$22,0)),""))</f>
        <v/>
      </c>
      <c r="D80" s="1044" t="str">
        <f>IF(B80="","",IFERROR(IF(INDEX('ImpactOutcome_Import-Export'!K$7:K$22,MATCH($A80,'ImpactOutcome_Import-Export'!$B$7:$B$22,0))="","",INDEX('ImpactOutcome_Import-Export'!K$7:K$22,MATCH($A80,'ImpactOutcome_Import-Export'!$B$7:$B$22,0))),""))</f>
        <v/>
      </c>
      <c r="E80" s="1045" t="str">
        <f>IF(B80="","",IFERROR(IF(INDEX('ImpactOutcome_Import-Export'!L$7:L$22,MATCH($A80,'ImpactOutcome_Import-Export'!$B$7:$B$22,0))="","",INDEX('ImpactOutcome_Import-Export'!L$7:L$22,MATCH($A80,'ImpactOutcome_Import-Export'!$B$7:$B$22,0))),""))</f>
        <v/>
      </c>
      <c r="F80" s="1046" t="str">
        <f>IF(B80="","",IFERROR(IF(INDEX('ImpactOutcome_Import-Export'!M$7:M$22,MATCH($A80,'ImpactOutcome_Import-Export'!$B$7:$B$22,0))="","",INDEX('ImpactOutcome_Import-Export'!M$7:M$22,MATCH($A80,'ImpactOutcome_Import-Export'!$B$7:$B$22,0))),""))</f>
        <v/>
      </c>
      <c r="G80" s="1046" t="str">
        <f>IF(B80="","",IFERROR(IF(INDEX('ImpactOutcome_Import-Export'!N$7:N$22,MATCH($A80,'ImpactOutcome_Import-Export'!$B$7:$B$22,0))="","",INDEX('ImpactOutcome_Import-Export'!N$7:N$22,MATCH($A80,'ImpactOutcome_Import-Export'!$B$7:$B$22,0))),""))</f>
        <v/>
      </c>
      <c r="H80" s="1047" t="str">
        <f>IF(B80="","",IFERROR(IF(INDEX('ImpactOutcome_Import-Export'!O$7:O$22,MATCH($A80,'ImpactOutcome_Import-Export'!$B$7:$B$22,0))="","",INDEX('ImpactOutcome_Import-Export'!O$7:O$22,MATCH($A80,'ImpactOutcome_Import-Export'!$B$7:$B$22,0))),""))</f>
        <v/>
      </c>
      <c r="I80" s="1045" t="str">
        <f>IF(B80="","",IFERROR(IF(INDEX('ImpactOutcome_Import-Export'!P$7:P$22,MATCH($A80,'ImpactOutcome_Import-Export'!$B$7:$B$22,0))="","",INDEX('ImpactOutcome_Import-Export'!P$7:P$22,MATCH($A80,'ImpactOutcome_Import-Export'!$B$7:$B$22,0))),""))</f>
        <v/>
      </c>
      <c r="J80" s="1048" t="str">
        <f>IF(B80="","",IFERROR(IF(INDEX('ImpactOutcome_Import-Export'!Q$7:Q$22,MATCH($A80,'ImpactOutcome_Import-Export'!$B$7:$B$22,0))="","",INDEX('ImpactOutcome_Import-Export'!Q$7:Q$22,MATCH($A80,'ImpactOutcome_Import-Export'!$B$7:$B$22,0))),""))</f>
        <v/>
      </c>
      <c r="K80" s="1045" t="str">
        <f>IF(B80="","",IFERROR(IF(INDEX('ImpactOutcome_Import-Export'!R$7:R$22,MATCH($A80,'ImpactOutcome_Import-Export'!$B$7:$B$22,0))="","",INDEX('ImpactOutcome_Import-Export'!R$7:R$22,MATCH($A80,'ImpactOutcome_Import-Export'!$B$7:$B$22,0))),""))</f>
        <v/>
      </c>
      <c r="L80" s="1049"/>
      <c r="M80" s="1049"/>
      <c r="N80" s="1050" t="str">
        <f t="shared" si="8"/>
        <v/>
      </c>
      <c r="O80" s="1051"/>
      <c r="P80" s="1052"/>
      <c r="Q80" s="1053"/>
      <c r="R80" s="1054" t="str">
        <f t="shared" si="9"/>
        <v/>
      </c>
      <c r="S80" s="1052"/>
      <c r="T80" s="1049"/>
      <c r="U80" s="1049"/>
      <c r="V80" s="1050" t="str">
        <f t="shared" si="10"/>
        <v/>
      </c>
      <c r="W80" s="1051"/>
      <c r="X80" s="1052"/>
      <c r="Y80" s="1053"/>
      <c r="Z80" s="1054" t="str">
        <f t="shared" si="11"/>
        <v/>
      </c>
      <c r="AA80" s="1049"/>
      <c r="AB80" s="1049"/>
      <c r="AC80" s="1050" t="str">
        <f t="shared" si="12"/>
        <v/>
      </c>
      <c r="AD80" s="1053"/>
      <c r="AE80" s="1055" t="str">
        <f t="shared" si="13"/>
        <v/>
      </c>
    </row>
  </sheetData>
  <sheetProtection algorithmName="SHA-512" hashValue="/BrCDBJxt75gSb32CZegoQIM2yNPWa5e7Op5applrOxJIXsDStYrRVSbHXokOtYfp0fIdVRADf5EeogJ/gfosA==" saltValue="0F+eRU4h26KYUcomv6bnlg==" spinCount="100000" sheet="1" formatColumns="0" formatRows="0" autoFilter="0"/>
  <autoFilter ref="B9:AE80" xr:uid="{00000000-0009-0000-0000-000004000000}">
    <filterColumn colId="2" showButton="0"/>
    <filterColumn colId="4" showButton="0"/>
    <filterColumn colId="5" showButton="0"/>
    <filterColumn colId="10" showButton="0"/>
    <filterColumn colId="11" showButton="0"/>
    <filterColumn colId="18" showButton="0"/>
    <filterColumn colId="19" showButton="0"/>
    <filterColumn colId="25" showButton="0"/>
    <filterColumn colId="26" showButton="0"/>
  </autoFilter>
  <mergeCells count="22">
    <mergeCell ref="AE9:AE10"/>
    <mergeCell ref="S9:S10"/>
    <mergeCell ref="T9:V9"/>
    <mergeCell ref="W9:W10"/>
    <mergeCell ref="X9:X10"/>
    <mergeCell ref="Y9:Y10"/>
    <mergeCell ref="R9:R10"/>
    <mergeCell ref="Z9:Z10"/>
    <mergeCell ref="AD9:AD10"/>
    <mergeCell ref="AA9:AC9"/>
    <mergeCell ref="B5:Y5"/>
    <mergeCell ref="D9:E9"/>
    <mergeCell ref="F9:H9"/>
    <mergeCell ref="I9:I10"/>
    <mergeCell ref="J9:J10"/>
    <mergeCell ref="L9:N9"/>
    <mergeCell ref="O9:O10"/>
    <mergeCell ref="P9:P10"/>
    <mergeCell ref="Q9:Q10"/>
    <mergeCell ref="K9:K10"/>
    <mergeCell ref="C9:C10"/>
    <mergeCell ref="B9:B10"/>
  </mergeCells>
  <dataValidations count="3">
    <dataValidation type="list" allowBlank="1" showInputMessage="1" showErrorMessage="1" sqref="W11:W80 O11:O80" xr:uid="{00000000-0002-0000-0400-000000000000}">
      <formula1>Year_of_result</formula1>
    </dataValidation>
    <dataValidation type="list" allowBlank="1" showInputMessage="1" showErrorMessage="1" sqref="X11:X80 P11:P80" xr:uid="{00000000-0002-0000-0400-000001000000}">
      <formula1>Source</formula1>
    </dataValidation>
    <dataValidation type="list" allowBlank="1" showInputMessage="1" showErrorMessage="1" sqref="S11:S80" xr:uid="{00000000-0002-0000-0400-000002000000}">
      <formula1>Verification_Method</formula1>
    </dataValidation>
  </dataValidations>
  <pageMargins left="0.7" right="0.7" top="0.75" bottom="0.75" header="0.3" footer="0.3"/>
  <pageSetup paperSize="8" scale="3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theme="0"/>
  </sheetPr>
  <dimension ref="A1:AM21"/>
  <sheetViews>
    <sheetView zoomScale="70" zoomScaleNormal="70" workbookViewId="0">
      <selection activeCell="W7" sqref="W7"/>
    </sheetView>
  </sheetViews>
  <sheetFormatPr baseColWidth="10" defaultColWidth="9.140625" defaultRowHeight="15.75" x14ac:dyDescent="0.25"/>
  <cols>
    <col min="1" max="1" width="16.140625" style="34" bestFit="1" customWidth="1"/>
    <col min="2" max="2" width="13" style="34" customWidth="1"/>
    <col min="4" max="4" width="41.140625" style="33" bestFit="1" customWidth="1"/>
    <col min="5" max="5" width="41.42578125" style="33" customWidth="1"/>
    <col min="6" max="6" width="62.140625" style="33" bestFit="1" customWidth="1"/>
    <col min="7" max="9" width="41.42578125" style="33" customWidth="1"/>
    <col min="10" max="10" width="36.85546875" style="33" customWidth="1"/>
    <col min="11" max="11" width="20.140625" style="33" bestFit="1" customWidth="1"/>
    <col min="12" max="12" width="10.85546875" style="33" customWidth="1"/>
    <col min="13" max="13" width="10.42578125" style="33" customWidth="1"/>
    <col min="14" max="14" width="10.140625" style="33" customWidth="1"/>
    <col min="15" max="15" width="10.42578125" style="33" customWidth="1"/>
    <col min="16" max="17" width="12.85546875" style="33" customWidth="1"/>
    <col min="18" max="18" width="15.85546875" style="33" customWidth="1"/>
    <col min="19" max="19" width="48.42578125" style="33" customWidth="1"/>
    <col min="20" max="20" width="20.140625" style="33" bestFit="1" customWidth="1"/>
    <col min="21" max="21" width="19.5703125" style="33" bestFit="1" customWidth="1"/>
    <col min="22" max="22" width="18.42578125" style="33" bestFit="1" customWidth="1"/>
    <col min="23" max="23" width="11.85546875" style="33" customWidth="1"/>
    <col min="24" max="24" width="11.140625" style="33" customWidth="1"/>
    <col min="25" max="25" width="42.140625" style="33" customWidth="1"/>
    <col min="26" max="29" width="9.140625" style="33"/>
    <col min="30" max="30" width="13.85546875" style="33" customWidth="1"/>
    <col min="31" max="31" width="13.42578125" style="33" customWidth="1"/>
    <col min="32" max="32" width="52.5703125" style="33" customWidth="1"/>
    <col min="33" max="33" width="11.85546875" style="33" customWidth="1"/>
    <col min="34" max="34" width="11.42578125" style="33" customWidth="1"/>
    <col min="35" max="35" width="11.85546875" style="33" customWidth="1"/>
    <col min="36" max="36" width="45.5703125" style="33" customWidth="1"/>
    <col min="37" max="37" width="41.85546875" style="33" customWidth="1"/>
    <col min="38" max="38" width="29" style="33" bestFit="1" customWidth="1"/>
    <col min="40" max="16384" width="9.140625" style="33"/>
  </cols>
  <sheetData>
    <row r="1" spans="1:38" ht="285" customHeight="1" x14ac:dyDescent="0.25">
      <c r="D1" s="1445" t="s">
        <v>146</v>
      </c>
      <c r="E1" s="1445"/>
      <c r="F1" s="1445"/>
      <c r="G1" s="411"/>
      <c r="H1" s="411"/>
      <c r="I1" s="411"/>
      <c r="J1" s="411"/>
      <c r="K1" s="411"/>
      <c r="L1" s="411"/>
      <c r="M1" s="411"/>
      <c r="N1" s="411"/>
      <c r="O1" s="411"/>
      <c r="P1" s="411"/>
      <c r="Q1" s="411"/>
      <c r="R1" s="411"/>
      <c r="S1" s="411"/>
    </row>
    <row r="2" spans="1:38" ht="16.5" thickBot="1" x14ac:dyDescent="0.3">
      <c r="H2" s="405"/>
      <c r="I2" s="405"/>
      <c r="S2" s="405"/>
      <c r="AK2" s="405"/>
    </row>
    <row r="3" spans="1:38" ht="28.5" customHeight="1" x14ac:dyDescent="0.25">
      <c r="A3" s="42"/>
      <c r="B3" s="1450" t="s">
        <v>147</v>
      </c>
      <c r="D3" s="409" t="s">
        <v>148</v>
      </c>
      <c r="E3" s="410" t="s">
        <v>149</v>
      </c>
      <c r="F3" s="1433" t="s">
        <v>150</v>
      </c>
      <c r="G3" s="41" t="s">
        <v>151</v>
      </c>
      <c r="H3" s="41" t="s">
        <v>152</v>
      </c>
      <c r="I3" s="41" t="s">
        <v>153</v>
      </c>
      <c r="J3" s="410" t="s">
        <v>154</v>
      </c>
      <c r="K3" s="410" t="s">
        <v>155</v>
      </c>
      <c r="L3" s="410"/>
      <c r="M3" s="410" t="s">
        <v>156</v>
      </c>
      <c r="N3" s="410"/>
      <c r="O3" s="410"/>
      <c r="P3" s="410" t="s">
        <v>157</v>
      </c>
      <c r="Q3" s="410" t="s">
        <v>158</v>
      </c>
      <c r="R3" s="410" t="s">
        <v>159</v>
      </c>
      <c r="S3" s="410" t="s">
        <v>160</v>
      </c>
      <c r="T3" s="1446" t="s">
        <v>161</v>
      </c>
      <c r="U3" s="1446"/>
      <c r="V3" s="1446"/>
      <c r="W3" s="1446" t="s">
        <v>162</v>
      </c>
      <c r="X3" s="1446" t="s">
        <v>22</v>
      </c>
      <c r="Y3" s="1446" t="s">
        <v>163</v>
      </c>
      <c r="Z3" s="1448" t="s">
        <v>164</v>
      </c>
      <c r="AA3" s="1448" t="s">
        <v>165</v>
      </c>
      <c r="AB3" s="1448"/>
      <c r="AC3" s="1448"/>
      <c r="AD3" s="1448" t="s">
        <v>162</v>
      </c>
      <c r="AE3" s="1448" t="s">
        <v>22</v>
      </c>
      <c r="AF3" s="1448" t="s">
        <v>166</v>
      </c>
      <c r="AG3" s="1451" t="s">
        <v>131</v>
      </c>
      <c r="AH3" s="1451"/>
      <c r="AI3" s="1451"/>
      <c r="AJ3" s="1423" t="s">
        <v>132</v>
      </c>
      <c r="AK3" s="1433" t="s">
        <v>133</v>
      </c>
      <c r="AL3" s="1433" t="s">
        <v>167</v>
      </c>
    </row>
    <row r="4" spans="1:38" ht="15.75" customHeight="1" x14ac:dyDescent="0.25">
      <c r="A4" s="42" t="s">
        <v>168</v>
      </c>
      <c r="B4" s="1450"/>
      <c r="D4" s="1056"/>
      <c r="E4" s="1023"/>
      <c r="F4" s="1434"/>
      <c r="G4" s="407"/>
      <c r="H4" s="407"/>
      <c r="I4" s="407"/>
      <c r="J4" s="1023"/>
      <c r="K4" s="1023" t="s">
        <v>169</v>
      </c>
      <c r="L4" s="1023" t="s">
        <v>170</v>
      </c>
      <c r="M4" s="1023" t="s">
        <v>136</v>
      </c>
      <c r="N4" s="1023" t="s">
        <v>134</v>
      </c>
      <c r="O4" s="1023" t="s">
        <v>135</v>
      </c>
      <c r="P4" s="1023"/>
      <c r="Q4" s="1023"/>
      <c r="R4" s="1023"/>
      <c r="S4" s="1023"/>
      <c r="T4" s="1024" t="s">
        <v>136</v>
      </c>
      <c r="U4" s="1024" t="s">
        <v>134</v>
      </c>
      <c r="V4" s="1024" t="s">
        <v>135</v>
      </c>
      <c r="W4" s="1447"/>
      <c r="X4" s="1447"/>
      <c r="Y4" s="1447"/>
      <c r="Z4" s="1449"/>
      <c r="AA4" s="1025" t="s">
        <v>136</v>
      </c>
      <c r="AB4" s="1025" t="s">
        <v>134</v>
      </c>
      <c r="AC4" s="1025" t="s">
        <v>135</v>
      </c>
      <c r="AD4" s="1449"/>
      <c r="AE4" s="1449"/>
      <c r="AF4" s="1449"/>
      <c r="AG4" s="1057" t="s">
        <v>136</v>
      </c>
      <c r="AH4" s="1057" t="s">
        <v>134</v>
      </c>
      <c r="AI4" s="1057" t="s">
        <v>135</v>
      </c>
      <c r="AJ4" s="1424"/>
      <c r="AK4" s="1434"/>
      <c r="AL4" s="1434" t="s">
        <v>167</v>
      </c>
    </row>
    <row r="5" spans="1:38" ht="15.75" customHeight="1" x14ac:dyDescent="0.25">
      <c r="A5" s="406"/>
      <c r="B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row>
    <row r="6" spans="1:38" ht="15.75" customHeight="1" x14ac:dyDescent="0.25">
      <c r="A6" s="789" t="s">
        <v>122</v>
      </c>
      <c r="B6" s="789"/>
      <c r="C6" s="637">
        <v>-1</v>
      </c>
      <c r="D6" s="789"/>
      <c r="E6" s="789" t="s">
        <v>171</v>
      </c>
      <c r="F6" s="780"/>
      <c r="G6" s="789" t="s">
        <v>172</v>
      </c>
      <c r="H6" s="789" t="s">
        <v>173</v>
      </c>
      <c r="I6" s="789" t="s">
        <v>174</v>
      </c>
      <c r="J6" s="789" t="s">
        <v>175</v>
      </c>
      <c r="K6" s="789" t="s">
        <v>176</v>
      </c>
      <c r="L6" s="789" t="s">
        <v>177</v>
      </c>
      <c r="M6" s="789" t="s">
        <v>178</v>
      </c>
      <c r="N6" s="789" t="s">
        <v>179</v>
      </c>
      <c r="O6" s="789" t="s">
        <v>180</v>
      </c>
      <c r="P6" s="789" t="s">
        <v>181</v>
      </c>
      <c r="Q6" s="789" t="s">
        <v>158</v>
      </c>
      <c r="R6" s="789" t="s">
        <v>182</v>
      </c>
      <c r="S6" s="789" t="s">
        <v>183</v>
      </c>
      <c r="T6" s="789" t="s">
        <v>184</v>
      </c>
      <c r="U6" s="789" t="s">
        <v>185</v>
      </c>
      <c r="V6" s="789" t="s">
        <v>186</v>
      </c>
      <c r="W6" s="789" t="s">
        <v>187</v>
      </c>
      <c r="X6" s="789" t="s">
        <v>188</v>
      </c>
      <c r="Y6" s="789" t="s">
        <v>189</v>
      </c>
      <c r="Z6" s="789" t="s">
        <v>190</v>
      </c>
      <c r="AA6" s="789" t="s">
        <v>191</v>
      </c>
      <c r="AB6" s="789" t="s">
        <v>192</v>
      </c>
      <c r="AC6" s="789" t="s">
        <v>193</v>
      </c>
      <c r="AD6" s="789" t="s">
        <v>194</v>
      </c>
      <c r="AE6" s="789" t="s">
        <v>195</v>
      </c>
      <c r="AF6" s="789" t="s">
        <v>196</v>
      </c>
      <c r="AG6" s="789"/>
      <c r="AH6" s="789"/>
      <c r="AI6" s="789"/>
      <c r="AJ6" s="789"/>
      <c r="AK6" s="789"/>
      <c r="AL6" s="772" t="s">
        <v>167</v>
      </c>
    </row>
    <row r="7" spans="1:38" hidden="1" x14ac:dyDescent="0.25">
      <c r="A7" s="771"/>
      <c r="B7" s="771" t="str">
        <f>IF(D7="","",C7&amp;D7)</f>
        <v/>
      </c>
      <c r="C7" s="637">
        <f>C6+1</f>
        <v>0</v>
      </c>
      <c r="D7" s="772" t="str">
        <f>IF(A7&lt;&gt;"","Impact","")</f>
        <v/>
      </c>
      <c r="E7" s="786" t="s">
        <v>197</v>
      </c>
      <c r="F7" s="772" t="str">
        <f>IF(LangOffset=0,CONCATENATE(E7&amp;G7),IF(LangOffset=1,CONCATENATE(H7&amp;J7),IF(LangOffset=2,I7&amp;J7)))</f>
        <v>[Impact Indicator Name FR][Custom Impact Indicator Local]</v>
      </c>
      <c r="G7" s="786" t="s">
        <v>198</v>
      </c>
      <c r="H7" s="786" t="s">
        <v>199</v>
      </c>
      <c r="I7" s="786" t="s">
        <v>200</v>
      </c>
      <c r="J7" s="786" t="s">
        <v>201</v>
      </c>
      <c r="K7" s="786" t="s">
        <v>202</v>
      </c>
      <c r="L7" s="786" t="s">
        <v>203</v>
      </c>
      <c r="M7" s="790" t="s">
        <v>204</v>
      </c>
      <c r="N7" s="785" t="s">
        <v>205</v>
      </c>
      <c r="O7" s="791" t="s">
        <v>206</v>
      </c>
      <c r="P7" s="786" t="s">
        <v>207</v>
      </c>
      <c r="Q7" s="792" t="s">
        <v>208</v>
      </c>
      <c r="R7" s="786" t="s">
        <v>209</v>
      </c>
      <c r="S7" s="786" t="s">
        <v>210</v>
      </c>
      <c r="T7" s="790" t="str">
        <f>IFERROR(IF(INDEX('Impact Outcome Indicators_1A'!L$11:L$80,MATCH('ImpactOutcome_Import-Export'!$B7,'Impact Outcome Indicators_1A'!$A$11:$A$80,0))="","",INDEX('Impact Outcome Indicators_1A'!L$11:L$80,MATCH('ImpactOutcome_Import-Export'!$B7,'Impact Outcome Indicators_1A'!$A$11:$A$80,0))),"")</f>
        <v/>
      </c>
      <c r="U7" s="785" t="str">
        <f>IFERROR(IF(INDEX('Impact Outcome Indicators_1A'!M$11:M$80,MATCH('ImpactOutcome_Import-Export'!$B7,'Impact Outcome Indicators_1A'!$A$11:$A$80,0))="","",INDEX('Impact Outcome Indicators_1A'!M$11:M$80,MATCH('ImpactOutcome_Import-Export'!$B7,'Impact Outcome Indicators_1A'!$A$11:$A$80,0))),"")</f>
        <v/>
      </c>
      <c r="V7" s="791" t="str">
        <f>IFERROR(IF(INDEX('Impact Outcome Indicators_1A'!N$11:N$80,MATCH('ImpactOutcome_Import-Export'!$B7,'Impact Outcome Indicators_1A'!$A$11:$A$80,0))="","",INDEX('Impact Outcome Indicators_1A'!N$11:N$80,MATCH('ImpactOutcome_Import-Export'!$B7,'Impact Outcome Indicators_1A'!$A$11:$A$80,0))),"")</f>
        <v/>
      </c>
      <c r="W7" s="786" t="str">
        <f>IFERROR(IF(INDEX('Impact Outcome Indicators_1A'!O$11:O$80,MATCH('ImpactOutcome_Import-Export'!$B7,'Impact Outcome Indicators_1A'!$A$11:$A$80,0))="","",INDEX('Impact Outcome Indicators_1A'!O$11:O$80,MATCH('ImpactOutcome_Import-Export'!$B7,'Impact Outcome Indicators_1A'!$A$11:$A$80,0))),"")</f>
        <v/>
      </c>
      <c r="X7" s="786" t="str">
        <f>IFERROR(IF(INDEX('Impact Outcome Indicators_1A'!P$11:P$80,MATCH('ImpactOutcome_Import-Export'!$B7,'Impact Outcome Indicators_1A'!$A$11:$A$80,0))="","",INDEX('Impact Outcome Indicators_1A'!P$11:P$80,MATCH('ImpactOutcome_Import-Export'!$B7,'Impact Outcome Indicators_1A'!$A$11:$A$80,0))),"")</f>
        <v/>
      </c>
      <c r="Y7" s="786" t="str">
        <f>IFERROR(IF(INDEX('Impact Outcome Indicators_1A'!Q$11:Q$80,MATCH('ImpactOutcome_Import-Export'!$B7,'Impact Outcome Indicators_1A'!$A$11:$A$80,0))="","",INDEX('Impact Outcome Indicators_1A'!Q$11:Q$80,MATCH('ImpactOutcome_Import-Export'!$B7,'Impact Outcome Indicators_1A'!$A$11:$A$80,0))),"")</f>
        <v/>
      </c>
      <c r="Z7" s="786" t="str">
        <f>IFERROR(IF(INDEX('Impact Outcome Indicators_1A'!S$11:S$80,MATCH('ImpactOutcome_Import-Export'!$B7,'Impact Outcome Indicators_1A'!$A$11:$A$80,0))="","",INDEX('Impact Outcome Indicators_1A'!S$11:S$80,MATCH('ImpactOutcome_Import-Export'!$B7,'Impact Outcome Indicators_1A'!$A$11:$A$80,0))),"")</f>
        <v/>
      </c>
      <c r="AA7" s="790" t="str">
        <f>IFERROR(IF(INDEX('Impact Outcome Indicators_1A'!T$11:T$80,MATCH('ImpactOutcome_Import-Export'!$B7,'Impact Outcome Indicators_1A'!$A$11:$A$80,0))="","",INDEX('Impact Outcome Indicators_1A'!T$11:T$80,MATCH('ImpactOutcome_Import-Export'!$B7,'Impact Outcome Indicators_1A'!$A$11:$A$80,0))),"")</f>
        <v/>
      </c>
      <c r="AB7" s="785" t="str">
        <f>IFERROR(IF(INDEX('Impact Outcome Indicators_1A'!U$11:U$80,MATCH('ImpactOutcome_Import-Export'!$B7,'Impact Outcome Indicators_1A'!$A$11:$A$80,0))="","",INDEX('Impact Outcome Indicators_1A'!U$11:U$80,MATCH('ImpactOutcome_Import-Export'!$B7,'Impact Outcome Indicators_1A'!$A$11:$A$80,0))),"")</f>
        <v/>
      </c>
      <c r="AC7" s="791" t="str">
        <f>IFERROR(IF(INDEX('Impact Outcome Indicators_1A'!V$11:V$80,MATCH('ImpactOutcome_Import-Export'!$B7,'Impact Outcome Indicators_1A'!$A$11:$A$80,0))="","",INDEX('Impact Outcome Indicators_1A'!V$11:V$80,MATCH('ImpactOutcome_Import-Export'!$B7,'Impact Outcome Indicators_1A'!$A$11:$A$80,0))),"")</f>
        <v/>
      </c>
      <c r="AD7" s="786" t="str">
        <f>IFERROR(IF(INDEX('Impact Outcome Indicators_1A'!W$11:W$80,MATCH('ImpactOutcome_Import-Export'!$B7,'Impact Outcome Indicators_1A'!$A$11:$A$80,0))="","",INDEX('Impact Outcome Indicators_1A'!W$11:W$80,MATCH('ImpactOutcome_Import-Export'!$B7,'Impact Outcome Indicators_1A'!$A$11:$A$80,0))),"")</f>
        <v/>
      </c>
      <c r="AE7" s="786" t="str">
        <f>IFERROR(IF(INDEX('Impact Outcome Indicators_1A'!X$11:X$80,MATCH('ImpactOutcome_Import-Export'!$B7,'Impact Outcome Indicators_1A'!$A$11:$A$80,0))="","",INDEX('Impact Outcome Indicators_1A'!X$11:X$80,MATCH('ImpactOutcome_Import-Export'!$B7,'Impact Outcome Indicators_1A'!$A$11:$A$80,0))),"")</f>
        <v/>
      </c>
      <c r="AF7" s="786" t="str">
        <f>IFERROR(IF(INDEX('Impact Outcome Indicators_1A'!Y$11:Y$80,MATCH('ImpactOutcome_Import-Export'!$B7,'Impact Outcome Indicators_1A'!$A$11:$A$80,0))="","",INDEX('Impact Outcome Indicators_1A'!Y$11:Y$80,MATCH('ImpactOutcome_Import-Export'!$B7,'Impact Outcome Indicators_1A'!$A$11:$A$80,0))),"")</f>
        <v/>
      </c>
      <c r="AG7" s="772"/>
      <c r="AH7" s="772"/>
      <c r="AI7" s="772"/>
      <c r="AJ7" s="772"/>
      <c r="AK7" s="772" t="str">
        <f>IFERROR(INDEX('Impact Outcome Indicators_1A'!AE$11:AE$80,MATCH('ImpactOutcome_Import-Export'!$B7,'Impact Outcome Indicators_1A'!$A$11:$A$80,0)),"")</f>
        <v/>
      </c>
      <c r="AL7" s="785" t="s">
        <v>211</v>
      </c>
    </row>
    <row r="8" spans="1:38" ht="409.6" x14ac:dyDescent="0.25">
      <c r="A8" s="771" t="s">
        <v>212</v>
      </c>
      <c r="B8" s="771" t="str">
        <f t="shared" ref="B8:B10" si="0">IF(D8="","",C8&amp;D8)</f>
        <v>1Impact</v>
      </c>
      <c r="C8" s="637">
        <f t="shared" ref="C8:C10" si="1">C7+1</f>
        <v>1</v>
      </c>
      <c r="D8" s="772" t="str">
        <f t="shared" ref="D8:D10" si="2">IF(A8&lt;&gt;"","Impact","")</f>
        <v>Impact</v>
      </c>
      <c r="E8" s="786" t="s">
        <v>213</v>
      </c>
      <c r="F8" s="772" t="str">
        <f>IF(LangOffset=0,CONCATENATE(E8&amp;G8),IF(LangOffset=1,CONCATENATE(H8&amp;J8),IF(LangOffset=2,I8&amp;J8)))</f>
        <v>TB I-4(M): Prévalence de TB-RR et/ou TB-MR parmi les nouveaux cas détectés: Proportion de nouveaux cas de tuberculose avec TB-RR et/ou TB-MR</v>
      </c>
      <c r="G8" s="786"/>
      <c r="H8" s="786" t="s">
        <v>214</v>
      </c>
      <c r="I8" s="786" t="s">
        <v>215</v>
      </c>
      <c r="J8" s="786"/>
      <c r="K8" s="786" t="s">
        <v>216</v>
      </c>
      <c r="L8" s="786" t="s">
        <v>217</v>
      </c>
      <c r="M8" s="790">
        <v>2.2000000000000002</v>
      </c>
      <c r="N8" s="785"/>
      <c r="O8" s="791"/>
      <c r="P8" s="786" t="s">
        <v>218</v>
      </c>
      <c r="Q8" s="792">
        <v>43769</v>
      </c>
      <c r="R8" s="786" t="s">
        <v>37</v>
      </c>
      <c r="S8" s="788" t="s">
        <v>219</v>
      </c>
      <c r="T8" s="790">
        <f>IFERROR(IF(INDEX('Impact Outcome Indicators_1A'!L$11:L$80,MATCH('ImpactOutcome_Import-Export'!$B8,'Impact Outcome Indicators_1A'!$A$11:$A$80,0))="","",INDEX('Impact Outcome Indicators_1A'!L$11:L$80,MATCH('ImpactOutcome_Import-Export'!$B8,'Impact Outcome Indicators_1A'!$A$11:$A$80,0))),"")</f>
        <v>64</v>
      </c>
      <c r="U8" s="785">
        <f>IFERROR(IF(INDEX('Impact Outcome Indicators_1A'!M$11:M$80,MATCH('ImpactOutcome_Import-Export'!$B8,'Impact Outcome Indicators_1A'!$A$11:$A$80,0))="","",INDEX('Impact Outcome Indicators_1A'!M$11:M$80,MATCH('ImpactOutcome_Import-Export'!$B8,'Impact Outcome Indicators_1A'!$A$11:$A$80,0))),"")</f>
        <v>397</v>
      </c>
      <c r="V8" s="791">
        <f>IFERROR(IF(INDEX('Impact Outcome Indicators_1A'!N$11:N$80,MATCH('ImpactOutcome_Import-Export'!$B8,'Impact Outcome Indicators_1A'!$A$11:$A$80,0))="","",INDEX('Impact Outcome Indicators_1A'!N$11:N$80,MATCH('ImpactOutcome_Import-Export'!$B8,'Impact Outcome Indicators_1A'!$A$11:$A$80,0))),"")</f>
        <v>16.120906801007557</v>
      </c>
      <c r="W8" s="786">
        <f>IFERROR(IF(INDEX('Impact Outcome Indicators_1A'!O$11:O$80,MATCH('ImpactOutcome_Import-Export'!$B8,'Impact Outcome Indicators_1A'!$A$11:$A$80,0))="","",INDEX('Impact Outcome Indicators_1A'!O$11:O$80,MATCH('ImpactOutcome_Import-Export'!$B8,'Impact Outcome Indicators_1A'!$A$11:$A$80,0))),"")</f>
        <v>2019</v>
      </c>
      <c r="X8" s="786" t="str">
        <f>IFERROR(IF(INDEX('Impact Outcome Indicators_1A'!P$11:P$80,MATCH('ImpactOutcome_Import-Export'!$B8,'Impact Outcome Indicators_1A'!$A$11:$A$80,0))="","",INDEX('Impact Outcome Indicators_1A'!P$11:P$80,MATCH('ImpactOutcome_Import-Export'!$B8,'Impact Outcome Indicators_1A'!$A$11:$A$80,0))),"")</f>
        <v>R&amp;R TB system, yearly management report </v>
      </c>
      <c r="Y8" s="786" t="str">
        <f>IFERROR(IF(INDEX('Impact Outcome Indicators_1A'!Q$11:Q$80,MATCH('ImpactOutcome_Import-Export'!$B8,'Impact Outcome Indicators_1A'!$A$11:$A$80,0))="","",INDEX('Impact Outcome Indicators_1A'!Q$11:Q$80,MATCH('ImpactOutcome_Import-Export'!$B8,'Impact Outcome Indicators_1A'!$A$11:$A$80,0))),"")</f>
        <v xml:space="preserve">Selon l’estimation modélisée de l’OMS, les cas TBMR attendus sont estimés à 3.3 pour 100.000 habitants. Tenant compte du fait que la population de l’année 2019 est estimée à 12044164, et que le Programme TB a notifié 64 cas TBMR en 2019,  le taux de prévalence des cas TBMR est de 16% (64 cas notifiés sur 397 cas TBMR attendus). 
Si nous tenons compte de la cible TBMR fixée à 61 par la Réunion de Haut niveau de New York, la cible a été légèrement dépassée.
La prévalence TB MR et TB RR pour le Burundi sera renseignée dans le Global WHO Report 2020. 
</v>
      </c>
      <c r="Z8" s="786" t="str">
        <f>IFERROR(IF(INDEX('Impact Outcome Indicators_1A'!S$11:S$80,MATCH('ImpactOutcome_Import-Export'!$B8,'Impact Outcome Indicators_1A'!$A$11:$A$80,0))="","",INDEX('Impact Outcome Indicators_1A'!S$11:S$80,MATCH('ImpactOutcome_Import-Export'!$B8,'Impact Outcome Indicators_1A'!$A$11:$A$80,0))),"")</f>
        <v/>
      </c>
      <c r="AA8" s="790" t="str">
        <f>IFERROR(IF(INDEX('Impact Outcome Indicators_1A'!T$11:T$80,MATCH('ImpactOutcome_Import-Export'!$B8,'Impact Outcome Indicators_1A'!$A$11:$A$80,0))="","",INDEX('Impact Outcome Indicators_1A'!T$11:T$80,MATCH('ImpactOutcome_Import-Export'!$B8,'Impact Outcome Indicators_1A'!$A$11:$A$80,0))),"")</f>
        <v/>
      </c>
      <c r="AB8" s="785" t="str">
        <f>IFERROR(IF(INDEX('Impact Outcome Indicators_1A'!U$11:U$80,MATCH('ImpactOutcome_Import-Export'!$B8,'Impact Outcome Indicators_1A'!$A$11:$A$80,0))="","",INDEX('Impact Outcome Indicators_1A'!U$11:U$80,MATCH('ImpactOutcome_Import-Export'!$B8,'Impact Outcome Indicators_1A'!$A$11:$A$80,0))),"")</f>
        <v/>
      </c>
      <c r="AC8" s="791" t="str">
        <f>IFERROR(IF(INDEX('Impact Outcome Indicators_1A'!V$11:V$80,MATCH('ImpactOutcome_Import-Export'!$B8,'Impact Outcome Indicators_1A'!$A$11:$A$80,0))="","",INDEX('Impact Outcome Indicators_1A'!V$11:V$80,MATCH('ImpactOutcome_Import-Export'!$B8,'Impact Outcome Indicators_1A'!$A$11:$A$80,0))),"")</f>
        <v/>
      </c>
      <c r="AD8" s="786" t="str">
        <f>IFERROR(IF(INDEX('Impact Outcome Indicators_1A'!W$11:W$80,MATCH('ImpactOutcome_Import-Export'!$B8,'Impact Outcome Indicators_1A'!$A$11:$A$80,0))="","",INDEX('Impact Outcome Indicators_1A'!W$11:W$80,MATCH('ImpactOutcome_Import-Export'!$B8,'Impact Outcome Indicators_1A'!$A$11:$A$80,0))),"")</f>
        <v/>
      </c>
      <c r="AE8" s="786" t="str">
        <f>IFERROR(IF(INDEX('Impact Outcome Indicators_1A'!X$11:X$80,MATCH('ImpactOutcome_Import-Export'!$B8,'Impact Outcome Indicators_1A'!$A$11:$A$80,0))="","",INDEX('Impact Outcome Indicators_1A'!X$11:X$80,MATCH('ImpactOutcome_Import-Export'!$B8,'Impact Outcome Indicators_1A'!$A$11:$A$80,0))),"")</f>
        <v/>
      </c>
      <c r="AF8" s="786" t="str">
        <f>IFERROR(IF(INDEX('Impact Outcome Indicators_1A'!Y$11:Y$80,MATCH('ImpactOutcome_Import-Export'!$B8,'Impact Outcome Indicators_1A'!$A$11:$A$80,0))="","",INDEX('Impact Outcome Indicators_1A'!Y$11:Y$80,MATCH('ImpactOutcome_Import-Export'!$B8,'Impact Outcome Indicators_1A'!$A$11:$A$80,0))),"")</f>
        <v/>
      </c>
      <c r="AG8" s="772"/>
      <c r="AH8" s="772"/>
      <c r="AI8" s="772"/>
      <c r="AJ8" s="772"/>
      <c r="AK8" s="772" t="str">
        <f>IFERROR(INDEX('Impact Outcome Indicators_1A'!AE$11:AE$80,MATCH('ImpactOutcome_Import-Export'!$B8,'Impact Outcome Indicators_1A'!$A$11:$A$80,0)),"")</f>
        <v>No Results Reported</v>
      </c>
      <c r="AL8" s="785">
        <v>3</v>
      </c>
    </row>
    <row r="9" spans="1:38" ht="409.6" x14ac:dyDescent="0.25">
      <c r="A9" s="771" t="s">
        <v>220</v>
      </c>
      <c r="B9" s="771" t="str">
        <f t="shared" si="0"/>
        <v>2Impact</v>
      </c>
      <c r="C9" s="637">
        <f t="shared" si="1"/>
        <v>2</v>
      </c>
      <c r="D9" s="772" t="str">
        <f t="shared" si="2"/>
        <v>Impact</v>
      </c>
      <c r="E9" s="786" t="s">
        <v>221</v>
      </c>
      <c r="F9" s="772" t="str">
        <f>IF(LangOffset=0,CONCATENATE(E9&amp;G9),IF(LangOffset=1,CONCATENATE(H9&amp;J9),IF(LangOffset=2,I9&amp;J9)))</f>
        <v>TB I-3(M): Taux de mortalité par tuberculose (pour 100 000 habitants)</v>
      </c>
      <c r="G9" s="786"/>
      <c r="H9" s="786" t="s">
        <v>222</v>
      </c>
      <c r="I9" s="786" t="s">
        <v>223</v>
      </c>
      <c r="J9" s="786"/>
      <c r="K9" s="786" t="s">
        <v>224</v>
      </c>
      <c r="L9" s="786" t="s">
        <v>225</v>
      </c>
      <c r="M9" s="790">
        <v>3</v>
      </c>
      <c r="N9" s="785"/>
      <c r="O9" s="791"/>
      <c r="P9" s="786" t="s">
        <v>218</v>
      </c>
      <c r="Q9" s="792">
        <v>43769</v>
      </c>
      <c r="R9" s="786" t="s">
        <v>37</v>
      </c>
      <c r="S9" s="788" t="s">
        <v>226</v>
      </c>
      <c r="T9" s="790">
        <f>IFERROR(IF(INDEX('Impact Outcome Indicators_1A'!L$11:L$80,MATCH('ImpactOutcome_Import-Export'!$B9,'Impact Outcome Indicators_1A'!$A$11:$A$80,0))="","",INDEX('Impact Outcome Indicators_1A'!L$11:L$80,MATCH('ImpactOutcome_Import-Export'!$B9,'Impact Outcome Indicators_1A'!$A$11:$A$80,0))),"")</f>
        <v>325</v>
      </c>
      <c r="U9" s="785">
        <f>IFERROR(IF(INDEX('Impact Outcome Indicators_1A'!M$11:M$80,MATCH('ImpactOutcome_Import-Export'!$B9,'Impact Outcome Indicators_1A'!$A$11:$A$80,0))="","",INDEX('Impact Outcome Indicators_1A'!M$11:M$80,MATCH('ImpactOutcome_Import-Export'!$B9,'Impact Outcome Indicators_1A'!$A$11:$A$80,0))),"")</f>
        <v>11495438</v>
      </c>
      <c r="V9" s="791">
        <f>IFERROR(IF(INDEX('Impact Outcome Indicators_1A'!N$11:N$80,MATCH('ImpactOutcome_Import-Export'!$B9,'Impact Outcome Indicators_1A'!$A$11:$A$80,0))="","",INDEX('Impact Outcome Indicators_1A'!N$11:N$80,MATCH('ImpactOutcome_Import-Export'!$B9,'Impact Outcome Indicators_1A'!$A$11:$A$80,0))),"")</f>
        <v>2.8272084978406213</v>
      </c>
      <c r="W9" s="786">
        <f>IFERROR(IF(INDEX('Impact Outcome Indicators_1A'!O$11:O$80,MATCH('ImpactOutcome_Import-Export'!$B9,'Impact Outcome Indicators_1A'!$A$11:$A$80,0))="","",INDEX('Impact Outcome Indicators_1A'!O$11:O$80,MATCH('ImpactOutcome_Import-Export'!$B9,'Impact Outcome Indicators_1A'!$A$11:$A$80,0))),"")</f>
        <v>2019</v>
      </c>
      <c r="X9" s="786" t="str">
        <f>IFERROR(IF(INDEX('Impact Outcome Indicators_1A'!P$11:P$80,MATCH('ImpactOutcome_Import-Export'!$B9,'Impact Outcome Indicators_1A'!$A$11:$A$80,0))="","",INDEX('Impact Outcome Indicators_1A'!P$11:P$80,MATCH('ImpactOutcome_Import-Export'!$B9,'Impact Outcome Indicators_1A'!$A$11:$A$80,0))),"")</f>
        <v>TB patient register</v>
      </c>
      <c r="Y9" s="786" t="str">
        <f>IFERROR(IF(INDEX('Impact Outcome Indicators_1A'!Q$11:Q$80,MATCH('ImpactOutcome_Import-Export'!$B9,'Impact Outcome Indicators_1A'!$A$11:$A$80,0))="","",INDEX('Impact Outcome Indicators_1A'!Q$11:Q$80,MATCH('ImpactOutcome_Import-Export'!$B9,'Impact Outcome Indicators_1A'!$A$11:$A$80,0))),"")</f>
        <v>Le PNILT renseigne dans son rapport qu'il y a eu 3cas de décès sur la cohorte de 2018, ce qui donne un taux de mortalité pour la tuberculose de 2,8décès/100 000 hab conformément à la définition de "me_indicatorguidancesheets-annexb-tb_sheet_en". 
Numérateur: Number of deaths caused by TB
(all forms) in HIV-negative people per year, according  to the ICD10 definition
Dénominateur: Number of people in the population x 100,000
Ce taux pour le Burundi  sera renseigné dans le Global WHO Report 2020.</v>
      </c>
      <c r="Z9" s="786" t="str">
        <f>IFERROR(IF(INDEX('Impact Outcome Indicators_1A'!S$11:S$80,MATCH('ImpactOutcome_Import-Export'!$B9,'Impact Outcome Indicators_1A'!$A$11:$A$80,0))="","",INDEX('Impact Outcome Indicators_1A'!S$11:S$80,MATCH('ImpactOutcome_Import-Export'!$B9,'Impact Outcome Indicators_1A'!$A$11:$A$80,0))),"")</f>
        <v/>
      </c>
      <c r="AA9" s="790" t="str">
        <f>IFERROR(IF(INDEX('Impact Outcome Indicators_1A'!T$11:T$80,MATCH('ImpactOutcome_Import-Export'!$B9,'Impact Outcome Indicators_1A'!$A$11:$A$80,0))="","",INDEX('Impact Outcome Indicators_1A'!T$11:T$80,MATCH('ImpactOutcome_Import-Export'!$B9,'Impact Outcome Indicators_1A'!$A$11:$A$80,0))),"")</f>
        <v/>
      </c>
      <c r="AB9" s="785" t="str">
        <f>IFERROR(IF(INDEX('Impact Outcome Indicators_1A'!U$11:U$80,MATCH('ImpactOutcome_Import-Export'!$B9,'Impact Outcome Indicators_1A'!$A$11:$A$80,0))="","",INDEX('Impact Outcome Indicators_1A'!U$11:U$80,MATCH('ImpactOutcome_Import-Export'!$B9,'Impact Outcome Indicators_1A'!$A$11:$A$80,0))),"")</f>
        <v/>
      </c>
      <c r="AC9" s="791" t="str">
        <f>IFERROR(IF(INDEX('Impact Outcome Indicators_1A'!V$11:V$80,MATCH('ImpactOutcome_Import-Export'!$B9,'Impact Outcome Indicators_1A'!$A$11:$A$80,0))="","",INDEX('Impact Outcome Indicators_1A'!V$11:V$80,MATCH('ImpactOutcome_Import-Export'!$B9,'Impact Outcome Indicators_1A'!$A$11:$A$80,0))),"")</f>
        <v/>
      </c>
      <c r="AD9" s="786" t="str">
        <f>IFERROR(IF(INDEX('Impact Outcome Indicators_1A'!W$11:W$80,MATCH('ImpactOutcome_Import-Export'!$B9,'Impact Outcome Indicators_1A'!$A$11:$A$80,0))="","",INDEX('Impact Outcome Indicators_1A'!W$11:W$80,MATCH('ImpactOutcome_Import-Export'!$B9,'Impact Outcome Indicators_1A'!$A$11:$A$80,0))),"")</f>
        <v/>
      </c>
      <c r="AE9" s="786" t="str">
        <f>IFERROR(IF(INDEX('Impact Outcome Indicators_1A'!X$11:X$80,MATCH('ImpactOutcome_Import-Export'!$B9,'Impact Outcome Indicators_1A'!$A$11:$A$80,0))="","",INDEX('Impact Outcome Indicators_1A'!X$11:X$80,MATCH('ImpactOutcome_Import-Export'!$B9,'Impact Outcome Indicators_1A'!$A$11:$A$80,0))),"")</f>
        <v/>
      </c>
      <c r="AF9" s="786" t="str">
        <f>IFERROR(IF(INDEX('Impact Outcome Indicators_1A'!Y$11:Y$80,MATCH('ImpactOutcome_Import-Export'!$B9,'Impact Outcome Indicators_1A'!$A$11:$A$80,0))="","",INDEX('Impact Outcome Indicators_1A'!Y$11:Y$80,MATCH('ImpactOutcome_Import-Export'!$B9,'Impact Outcome Indicators_1A'!$A$11:$A$80,0))),"")</f>
        <v/>
      </c>
      <c r="AG9" s="772"/>
      <c r="AH9" s="772"/>
      <c r="AI9" s="772"/>
      <c r="AJ9" s="772"/>
      <c r="AK9" s="772" t="str">
        <f>IFERROR(INDEX('Impact Outcome Indicators_1A'!AE$11:AE$80,MATCH('ImpactOutcome_Import-Export'!$B9,'Impact Outcome Indicators_1A'!$A$11:$A$80,0)),"")</f>
        <v>No Results Reported</v>
      </c>
      <c r="AL9" s="785">
        <v>2</v>
      </c>
    </row>
    <row r="10" spans="1:38" ht="390.75" x14ac:dyDescent="0.25">
      <c r="A10" s="771" t="s">
        <v>227</v>
      </c>
      <c r="B10" s="771" t="str">
        <f t="shared" si="0"/>
        <v>3Impact</v>
      </c>
      <c r="C10" s="637">
        <f t="shared" si="1"/>
        <v>3</v>
      </c>
      <c r="D10" s="772" t="str">
        <f t="shared" si="2"/>
        <v>Impact</v>
      </c>
      <c r="E10" s="786" t="s">
        <v>228</v>
      </c>
      <c r="F10" s="772" t="str">
        <f>IF(LangOffset=0,CONCATENATE(E10&amp;G10),IF(LangOffset=1,CONCATENATE(H10&amp;J10),IF(LangOffset=2,I10&amp;J10)))</f>
        <v>TB I-2: Taux d'incidence de la tuberculose (pour 100 000 habitants)</v>
      </c>
      <c r="G10" s="786"/>
      <c r="H10" s="786" t="s">
        <v>229</v>
      </c>
      <c r="I10" s="786" t="s">
        <v>230</v>
      </c>
      <c r="J10" s="786"/>
      <c r="K10" s="786" t="s">
        <v>231</v>
      </c>
      <c r="L10" s="786" t="s">
        <v>217</v>
      </c>
      <c r="M10" s="790">
        <v>107</v>
      </c>
      <c r="N10" s="785"/>
      <c r="O10" s="791"/>
      <c r="P10" s="786" t="s">
        <v>218</v>
      </c>
      <c r="Q10" s="792">
        <v>43769</v>
      </c>
      <c r="R10" s="786" t="s">
        <v>37</v>
      </c>
      <c r="S10" s="788" t="s">
        <v>232</v>
      </c>
      <c r="T10" s="790">
        <f>IFERROR(IF(INDEX('Impact Outcome Indicators_1A'!L$11:L$80,MATCH('ImpactOutcome_Import-Export'!$B10,'Impact Outcome Indicators_1A'!$A$11:$A$80,0))="","",INDEX('Impact Outcome Indicators_1A'!L$11:L$80,MATCH('ImpactOutcome_Import-Export'!$B10,'Impact Outcome Indicators_1A'!$A$11:$A$80,0))),"")</f>
        <v>6827</v>
      </c>
      <c r="U10" s="785">
        <f>IFERROR(IF(INDEX('Impact Outcome Indicators_1A'!M$11:M$80,MATCH('ImpactOutcome_Import-Export'!$B10,'Impact Outcome Indicators_1A'!$A$11:$A$80,0))="","",INDEX('Impact Outcome Indicators_1A'!M$11:M$80,MATCH('ImpactOutcome_Import-Export'!$B10,'Impact Outcome Indicators_1A'!$A$11:$A$80,0))),"")</f>
        <v>12044164</v>
      </c>
      <c r="V10" s="791">
        <f>IFERROR(IF(INDEX('Impact Outcome Indicators_1A'!N$11:N$80,MATCH('ImpactOutcome_Import-Export'!$B10,'Impact Outcome Indicators_1A'!$A$11:$A$80,0))="","",INDEX('Impact Outcome Indicators_1A'!N$11:N$80,MATCH('ImpactOutcome_Import-Export'!$B10,'Impact Outcome Indicators_1A'!$A$11:$A$80,0))),"")</f>
        <v>56.683054133105458</v>
      </c>
      <c r="W10" s="786">
        <f>IFERROR(IF(INDEX('Impact Outcome Indicators_1A'!O$11:O$80,MATCH('ImpactOutcome_Import-Export'!$B10,'Impact Outcome Indicators_1A'!$A$11:$A$80,0))="","",INDEX('Impact Outcome Indicators_1A'!O$11:O$80,MATCH('ImpactOutcome_Import-Export'!$B10,'Impact Outcome Indicators_1A'!$A$11:$A$80,0))),"")</f>
        <v>2019</v>
      </c>
      <c r="X10" s="786" t="str">
        <f>IFERROR(IF(INDEX('Impact Outcome Indicators_1A'!P$11:P$80,MATCH('ImpactOutcome_Import-Export'!$B10,'Impact Outcome Indicators_1A'!$A$11:$A$80,0))="","",INDEX('Impact Outcome Indicators_1A'!P$11:P$80,MATCH('ImpactOutcome_Import-Export'!$B10,'Impact Outcome Indicators_1A'!$A$11:$A$80,0))),"")</f>
        <v>TB patient register</v>
      </c>
      <c r="Y10" s="786" t="str">
        <f>IFERROR(IF(INDEX('Impact Outcome Indicators_1A'!Q$11:Q$80,MATCH('ImpactOutcome_Import-Export'!$B10,'Impact Outcome Indicators_1A'!$A$11:$A$80,0))="","",INDEX('Impact Outcome Indicators_1A'!Q$11:Q$80,MATCH('ImpactOutcome_Import-Export'!$B10,'Impact Outcome Indicators_1A'!$A$11:$A$80,0))),"")</f>
        <v xml:space="preserve">En 2019, le taux d'incidence de la tuberculose a été de 56,7 pour 100 000 hab. Il a été déterminé conforméméent à la définition de cet indicateur (voir cadre de performance).
 'Numérateur : Nombre de nouveaux cas et récidives de tuberculose se produisant au cours de l'anné
Dénominateur: Population générale pendant une période de temps donné, le tout rapporté pour 100000 habitants.
Il sera ajusté avec le rapport de 2019 de l'OMS.
Référence est faite à l’estimation de la population réajustée par l’ISTEEBU qui comptabilise 12044164 habitants en 2019. Etant donné que le PNILT a enregistré 6827 TTF en 2019, le taux d’incidence de la tuberculose est de 57 TTF/100000 habitants. 
La population rapportée par celle de la Direction Nationale d’Information Sanitaire (DSNIS) étant différente de celle estimée par l’ISTEEBU, il revient au PR de statuer sur quelle population est à considérer afin que le PNUD et le PNILT détiennent les mêmes données.
Ce taux est obtenu sur base d’une estimation modélisée de l’OMS qui paraitra dans le rapport global de 2020
</v>
      </c>
      <c r="Z10" s="786" t="str">
        <f>IFERROR(IF(INDEX('Impact Outcome Indicators_1A'!S$11:S$80,MATCH('ImpactOutcome_Import-Export'!$B10,'Impact Outcome Indicators_1A'!$A$11:$A$80,0))="","",INDEX('Impact Outcome Indicators_1A'!S$11:S$80,MATCH('ImpactOutcome_Import-Export'!$B10,'Impact Outcome Indicators_1A'!$A$11:$A$80,0))),"")</f>
        <v/>
      </c>
      <c r="AA10" s="790" t="str">
        <f>IFERROR(IF(INDEX('Impact Outcome Indicators_1A'!T$11:T$80,MATCH('ImpactOutcome_Import-Export'!$B10,'Impact Outcome Indicators_1A'!$A$11:$A$80,0))="","",INDEX('Impact Outcome Indicators_1A'!T$11:T$80,MATCH('ImpactOutcome_Import-Export'!$B10,'Impact Outcome Indicators_1A'!$A$11:$A$80,0))),"")</f>
        <v/>
      </c>
      <c r="AB10" s="785" t="str">
        <f>IFERROR(IF(INDEX('Impact Outcome Indicators_1A'!U$11:U$80,MATCH('ImpactOutcome_Import-Export'!$B10,'Impact Outcome Indicators_1A'!$A$11:$A$80,0))="","",INDEX('Impact Outcome Indicators_1A'!U$11:U$80,MATCH('ImpactOutcome_Import-Export'!$B10,'Impact Outcome Indicators_1A'!$A$11:$A$80,0))),"")</f>
        <v/>
      </c>
      <c r="AC10" s="791" t="str">
        <f>IFERROR(IF(INDEX('Impact Outcome Indicators_1A'!V$11:V$80,MATCH('ImpactOutcome_Import-Export'!$B10,'Impact Outcome Indicators_1A'!$A$11:$A$80,0))="","",INDEX('Impact Outcome Indicators_1A'!V$11:V$80,MATCH('ImpactOutcome_Import-Export'!$B10,'Impact Outcome Indicators_1A'!$A$11:$A$80,0))),"")</f>
        <v/>
      </c>
      <c r="AD10" s="786" t="str">
        <f>IFERROR(IF(INDEX('Impact Outcome Indicators_1A'!W$11:W$80,MATCH('ImpactOutcome_Import-Export'!$B10,'Impact Outcome Indicators_1A'!$A$11:$A$80,0))="","",INDEX('Impact Outcome Indicators_1A'!W$11:W$80,MATCH('ImpactOutcome_Import-Export'!$B10,'Impact Outcome Indicators_1A'!$A$11:$A$80,0))),"")</f>
        <v/>
      </c>
      <c r="AE10" s="786" t="str">
        <f>IFERROR(IF(INDEX('Impact Outcome Indicators_1A'!X$11:X$80,MATCH('ImpactOutcome_Import-Export'!$B10,'Impact Outcome Indicators_1A'!$A$11:$A$80,0))="","",INDEX('Impact Outcome Indicators_1A'!X$11:X$80,MATCH('ImpactOutcome_Import-Export'!$B10,'Impact Outcome Indicators_1A'!$A$11:$A$80,0))),"")</f>
        <v/>
      </c>
      <c r="AF10" s="786" t="str">
        <f>IFERROR(IF(INDEX('Impact Outcome Indicators_1A'!Y$11:Y$80,MATCH('ImpactOutcome_Import-Export'!$B10,'Impact Outcome Indicators_1A'!$A$11:$A$80,0))="","",INDEX('Impact Outcome Indicators_1A'!Y$11:Y$80,MATCH('ImpactOutcome_Import-Export'!$B10,'Impact Outcome Indicators_1A'!$A$11:$A$80,0))),"")</f>
        <v/>
      </c>
      <c r="AG10" s="772"/>
      <c r="AH10" s="772"/>
      <c r="AI10" s="772"/>
      <c r="AJ10" s="772"/>
      <c r="AK10" s="772" t="str">
        <f>IFERROR(INDEX('Impact Outcome Indicators_1A'!AE$11:AE$80,MATCH('ImpactOutcome_Import-Export'!$B10,'Impact Outcome Indicators_1A'!$A$11:$A$80,0)),"")</f>
        <v>No Results Reported</v>
      </c>
      <c r="AL10" s="785">
        <v>1</v>
      </c>
    </row>
    <row r="11" spans="1:38" x14ac:dyDescent="0.25">
      <c r="D11" s="1058"/>
      <c r="E11" s="1059"/>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60"/>
    </row>
    <row r="12" spans="1:38" ht="15.75" customHeight="1" x14ac:dyDescent="0.25">
      <c r="A12" s="406"/>
      <c r="B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row>
    <row r="13" spans="1:38" ht="15.75" customHeight="1" x14ac:dyDescent="0.25">
      <c r="A13" s="789" t="s">
        <v>122</v>
      </c>
      <c r="B13" s="789"/>
      <c r="C13" s="637">
        <v>-1</v>
      </c>
      <c r="D13" s="789"/>
      <c r="E13" s="789" t="s">
        <v>233</v>
      </c>
      <c r="F13" s="780"/>
      <c r="G13" s="789" t="s">
        <v>234</v>
      </c>
      <c r="H13" s="789" t="s">
        <v>235</v>
      </c>
      <c r="I13" s="789" t="s">
        <v>236</v>
      </c>
      <c r="J13" s="789" t="s">
        <v>237</v>
      </c>
      <c r="K13" s="789" t="s">
        <v>176</v>
      </c>
      <c r="L13" s="789" t="s">
        <v>177</v>
      </c>
      <c r="M13" s="789" t="s">
        <v>178</v>
      </c>
      <c r="N13" s="789" t="s">
        <v>179</v>
      </c>
      <c r="O13" s="789" t="s">
        <v>180</v>
      </c>
      <c r="P13" s="789" t="s">
        <v>181</v>
      </c>
      <c r="Q13" s="789" t="s">
        <v>158</v>
      </c>
      <c r="R13" s="789" t="s">
        <v>182</v>
      </c>
      <c r="S13" s="789" t="s">
        <v>183</v>
      </c>
      <c r="T13" s="789" t="s">
        <v>184</v>
      </c>
      <c r="U13" s="789" t="s">
        <v>185</v>
      </c>
      <c r="V13" s="789" t="s">
        <v>186</v>
      </c>
      <c r="W13" s="789" t="s">
        <v>187</v>
      </c>
      <c r="X13" s="789" t="s">
        <v>188</v>
      </c>
      <c r="Y13" s="789" t="s">
        <v>189</v>
      </c>
      <c r="Z13" s="789" t="s">
        <v>190</v>
      </c>
      <c r="AA13" s="789" t="s">
        <v>191</v>
      </c>
      <c r="AB13" s="789" t="s">
        <v>192</v>
      </c>
      <c r="AC13" s="789" t="s">
        <v>193</v>
      </c>
      <c r="AD13" s="789" t="s">
        <v>194</v>
      </c>
      <c r="AE13" s="789" t="s">
        <v>195</v>
      </c>
      <c r="AF13" s="789" t="s">
        <v>196</v>
      </c>
      <c r="AG13" s="789"/>
      <c r="AH13" s="789"/>
      <c r="AI13" s="789"/>
      <c r="AJ13" s="789"/>
      <c r="AK13" s="789"/>
      <c r="AL13" s="772" t="s">
        <v>238</v>
      </c>
    </row>
    <row r="14" spans="1:38" hidden="1" x14ac:dyDescent="0.25">
      <c r="A14" s="771"/>
      <c r="B14" s="771" t="str">
        <f>IF(D14="","",C14&amp;D14)</f>
        <v/>
      </c>
      <c r="C14" s="637">
        <f>C13+1</f>
        <v>0</v>
      </c>
      <c r="D14" s="772" t="str">
        <f>IF(A14&lt;&gt;"","Outcome","")</f>
        <v/>
      </c>
      <c r="E14" s="786" t="s">
        <v>239</v>
      </c>
      <c r="F14" s="772" t="str">
        <f t="shared" ref="F14:F20" si="3">IF(LangOffset=0,CONCATENATE(E14&amp;G14),IF(LangOffset=1,CONCATENATE(H14&amp;J14),IF(LangOffset=2,I14&amp;J14)))</f>
        <v>[Outcome Indicator Name FR][Custom Outcome Indicator Local]</v>
      </c>
      <c r="G14" s="786" t="s">
        <v>240</v>
      </c>
      <c r="H14" s="786" t="s">
        <v>241</v>
      </c>
      <c r="I14" s="786" t="s">
        <v>242</v>
      </c>
      <c r="J14" s="786" t="s">
        <v>243</v>
      </c>
      <c r="K14" s="786" t="s">
        <v>202</v>
      </c>
      <c r="L14" s="786" t="s">
        <v>203</v>
      </c>
      <c r="M14" s="791" t="s">
        <v>204</v>
      </c>
      <c r="N14" s="785" t="s">
        <v>205</v>
      </c>
      <c r="O14" s="791" t="s">
        <v>206</v>
      </c>
      <c r="P14" s="786" t="s">
        <v>207</v>
      </c>
      <c r="Q14" s="792" t="s">
        <v>208</v>
      </c>
      <c r="R14" s="786" t="s">
        <v>209</v>
      </c>
      <c r="S14" s="786" t="s">
        <v>210</v>
      </c>
      <c r="T14" s="793" t="str">
        <f>IFERROR(IF(INDEX('Impact Outcome Indicators_1A'!L$11:L$80,MATCH('ImpactOutcome_Import-Export'!$B14,'Impact Outcome Indicators_1A'!$A$11:$A$80,0))="","",INDEX('Impact Outcome Indicators_1A'!L$11:L$80,MATCH('ImpactOutcome_Import-Export'!$B14,'Impact Outcome Indicators_1A'!$A$11:$A$80,0))),"")</f>
        <v/>
      </c>
      <c r="U14" s="794" t="str">
        <f>IFERROR(IF(INDEX('Impact Outcome Indicators_1A'!M$11:M$80,MATCH('ImpactOutcome_Import-Export'!$B14,'Impact Outcome Indicators_1A'!$A$11:$A$80,0))="","",INDEX('Impact Outcome Indicators_1A'!M$11:M$80,MATCH('ImpactOutcome_Import-Export'!$B14,'Impact Outcome Indicators_1A'!$A$11:$A$80,0))),"")</f>
        <v/>
      </c>
      <c r="V14" s="793" t="str">
        <f>IFERROR(IF(INDEX('Impact Outcome Indicators_1A'!N$11:N$80,MATCH('ImpactOutcome_Import-Export'!$B14,'Impact Outcome Indicators_1A'!$A$11:$A$80,0))="","",INDEX('Impact Outcome Indicators_1A'!N$11:N$80,MATCH('ImpactOutcome_Import-Export'!$B14,'Impact Outcome Indicators_1A'!$A$11:$A$80,0))),"")</f>
        <v/>
      </c>
      <c r="W14" s="795" t="str">
        <f>IFERROR(IF(INDEX('Impact Outcome Indicators_1A'!O$11:O$80,MATCH('ImpactOutcome_Import-Export'!$B14,'Impact Outcome Indicators_1A'!$A$11:$A$80,0))="","",INDEX('Impact Outcome Indicators_1A'!O$11:O$80,MATCH('ImpactOutcome_Import-Export'!$B14,'Impact Outcome Indicators_1A'!$A$11:$A$80,0))),"")</f>
        <v/>
      </c>
      <c r="X14" s="795" t="str">
        <f>IFERROR(IF(INDEX('Impact Outcome Indicators_1A'!P$11:P$80,MATCH('ImpactOutcome_Import-Export'!$B14,'Impact Outcome Indicators_1A'!$A$11:$A$80,0))="","",INDEX('Impact Outcome Indicators_1A'!P$11:P$80,MATCH('ImpactOutcome_Import-Export'!$B14,'Impact Outcome Indicators_1A'!$A$11:$A$80,0))),"")</f>
        <v/>
      </c>
      <c r="Y14" s="795" t="str">
        <f>IFERROR(IF(INDEX('Impact Outcome Indicators_1A'!Q$11:Q$80,MATCH('ImpactOutcome_Import-Export'!$B14,'Impact Outcome Indicators_1A'!$A$11:$A$80,0))="","",INDEX('Impact Outcome Indicators_1A'!Q$11:Q$80,MATCH('ImpactOutcome_Import-Export'!$B14,'Impact Outcome Indicators_1A'!$A$11:$A$80,0))),"")</f>
        <v/>
      </c>
      <c r="Z14" s="795" t="str">
        <f>IFERROR(IF(INDEX('Impact Outcome Indicators_1A'!S$11:S$80,MATCH('ImpactOutcome_Import-Export'!$B14,'Impact Outcome Indicators_1A'!$A$11:$A$80,0))="","",INDEX('Impact Outcome Indicators_1A'!S$11:S$80,MATCH('ImpactOutcome_Import-Export'!$B14,'Impact Outcome Indicators_1A'!$A$11:$A$80,0))),"")</f>
        <v/>
      </c>
      <c r="AA14" s="796" t="str">
        <f>IFERROR(IF(INDEX('Impact Outcome Indicators_1A'!T$11:T$80,MATCH('ImpactOutcome_Import-Export'!$B14,'Impact Outcome Indicators_1A'!$A$11:$A$80,0))="","",INDEX('Impact Outcome Indicators_1A'!T$11:T$80,MATCH('ImpactOutcome_Import-Export'!$B14,'Impact Outcome Indicators_1A'!$A$11:$A$80,0))),"")</f>
        <v/>
      </c>
      <c r="AB14" s="794" t="str">
        <f>IFERROR(IF(INDEX('Impact Outcome Indicators_1A'!U$11:U$80,MATCH('ImpactOutcome_Import-Export'!$B14,'Impact Outcome Indicators_1A'!$A$11:$A$80,0))="","",INDEX('Impact Outcome Indicators_1A'!U$11:U$80,MATCH('ImpactOutcome_Import-Export'!$B14,'Impact Outcome Indicators_1A'!$A$11:$A$80,0))),"")</f>
        <v/>
      </c>
      <c r="AC14" s="793" t="str">
        <f>IFERROR(IF(INDEX('Impact Outcome Indicators_1A'!V$11:V$80,MATCH('ImpactOutcome_Import-Export'!$B14,'Impact Outcome Indicators_1A'!$A$11:$A$80,0))="","",INDEX('Impact Outcome Indicators_1A'!V$11:V$80,MATCH('ImpactOutcome_Import-Export'!$B14,'Impact Outcome Indicators_1A'!$A$11:$A$80,0))),"")</f>
        <v/>
      </c>
      <c r="AD14" s="795" t="str">
        <f>IFERROR(IF(INDEX('Impact Outcome Indicators_1A'!W$11:W$80,MATCH('ImpactOutcome_Import-Export'!$B14,'Impact Outcome Indicators_1A'!$A$11:$A$80,0))="","",INDEX('Impact Outcome Indicators_1A'!W$11:W$80,MATCH('ImpactOutcome_Import-Export'!$B14,'Impact Outcome Indicators_1A'!$A$11:$A$80,0))),"")</f>
        <v/>
      </c>
      <c r="AE14" s="795" t="str">
        <f>IFERROR(IF(INDEX('Impact Outcome Indicators_1A'!X$11:X$80,MATCH('ImpactOutcome_Import-Export'!$B14,'Impact Outcome Indicators_1A'!$A$11:$A$80,0))="","",INDEX('Impact Outcome Indicators_1A'!X$11:X$80,MATCH('ImpactOutcome_Import-Export'!$B14,'Impact Outcome Indicators_1A'!$A$11:$A$80,0))),"")</f>
        <v/>
      </c>
      <c r="AF14" s="795" t="str">
        <f>IFERROR(IF(INDEX('Impact Outcome Indicators_1A'!Y$11:Y$80,MATCH('ImpactOutcome_Import-Export'!$B14,'Impact Outcome Indicators_1A'!$A$11:$A$80,0))="","",INDEX('Impact Outcome Indicators_1A'!Y$11:Y$80,MATCH('ImpactOutcome_Import-Export'!$B14,'Impact Outcome Indicators_1A'!$A$11:$A$80,0))),"")</f>
        <v/>
      </c>
      <c r="AG14" s="797"/>
      <c r="AH14" s="797"/>
      <c r="AI14" s="797"/>
      <c r="AJ14" s="797"/>
      <c r="AK14" s="797" t="str">
        <f>IFERROR(INDEX('Impact Outcome Indicators_1A'!AE$11:AE$80,MATCH('ImpactOutcome_Import-Export'!$B14,'Impact Outcome Indicators_1A'!$A$11:$A$80,0)),"")</f>
        <v/>
      </c>
      <c r="AL14" s="785" t="s">
        <v>244</v>
      </c>
    </row>
    <row r="15" spans="1:38" ht="409.6" x14ac:dyDescent="0.25">
      <c r="A15" s="771" t="s">
        <v>245</v>
      </c>
      <c r="B15" s="771" t="str">
        <f t="shared" ref="B15:B20" si="4">IF(D15="","",C15&amp;D15)</f>
        <v>1Outcome</v>
      </c>
      <c r="C15" s="637">
        <f t="shared" ref="C15:C20" si="5">C14+1</f>
        <v>1</v>
      </c>
      <c r="D15" s="772" t="str">
        <f t="shared" ref="D15:D20" si="6">IF(A15&lt;&gt;"","Outcome","")</f>
        <v>Outcome</v>
      </c>
      <c r="E15" s="786" t="s">
        <v>246</v>
      </c>
      <c r="F15" s="772" t="str">
        <f t="shared" si="3"/>
        <v>TB O-1a: Taux de déclaration des cas de tuberculose, toutes formes confondues, bactériologiquement confirmés et cliniquement diagnostiqués, pour 100 000 habitants, cas nouveaux et récidives</v>
      </c>
      <c r="G15" s="786"/>
      <c r="H15" s="786" t="s">
        <v>247</v>
      </c>
      <c r="I15" s="786" t="s">
        <v>248</v>
      </c>
      <c r="J15" s="786"/>
      <c r="K15" s="786" t="s">
        <v>249</v>
      </c>
      <c r="L15" s="786" t="s">
        <v>225</v>
      </c>
      <c r="M15" s="791">
        <v>81</v>
      </c>
      <c r="N15" s="785"/>
      <c r="O15" s="791"/>
      <c r="P15" s="786" t="s">
        <v>250</v>
      </c>
      <c r="Q15" s="792">
        <v>43889</v>
      </c>
      <c r="R15" s="786" t="s">
        <v>37</v>
      </c>
      <c r="S15" s="788" t="s">
        <v>251</v>
      </c>
      <c r="T15" s="793">
        <f>IFERROR(IF(INDEX('Impact Outcome Indicators_1A'!L$11:L$80,MATCH('ImpactOutcome_Import-Export'!$B15,'Impact Outcome Indicators_1A'!$A$11:$A$80,0))="","",INDEX('Impact Outcome Indicators_1A'!L$11:L$80,MATCH('ImpactOutcome_Import-Export'!$B15,'Impact Outcome Indicators_1A'!$A$11:$A$80,0))),"")</f>
        <v>6827</v>
      </c>
      <c r="U15" s="794">
        <f>IFERROR(IF(INDEX('Impact Outcome Indicators_1A'!M$11:M$80,MATCH('ImpactOutcome_Import-Export'!$B15,'Impact Outcome Indicators_1A'!$A$11:$A$80,0))="","",INDEX('Impact Outcome Indicators_1A'!M$11:M$80,MATCH('ImpactOutcome_Import-Export'!$B15,'Impact Outcome Indicators_1A'!$A$11:$A$80,0))),"")</f>
        <v>12044164</v>
      </c>
      <c r="V15" s="793">
        <f>IFERROR(IF(INDEX('Impact Outcome Indicators_1A'!N$11:N$80,MATCH('ImpactOutcome_Import-Export'!$B15,'Impact Outcome Indicators_1A'!$A$11:$A$80,0))="","",INDEX('Impact Outcome Indicators_1A'!N$11:N$80,MATCH('ImpactOutcome_Import-Export'!$B15,'Impact Outcome Indicators_1A'!$A$11:$A$80,0))),"")</f>
        <v>56.683054133105458</v>
      </c>
      <c r="W15" s="795">
        <f>IFERROR(IF(INDEX('Impact Outcome Indicators_1A'!O$11:O$80,MATCH('ImpactOutcome_Import-Export'!$B15,'Impact Outcome Indicators_1A'!$A$11:$A$80,0))="","",INDEX('Impact Outcome Indicators_1A'!O$11:O$80,MATCH('ImpactOutcome_Import-Export'!$B15,'Impact Outcome Indicators_1A'!$A$11:$A$80,0))),"")</f>
        <v>2019</v>
      </c>
      <c r="X15" s="795" t="str">
        <f>IFERROR(IF(INDEX('Impact Outcome Indicators_1A'!P$11:P$80,MATCH('ImpactOutcome_Import-Export'!$B15,'Impact Outcome Indicators_1A'!$A$11:$A$80,0))="","",INDEX('Impact Outcome Indicators_1A'!P$11:P$80,MATCH('ImpactOutcome_Import-Export'!$B15,'Impact Outcome Indicators_1A'!$A$11:$A$80,0))),"")</f>
        <v>TB patient register</v>
      </c>
      <c r="Y15" s="795" t="str">
        <f>IFERROR(IF(INDEX('Impact Outcome Indicators_1A'!Q$11:Q$80,MATCH('ImpactOutcome_Import-Export'!$B15,'Impact Outcome Indicators_1A'!$A$11:$A$80,0))="","",INDEX('Impact Outcome Indicators_1A'!Q$11:Q$80,MATCH('ImpactOutcome_Import-Export'!$B15,'Impact Outcome Indicators_1A'!$A$11:$A$80,0))),"")</f>
        <v xml:space="preserve">Le taux de déclaration des cas de TTF pour l'année 2019 a été de 56,7 TTF /100000 hab. Il a été renseigné conformément à la définition proposée par le FM dans "me_indicatorguidancesheets-annexb-tb_sheet_en".
Number of all forms of TB cases (i.e. bacteriologically confirmed plus clinically diagnosed) reported [in a specified area] to the national health authority in the past year (new and relapse).
Denominator: Total population in the specified area x 100,000.
</v>
      </c>
      <c r="Z15" s="795" t="str">
        <f>IFERROR(IF(INDEX('Impact Outcome Indicators_1A'!S$11:S$80,MATCH('ImpactOutcome_Import-Export'!$B15,'Impact Outcome Indicators_1A'!$A$11:$A$80,0))="","",INDEX('Impact Outcome Indicators_1A'!S$11:S$80,MATCH('ImpactOutcome_Import-Export'!$B15,'Impact Outcome Indicators_1A'!$A$11:$A$80,0))),"")</f>
        <v/>
      </c>
      <c r="AA15" s="796" t="str">
        <f>IFERROR(IF(INDEX('Impact Outcome Indicators_1A'!T$11:T$80,MATCH('ImpactOutcome_Import-Export'!$B15,'Impact Outcome Indicators_1A'!$A$11:$A$80,0))="","",INDEX('Impact Outcome Indicators_1A'!T$11:T$80,MATCH('ImpactOutcome_Import-Export'!$B15,'Impact Outcome Indicators_1A'!$A$11:$A$80,0))),"")</f>
        <v/>
      </c>
      <c r="AB15" s="794" t="str">
        <f>IFERROR(IF(INDEX('Impact Outcome Indicators_1A'!U$11:U$80,MATCH('ImpactOutcome_Import-Export'!$B15,'Impact Outcome Indicators_1A'!$A$11:$A$80,0))="","",INDEX('Impact Outcome Indicators_1A'!U$11:U$80,MATCH('ImpactOutcome_Import-Export'!$B15,'Impact Outcome Indicators_1A'!$A$11:$A$80,0))),"")</f>
        <v/>
      </c>
      <c r="AC15" s="793" t="str">
        <f>IFERROR(IF(INDEX('Impact Outcome Indicators_1A'!V$11:V$80,MATCH('ImpactOutcome_Import-Export'!$B15,'Impact Outcome Indicators_1A'!$A$11:$A$80,0))="","",INDEX('Impact Outcome Indicators_1A'!V$11:V$80,MATCH('ImpactOutcome_Import-Export'!$B15,'Impact Outcome Indicators_1A'!$A$11:$A$80,0))),"")</f>
        <v/>
      </c>
      <c r="AD15" s="795" t="str">
        <f>IFERROR(IF(INDEX('Impact Outcome Indicators_1A'!W$11:W$80,MATCH('ImpactOutcome_Import-Export'!$B15,'Impact Outcome Indicators_1A'!$A$11:$A$80,0))="","",INDEX('Impact Outcome Indicators_1A'!W$11:W$80,MATCH('ImpactOutcome_Import-Export'!$B15,'Impact Outcome Indicators_1A'!$A$11:$A$80,0))),"")</f>
        <v/>
      </c>
      <c r="AE15" s="795" t="str">
        <f>IFERROR(IF(INDEX('Impact Outcome Indicators_1A'!X$11:X$80,MATCH('ImpactOutcome_Import-Export'!$B15,'Impact Outcome Indicators_1A'!$A$11:$A$80,0))="","",INDEX('Impact Outcome Indicators_1A'!X$11:X$80,MATCH('ImpactOutcome_Import-Export'!$B15,'Impact Outcome Indicators_1A'!$A$11:$A$80,0))),"")</f>
        <v/>
      </c>
      <c r="AF15" s="795" t="str">
        <f>IFERROR(IF(INDEX('Impact Outcome Indicators_1A'!Y$11:Y$80,MATCH('ImpactOutcome_Import-Export'!$B15,'Impact Outcome Indicators_1A'!$A$11:$A$80,0))="","",INDEX('Impact Outcome Indicators_1A'!Y$11:Y$80,MATCH('ImpactOutcome_Import-Export'!$B15,'Impact Outcome Indicators_1A'!$A$11:$A$80,0))),"")</f>
        <v/>
      </c>
      <c r="AG15" s="797"/>
      <c r="AH15" s="797"/>
      <c r="AI15" s="797"/>
      <c r="AJ15" s="797"/>
      <c r="AK15" s="797" t="str">
        <f>IFERROR(INDEX('Impact Outcome Indicators_1A'!AE$11:AE$80,MATCH('ImpactOutcome_Import-Export'!$B15,'Impact Outcome Indicators_1A'!$A$11:$A$80,0)),"")</f>
        <v>No Results Reported</v>
      </c>
      <c r="AL15" s="785">
        <v>1</v>
      </c>
    </row>
    <row r="16" spans="1:38" ht="409.6" x14ac:dyDescent="0.25">
      <c r="A16" s="771" t="s">
        <v>252</v>
      </c>
      <c r="B16" s="771" t="str">
        <f t="shared" si="4"/>
        <v>2Outcome</v>
      </c>
      <c r="C16" s="637">
        <f t="shared" si="5"/>
        <v>2</v>
      </c>
      <c r="D16" s="772" t="str">
        <f t="shared" si="6"/>
        <v>Outcome</v>
      </c>
      <c r="E16" s="786" t="s">
        <v>253</v>
      </c>
      <c r="F16" s="772" t="str">
        <f t="shared" si="3"/>
        <v>TB O-2a: Taux de succès thérapeutique, toutes formes confondues- bactériologiquement confirmés et cliniquement diagnostiqués, nouveaux cas et récidives</v>
      </c>
      <c r="G16" s="786"/>
      <c r="H16" s="786" t="s">
        <v>254</v>
      </c>
      <c r="I16" s="786" t="s">
        <v>255</v>
      </c>
      <c r="J16" s="786"/>
      <c r="K16" s="786" t="s">
        <v>256</v>
      </c>
      <c r="L16" s="786" t="s">
        <v>225</v>
      </c>
      <c r="M16" s="791">
        <v>7797.5039999999999</v>
      </c>
      <c r="N16" s="785">
        <v>8448</v>
      </c>
      <c r="O16" s="791">
        <v>92.3</v>
      </c>
      <c r="P16" s="786" t="s">
        <v>250</v>
      </c>
      <c r="Q16" s="792">
        <v>43889</v>
      </c>
      <c r="R16" s="786" t="s">
        <v>37</v>
      </c>
      <c r="S16" s="788" t="s">
        <v>257</v>
      </c>
      <c r="T16" s="793">
        <f>IFERROR(IF(INDEX('Impact Outcome Indicators_1A'!L$11:L$80,MATCH('ImpactOutcome_Import-Export'!$B16,'Impact Outcome Indicators_1A'!$A$11:$A$80,0))="","",INDEX('Impact Outcome Indicators_1A'!L$11:L$80,MATCH('ImpactOutcome_Import-Export'!$B16,'Impact Outcome Indicators_1A'!$A$11:$A$80,0))),"")</f>
        <v>6755</v>
      </c>
      <c r="U16" s="794">
        <f>IFERROR(IF(INDEX('Impact Outcome Indicators_1A'!M$11:M$80,MATCH('ImpactOutcome_Import-Export'!$B16,'Impact Outcome Indicators_1A'!$A$11:$A$80,0))="","",INDEX('Impact Outcome Indicators_1A'!M$11:M$80,MATCH('ImpactOutcome_Import-Export'!$B16,'Impact Outcome Indicators_1A'!$A$11:$A$80,0))),"")</f>
        <v>7202</v>
      </c>
      <c r="V16" s="793">
        <f>IFERROR(IF(INDEX('Impact Outcome Indicators_1A'!N$11:N$80,MATCH('ImpactOutcome_Import-Export'!$B16,'Impact Outcome Indicators_1A'!$A$11:$A$80,0))="","",INDEX('Impact Outcome Indicators_1A'!N$11:N$80,MATCH('ImpactOutcome_Import-Export'!$B16,'Impact Outcome Indicators_1A'!$A$11:$A$80,0))),"")</f>
        <v>93.79339072479867</v>
      </c>
      <c r="W16" s="795">
        <f>IFERROR(IF(INDEX('Impact Outcome Indicators_1A'!O$11:O$80,MATCH('ImpactOutcome_Import-Export'!$B16,'Impact Outcome Indicators_1A'!$A$11:$A$80,0))="","",INDEX('Impact Outcome Indicators_1A'!O$11:O$80,MATCH('ImpactOutcome_Import-Export'!$B16,'Impact Outcome Indicators_1A'!$A$11:$A$80,0))),"")</f>
        <v>2019</v>
      </c>
      <c r="X16" s="795" t="str">
        <f>IFERROR(IF(INDEX('Impact Outcome Indicators_1A'!P$11:P$80,MATCH('ImpactOutcome_Import-Export'!$B16,'Impact Outcome Indicators_1A'!$A$11:$A$80,0))="","",INDEX('Impact Outcome Indicators_1A'!P$11:P$80,MATCH('ImpactOutcome_Import-Export'!$B16,'Impact Outcome Indicators_1A'!$A$11:$A$80,0))),"")</f>
        <v>TB patient register</v>
      </c>
      <c r="Y16" s="795" t="str">
        <f>IFERROR(IF(INDEX('Impact Outcome Indicators_1A'!Q$11:Q$80,MATCH('ImpactOutcome_Import-Export'!$B16,'Impact Outcome Indicators_1A'!$A$11:$A$80,0))="","",INDEX('Impact Outcome Indicators_1A'!Q$11:Q$80,MATCH('ImpactOutcome_Import-Export'!$B16,'Impact Outcome Indicators_1A'!$A$11:$A$80,0))),"")</f>
        <v>Le taux  de succès thérapeutique est de 94%. La bonne performance s’expliquerait par :
(i) la disponibilité des médicaments à tous les niveaux de la pyramide sanitaire ;
(ii) le renforcement des capacités des prestataires/techniciens de promotion de la santé lors de la subvention TB 2016-2017 ; 
(iii) le suivi rigoureux des patients mis sous traitement antituberculeux ;
(iv) l’application du Traitement Directement Observé (TDO),
(v) la supervision de qualité des CDT et CT par les coordonnateurs provinciaux et par le niveau central du PNILT</v>
      </c>
      <c r="Z16" s="795" t="str">
        <f>IFERROR(IF(INDEX('Impact Outcome Indicators_1A'!S$11:S$80,MATCH('ImpactOutcome_Import-Export'!$B16,'Impact Outcome Indicators_1A'!$A$11:$A$80,0))="","",INDEX('Impact Outcome Indicators_1A'!S$11:S$80,MATCH('ImpactOutcome_Import-Export'!$B16,'Impact Outcome Indicators_1A'!$A$11:$A$80,0))),"")</f>
        <v/>
      </c>
      <c r="AA16" s="796" t="str">
        <f>IFERROR(IF(INDEX('Impact Outcome Indicators_1A'!T$11:T$80,MATCH('ImpactOutcome_Import-Export'!$B16,'Impact Outcome Indicators_1A'!$A$11:$A$80,0))="","",INDEX('Impact Outcome Indicators_1A'!T$11:T$80,MATCH('ImpactOutcome_Import-Export'!$B16,'Impact Outcome Indicators_1A'!$A$11:$A$80,0))),"")</f>
        <v/>
      </c>
      <c r="AB16" s="794" t="str">
        <f>IFERROR(IF(INDEX('Impact Outcome Indicators_1A'!U$11:U$80,MATCH('ImpactOutcome_Import-Export'!$B16,'Impact Outcome Indicators_1A'!$A$11:$A$80,0))="","",INDEX('Impact Outcome Indicators_1A'!U$11:U$80,MATCH('ImpactOutcome_Import-Export'!$B16,'Impact Outcome Indicators_1A'!$A$11:$A$80,0))),"")</f>
        <v/>
      </c>
      <c r="AC16" s="793" t="str">
        <f>IFERROR(IF(INDEX('Impact Outcome Indicators_1A'!V$11:V$80,MATCH('ImpactOutcome_Import-Export'!$B16,'Impact Outcome Indicators_1A'!$A$11:$A$80,0))="","",INDEX('Impact Outcome Indicators_1A'!V$11:V$80,MATCH('ImpactOutcome_Import-Export'!$B16,'Impact Outcome Indicators_1A'!$A$11:$A$80,0))),"")</f>
        <v/>
      </c>
      <c r="AD16" s="795" t="str">
        <f>IFERROR(IF(INDEX('Impact Outcome Indicators_1A'!W$11:W$80,MATCH('ImpactOutcome_Import-Export'!$B16,'Impact Outcome Indicators_1A'!$A$11:$A$80,0))="","",INDEX('Impact Outcome Indicators_1A'!W$11:W$80,MATCH('ImpactOutcome_Import-Export'!$B16,'Impact Outcome Indicators_1A'!$A$11:$A$80,0))),"")</f>
        <v/>
      </c>
      <c r="AE16" s="795" t="str">
        <f>IFERROR(IF(INDEX('Impact Outcome Indicators_1A'!X$11:X$80,MATCH('ImpactOutcome_Import-Export'!$B16,'Impact Outcome Indicators_1A'!$A$11:$A$80,0))="","",INDEX('Impact Outcome Indicators_1A'!X$11:X$80,MATCH('ImpactOutcome_Import-Export'!$B16,'Impact Outcome Indicators_1A'!$A$11:$A$80,0))),"")</f>
        <v/>
      </c>
      <c r="AF16" s="795" t="str">
        <f>IFERROR(IF(INDEX('Impact Outcome Indicators_1A'!Y$11:Y$80,MATCH('ImpactOutcome_Import-Export'!$B16,'Impact Outcome Indicators_1A'!$A$11:$A$80,0))="","",INDEX('Impact Outcome Indicators_1A'!Y$11:Y$80,MATCH('ImpactOutcome_Import-Export'!$B16,'Impact Outcome Indicators_1A'!$A$11:$A$80,0))),"")</f>
        <v/>
      </c>
      <c r="AG16" s="797"/>
      <c r="AH16" s="797"/>
      <c r="AI16" s="797"/>
      <c r="AJ16" s="797"/>
      <c r="AK16" s="797" t="str">
        <f>IFERROR(INDEX('Impact Outcome Indicators_1A'!AE$11:AE$80,MATCH('ImpactOutcome_Import-Export'!$B16,'Impact Outcome Indicators_1A'!$A$11:$A$80,0)),"")</f>
        <v>No Results Reported</v>
      </c>
      <c r="AL16" s="785">
        <v>2</v>
      </c>
    </row>
    <row r="17" spans="1:38" ht="409.6" x14ac:dyDescent="0.25">
      <c r="A17" s="771" t="s">
        <v>258</v>
      </c>
      <c r="B17" s="771" t="str">
        <f t="shared" si="4"/>
        <v>3Outcome</v>
      </c>
      <c r="C17" s="637">
        <f t="shared" si="5"/>
        <v>3</v>
      </c>
      <c r="D17" s="772" t="str">
        <f t="shared" si="6"/>
        <v>Outcome</v>
      </c>
      <c r="E17" s="786" t="s">
        <v>259</v>
      </c>
      <c r="F17" s="772" t="str">
        <f t="shared" si="3"/>
        <v>TB O-6: Notification des cas de TB-RR et/ou TB-MR  - Pourcentage de cas notifiés bactériologiquement confirmés, résistants aux médicaments TB-RR et/ou TB-MR** en tant que proportion de tous les cas estimés TB-RR et/ou TB-MR</v>
      </c>
      <c r="G17" s="786"/>
      <c r="H17" s="786" t="s">
        <v>260</v>
      </c>
      <c r="I17" s="786" t="s">
        <v>261</v>
      </c>
      <c r="J17" s="786"/>
      <c r="K17" s="786" t="s">
        <v>262</v>
      </c>
      <c r="L17" s="786" t="s">
        <v>225</v>
      </c>
      <c r="M17" s="791">
        <v>157</v>
      </c>
      <c r="N17" s="785">
        <v>224</v>
      </c>
      <c r="O17" s="791">
        <v>70.089285714285694</v>
      </c>
      <c r="P17" s="786" t="s">
        <v>250</v>
      </c>
      <c r="Q17" s="792">
        <v>43889</v>
      </c>
      <c r="R17" s="786" t="s">
        <v>37</v>
      </c>
      <c r="S17" s="788" t="s">
        <v>263</v>
      </c>
      <c r="T17" s="793">
        <f>IFERROR(IF(INDEX('Impact Outcome Indicators_1A'!L$11:L$80,MATCH('ImpactOutcome_Import-Export'!$B17,'Impact Outcome Indicators_1A'!$A$11:$A$80,0))="","",INDEX('Impact Outcome Indicators_1A'!L$11:L$80,MATCH('ImpactOutcome_Import-Export'!$B17,'Impact Outcome Indicators_1A'!$A$11:$A$80,0))),"")</f>
        <v>64</v>
      </c>
      <c r="U17" s="794">
        <f>IFERROR(IF(INDEX('Impact Outcome Indicators_1A'!M$11:M$80,MATCH('ImpactOutcome_Import-Export'!$B17,'Impact Outcome Indicators_1A'!$A$11:$A$80,0))="","",INDEX('Impact Outcome Indicators_1A'!M$11:M$80,MATCH('ImpactOutcome_Import-Export'!$B17,'Impact Outcome Indicators_1A'!$A$11:$A$80,0))),"")</f>
        <v>157</v>
      </c>
      <c r="V17" s="793">
        <f>IFERROR(IF(INDEX('Impact Outcome Indicators_1A'!N$11:N$80,MATCH('ImpactOutcome_Import-Export'!$B17,'Impact Outcome Indicators_1A'!$A$11:$A$80,0))="","",INDEX('Impact Outcome Indicators_1A'!N$11:N$80,MATCH('ImpactOutcome_Import-Export'!$B17,'Impact Outcome Indicators_1A'!$A$11:$A$80,0))),"")</f>
        <v>40.764331210191088</v>
      </c>
      <c r="W17" s="795">
        <f>IFERROR(IF(INDEX('Impact Outcome Indicators_1A'!O$11:O$80,MATCH('ImpactOutcome_Import-Export'!$B17,'Impact Outcome Indicators_1A'!$A$11:$A$80,0))="","",INDEX('Impact Outcome Indicators_1A'!O$11:O$80,MATCH('ImpactOutcome_Import-Export'!$B17,'Impact Outcome Indicators_1A'!$A$11:$A$80,0))),"")</f>
        <v>2019</v>
      </c>
      <c r="X17" s="795" t="str">
        <f>IFERROR(IF(INDEX('Impact Outcome Indicators_1A'!P$11:P$80,MATCH('ImpactOutcome_Import-Export'!$B17,'Impact Outcome Indicators_1A'!$A$11:$A$80,0))="","",INDEX('Impact Outcome Indicators_1A'!P$11:P$80,MATCH('ImpactOutcome_Import-Export'!$B17,'Impact Outcome Indicators_1A'!$A$11:$A$80,0))),"")</f>
        <v>R&amp;R TB system, quarterly reports</v>
      </c>
      <c r="Y17" s="795" t="str">
        <f>IFERROR(IF(INDEX('Impact Outcome Indicators_1A'!Q$11:Q$80,MATCH('ImpactOutcome_Import-Export'!$B17,'Impact Outcome Indicators_1A'!$A$11:$A$80,0))="","",INDEX('Impact Outcome Indicators_1A'!Q$11:Q$80,MATCH('ImpactOutcome_Import-Export'!$B17,'Impact Outcome Indicators_1A'!$A$11:$A$80,0))),"")</f>
        <v>En 2019, le pourcentage de cas notifié de la TBMR est de 40,78%. Il a été calculé sur base de la cible surestimée de 157 et conformément à la définition du cadre de performance.
Numérateur: Nombre de cas notifiés de tuberculose pharmacorésistante bactériologiquement confirmée (tuberculose résistante à la rifampicine et/ou tuberculose multirésistante)
Dénominateur: Tous les cas estimés TB/MR
Si cet indicateur était rapporté conformément à la cible ajustée (61) lors de la Réunion de Haut Niveau de New York du 26 Septembre 2018, ce pourcentage serait de 105%</v>
      </c>
      <c r="Z17" s="795" t="str">
        <f>IFERROR(IF(INDEX('Impact Outcome Indicators_1A'!S$11:S$80,MATCH('ImpactOutcome_Import-Export'!$B17,'Impact Outcome Indicators_1A'!$A$11:$A$80,0))="","",INDEX('Impact Outcome Indicators_1A'!S$11:S$80,MATCH('ImpactOutcome_Import-Export'!$B17,'Impact Outcome Indicators_1A'!$A$11:$A$80,0))),"")</f>
        <v/>
      </c>
      <c r="AA17" s="796" t="str">
        <f>IFERROR(IF(INDEX('Impact Outcome Indicators_1A'!T$11:T$80,MATCH('ImpactOutcome_Import-Export'!$B17,'Impact Outcome Indicators_1A'!$A$11:$A$80,0))="","",INDEX('Impact Outcome Indicators_1A'!T$11:T$80,MATCH('ImpactOutcome_Import-Export'!$B17,'Impact Outcome Indicators_1A'!$A$11:$A$80,0))),"")</f>
        <v/>
      </c>
      <c r="AB17" s="794" t="str">
        <f>IFERROR(IF(INDEX('Impact Outcome Indicators_1A'!U$11:U$80,MATCH('ImpactOutcome_Import-Export'!$B17,'Impact Outcome Indicators_1A'!$A$11:$A$80,0))="","",INDEX('Impact Outcome Indicators_1A'!U$11:U$80,MATCH('ImpactOutcome_Import-Export'!$B17,'Impact Outcome Indicators_1A'!$A$11:$A$80,0))),"")</f>
        <v/>
      </c>
      <c r="AC17" s="793" t="str">
        <f>IFERROR(IF(INDEX('Impact Outcome Indicators_1A'!V$11:V$80,MATCH('ImpactOutcome_Import-Export'!$B17,'Impact Outcome Indicators_1A'!$A$11:$A$80,0))="","",INDEX('Impact Outcome Indicators_1A'!V$11:V$80,MATCH('ImpactOutcome_Import-Export'!$B17,'Impact Outcome Indicators_1A'!$A$11:$A$80,0))),"")</f>
        <v/>
      </c>
      <c r="AD17" s="795" t="str">
        <f>IFERROR(IF(INDEX('Impact Outcome Indicators_1A'!W$11:W$80,MATCH('ImpactOutcome_Import-Export'!$B17,'Impact Outcome Indicators_1A'!$A$11:$A$80,0))="","",INDEX('Impact Outcome Indicators_1A'!W$11:W$80,MATCH('ImpactOutcome_Import-Export'!$B17,'Impact Outcome Indicators_1A'!$A$11:$A$80,0))),"")</f>
        <v/>
      </c>
      <c r="AE17" s="795" t="str">
        <f>IFERROR(IF(INDEX('Impact Outcome Indicators_1A'!X$11:X$80,MATCH('ImpactOutcome_Import-Export'!$B17,'Impact Outcome Indicators_1A'!$A$11:$A$80,0))="","",INDEX('Impact Outcome Indicators_1A'!X$11:X$80,MATCH('ImpactOutcome_Import-Export'!$B17,'Impact Outcome Indicators_1A'!$A$11:$A$80,0))),"")</f>
        <v/>
      </c>
      <c r="AF17" s="795" t="str">
        <f>IFERROR(IF(INDEX('Impact Outcome Indicators_1A'!Y$11:Y$80,MATCH('ImpactOutcome_Import-Export'!$B17,'Impact Outcome Indicators_1A'!$A$11:$A$80,0))="","",INDEX('Impact Outcome Indicators_1A'!Y$11:Y$80,MATCH('ImpactOutcome_Import-Export'!$B17,'Impact Outcome Indicators_1A'!$A$11:$A$80,0))),"")</f>
        <v/>
      </c>
      <c r="AG17" s="797"/>
      <c r="AH17" s="797"/>
      <c r="AI17" s="797"/>
      <c r="AJ17" s="797"/>
      <c r="AK17" s="797" t="str">
        <f>IFERROR(INDEX('Impact Outcome Indicators_1A'!AE$11:AE$80,MATCH('ImpactOutcome_Import-Export'!$B17,'Impact Outcome Indicators_1A'!$A$11:$A$80,0)),"")</f>
        <v>No Results Reported</v>
      </c>
      <c r="AL17" s="785">
        <v>3</v>
      </c>
    </row>
    <row r="18" spans="1:38" ht="409.6" x14ac:dyDescent="0.25">
      <c r="A18" s="771" t="s">
        <v>264</v>
      </c>
      <c r="B18" s="771" t="str">
        <f t="shared" si="4"/>
        <v>4Outcome</v>
      </c>
      <c r="C18" s="637">
        <f t="shared" si="5"/>
        <v>4</v>
      </c>
      <c r="D18" s="772" t="str">
        <f t="shared" si="6"/>
        <v>Outcome</v>
      </c>
      <c r="E18" s="786" t="s">
        <v>265</v>
      </c>
      <c r="F18" s="772" t="str">
        <f t="shared" si="3"/>
        <v>TB O-4(M): Taux de succès thérapeutique de TB-RR et/ou TB-MR : pourcentage de cas de tuberculose résistante à la rifampicine et/ou tuberculose multirésistante traités avec succès</v>
      </c>
      <c r="G18" s="786"/>
      <c r="H18" s="786" t="s">
        <v>266</v>
      </c>
      <c r="I18" s="786" t="s">
        <v>267</v>
      </c>
      <c r="J18" s="786"/>
      <c r="K18" s="786" t="s">
        <v>268</v>
      </c>
      <c r="L18" s="786" t="s">
        <v>225</v>
      </c>
      <c r="M18" s="791">
        <v>142</v>
      </c>
      <c r="N18" s="785">
        <v>157</v>
      </c>
      <c r="O18" s="791">
        <v>90.445859872611507</v>
      </c>
      <c r="P18" s="786" t="s">
        <v>250</v>
      </c>
      <c r="Q18" s="792">
        <v>43889</v>
      </c>
      <c r="R18" s="786" t="s">
        <v>37</v>
      </c>
      <c r="S18" s="788" t="s">
        <v>269</v>
      </c>
      <c r="T18" s="793">
        <f>IFERROR(IF(INDEX('Impact Outcome Indicators_1A'!L$11:L$80,MATCH('ImpactOutcome_Import-Export'!$B18,'Impact Outcome Indicators_1A'!$A$11:$A$80,0))="","",INDEX('Impact Outcome Indicators_1A'!L$11:L$80,MATCH('ImpactOutcome_Import-Export'!$B18,'Impact Outcome Indicators_1A'!$A$11:$A$80,0))),"")</f>
        <v>46</v>
      </c>
      <c r="U18" s="794">
        <f>IFERROR(IF(INDEX('Impact Outcome Indicators_1A'!M$11:M$80,MATCH('ImpactOutcome_Import-Export'!$B18,'Impact Outcome Indicators_1A'!$A$11:$A$80,0))="","",INDEX('Impact Outcome Indicators_1A'!M$11:M$80,MATCH('ImpactOutcome_Import-Export'!$B18,'Impact Outcome Indicators_1A'!$A$11:$A$80,0))),"")</f>
        <v>50</v>
      </c>
      <c r="V18" s="793">
        <f>IFERROR(IF(INDEX('Impact Outcome Indicators_1A'!N$11:N$80,MATCH('ImpactOutcome_Import-Export'!$B18,'Impact Outcome Indicators_1A'!$A$11:$A$80,0))="","",INDEX('Impact Outcome Indicators_1A'!N$11:N$80,MATCH('ImpactOutcome_Import-Export'!$B18,'Impact Outcome Indicators_1A'!$A$11:$A$80,0))),"")</f>
        <v>92</v>
      </c>
      <c r="W18" s="795">
        <f>IFERROR(IF(INDEX('Impact Outcome Indicators_1A'!O$11:O$80,MATCH('ImpactOutcome_Import-Export'!$B18,'Impact Outcome Indicators_1A'!$A$11:$A$80,0))="","",INDEX('Impact Outcome Indicators_1A'!O$11:O$80,MATCH('ImpactOutcome_Import-Export'!$B18,'Impact Outcome Indicators_1A'!$A$11:$A$80,0))),"")</f>
        <v>2019</v>
      </c>
      <c r="X18" s="795" t="str">
        <f>IFERROR(IF(INDEX('Impact Outcome Indicators_1A'!P$11:P$80,MATCH('ImpactOutcome_Import-Export'!$B18,'Impact Outcome Indicators_1A'!$A$11:$A$80,0))="","",INDEX('Impact Outcome Indicators_1A'!P$11:P$80,MATCH('ImpactOutcome_Import-Export'!$B18,'Impact Outcome Indicators_1A'!$A$11:$A$80,0))),"")</f>
        <v>R&amp;R TB system, yearly management report </v>
      </c>
      <c r="Y18" s="795" t="str">
        <f>IFERROR(IF(INDEX('Impact Outcome Indicators_1A'!Q$11:Q$80,MATCH('ImpactOutcome_Import-Export'!$B18,'Impact Outcome Indicators_1A'!$A$11:$A$80,0))="","",INDEX('Impact Outcome Indicators_1A'!Q$11:Q$80,MATCH('ImpactOutcome_Import-Export'!$B18,'Impact Outcome Indicators_1A'!$A$11:$A$80,0))),"")</f>
        <v xml:space="preserve">Sur 50 patients TBMR enregistrés en 2018, 46 ont été traités avec succès, soit 92%.
La bonne performance s’expliquerait par :
(i) la disponibilité des médicaments de 2ème ligne;
(ii) l’assistance psychologique, nutritionnelle et médicale donnée aux patients TBMR
(iii) l’hospitalisation des malades TBMR pendant la phase intensive jusqu’à la négativation des crachats, généralement entre 4 et 5 mois
(iv) l’application du Traitement Directement Observé (TDO) et post hospitalisation 
(v) le renforcement des capacités des prestataires/techniciens de promotion de la santé lors de la subvention TB 2016-2017 ; 
(vi) le suivi rigoureux des patients mis sous traitement antituberculeux de 2ème ligne ;
(vii) la supervision de qualité des CDT et CT par les coordonnateurs provinciaux et par le niveau central du PNILT
</v>
      </c>
      <c r="Z18" s="795" t="str">
        <f>IFERROR(IF(INDEX('Impact Outcome Indicators_1A'!S$11:S$80,MATCH('ImpactOutcome_Import-Export'!$B18,'Impact Outcome Indicators_1A'!$A$11:$A$80,0))="","",INDEX('Impact Outcome Indicators_1A'!S$11:S$80,MATCH('ImpactOutcome_Import-Export'!$B18,'Impact Outcome Indicators_1A'!$A$11:$A$80,0))),"")</f>
        <v/>
      </c>
      <c r="AA18" s="796" t="str">
        <f>IFERROR(IF(INDEX('Impact Outcome Indicators_1A'!T$11:T$80,MATCH('ImpactOutcome_Import-Export'!$B18,'Impact Outcome Indicators_1A'!$A$11:$A$80,0))="","",INDEX('Impact Outcome Indicators_1A'!T$11:T$80,MATCH('ImpactOutcome_Import-Export'!$B18,'Impact Outcome Indicators_1A'!$A$11:$A$80,0))),"")</f>
        <v/>
      </c>
      <c r="AB18" s="794" t="str">
        <f>IFERROR(IF(INDEX('Impact Outcome Indicators_1A'!U$11:U$80,MATCH('ImpactOutcome_Import-Export'!$B18,'Impact Outcome Indicators_1A'!$A$11:$A$80,0))="","",INDEX('Impact Outcome Indicators_1A'!U$11:U$80,MATCH('ImpactOutcome_Import-Export'!$B18,'Impact Outcome Indicators_1A'!$A$11:$A$80,0))),"")</f>
        <v/>
      </c>
      <c r="AC18" s="793" t="str">
        <f>IFERROR(IF(INDEX('Impact Outcome Indicators_1A'!V$11:V$80,MATCH('ImpactOutcome_Import-Export'!$B18,'Impact Outcome Indicators_1A'!$A$11:$A$80,0))="","",INDEX('Impact Outcome Indicators_1A'!V$11:V$80,MATCH('ImpactOutcome_Import-Export'!$B18,'Impact Outcome Indicators_1A'!$A$11:$A$80,0))),"")</f>
        <v/>
      </c>
      <c r="AD18" s="795" t="str">
        <f>IFERROR(IF(INDEX('Impact Outcome Indicators_1A'!W$11:W$80,MATCH('ImpactOutcome_Import-Export'!$B18,'Impact Outcome Indicators_1A'!$A$11:$A$80,0))="","",INDEX('Impact Outcome Indicators_1A'!W$11:W$80,MATCH('ImpactOutcome_Import-Export'!$B18,'Impact Outcome Indicators_1A'!$A$11:$A$80,0))),"")</f>
        <v/>
      </c>
      <c r="AE18" s="795" t="str">
        <f>IFERROR(IF(INDEX('Impact Outcome Indicators_1A'!X$11:X$80,MATCH('ImpactOutcome_Import-Export'!$B18,'Impact Outcome Indicators_1A'!$A$11:$A$80,0))="","",INDEX('Impact Outcome Indicators_1A'!X$11:X$80,MATCH('ImpactOutcome_Import-Export'!$B18,'Impact Outcome Indicators_1A'!$A$11:$A$80,0))),"")</f>
        <v/>
      </c>
      <c r="AF18" s="795" t="str">
        <f>IFERROR(IF(INDEX('Impact Outcome Indicators_1A'!Y$11:Y$80,MATCH('ImpactOutcome_Import-Export'!$B18,'Impact Outcome Indicators_1A'!$A$11:$A$80,0))="","",INDEX('Impact Outcome Indicators_1A'!Y$11:Y$80,MATCH('ImpactOutcome_Import-Export'!$B18,'Impact Outcome Indicators_1A'!$A$11:$A$80,0))),"")</f>
        <v/>
      </c>
      <c r="AG18" s="797"/>
      <c r="AH18" s="797"/>
      <c r="AI18" s="797"/>
      <c r="AJ18" s="797"/>
      <c r="AK18" s="797" t="str">
        <f>IFERROR(INDEX('Impact Outcome Indicators_1A'!AE$11:AE$80,MATCH('ImpactOutcome_Import-Export'!$B18,'Impact Outcome Indicators_1A'!$A$11:$A$80,0)),"")</f>
        <v>No Results Reported</v>
      </c>
      <c r="AL18" s="785">
        <v>4</v>
      </c>
    </row>
    <row r="19" spans="1:38" ht="270.75" x14ac:dyDescent="0.25">
      <c r="A19" s="771" t="s">
        <v>270</v>
      </c>
      <c r="B19" s="771" t="str">
        <f t="shared" si="4"/>
        <v>5Outcome</v>
      </c>
      <c r="C19" s="637">
        <f t="shared" si="5"/>
        <v>5</v>
      </c>
      <c r="D19" s="772" t="str">
        <f t="shared" si="6"/>
        <v>Outcome</v>
      </c>
      <c r="E19" s="786" t="s">
        <v>271</v>
      </c>
      <c r="F19" s="772" t="str">
        <f t="shared" si="3"/>
        <v>TB O-5(M): Couverture de traitement de la TB: Pourcentage de nouveaux cas et rechutes qui ont été notifiés et traités parmi le nombre estimé de cas de TB dans la même année (toutes formes de TB - bactériologiquement confirmées et cliniquement diagnostiquées)</v>
      </c>
      <c r="G19" s="786"/>
      <c r="H19" s="786" t="s">
        <v>272</v>
      </c>
      <c r="I19" s="786" t="s">
        <v>273</v>
      </c>
      <c r="J19" s="786"/>
      <c r="K19" s="786" t="s">
        <v>274</v>
      </c>
      <c r="L19" s="786" t="s">
        <v>225</v>
      </c>
      <c r="M19" s="791">
        <v>8870</v>
      </c>
      <c r="N19" s="785">
        <v>11172</v>
      </c>
      <c r="O19" s="791">
        <v>79.394915861081302</v>
      </c>
      <c r="P19" s="786" t="s">
        <v>250</v>
      </c>
      <c r="Q19" s="792">
        <v>43889</v>
      </c>
      <c r="R19" s="786" t="s">
        <v>37</v>
      </c>
      <c r="S19" s="788" t="s">
        <v>275</v>
      </c>
      <c r="T19" s="793">
        <f>IFERROR(IF(INDEX('Impact Outcome Indicators_1A'!L$11:L$80,MATCH('ImpactOutcome_Import-Export'!$B19,'Impact Outcome Indicators_1A'!$A$11:$A$80,0))="","",INDEX('Impact Outcome Indicators_1A'!L$11:L$80,MATCH('ImpactOutcome_Import-Export'!$B19,'Impact Outcome Indicators_1A'!$A$11:$A$80,0))),"")</f>
        <v>6827</v>
      </c>
      <c r="U19" s="794">
        <f>IFERROR(IF(INDEX('Impact Outcome Indicators_1A'!M$11:M$80,MATCH('ImpactOutcome_Import-Export'!$B19,'Impact Outcome Indicators_1A'!$A$11:$A$80,0))="","",INDEX('Impact Outcome Indicators_1A'!M$11:M$80,MATCH('ImpactOutcome_Import-Export'!$B19,'Impact Outcome Indicators_1A'!$A$11:$A$80,0))),"")</f>
        <v>8870</v>
      </c>
      <c r="V19" s="793">
        <f>IFERROR(IF(INDEX('Impact Outcome Indicators_1A'!N$11:N$80,MATCH('ImpactOutcome_Import-Export'!$B19,'Impact Outcome Indicators_1A'!$A$11:$A$80,0))="","",INDEX('Impact Outcome Indicators_1A'!N$11:N$80,MATCH('ImpactOutcome_Import-Export'!$B19,'Impact Outcome Indicators_1A'!$A$11:$A$80,0))),"")</f>
        <v>76.967305524239009</v>
      </c>
      <c r="W19" s="795">
        <f>IFERROR(IF(INDEX('Impact Outcome Indicators_1A'!O$11:O$80,MATCH('ImpactOutcome_Import-Export'!$B19,'Impact Outcome Indicators_1A'!$A$11:$A$80,0))="","",INDEX('Impact Outcome Indicators_1A'!O$11:O$80,MATCH('ImpactOutcome_Import-Export'!$B19,'Impact Outcome Indicators_1A'!$A$11:$A$80,0))),"")</f>
        <v>2019</v>
      </c>
      <c r="X19" s="795" t="str">
        <f>IFERROR(IF(INDEX('Impact Outcome Indicators_1A'!P$11:P$80,MATCH('ImpactOutcome_Import-Export'!$B19,'Impact Outcome Indicators_1A'!$A$11:$A$80,0))="","",INDEX('Impact Outcome Indicators_1A'!P$11:P$80,MATCH('ImpactOutcome_Import-Export'!$B19,'Impact Outcome Indicators_1A'!$A$11:$A$80,0))),"")</f>
        <v>TB patient register</v>
      </c>
      <c r="Y19" s="795" t="str">
        <f>IFERROR(IF(INDEX('Impact Outcome Indicators_1A'!Q$11:Q$80,MATCH('ImpactOutcome_Import-Export'!$B19,'Impact Outcome Indicators_1A'!$A$11:$A$80,0))="","",INDEX('Impact Outcome Indicators_1A'!Q$11:Q$80,MATCH('ImpactOutcome_Import-Export'!$B19,'Impact Outcome Indicators_1A'!$A$11:$A$80,0))),"")</f>
        <v xml:space="preserve">Le taux de couverture est de 77%. Nous l'avons renseigné conformément à la définition du cadre de performance. 
Numérateur: Nombre de nouveaux cas et rechutes TB notifiés et traités 
Dénominateur: Nombre estimé de cas de TB  (toutes formes de TB –bactériologiquement confirmées et cliniquement diagnostiquées) dans la même année
La performance du Programme initialement fixée à 85% ,n'a pas été atteinte.  Ce taux sera ajusté avec le Rapport de l'OMS </v>
      </c>
      <c r="Z19" s="795" t="str">
        <f>IFERROR(IF(INDEX('Impact Outcome Indicators_1A'!S$11:S$80,MATCH('ImpactOutcome_Import-Export'!$B19,'Impact Outcome Indicators_1A'!$A$11:$A$80,0))="","",INDEX('Impact Outcome Indicators_1A'!S$11:S$80,MATCH('ImpactOutcome_Import-Export'!$B19,'Impact Outcome Indicators_1A'!$A$11:$A$80,0))),"")</f>
        <v/>
      </c>
      <c r="AA19" s="796" t="str">
        <f>IFERROR(IF(INDEX('Impact Outcome Indicators_1A'!T$11:T$80,MATCH('ImpactOutcome_Import-Export'!$B19,'Impact Outcome Indicators_1A'!$A$11:$A$80,0))="","",INDEX('Impact Outcome Indicators_1A'!T$11:T$80,MATCH('ImpactOutcome_Import-Export'!$B19,'Impact Outcome Indicators_1A'!$A$11:$A$80,0))),"")</f>
        <v/>
      </c>
      <c r="AB19" s="794" t="str">
        <f>IFERROR(IF(INDEX('Impact Outcome Indicators_1A'!U$11:U$80,MATCH('ImpactOutcome_Import-Export'!$B19,'Impact Outcome Indicators_1A'!$A$11:$A$80,0))="","",INDEX('Impact Outcome Indicators_1A'!U$11:U$80,MATCH('ImpactOutcome_Import-Export'!$B19,'Impact Outcome Indicators_1A'!$A$11:$A$80,0))),"")</f>
        <v/>
      </c>
      <c r="AC19" s="793" t="str">
        <f>IFERROR(IF(INDEX('Impact Outcome Indicators_1A'!V$11:V$80,MATCH('ImpactOutcome_Import-Export'!$B19,'Impact Outcome Indicators_1A'!$A$11:$A$80,0))="","",INDEX('Impact Outcome Indicators_1A'!V$11:V$80,MATCH('ImpactOutcome_Import-Export'!$B19,'Impact Outcome Indicators_1A'!$A$11:$A$80,0))),"")</f>
        <v/>
      </c>
      <c r="AD19" s="795" t="str">
        <f>IFERROR(IF(INDEX('Impact Outcome Indicators_1A'!W$11:W$80,MATCH('ImpactOutcome_Import-Export'!$B19,'Impact Outcome Indicators_1A'!$A$11:$A$80,0))="","",INDEX('Impact Outcome Indicators_1A'!W$11:W$80,MATCH('ImpactOutcome_Import-Export'!$B19,'Impact Outcome Indicators_1A'!$A$11:$A$80,0))),"")</f>
        <v/>
      </c>
      <c r="AE19" s="795" t="str">
        <f>IFERROR(IF(INDEX('Impact Outcome Indicators_1A'!X$11:X$80,MATCH('ImpactOutcome_Import-Export'!$B19,'Impact Outcome Indicators_1A'!$A$11:$A$80,0))="","",INDEX('Impact Outcome Indicators_1A'!X$11:X$80,MATCH('ImpactOutcome_Import-Export'!$B19,'Impact Outcome Indicators_1A'!$A$11:$A$80,0))),"")</f>
        <v/>
      </c>
      <c r="AF19" s="795" t="str">
        <f>IFERROR(IF(INDEX('Impact Outcome Indicators_1A'!Y$11:Y$80,MATCH('ImpactOutcome_Import-Export'!$B19,'Impact Outcome Indicators_1A'!$A$11:$A$80,0))="","",INDEX('Impact Outcome Indicators_1A'!Y$11:Y$80,MATCH('ImpactOutcome_Import-Export'!$B19,'Impact Outcome Indicators_1A'!$A$11:$A$80,0))),"")</f>
        <v/>
      </c>
      <c r="AG19" s="797"/>
      <c r="AH19" s="797"/>
      <c r="AI19" s="797"/>
      <c r="AJ19" s="797"/>
      <c r="AK19" s="797" t="str">
        <f>IFERROR(INDEX('Impact Outcome Indicators_1A'!AE$11:AE$80,MATCH('ImpactOutcome_Import-Export'!$B19,'Impact Outcome Indicators_1A'!$A$11:$A$80,0)),"")</f>
        <v>No Results Reported</v>
      </c>
      <c r="AL19" s="785">
        <v>5</v>
      </c>
    </row>
    <row r="20" spans="1:38" ht="409.6" x14ac:dyDescent="0.25">
      <c r="A20" s="771" t="s">
        <v>276</v>
      </c>
      <c r="B20" s="771" t="str">
        <f t="shared" si="4"/>
        <v>6Outcome</v>
      </c>
      <c r="C20" s="637">
        <f t="shared" si="5"/>
        <v>6</v>
      </c>
      <c r="D20" s="772" t="str">
        <f t="shared" si="6"/>
        <v>Outcome</v>
      </c>
      <c r="E20" s="786" t="s">
        <v>277</v>
      </c>
      <c r="F20" s="772" t="str">
        <f t="shared" si="3"/>
        <v>HIV O-1(M): Pourcentage d'adultes et d'enfants vivant avec le VIH et sous traitement 12 mois après le début du traitement antirétroviral</v>
      </c>
      <c r="G20" s="786"/>
      <c r="H20" s="786" t="s">
        <v>278</v>
      </c>
      <c r="I20" s="786" t="s">
        <v>279</v>
      </c>
      <c r="J20" s="786"/>
      <c r="K20" s="786" t="s">
        <v>280</v>
      </c>
      <c r="L20" s="786" t="s">
        <v>217</v>
      </c>
      <c r="M20" s="791"/>
      <c r="N20" s="785"/>
      <c r="O20" s="791">
        <v>92</v>
      </c>
      <c r="P20" s="786" t="s">
        <v>250</v>
      </c>
      <c r="Q20" s="792">
        <v>43876</v>
      </c>
      <c r="R20" s="786" t="s">
        <v>37</v>
      </c>
      <c r="S20" s="788" t="s">
        <v>281</v>
      </c>
      <c r="T20" s="793" t="str">
        <f>IFERROR(IF(INDEX('Impact Outcome Indicators_1A'!L$11:L$80,MATCH('ImpactOutcome_Import-Export'!$B20,'Impact Outcome Indicators_1A'!$A$11:$A$80,0))="","",INDEX('Impact Outcome Indicators_1A'!L$11:L$80,MATCH('ImpactOutcome_Import-Export'!$B20,'Impact Outcome Indicators_1A'!$A$11:$A$80,0))),"")</f>
        <v/>
      </c>
      <c r="U20" s="794" t="str">
        <f>IFERROR(IF(INDEX('Impact Outcome Indicators_1A'!M$11:M$80,MATCH('ImpactOutcome_Import-Export'!$B20,'Impact Outcome Indicators_1A'!$A$11:$A$80,0))="","",INDEX('Impact Outcome Indicators_1A'!M$11:M$80,MATCH('ImpactOutcome_Import-Export'!$B20,'Impact Outcome Indicators_1A'!$A$11:$A$80,0))),"")</f>
        <v/>
      </c>
      <c r="V20" s="793" t="str">
        <f>IFERROR(IF(INDEX('Impact Outcome Indicators_1A'!N$11:N$80,MATCH('ImpactOutcome_Import-Export'!$B20,'Impact Outcome Indicators_1A'!$A$11:$A$80,0))="","",INDEX('Impact Outcome Indicators_1A'!N$11:N$80,MATCH('ImpactOutcome_Import-Export'!$B20,'Impact Outcome Indicators_1A'!$A$11:$A$80,0))),"")</f>
        <v/>
      </c>
      <c r="W20" s="795" t="str">
        <f>IFERROR(IF(INDEX('Impact Outcome Indicators_1A'!O$11:O$80,MATCH('ImpactOutcome_Import-Export'!$B20,'Impact Outcome Indicators_1A'!$A$11:$A$80,0))="","",INDEX('Impact Outcome Indicators_1A'!O$11:O$80,MATCH('ImpactOutcome_Import-Export'!$B20,'Impact Outcome Indicators_1A'!$A$11:$A$80,0))),"")</f>
        <v/>
      </c>
      <c r="X20" s="795" t="str">
        <f>IFERROR(IF(INDEX('Impact Outcome Indicators_1A'!P$11:P$80,MATCH('ImpactOutcome_Import-Export'!$B20,'Impact Outcome Indicators_1A'!$A$11:$A$80,0))="","",INDEX('Impact Outcome Indicators_1A'!P$11:P$80,MATCH('ImpactOutcome_Import-Export'!$B20,'Impact Outcome Indicators_1A'!$A$11:$A$80,0))),"")</f>
        <v/>
      </c>
      <c r="Y20" s="795" t="str">
        <f>IFERROR(IF(INDEX('Impact Outcome Indicators_1A'!Q$11:Q$80,MATCH('ImpactOutcome_Import-Export'!$B20,'Impact Outcome Indicators_1A'!$A$11:$A$80,0))="","",INDEX('Impact Outcome Indicators_1A'!Q$11:Q$80,MATCH('ImpactOutcome_Import-Export'!$B20,'Impact Outcome Indicators_1A'!$A$11:$A$80,0))),"")</f>
        <v>Le PR ne peut pas renseigner cet indicateur car l'outil approprié pour le suivi de la cohorte est le logiciel Sidainfo car il permet de saisir les données individuelles. Pour le moment,ce logiciel n'est pas fonctionnel dans tous  les sites ARV pendant qu'il n'est pas à jour même là où il est installé.Lors du précédent PU, le PR s'était arrangé pour renseigner cet indicateur en utilisant les données de DHIS2, ce mode de calcul n'a pas été approuvé par le FM</v>
      </c>
      <c r="Z20" s="795" t="str">
        <f>IFERROR(IF(INDEX('Impact Outcome Indicators_1A'!S$11:S$80,MATCH('ImpactOutcome_Import-Export'!$B20,'Impact Outcome Indicators_1A'!$A$11:$A$80,0))="","",INDEX('Impact Outcome Indicators_1A'!S$11:S$80,MATCH('ImpactOutcome_Import-Export'!$B20,'Impact Outcome Indicators_1A'!$A$11:$A$80,0))),"")</f>
        <v/>
      </c>
      <c r="AA20" s="796" t="str">
        <f>IFERROR(IF(INDEX('Impact Outcome Indicators_1A'!T$11:T$80,MATCH('ImpactOutcome_Import-Export'!$B20,'Impact Outcome Indicators_1A'!$A$11:$A$80,0))="","",INDEX('Impact Outcome Indicators_1A'!T$11:T$80,MATCH('ImpactOutcome_Import-Export'!$B20,'Impact Outcome Indicators_1A'!$A$11:$A$80,0))),"")</f>
        <v/>
      </c>
      <c r="AB20" s="794" t="str">
        <f>IFERROR(IF(INDEX('Impact Outcome Indicators_1A'!U$11:U$80,MATCH('ImpactOutcome_Import-Export'!$B20,'Impact Outcome Indicators_1A'!$A$11:$A$80,0))="","",INDEX('Impact Outcome Indicators_1A'!U$11:U$80,MATCH('ImpactOutcome_Import-Export'!$B20,'Impact Outcome Indicators_1A'!$A$11:$A$80,0))),"")</f>
        <v/>
      </c>
      <c r="AC20" s="793" t="str">
        <f>IFERROR(IF(INDEX('Impact Outcome Indicators_1A'!V$11:V$80,MATCH('ImpactOutcome_Import-Export'!$B20,'Impact Outcome Indicators_1A'!$A$11:$A$80,0))="","",INDEX('Impact Outcome Indicators_1A'!V$11:V$80,MATCH('ImpactOutcome_Import-Export'!$B20,'Impact Outcome Indicators_1A'!$A$11:$A$80,0))),"")</f>
        <v/>
      </c>
      <c r="AD20" s="795" t="str">
        <f>IFERROR(IF(INDEX('Impact Outcome Indicators_1A'!W$11:W$80,MATCH('ImpactOutcome_Import-Export'!$B20,'Impact Outcome Indicators_1A'!$A$11:$A$80,0))="","",INDEX('Impact Outcome Indicators_1A'!W$11:W$80,MATCH('ImpactOutcome_Import-Export'!$B20,'Impact Outcome Indicators_1A'!$A$11:$A$80,0))),"")</f>
        <v/>
      </c>
      <c r="AE20" s="795" t="str">
        <f>IFERROR(IF(INDEX('Impact Outcome Indicators_1A'!X$11:X$80,MATCH('ImpactOutcome_Import-Export'!$B20,'Impact Outcome Indicators_1A'!$A$11:$A$80,0))="","",INDEX('Impact Outcome Indicators_1A'!X$11:X$80,MATCH('ImpactOutcome_Import-Export'!$B20,'Impact Outcome Indicators_1A'!$A$11:$A$80,0))),"")</f>
        <v/>
      </c>
      <c r="AF20" s="795" t="str">
        <f>IFERROR(IF(INDEX('Impact Outcome Indicators_1A'!Y$11:Y$80,MATCH('ImpactOutcome_Import-Export'!$B20,'Impact Outcome Indicators_1A'!$A$11:$A$80,0))="","",INDEX('Impact Outcome Indicators_1A'!Y$11:Y$80,MATCH('ImpactOutcome_Import-Export'!$B20,'Impact Outcome Indicators_1A'!$A$11:$A$80,0))),"")</f>
        <v/>
      </c>
      <c r="AG20" s="797"/>
      <c r="AH20" s="797"/>
      <c r="AI20" s="797"/>
      <c r="AJ20" s="797"/>
      <c r="AK20" s="797" t="str">
        <f>IFERROR(INDEX('Impact Outcome Indicators_1A'!AE$11:AE$80,MATCH('ImpactOutcome_Import-Export'!$B20,'Impact Outcome Indicators_1A'!$A$11:$A$80,0)),"")</f>
        <v>No Results Reported</v>
      </c>
      <c r="AL20" s="785">
        <v>6</v>
      </c>
    </row>
    <row r="21" spans="1:38" x14ac:dyDescent="0.25">
      <c r="D21" s="1058"/>
      <c r="E21" s="1059"/>
      <c r="F21" s="1059"/>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60"/>
    </row>
  </sheetData>
  <mergeCells count="16">
    <mergeCell ref="B3:B4"/>
    <mergeCell ref="F3:F4"/>
    <mergeCell ref="AL3:AL4"/>
    <mergeCell ref="AK3:AK4"/>
    <mergeCell ref="AA3:AC3"/>
    <mergeCell ref="AD3:AD4"/>
    <mergeCell ref="AE3:AE4"/>
    <mergeCell ref="AF3:AF4"/>
    <mergeCell ref="AG3:AI3"/>
    <mergeCell ref="AJ3:AJ4"/>
    <mergeCell ref="T3:V3"/>
    <mergeCell ref="D1:F1"/>
    <mergeCell ref="W3:W4"/>
    <mergeCell ref="X3:X4"/>
    <mergeCell ref="Y3:Y4"/>
    <mergeCell ref="Z3:Z4"/>
  </mergeCells>
  <dataValidations count="30">
    <dataValidation type="custom" allowBlank="1" showInputMessage="1" showErrorMessage="1" errorTitle="X-Author for Excel" error="Id and Lookup fields are not editable." promptTitle="X-Author for Excel" sqref="A7:A10 A14:A20" xr:uid="{00000000-0002-0000-0500-000000000000}">
      <formula1>""</formula1>
    </dataValidation>
    <dataValidation type="list" allowBlank="1" showInputMessage="1" showErrorMessage="1" errorTitle="X-Author for Excel" error="Please select a value from the drop-down." promptTitle="X-Author for Excel" sqref="L7:L10" xr:uid="{00000000-0002-0000-0500-000001000000}">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 to 10000000000000." promptTitle="X-Author for Excel" sqref="M7:M10" xr:uid="{00000000-0002-0000-0500-000002000000}">
      <formula1>-10000000000000</formula1>
      <formula2>10000000000000</formula2>
    </dataValidation>
    <dataValidation type="decimal" allowBlank="1" showInputMessage="1" showErrorMessage="1" errorTitle="X-Author for Excel" error="Please enter a valid numeric value. Valid range for Target D# is -1E+16 to 1E+16." promptTitle="X-Author for Excel" sqref="N7:N10 N14:N20" xr:uid="{00000000-0002-0000-0500-000003000000}">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10 O14:O20" xr:uid="{00000000-0002-0000-0500-000004000000}">
      <formula1>-999.99</formula1>
      <formula2>999.99</formula2>
    </dataValidation>
    <dataValidation type="list" allowBlank="1" showInputMessage="1" showErrorMessage="1" errorTitle="X-Author for Excel" error="Please select a value from the drop-down." promptTitle="X-Author for Excel" sqref="P7:P10" xr:uid="{00000000-0002-0000-0500-000005000000}">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10 Q14:Q20" xr:uid="{00000000-0002-0000-0500-000006000000}">
      <formula1>1</formula1>
      <formula2>767376</formula2>
    </dataValidation>
    <dataValidation type="decimal" allowBlank="1" showInputMessage="1" showErrorMessage="1" errorTitle="X-Author for Excel" error="Please enter a valid numeric value. Valid range for Result N#  (PR) is -10000000000000 to 10000000000000." promptTitle="X-Author for Excel" sqref="T7:T10" xr:uid="{00000000-0002-0000-0500-000007000000}">
      <formula1>-10000000000000</formula1>
      <formula2>10000000000000</formula2>
    </dataValidation>
    <dataValidation type="decimal" allowBlank="1" showInputMessage="1" showErrorMessage="1" errorTitle="X-Author for Excel" error="Please enter a valid numeric value. Valid range for Result D# (PR) is -1E+16 to 1E+16." promptTitle="X-Author for Excel" sqref="U7:U10 U14:U20" xr:uid="{00000000-0002-0000-0500-000008000000}">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10 V14:V20" xr:uid="{00000000-0002-0000-0500-000009000000}">
      <formula1>-999.99</formula1>
      <formula2>999.99</formula2>
    </dataValidation>
    <dataValidation type="list" allowBlank="1" showInputMessage="1" showErrorMessage="1" errorTitle="X-Author for Excel" error="Please select a value from the drop-down." promptTitle="X-Author for Excel" sqref="W7:W10" xr:uid="{00000000-0002-0000-0500-00000A000000}">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X7:X10" xr:uid="{00000000-0002-0000-0500-00000B000000}">
      <formula1>IF(IFERROR(ROWS(INDIRECT(SUBSTITUTE("AIM_Impact_Indicator_Targets_Results__c.AIM_Data_Source_Result_PR__c"," ","_"))),-1) &lt; 0, XAuthorInvalidPicklistData,INDIRECT(SUBSTITUTE("AIM_Impact_Indicator_Targets_Results__c.AIM_Data_Source_Result_PR__c"," ","_")))</formula1>
    </dataValidation>
    <dataValidation type="list" allowBlank="1" showInputMessage="1" showErrorMessage="1" errorTitle="X-Author for Excel" error="Please select a value from the drop-down." promptTitle="X-Author for Excel" sqref="Z7:Z10" xr:uid="{00000000-0002-0000-0500-00000C000000}">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10" xr:uid="{00000000-0002-0000-0500-00000D000000}">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10 AB14:AB20" xr:uid="{00000000-0002-0000-0500-00000E000000}">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10 AC14:AC20" xr:uid="{00000000-0002-0000-0500-00000F000000}">
      <formula1>-999.99</formula1>
      <formula2>999.99</formula2>
    </dataValidation>
    <dataValidation type="list" allowBlank="1" showInputMessage="1" showErrorMessage="1" errorTitle="X-Author for Excel" error="Please select a value from the drop-down." promptTitle="X-Author for Excel" sqref="AD7:AD10" xr:uid="{00000000-0002-0000-0500-000010000000}">
      <formula1>IF(IFERROR(ROWS(INDIRECT(SUBSTITUTE("AIM_Impact_Indicator_Targets_Results__c.AIM_Year_of_Result_LFA__c"," ","_"))),-1) &lt; 0, XAuthorInvalidPicklistData,INDIRECT(SUBSTITUTE("AIM_Impact_Indicator_Targets_Results__c.AIM_Year_of_Result_LFA__c"," ","_")))</formula1>
    </dataValidation>
    <dataValidation type="list" allowBlank="1" showInputMessage="1" showErrorMessage="1" errorTitle="X-Author for Excel" error="Please select a value from the drop-down." promptTitle="X-Author for Excel" sqref="AE7:AE10" xr:uid="{00000000-0002-0000-0500-000011000000}">
      <formula1>IF(IFERROR(ROWS(INDIRECT(SUBSTITUTE("AIM_Impact_Indicator_Targets_Results__c.AIM_Data_Source_Result_LFA__c"," ","_"))),-1) &lt; 0, XAuthorInvalidPicklistData,INDIRECT(SUBSTITUTE("AIM_Impact_Indicator_Targets_Results__c.AIM_Data_Source_Result_LFA__c"," ","_")))</formula1>
    </dataValidation>
    <dataValidation type="decimal" allowBlank="1" showInputMessage="1" showErrorMessage="1" errorTitle="X-Author for Excel" error="Please enter a valid numeric value. Valid range for Impact Indicator Number is -1E+18 to 1E+18." promptTitle="X-Author for Excel" sqref="AL7:AL10" xr:uid="{00000000-0002-0000-0500-000012000000}">
      <formula1>-1000000000000000000</formula1>
      <formula2>1000000000000000000</formula2>
    </dataValidation>
    <dataValidation type="list" allowBlank="1" showInputMessage="1" showErrorMessage="1" errorTitle="X-Author for Excel" error="Please select a value from the drop-down." promptTitle="X-Author for Excel" sqref="L14:L20" xr:uid="{00000000-0002-0000-0500-000013000000}">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Target N# is -1E+16 to 1E+16." promptTitle="X-Author for Excel" sqref="M14:M20" xr:uid="{00000000-0002-0000-0500-000014000000}">
      <formula1>-10000000000000000</formula1>
      <formula2>10000000000000000</formula2>
    </dataValidation>
    <dataValidation type="list" allowBlank="1" showInputMessage="1" showErrorMessage="1" errorTitle="X-Author for Excel" error="Please select a value from the drop-down." promptTitle="X-Author for Excel" sqref="P14:P20" xr:uid="{00000000-0002-0000-0500-000015000000}">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Result N#  (PR) is -1E+16 to 1E+16." promptTitle="X-Author for Excel" sqref="T14:T20" xr:uid="{00000000-0002-0000-0500-000016000000}">
      <formula1>-10000000000000000</formula1>
      <formula2>10000000000000000</formula2>
    </dataValidation>
    <dataValidation type="list" allowBlank="1" showInputMessage="1" showErrorMessage="1" errorTitle="X-Author for Excel" error="Please select a value from the drop-down." promptTitle="X-Author for Excel" sqref="W14:W20" xr:uid="{00000000-0002-0000-0500-000017000000}">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X14:X20" xr:uid="{00000000-0002-0000-0500-000018000000}">
      <formula1>IF(IFERROR(ROWS(INDIRECT(SUBSTITUTE("AIM_Outcome_Indicator_Targets_Result__c.AIM_Data_Source_Result_PR__c"," ","_"))),-1) &lt; 0, XAuthorInvalidPicklistData,INDIRECT(SUBSTITUTE("AIM_Outcome_Indicator_Targets_Result__c.AIM_Data_Source_Result_PR__c"," ","_")))</formula1>
    </dataValidation>
    <dataValidation type="list" allowBlank="1" showInputMessage="1" showErrorMessage="1" errorTitle="X-Author for Excel" error="Please select a value from the drop-down." promptTitle="X-Author for Excel" sqref="Z14:Z20" xr:uid="{00000000-0002-0000-0500-000019000000}">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4:AA20" xr:uid="{00000000-0002-0000-0500-00001A000000}">
      <formula1>-10000000000000000</formula1>
      <formula2>10000000000000000</formula2>
    </dataValidation>
    <dataValidation type="list" allowBlank="1" showInputMessage="1" showErrorMessage="1" errorTitle="X-Author for Excel" error="Please select a value from the drop-down." promptTitle="X-Author for Excel" sqref="AD14:AD20" xr:uid="{00000000-0002-0000-0500-00001B000000}">
      <formula1>IF(IFERROR(ROWS(INDIRECT(SUBSTITUTE("AIM_Outcome_Indicator_Targets_Result__c.AIM_Year_of_Result_LFA__c"," ","_"))),-1) &lt; 0, XAuthorInvalidPicklistData,INDIRECT(SUBSTITUTE("AIM_Outcome_Indicator_Targets_Result__c.AIM_Year_of_Result_LFA__c"," ","_")))</formula1>
    </dataValidation>
    <dataValidation type="list" allowBlank="1" showInputMessage="1" showErrorMessage="1" errorTitle="X-Author for Excel" error="Please select a value from the drop-down." promptTitle="X-Author for Excel" sqref="AE14:AE20" xr:uid="{00000000-0002-0000-0500-00001C000000}">
      <formula1>IF(IFERROR(ROWS(INDIRECT(SUBSTITUTE("AIM_Outcome_Indicator_Targets_Result__c.AIM_Data_Source_Result_LFA__c"," ","_"))),-1) &lt; 0, XAuthorInvalidPicklistData,INDIRECT(SUBSTITUTE("AIM_Outcome_Indicator_Targets_Result__c.AIM_Data_Source_Result_LFA__c"," ","_")))</formula1>
    </dataValidation>
    <dataValidation type="decimal" allowBlank="1" showInputMessage="1" showErrorMessage="1" errorTitle="X-Author for Excel" error="Please enter a valid numeric value. Valid range for Outcome Indicator Number is -1E+18 to 1E+18." promptTitle="X-Author for Excel" sqref="AL14:AL20" xr:uid="{00000000-0002-0000-0500-00001D000000}">
      <formula1>-1000000000000000000</formula1>
      <formula2>1000000000000000000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92D050"/>
  </sheetPr>
  <dimension ref="A1:W100"/>
  <sheetViews>
    <sheetView topLeftCell="B8" zoomScale="70" zoomScaleNormal="70" workbookViewId="0">
      <selection activeCell="D11" sqref="D11"/>
    </sheetView>
  </sheetViews>
  <sheetFormatPr baseColWidth="10" defaultColWidth="9.140625" defaultRowHeight="15" x14ac:dyDescent="0.2"/>
  <cols>
    <col min="1" max="1" width="13" style="648" hidden="1" customWidth="1"/>
    <col min="2" max="2" width="15.140625" style="33" customWidth="1"/>
    <col min="3" max="3" width="43.85546875" style="33" customWidth="1"/>
    <col min="4" max="4" width="27.140625" style="33" customWidth="1"/>
    <col min="5" max="5" width="18.85546875" style="33" customWidth="1"/>
    <col min="6" max="6" width="11.85546875" style="33" customWidth="1"/>
    <col min="7" max="7" width="15.140625" style="33" customWidth="1"/>
    <col min="8" max="10" width="17.42578125" style="33" customWidth="1"/>
    <col min="11" max="11" width="18.5703125" style="33" customWidth="1"/>
    <col min="12" max="12" width="17.85546875" style="33" customWidth="1"/>
    <col min="13" max="13" width="42.140625" style="33" customWidth="1"/>
    <col min="14" max="14" width="42.140625" style="33" hidden="1" customWidth="1"/>
    <col min="15" max="15" width="12.5703125" style="33" customWidth="1"/>
    <col min="16" max="16" width="21.140625" style="33" customWidth="1"/>
    <col min="17" max="17" width="52.5703125" style="33" customWidth="1"/>
    <col min="18" max="18" width="52.5703125" style="33" hidden="1" customWidth="1"/>
    <col min="19" max="19" width="18.85546875" style="33" customWidth="1"/>
    <col min="20" max="20" width="17.85546875" style="33" customWidth="1"/>
    <col min="21" max="21" width="43.42578125" style="33" customWidth="1"/>
    <col min="22" max="22" width="6.140625" style="33" hidden="1" customWidth="1"/>
    <col min="23" max="16384" width="9.140625" style="33"/>
  </cols>
  <sheetData>
    <row r="1" spans="1:23" ht="45.75" customHeight="1" thickBot="1" x14ac:dyDescent="0.25">
      <c r="B1" s="38" t="str">
        <f>CoverSheet!A1</f>
        <v>Rapport périodique sur les résultats actuels et demande de décaissement</v>
      </c>
      <c r="C1" s="39"/>
      <c r="D1" s="39"/>
      <c r="E1" s="39"/>
      <c r="F1" s="39"/>
      <c r="G1" s="39"/>
      <c r="H1" s="39"/>
      <c r="I1" s="39"/>
      <c r="J1" s="39"/>
      <c r="K1" s="39"/>
      <c r="L1" s="39"/>
      <c r="M1" s="39"/>
      <c r="N1" s="39"/>
      <c r="O1" s="39"/>
      <c r="P1" s="39"/>
      <c r="Q1" s="39"/>
      <c r="R1" s="39"/>
      <c r="S1" s="39"/>
      <c r="T1" s="39"/>
      <c r="U1" s="39"/>
      <c r="V1" s="40"/>
    </row>
    <row r="2" spans="1:23" ht="13.5" customHeight="1" x14ac:dyDescent="0.2">
      <c r="B2" s="35"/>
      <c r="C2" s="34"/>
      <c r="D2" s="34"/>
      <c r="E2" s="34"/>
      <c r="F2" s="34"/>
      <c r="G2" s="34"/>
      <c r="H2" s="34"/>
      <c r="I2" s="34"/>
      <c r="J2" s="34"/>
      <c r="K2" s="34"/>
      <c r="L2" s="34"/>
      <c r="M2" s="34"/>
      <c r="N2" s="34"/>
      <c r="O2" s="34"/>
      <c r="P2" s="34"/>
      <c r="Q2" s="34"/>
      <c r="R2" s="34"/>
      <c r="S2" s="34"/>
      <c r="T2" s="34"/>
      <c r="U2" s="34"/>
      <c r="V2" s="34"/>
      <c r="W2" s="34"/>
    </row>
    <row r="3" spans="1:23" ht="45" customHeight="1" x14ac:dyDescent="0.2">
      <c r="B3" s="1014" t="str">
        <f>VLOOKUP(Translations!B31,Translations!B3:H508,4,0)</f>
        <v>Section 1 : Information programmatique</v>
      </c>
      <c r="C3" s="1015"/>
      <c r="D3" s="1015"/>
      <c r="E3" s="1015"/>
      <c r="F3" s="1015"/>
      <c r="G3" s="1015"/>
      <c r="H3" s="1015"/>
      <c r="I3" s="1015"/>
      <c r="J3" s="1015"/>
      <c r="K3" s="1015"/>
      <c r="L3" s="1015"/>
      <c r="M3" s="1015"/>
      <c r="N3" s="1015"/>
      <c r="O3" s="1015"/>
      <c r="P3" s="1015"/>
      <c r="Q3" s="1015"/>
      <c r="R3" s="1015"/>
      <c r="S3" s="1015"/>
      <c r="T3" s="1015"/>
      <c r="U3" s="1015"/>
      <c r="V3" s="1016"/>
    </row>
    <row r="4" spans="1:23" x14ac:dyDescent="0.2">
      <c r="B4" s="34"/>
      <c r="C4" s="34"/>
      <c r="D4" s="34"/>
      <c r="E4" s="34"/>
      <c r="F4" s="34"/>
      <c r="G4" s="34"/>
      <c r="H4" s="34"/>
      <c r="I4" s="34"/>
      <c r="J4" s="34"/>
      <c r="K4" s="34"/>
      <c r="L4" s="34"/>
      <c r="M4" s="34"/>
      <c r="N4" s="34"/>
      <c r="O4" s="34"/>
      <c r="P4" s="34"/>
      <c r="Q4" s="34"/>
      <c r="R4" s="34"/>
      <c r="S4" s="34"/>
      <c r="T4" s="34"/>
      <c r="U4" s="34"/>
      <c r="V4" s="34"/>
    </row>
    <row r="5" spans="1:23" ht="90.75" customHeight="1" x14ac:dyDescent="0.2">
      <c r="B5" s="1452" t="s">
        <v>282</v>
      </c>
      <c r="C5" s="1453"/>
      <c r="D5" s="1453"/>
      <c r="E5" s="1453"/>
      <c r="F5" s="1453"/>
      <c r="G5" s="1453"/>
      <c r="H5" s="1453"/>
      <c r="I5" s="1453"/>
      <c r="J5" s="1453"/>
      <c r="K5" s="1453"/>
      <c r="L5" s="1453"/>
      <c r="M5" s="1453"/>
      <c r="N5" s="1453"/>
      <c r="O5" s="1453"/>
      <c r="P5" s="1453"/>
      <c r="Q5" s="1453"/>
      <c r="R5" s="1061"/>
      <c r="S5" s="1018"/>
      <c r="T5" s="1018"/>
      <c r="U5" s="1018"/>
      <c r="V5" s="1019"/>
    </row>
    <row r="6" spans="1:23" x14ac:dyDescent="0.2">
      <c r="B6" s="34"/>
      <c r="C6" s="34"/>
      <c r="D6" s="34"/>
      <c r="E6" s="34"/>
      <c r="F6" s="34"/>
      <c r="G6" s="34"/>
      <c r="H6" s="34"/>
      <c r="I6" s="34"/>
      <c r="J6" s="34"/>
      <c r="K6" s="34"/>
      <c r="L6" s="34"/>
      <c r="M6" s="34"/>
      <c r="N6" s="34"/>
      <c r="O6" s="34"/>
      <c r="P6" s="34"/>
      <c r="Q6" s="34"/>
      <c r="R6" s="34"/>
      <c r="S6" s="34"/>
      <c r="T6" s="34"/>
      <c r="U6" s="34"/>
      <c r="V6" s="34"/>
    </row>
    <row r="7" spans="1:23" ht="39" customHeight="1" x14ac:dyDescent="0.2">
      <c r="B7" s="1020" t="str">
        <f>VLOOKUP(Translations!B63,Translations!B63:H508,4,0)</f>
        <v>A- Indicateurs d'impact / d'effet - Ventilation</v>
      </c>
      <c r="C7" s="1021"/>
      <c r="D7" s="1021"/>
      <c r="E7" s="1021"/>
      <c r="F7" s="1021"/>
      <c r="G7" s="1021"/>
      <c r="H7" s="1021"/>
      <c r="I7" s="1021"/>
      <c r="J7" s="1021"/>
      <c r="K7" s="1021"/>
      <c r="L7" s="1021"/>
      <c r="M7" s="1021"/>
      <c r="N7" s="1021"/>
      <c r="O7" s="1021"/>
      <c r="P7" s="1021"/>
      <c r="Q7" s="1021"/>
      <c r="R7" s="1021"/>
      <c r="S7" s="1021"/>
      <c r="T7" s="1021"/>
      <c r="U7" s="1021"/>
      <c r="V7" s="1022"/>
    </row>
    <row r="8" spans="1:23" ht="18.75" customHeight="1" thickBot="1" x14ac:dyDescent="0.25">
      <c r="B8" s="36"/>
      <c r="C8" s="37"/>
      <c r="D8" s="37"/>
      <c r="E8" s="37"/>
      <c r="F8" s="37"/>
      <c r="G8" s="37"/>
      <c r="H8" s="37"/>
      <c r="I8" s="37"/>
      <c r="J8" s="37"/>
      <c r="K8" s="37"/>
      <c r="L8" s="37"/>
      <c r="M8" s="37"/>
      <c r="N8" s="404"/>
      <c r="O8" s="37"/>
      <c r="P8" s="37"/>
      <c r="Q8" s="37"/>
      <c r="R8" s="404"/>
      <c r="S8" s="37"/>
      <c r="T8" s="37"/>
      <c r="U8" s="37"/>
      <c r="V8" s="404"/>
    </row>
    <row r="9" spans="1:23" ht="28.5" customHeight="1" x14ac:dyDescent="0.2">
      <c r="A9" s="648" t="s">
        <v>283</v>
      </c>
      <c r="B9" s="1454" t="str">
        <f>VLOOKUP(Translations!B34,Translations!B3:H508,4,0)</f>
        <v xml:space="preserve">Impact / Effet </v>
      </c>
      <c r="C9" s="1456" t="str">
        <f>VLOOKUP(Translations!B65,Translations!B3:H508,4,0)</f>
        <v>Indicateurs standard</v>
      </c>
      <c r="D9" s="1456" t="str">
        <f>VLOOKUP(Translations!B66,Translations!B3:H508,4,0)</f>
        <v>Ventilation</v>
      </c>
      <c r="E9" s="1456" t="str">
        <f>VLOOKUP(Translations!B67,Translations!B3:H508,4,0)</f>
        <v xml:space="preserve">Catégorie </v>
      </c>
      <c r="F9" s="1456" t="str">
        <f>VLOOKUP(Translations!B69,Translations!B3:H508,4,0)</f>
        <v>Référence</v>
      </c>
      <c r="G9" s="1456"/>
      <c r="H9" s="1456"/>
      <c r="I9" s="1456" t="str">
        <f>VLOOKUP(Translations!B72,Translations!B3:H508,4,0)</f>
        <v>Ventilation Année de la cible</v>
      </c>
      <c r="J9" s="1433" t="str">
        <f>VLOOKUP(586,Translations!B3:H793,4,0)</f>
        <v>Géographie</v>
      </c>
      <c r="K9" s="1446" t="str">
        <f>VLOOKUP(Translations!B73,Translations!B3:H508,4,0)</f>
        <v>Résultats</v>
      </c>
      <c r="L9" s="1446"/>
      <c r="M9" s="1446" t="str">
        <f>VLOOKUP(Translations!B76,Translations!B3:H508,4,0)</f>
        <v>Commentaires</v>
      </c>
      <c r="N9" s="1446"/>
      <c r="O9" s="1448" t="s">
        <v>165</v>
      </c>
      <c r="P9" s="1448"/>
      <c r="Q9" s="1448" t="s">
        <v>284</v>
      </c>
      <c r="R9" s="1456"/>
      <c r="S9" s="1451" t="s">
        <v>131</v>
      </c>
      <c r="T9" s="1451"/>
      <c r="U9" s="1423" t="s">
        <v>132</v>
      </c>
      <c r="V9" s="1458"/>
    </row>
    <row r="10" spans="1:23" ht="30" customHeight="1" x14ac:dyDescent="0.2">
      <c r="B10" s="1455"/>
      <c r="C10" s="1457"/>
      <c r="D10" s="1457"/>
      <c r="E10" s="1457"/>
      <c r="F10" s="1023" t="str">
        <f>VLOOKUP(Translations!B68,Translations!B3:H508,4,0)</f>
        <v>Valeur</v>
      </c>
      <c r="G10" s="1062" t="str">
        <f>VLOOKUP(Translations!B70,Translations!B3:H508,4,0)</f>
        <v>Année</v>
      </c>
      <c r="H10" s="1062" t="str">
        <f>VLOOKUP(Translations!B71,Translations!B3:H508,4,0)</f>
        <v>Source</v>
      </c>
      <c r="I10" s="1457"/>
      <c r="J10" s="1434"/>
      <c r="K10" s="1024" t="str">
        <f>VLOOKUP(Translations!B68,Translations!B3:H508,4,0)</f>
        <v>Valeur</v>
      </c>
      <c r="L10" s="1063" t="str">
        <f>VLOOKUP(Translations!B71,Translations!B3:H508,4,0)</f>
        <v>Source</v>
      </c>
      <c r="M10" s="1447"/>
      <c r="N10" s="1447"/>
      <c r="O10" s="1025" t="s">
        <v>169</v>
      </c>
      <c r="P10" s="1025" t="s">
        <v>22</v>
      </c>
      <c r="Q10" s="1449"/>
      <c r="R10" s="1457"/>
      <c r="S10" s="1057" t="s">
        <v>169</v>
      </c>
      <c r="T10" s="1057" t="s">
        <v>22</v>
      </c>
      <c r="U10" s="1424"/>
      <c r="V10" s="1459"/>
    </row>
    <row r="11" spans="1:23" ht="60" customHeight="1" x14ac:dyDescent="0.2">
      <c r="A11" s="648">
        <f>IFERROR(IF(INDEX(ImpactDisaglist,MATCH(0,INDEX(COUNTIF(A$10:A10,ImpactDisaglist),0,0),0))&lt;&gt;"",INDEX(ImpactDisaglist,MATCH(0,INDEX(COUNTIF(A$10:A10,ImpactDisaglist),0,0),0)),INDEX(OutcomeDisaglist,MATCH(0,INDEX(COUNTIF(A$10:A10,OutcomeDisaglist),0,0),0))),"")</f>
        <v>0</v>
      </c>
      <c r="B11" s="1027" t="str">
        <f>IFERROR(INDEX('Disagg.1A_import-export'!D$7:D$200,MATCH($A11,'Disagg.1A_import-export'!$B$7:$B$200,0)),"")</f>
        <v/>
      </c>
      <c r="C11" s="1028" t="str">
        <f>IF(B11="","",IFERROR(INDEX('Disagg.1A_import-export'!E$7:E$13,MATCH($A11,'Disagg.1A_import-export'!$B$7:$B$13,0)),""))</f>
        <v/>
      </c>
      <c r="D11" s="1028" t="str">
        <f>IF(B11="","",IFERROR(IF(INDEX('Disagg.1A_import-export'!I$7:I$13,MATCH($A11,'Disagg.1A_import-export'!$B$7:$B$13,0))="","",INDEX('Disagg.1A_import-export'!I$7:I$13,MATCH($A11,'Disagg.1A_import-export'!$B$7:$B$13,0))),""))</f>
        <v/>
      </c>
      <c r="E11" s="1028" t="str">
        <f>IF(B11="","",IFERROR(IF(INDEX('Disagg.1A_import-export'!J$7:J$13,MATCH($A11,'Disagg.1A_import-export'!$B$7:$B$13,0))="","",INDEX('Disagg.1A_import-export'!J$7:J$13,MATCH($A11,'Disagg.1A_import-export'!$B$7:$B$13,0))),""))</f>
        <v/>
      </c>
      <c r="F11" s="1028" t="str">
        <f>IF(B11="","",IFERROR(IF(INDEX('Disagg.1A_import-export'!K$7:K$13,MATCH($A11,'Disagg.1A_import-export'!$B$7:$B$13,0))="","",INDEX('Disagg.1A_import-export'!K$7:K$13,MATCH($A11,'Disagg.1A_import-export'!$B$7:$B$13,0))),""))</f>
        <v/>
      </c>
      <c r="G11" s="1028" t="str">
        <f>IF(B11="","",IFERROR(IF(INDEX('Disagg.1A_import-export'!L$7:L$13,MATCH($A11,'Disagg.1A_import-export'!$B$7:$B$13,0))="","",INDEX('Disagg.1A_import-export'!L$7:L$13,MATCH($A11,'Disagg.1A_import-export'!$B$7:$B$13,0))),""))</f>
        <v/>
      </c>
      <c r="H11" s="1028" t="str">
        <f>IF(B11="","",IFERROR(IF(INDEX('Disagg.1A_import-export'!M$7:M$13,MATCH($A11,'Disagg.1A_import-export'!$B$7:$B$13,0))="","",INDEX('Disagg.1A_import-export'!M$7:M$13,MATCH($A11,'Disagg.1A_import-export'!$B$7:$B$13,0))),""))</f>
        <v/>
      </c>
      <c r="I11" s="1028" t="str">
        <f>IF(B11="","",IFERROR(IF(INDEX('Disagg.1A_import-export'!N$7:N$13,MATCH($A11,'Disagg.1A_import-export'!$B$7:$B$13,0))="","",INDEX('Disagg.1A_import-export'!N$7:N$13,MATCH($A11,'Disagg.1A_import-export'!$B$7:$B$13,0))),""))</f>
        <v/>
      </c>
      <c r="J11" s="1028" t="str">
        <f>IF(B11="","",IFERROR(IF(INDEX('Disagg.1A_import-export'!AC$7:AC$13,MATCH($A11,'Disagg.1A_import-export'!$B$7:$B$13,0))="","",INDEX('Disagg.1A_import-export'!AC$7:AC$13,MATCH($A11,'Disagg.1A_import-export'!$B$7:$B$13,0))),""))</f>
        <v/>
      </c>
      <c r="K11" s="1064"/>
      <c r="L11" s="1065"/>
      <c r="M11" s="1065"/>
      <c r="N11" s="1066"/>
      <c r="O11" s="1067"/>
      <c r="P11" s="1065"/>
      <c r="Q11" s="1065"/>
      <c r="R11" s="1066"/>
      <c r="S11" s="1067"/>
      <c r="T11" s="1065"/>
      <c r="U11" s="1068"/>
      <c r="V11" s="1069"/>
    </row>
    <row r="12" spans="1:23" ht="60" customHeight="1" x14ac:dyDescent="0.2">
      <c r="A12" s="648" t="str">
        <f>IFERROR(IF(INDEX(ImpactDisaglist,MATCH(0,INDEX(COUNTIF(A$10:A11,ImpactDisaglist),0,0),0))&lt;&gt;"",INDEX(ImpactDisaglist,MATCH(0,INDEX(COUNTIF(A$10:A11,ImpactDisaglist),0,0),0)),INDEX(OutcomeDisaglist,MATCH(0,INDEX(COUNTIF(A$10:A11,OutcomeDisaglist),0,0),0))),"")</f>
        <v/>
      </c>
      <c r="B12" s="1027" t="str">
        <f>IFERROR(INDEX('Disagg.1A_import-export'!D$7:D$200,MATCH($A12,'Disagg.1A_import-export'!$B$7:$B$200,0)),"")</f>
        <v/>
      </c>
      <c r="C12" s="1028" t="str">
        <f>IF(B12="","",IFERROR(INDEX('Disagg.1A_import-export'!E$7:E$13,MATCH($A12,'Disagg.1A_import-export'!$B$7:$B$13,0)),""))</f>
        <v/>
      </c>
      <c r="D12" s="1028" t="str">
        <f>IF(B12="","",IFERROR(IF(INDEX('Disagg.1A_import-export'!I$7:I$13,MATCH($A12,'Disagg.1A_import-export'!$B$7:$B$13,0))="","",INDEX('Disagg.1A_import-export'!I$7:I$13,MATCH($A12,'Disagg.1A_import-export'!$B$7:$B$13,0))),""))</f>
        <v/>
      </c>
      <c r="E12" s="1028" t="str">
        <f>IF(B12="","",IFERROR(IF(INDEX('Disagg.1A_import-export'!J$7:J$13,MATCH($A12,'Disagg.1A_import-export'!$B$7:$B$13,0))="","",INDEX('Disagg.1A_import-export'!J$7:J$13,MATCH($A12,'Disagg.1A_import-export'!$B$7:$B$13,0))),""))</f>
        <v/>
      </c>
      <c r="F12" s="1028" t="str">
        <f>IF(B12="","",IFERROR(IF(INDEX('Disagg.1A_import-export'!K$7:K$13,MATCH($A12,'Disagg.1A_import-export'!$B$7:$B$13,0))="","",INDEX('Disagg.1A_import-export'!K$7:K$13,MATCH($A12,'Disagg.1A_import-export'!$B$7:$B$13,0))),""))</f>
        <v/>
      </c>
      <c r="G12" s="1028" t="str">
        <f>IF(B12="","",IFERROR(IF(INDEX('Disagg.1A_import-export'!L$7:L$13,MATCH($A12,'Disagg.1A_import-export'!$B$7:$B$13,0))="","",INDEX('Disagg.1A_import-export'!L$7:L$13,MATCH($A12,'Disagg.1A_import-export'!$B$7:$B$13,0))),""))</f>
        <v/>
      </c>
      <c r="H12" s="1028" t="str">
        <f>IF(B12="","",IFERROR(IF(INDEX('Disagg.1A_import-export'!M$7:M$13,MATCH($A12,'Disagg.1A_import-export'!$B$7:$B$13,0))="","",INDEX('Disagg.1A_import-export'!M$7:M$13,MATCH($A12,'Disagg.1A_import-export'!$B$7:$B$13,0))),""))</f>
        <v/>
      </c>
      <c r="I12" s="1028" t="str">
        <f>IF(B12="","",IFERROR(IF(INDEX('Disagg.1A_import-export'!N$7:N$13,MATCH($A12,'Disagg.1A_import-export'!$B$7:$B$13,0))="","",INDEX('Disagg.1A_import-export'!N$7:N$13,MATCH($A12,'Disagg.1A_import-export'!$B$7:$B$13,0))),""))</f>
        <v/>
      </c>
      <c r="J12" s="1028" t="str">
        <f>IF(B12="","",IFERROR(IF(INDEX('Disagg.1A_import-export'!AC$7:AC$13,MATCH($A12,'Disagg.1A_import-export'!$B$7:$B$13,0))="","",INDEX('Disagg.1A_import-export'!AC$7:AC$13,MATCH($A12,'Disagg.1A_import-export'!$B$7:$B$13,0))),""))</f>
        <v/>
      </c>
      <c r="K12" s="1064"/>
      <c r="L12" s="1065"/>
      <c r="M12" s="1065"/>
      <c r="N12" s="1066"/>
      <c r="O12" s="1067"/>
      <c r="P12" s="1065"/>
      <c r="Q12" s="1065"/>
      <c r="R12" s="1066"/>
      <c r="S12" s="1067"/>
      <c r="T12" s="1065"/>
      <c r="U12" s="1068"/>
      <c r="V12" s="1069"/>
    </row>
    <row r="13" spans="1:23" ht="60" customHeight="1" x14ac:dyDescent="0.2">
      <c r="A13" s="648" t="str">
        <f>IFERROR(IF(INDEX(ImpactDisaglist,MATCH(0,INDEX(COUNTIF(A$10:A12,ImpactDisaglist),0,0),0))&lt;&gt;"",INDEX(ImpactDisaglist,MATCH(0,INDEX(COUNTIF(A$10:A12,ImpactDisaglist),0,0),0)),INDEX(OutcomeDisaglist,MATCH(0,INDEX(COUNTIF(A$10:A12,OutcomeDisaglist),0,0),0))),"")</f>
        <v/>
      </c>
      <c r="B13" s="1027" t="str">
        <f>IFERROR(INDEX('Disagg.1A_import-export'!D$7:D$200,MATCH($A13,'Disagg.1A_import-export'!$B$7:$B$200,0)),"")</f>
        <v/>
      </c>
      <c r="C13" s="1028" t="str">
        <f>IF(B13="","",IFERROR(INDEX('Disagg.1A_import-export'!E$7:E$13,MATCH($A13,'Disagg.1A_import-export'!$B$7:$B$13,0)),""))</f>
        <v/>
      </c>
      <c r="D13" s="1028" t="str">
        <f>IF(B13="","",IFERROR(IF(INDEX('Disagg.1A_import-export'!I$7:I$13,MATCH($A13,'Disagg.1A_import-export'!$B$7:$B$13,0))="","",INDEX('Disagg.1A_import-export'!I$7:I$13,MATCH($A13,'Disagg.1A_import-export'!$B$7:$B$13,0))),""))</f>
        <v/>
      </c>
      <c r="E13" s="1028" t="str">
        <f>IF(B13="","",IFERROR(IF(INDEX('Disagg.1A_import-export'!J$7:J$13,MATCH($A13,'Disagg.1A_import-export'!$B$7:$B$13,0))="","",INDEX('Disagg.1A_import-export'!J$7:J$13,MATCH($A13,'Disagg.1A_import-export'!$B$7:$B$13,0))),""))</f>
        <v/>
      </c>
      <c r="F13" s="1028" t="str">
        <f>IF(B13="","",IFERROR(IF(INDEX('Disagg.1A_import-export'!K$7:K$13,MATCH($A13,'Disagg.1A_import-export'!$B$7:$B$13,0))="","",INDEX('Disagg.1A_import-export'!K$7:K$13,MATCH($A13,'Disagg.1A_import-export'!$B$7:$B$13,0))),""))</f>
        <v/>
      </c>
      <c r="G13" s="1028" t="str">
        <f>IF(B13="","",IFERROR(IF(INDEX('Disagg.1A_import-export'!L$7:L$13,MATCH($A13,'Disagg.1A_import-export'!$B$7:$B$13,0))="","",INDEX('Disagg.1A_import-export'!L$7:L$13,MATCH($A13,'Disagg.1A_import-export'!$B$7:$B$13,0))),""))</f>
        <v/>
      </c>
      <c r="H13" s="1028" t="str">
        <f>IF(B13="","",IFERROR(IF(INDEX('Disagg.1A_import-export'!M$7:M$13,MATCH($A13,'Disagg.1A_import-export'!$B$7:$B$13,0))="","",INDEX('Disagg.1A_import-export'!M$7:M$13,MATCH($A13,'Disagg.1A_import-export'!$B$7:$B$13,0))),""))</f>
        <v/>
      </c>
      <c r="I13" s="1028" t="str">
        <f>IF(B13="","",IFERROR(IF(INDEX('Disagg.1A_import-export'!N$7:N$13,MATCH($A13,'Disagg.1A_import-export'!$B$7:$B$13,0))="","",INDEX('Disagg.1A_import-export'!N$7:N$13,MATCH($A13,'Disagg.1A_import-export'!$B$7:$B$13,0))),""))</f>
        <v/>
      </c>
      <c r="J13" s="1028" t="str">
        <f>IF(B13="","",IFERROR(IF(INDEX('Disagg.1A_import-export'!AC$7:AC$13,MATCH($A13,'Disagg.1A_import-export'!$B$7:$B$13,0))="","",INDEX('Disagg.1A_import-export'!AC$7:AC$13,MATCH($A13,'Disagg.1A_import-export'!$B$7:$B$13,0))),""))</f>
        <v/>
      </c>
      <c r="K13" s="1064"/>
      <c r="L13" s="1065"/>
      <c r="M13" s="1065"/>
      <c r="N13" s="1066"/>
      <c r="O13" s="1067"/>
      <c r="P13" s="1065"/>
      <c r="Q13" s="1065"/>
      <c r="R13" s="1066"/>
      <c r="S13" s="1067"/>
      <c r="T13" s="1065"/>
      <c r="U13" s="1068"/>
      <c r="V13" s="1069"/>
    </row>
    <row r="14" spans="1:23" ht="60" customHeight="1" x14ac:dyDescent="0.2">
      <c r="A14" s="648" t="str">
        <f>IFERROR(IF(INDEX(ImpactDisaglist,MATCH(0,INDEX(COUNTIF(A$10:A13,ImpactDisaglist),0,0),0))&lt;&gt;"",INDEX(ImpactDisaglist,MATCH(0,INDEX(COUNTIF(A$10:A13,ImpactDisaglist),0,0),0)),INDEX(OutcomeDisaglist,MATCH(0,INDEX(COUNTIF(A$10:A13,OutcomeDisaglist),0,0),0))),"")</f>
        <v/>
      </c>
      <c r="B14" s="1027" t="str">
        <f>IFERROR(INDEX('Disagg.1A_import-export'!D$7:D$200,MATCH($A14,'Disagg.1A_import-export'!$B$7:$B$200,0)),"")</f>
        <v/>
      </c>
      <c r="C14" s="1028" t="str">
        <f>IF(B14="","",IFERROR(INDEX('Disagg.1A_import-export'!E$7:E$13,MATCH($A14,'Disagg.1A_import-export'!$B$7:$B$13,0)),""))</f>
        <v/>
      </c>
      <c r="D14" s="1028" t="str">
        <f>IF(B14="","",IFERROR(IF(INDEX('Disagg.1A_import-export'!I$7:I$13,MATCH($A14,'Disagg.1A_import-export'!$B$7:$B$13,0))="","",INDEX('Disagg.1A_import-export'!I$7:I$13,MATCH($A14,'Disagg.1A_import-export'!$B$7:$B$13,0))),""))</f>
        <v/>
      </c>
      <c r="E14" s="1028" t="str">
        <f>IF(B14="","",IFERROR(IF(INDEX('Disagg.1A_import-export'!J$7:J$13,MATCH($A14,'Disagg.1A_import-export'!$B$7:$B$13,0))="","",INDEX('Disagg.1A_import-export'!J$7:J$13,MATCH($A14,'Disagg.1A_import-export'!$B$7:$B$13,0))),""))</f>
        <v/>
      </c>
      <c r="F14" s="1028" t="str">
        <f>IF(B14="","",IFERROR(IF(INDEX('Disagg.1A_import-export'!K$7:K$13,MATCH($A14,'Disagg.1A_import-export'!$B$7:$B$13,0))="","",INDEX('Disagg.1A_import-export'!K$7:K$13,MATCH($A14,'Disagg.1A_import-export'!$B$7:$B$13,0))),""))</f>
        <v/>
      </c>
      <c r="G14" s="1028" t="str">
        <f>IF(B14="","",IFERROR(IF(INDEX('Disagg.1A_import-export'!L$7:L$13,MATCH($A14,'Disagg.1A_import-export'!$B$7:$B$13,0))="","",INDEX('Disagg.1A_import-export'!L$7:L$13,MATCH($A14,'Disagg.1A_import-export'!$B$7:$B$13,0))),""))</f>
        <v/>
      </c>
      <c r="H14" s="1028" t="str">
        <f>IF(B14="","",IFERROR(IF(INDEX('Disagg.1A_import-export'!M$7:M$13,MATCH($A14,'Disagg.1A_import-export'!$B$7:$B$13,0))="","",INDEX('Disagg.1A_import-export'!M$7:M$13,MATCH($A14,'Disagg.1A_import-export'!$B$7:$B$13,0))),""))</f>
        <v/>
      </c>
      <c r="I14" s="1028" t="str">
        <f>IF(B14="","",IFERROR(IF(INDEX('Disagg.1A_import-export'!N$7:N$13,MATCH($A14,'Disagg.1A_import-export'!$B$7:$B$13,0))="","",INDEX('Disagg.1A_import-export'!N$7:N$13,MATCH($A14,'Disagg.1A_import-export'!$B$7:$B$13,0))),""))</f>
        <v/>
      </c>
      <c r="J14" s="1028" t="str">
        <f>IF(B14="","",IFERROR(IF(INDEX('Disagg.1A_import-export'!AC$7:AC$13,MATCH($A14,'Disagg.1A_import-export'!$B$7:$B$13,0))="","",INDEX('Disagg.1A_import-export'!AC$7:AC$13,MATCH($A14,'Disagg.1A_import-export'!$B$7:$B$13,0))),""))</f>
        <v/>
      </c>
      <c r="K14" s="1064"/>
      <c r="L14" s="1065"/>
      <c r="M14" s="1065"/>
      <c r="N14" s="1066"/>
      <c r="O14" s="1067"/>
      <c r="P14" s="1065"/>
      <c r="Q14" s="1065"/>
      <c r="R14" s="1066"/>
      <c r="S14" s="1067"/>
      <c r="T14" s="1065"/>
      <c r="U14" s="1068"/>
      <c r="V14" s="1069"/>
    </row>
    <row r="15" spans="1:23" ht="60" customHeight="1" x14ac:dyDescent="0.2">
      <c r="A15" s="648" t="str">
        <f>IFERROR(IF(INDEX(ImpactDisaglist,MATCH(0,INDEX(COUNTIF(A$10:A14,ImpactDisaglist),0,0),0))&lt;&gt;"",INDEX(ImpactDisaglist,MATCH(0,INDEX(COUNTIF(A$10:A14,ImpactDisaglist),0,0),0)),INDEX(OutcomeDisaglist,MATCH(0,INDEX(COUNTIF(A$10:A14,OutcomeDisaglist),0,0),0))),"")</f>
        <v/>
      </c>
      <c r="B15" s="1027" t="str">
        <f>IFERROR(INDEX('Disagg.1A_import-export'!D$7:D$200,MATCH($A15,'Disagg.1A_import-export'!$B$7:$B$200,0)),"")</f>
        <v/>
      </c>
      <c r="C15" s="1028" t="str">
        <f>IF(B15="","",IFERROR(INDEX('Disagg.1A_import-export'!E$7:E$13,MATCH($A15,'Disagg.1A_import-export'!$B$7:$B$13,0)),""))</f>
        <v/>
      </c>
      <c r="D15" s="1028" t="str">
        <f>IF(B15="","",IFERROR(IF(INDEX('Disagg.1A_import-export'!I$7:I$13,MATCH($A15,'Disagg.1A_import-export'!$B$7:$B$13,0))="","",INDEX('Disagg.1A_import-export'!I$7:I$13,MATCH($A15,'Disagg.1A_import-export'!$B$7:$B$13,0))),""))</f>
        <v/>
      </c>
      <c r="E15" s="1028" t="str">
        <f>IF(B15="","",IFERROR(IF(INDEX('Disagg.1A_import-export'!J$7:J$13,MATCH($A15,'Disagg.1A_import-export'!$B$7:$B$13,0))="","",INDEX('Disagg.1A_import-export'!J$7:J$13,MATCH($A15,'Disagg.1A_import-export'!$B$7:$B$13,0))),""))</f>
        <v/>
      </c>
      <c r="F15" s="1028" t="str">
        <f>IF(B15="","",IFERROR(IF(INDEX('Disagg.1A_import-export'!K$7:K$13,MATCH($A15,'Disagg.1A_import-export'!$B$7:$B$13,0))="","",INDEX('Disagg.1A_import-export'!K$7:K$13,MATCH($A15,'Disagg.1A_import-export'!$B$7:$B$13,0))),""))</f>
        <v/>
      </c>
      <c r="G15" s="1028" t="str">
        <f>IF(B15="","",IFERROR(IF(INDEX('Disagg.1A_import-export'!L$7:L$13,MATCH($A15,'Disagg.1A_import-export'!$B$7:$B$13,0))="","",INDEX('Disagg.1A_import-export'!L$7:L$13,MATCH($A15,'Disagg.1A_import-export'!$B$7:$B$13,0))),""))</f>
        <v/>
      </c>
      <c r="H15" s="1028" t="str">
        <f>IF(B15="","",IFERROR(IF(INDEX('Disagg.1A_import-export'!M$7:M$13,MATCH($A15,'Disagg.1A_import-export'!$B$7:$B$13,0))="","",INDEX('Disagg.1A_import-export'!M$7:M$13,MATCH($A15,'Disagg.1A_import-export'!$B$7:$B$13,0))),""))</f>
        <v/>
      </c>
      <c r="I15" s="1028" t="str">
        <f>IF(B15="","",IFERROR(IF(INDEX('Disagg.1A_import-export'!N$7:N$13,MATCH($A15,'Disagg.1A_import-export'!$B$7:$B$13,0))="","",INDEX('Disagg.1A_import-export'!N$7:N$13,MATCH($A15,'Disagg.1A_import-export'!$B$7:$B$13,0))),""))</f>
        <v/>
      </c>
      <c r="J15" s="1028" t="str">
        <f>IF(B15="","",IFERROR(IF(INDEX('Disagg.1A_import-export'!AC$7:AC$13,MATCH($A15,'Disagg.1A_import-export'!$B$7:$B$13,0))="","",INDEX('Disagg.1A_import-export'!AC$7:AC$13,MATCH($A15,'Disagg.1A_import-export'!$B$7:$B$13,0))),""))</f>
        <v/>
      </c>
      <c r="K15" s="1064"/>
      <c r="L15" s="1065"/>
      <c r="M15" s="1065"/>
      <c r="N15" s="1066"/>
      <c r="O15" s="1067"/>
      <c r="P15" s="1065"/>
      <c r="Q15" s="1065"/>
      <c r="R15" s="1066"/>
      <c r="S15" s="1067"/>
      <c r="T15" s="1065"/>
      <c r="U15" s="1068"/>
      <c r="V15" s="1069"/>
    </row>
    <row r="16" spans="1:23" ht="60" customHeight="1" x14ac:dyDescent="0.2">
      <c r="A16" s="648" t="str">
        <f>IFERROR(IF(INDEX(ImpactDisaglist,MATCH(0,INDEX(COUNTIF(A$10:A15,ImpactDisaglist),0,0),0))&lt;&gt;"",INDEX(ImpactDisaglist,MATCH(0,INDEX(COUNTIF(A$10:A15,ImpactDisaglist),0,0),0)),INDEX(OutcomeDisaglist,MATCH(0,INDEX(COUNTIF(A$10:A15,OutcomeDisaglist),0,0),0))),"")</f>
        <v/>
      </c>
      <c r="B16" s="1027" t="str">
        <f>IFERROR(INDEX('Disagg.1A_import-export'!D$7:D$200,MATCH($A16,'Disagg.1A_import-export'!$B$7:$B$200,0)),"")</f>
        <v/>
      </c>
      <c r="C16" s="1028" t="str">
        <f>IF(B16="","",IFERROR(INDEX('Disagg.1A_import-export'!E$7:E$13,MATCH($A16,'Disagg.1A_import-export'!$B$7:$B$13,0)),""))</f>
        <v/>
      </c>
      <c r="D16" s="1028" t="str">
        <f>IF(B16="","",IFERROR(IF(INDEX('Disagg.1A_import-export'!I$7:I$13,MATCH($A16,'Disagg.1A_import-export'!$B$7:$B$13,0))="","",INDEX('Disagg.1A_import-export'!I$7:I$13,MATCH($A16,'Disagg.1A_import-export'!$B$7:$B$13,0))),""))</f>
        <v/>
      </c>
      <c r="E16" s="1028" t="str">
        <f>IF(B16="","",IFERROR(IF(INDEX('Disagg.1A_import-export'!J$7:J$13,MATCH($A16,'Disagg.1A_import-export'!$B$7:$B$13,0))="","",INDEX('Disagg.1A_import-export'!J$7:J$13,MATCH($A16,'Disagg.1A_import-export'!$B$7:$B$13,0))),""))</f>
        <v/>
      </c>
      <c r="F16" s="1028" t="str">
        <f>IF(B16="","",IFERROR(IF(INDEX('Disagg.1A_import-export'!K$7:K$13,MATCH($A16,'Disagg.1A_import-export'!$B$7:$B$13,0))="","",INDEX('Disagg.1A_import-export'!K$7:K$13,MATCH($A16,'Disagg.1A_import-export'!$B$7:$B$13,0))),""))</f>
        <v/>
      </c>
      <c r="G16" s="1028" t="str">
        <f>IF(B16="","",IFERROR(IF(INDEX('Disagg.1A_import-export'!L$7:L$13,MATCH($A16,'Disagg.1A_import-export'!$B$7:$B$13,0))="","",INDEX('Disagg.1A_import-export'!L$7:L$13,MATCH($A16,'Disagg.1A_import-export'!$B$7:$B$13,0))),""))</f>
        <v/>
      </c>
      <c r="H16" s="1028" t="str">
        <f>IF(B16="","",IFERROR(IF(INDEX('Disagg.1A_import-export'!M$7:M$13,MATCH($A16,'Disagg.1A_import-export'!$B$7:$B$13,0))="","",INDEX('Disagg.1A_import-export'!M$7:M$13,MATCH($A16,'Disagg.1A_import-export'!$B$7:$B$13,0))),""))</f>
        <v/>
      </c>
      <c r="I16" s="1028" t="str">
        <f>IF(B16="","",IFERROR(IF(INDEX('Disagg.1A_import-export'!N$7:N$13,MATCH($A16,'Disagg.1A_import-export'!$B$7:$B$13,0))="","",INDEX('Disagg.1A_import-export'!N$7:N$13,MATCH($A16,'Disagg.1A_import-export'!$B$7:$B$13,0))),""))</f>
        <v/>
      </c>
      <c r="J16" s="1028" t="str">
        <f>IF(B16="","",IFERROR(IF(INDEX('Disagg.1A_import-export'!AC$7:AC$13,MATCH($A16,'Disagg.1A_import-export'!$B$7:$B$13,0))="","",INDEX('Disagg.1A_import-export'!AC$7:AC$13,MATCH($A16,'Disagg.1A_import-export'!$B$7:$B$13,0))),""))</f>
        <v/>
      </c>
      <c r="K16" s="1064"/>
      <c r="L16" s="1065"/>
      <c r="M16" s="1065"/>
      <c r="N16" s="1066"/>
      <c r="O16" s="1067"/>
      <c r="P16" s="1065"/>
      <c r="Q16" s="1065"/>
      <c r="R16" s="1066"/>
      <c r="S16" s="1067"/>
      <c r="T16" s="1065"/>
      <c r="U16" s="1068"/>
      <c r="V16" s="1069"/>
    </row>
    <row r="17" spans="1:22" ht="60" customHeight="1" x14ac:dyDescent="0.2">
      <c r="A17" s="648" t="str">
        <f>IFERROR(IF(INDEX(ImpactDisaglist,MATCH(0,INDEX(COUNTIF(A$10:A16,ImpactDisaglist),0,0),0))&lt;&gt;"",INDEX(ImpactDisaglist,MATCH(0,INDEX(COUNTIF(A$10:A16,ImpactDisaglist),0,0),0)),INDEX(OutcomeDisaglist,MATCH(0,INDEX(COUNTIF(A$10:A16,OutcomeDisaglist),0,0),0))),"")</f>
        <v/>
      </c>
      <c r="B17" s="1027" t="str">
        <f>IFERROR(INDEX('Disagg.1A_import-export'!D$7:D$200,MATCH($A17,'Disagg.1A_import-export'!$B$7:$B$200,0)),"")</f>
        <v/>
      </c>
      <c r="C17" s="1028" t="str">
        <f>IF(B17="","",IFERROR(INDEX('Disagg.1A_import-export'!E$7:E$13,MATCH($A17,'Disagg.1A_import-export'!$B$7:$B$13,0)),""))</f>
        <v/>
      </c>
      <c r="D17" s="1028" t="str">
        <f>IF(B17="","",IFERROR(IF(INDEX('Disagg.1A_import-export'!I$7:I$13,MATCH($A17,'Disagg.1A_import-export'!$B$7:$B$13,0))="","",INDEX('Disagg.1A_import-export'!I$7:I$13,MATCH($A17,'Disagg.1A_import-export'!$B$7:$B$13,0))),""))</f>
        <v/>
      </c>
      <c r="E17" s="1028" t="str">
        <f>IF(B17="","",IFERROR(IF(INDEX('Disagg.1A_import-export'!J$7:J$13,MATCH($A17,'Disagg.1A_import-export'!$B$7:$B$13,0))="","",INDEX('Disagg.1A_import-export'!J$7:J$13,MATCH($A17,'Disagg.1A_import-export'!$B$7:$B$13,0))),""))</f>
        <v/>
      </c>
      <c r="F17" s="1028" t="str">
        <f>IF(B17="","",IFERROR(IF(INDEX('Disagg.1A_import-export'!K$7:K$13,MATCH($A17,'Disagg.1A_import-export'!$B$7:$B$13,0))="","",INDEX('Disagg.1A_import-export'!K$7:K$13,MATCH($A17,'Disagg.1A_import-export'!$B$7:$B$13,0))),""))</f>
        <v/>
      </c>
      <c r="G17" s="1028" t="str">
        <f>IF(B17="","",IFERROR(IF(INDEX('Disagg.1A_import-export'!L$7:L$13,MATCH($A17,'Disagg.1A_import-export'!$B$7:$B$13,0))="","",INDEX('Disagg.1A_import-export'!L$7:L$13,MATCH($A17,'Disagg.1A_import-export'!$B$7:$B$13,0))),""))</f>
        <v/>
      </c>
      <c r="H17" s="1028" t="str">
        <f>IF(B17="","",IFERROR(IF(INDEX('Disagg.1A_import-export'!M$7:M$13,MATCH($A17,'Disagg.1A_import-export'!$B$7:$B$13,0))="","",INDEX('Disagg.1A_import-export'!M$7:M$13,MATCH($A17,'Disagg.1A_import-export'!$B$7:$B$13,0))),""))</f>
        <v/>
      </c>
      <c r="I17" s="1028" t="str">
        <f>IF(B17="","",IFERROR(IF(INDEX('Disagg.1A_import-export'!N$7:N$13,MATCH($A17,'Disagg.1A_import-export'!$B$7:$B$13,0))="","",INDEX('Disagg.1A_import-export'!N$7:N$13,MATCH($A17,'Disagg.1A_import-export'!$B$7:$B$13,0))),""))</f>
        <v/>
      </c>
      <c r="J17" s="1028" t="str">
        <f>IF(B17="","",IFERROR(IF(INDEX('Disagg.1A_import-export'!AC$7:AC$13,MATCH($A17,'Disagg.1A_import-export'!$B$7:$B$13,0))="","",INDEX('Disagg.1A_import-export'!AC$7:AC$13,MATCH($A17,'Disagg.1A_import-export'!$B$7:$B$13,0))),""))</f>
        <v/>
      </c>
      <c r="K17" s="1064"/>
      <c r="L17" s="1065"/>
      <c r="M17" s="1065"/>
      <c r="N17" s="1066"/>
      <c r="O17" s="1067"/>
      <c r="P17" s="1065"/>
      <c r="Q17" s="1065"/>
      <c r="R17" s="1066"/>
      <c r="S17" s="1067"/>
      <c r="T17" s="1065"/>
      <c r="U17" s="1068"/>
      <c r="V17" s="1069"/>
    </row>
    <row r="18" spans="1:22" ht="60" customHeight="1" x14ac:dyDescent="0.2">
      <c r="A18" s="648" t="str">
        <f>IFERROR(IF(INDEX(ImpactDisaglist,MATCH(0,INDEX(COUNTIF(A$10:A17,ImpactDisaglist),0,0),0))&lt;&gt;"",INDEX(ImpactDisaglist,MATCH(0,INDEX(COUNTIF(A$10:A17,ImpactDisaglist),0,0),0)),INDEX(OutcomeDisaglist,MATCH(0,INDEX(COUNTIF(A$10:A17,OutcomeDisaglist),0,0),0))),"")</f>
        <v/>
      </c>
      <c r="B18" s="1027" t="str">
        <f>IFERROR(INDEX('Disagg.1A_import-export'!D$7:D$200,MATCH($A18,'Disagg.1A_import-export'!$B$7:$B$200,0)),"")</f>
        <v/>
      </c>
      <c r="C18" s="1028" t="str">
        <f>IF(B18="","",IFERROR(INDEX('Disagg.1A_import-export'!E$7:E$13,MATCH($A18,'Disagg.1A_import-export'!$B$7:$B$13,0)),""))</f>
        <v/>
      </c>
      <c r="D18" s="1028" t="str">
        <f>IF(B18="","",IFERROR(IF(INDEX('Disagg.1A_import-export'!I$7:I$13,MATCH($A18,'Disagg.1A_import-export'!$B$7:$B$13,0))="","",INDEX('Disagg.1A_import-export'!I$7:I$13,MATCH($A18,'Disagg.1A_import-export'!$B$7:$B$13,0))),""))</f>
        <v/>
      </c>
      <c r="E18" s="1028" t="str">
        <f>IF(B18="","",IFERROR(IF(INDEX('Disagg.1A_import-export'!J$7:J$13,MATCH($A18,'Disagg.1A_import-export'!$B$7:$B$13,0))="","",INDEX('Disagg.1A_import-export'!J$7:J$13,MATCH($A18,'Disagg.1A_import-export'!$B$7:$B$13,0))),""))</f>
        <v/>
      </c>
      <c r="F18" s="1028" t="str">
        <f>IF(B18="","",IFERROR(IF(INDEX('Disagg.1A_import-export'!K$7:K$13,MATCH($A18,'Disagg.1A_import-export'!$B$7:$B$13,0))="","",INDEX('Disagg.1A_import-export'!K$7:K$13,MATCH($A18,'Disagg.1A_import-export'!$B$7:$B$13,0))),""))</f>
        <v/>
      </c>
      <c r="G18" s="1028" t="str">
        <f>IF(B18="","",IFERROR(IF(INDEX('Disagg.1A_import-export'!L$7:L$13,MATCH($A18,'Disagg.1A_import-export'!$B$7:$B$13,0))="","",INDEX('Disagg.1A_import-export'!L$7:L$13,MATCH($A18,'Disagg.1A_import-export'!$B$7:$B$13,0))),""))</f>
        <v/>
      </c>
      <c r="H18" s="1028" t="str">
        <f>IF(B18="","",IFERROR(IF(INDEX('Disagg.1A_import-export'!M$7:M$13,MATCH($A18,'Disagg.1A_import-export'!$B$7:$B$13,0))="","",INDEX('Disagg.1A_import-export'!M$7:M$13,MATCH($A18,'Disagg.1A_import-export'!$B$7:$B$13,0))),""))</f>
        <v/>
      </c>
      <c r="I18" s="1028" t="str">
        <f>IF(B18="","",IFERROR(IF(INDEX('Disagg.1A_import-export'!N$7:N$13,MATCH($A18,'Disagg.1A_import-export'!$B$7:$B$13,0))="","",INDEX('Disagg.1A_import-export'!N$7:N$13,MATCH($A18,'Disagg.1A_import-export'!$B$7:$B$13,0))),""))</f>
        <v/>
      </c>
      <c r="J18" s="1028" t="str">
        <f>IF(B18="","",IFERROR(IF(INDEX('Disagg.1A_import-export'!AC$7:AC$13,MATCH($A18,'Disagg.1A_import-export'!$B$7:$B$13,0))="","",INDEX('Disagg.1A_import-export'!AC$7:AC$13,MATCH($A18,'Disagg.1A_import-export'!$B$7:$B$13,0))),""))</f>
        <v/>
      </c>
      <c r="K18" s="1064"/>
      <c r="L18" s="1065"/>
      <c r="M18" s="1065"/>
      <c r="N18" s="1066"/>
      <c r="O18" s="1067"/>
      <c r="P18" s="1065"/>
      <c r="Q18" s="1065"/>
      <c r="R18" s="1066"/>
      <c r="S18" s="1067"/>
      <c r="T18" s="1065"/>
      <c r="U18" s="1068"/>
      <c r="V18" s="1069"/>
    </row>
    <row r="19" spans="1:22" ht="60" customHeight="1" x14ac:dyDescent="0.2">
      <c r="A19" s="648" t="str">
        <f>IFERROR(IF(INDEX(ImpactDisaglist,MATCH(0,INDEX(COUNTIF(A$10:A18,ImpactDisaglist),0,0),0))&lt;&gt;"",INDEX(ImpactDisaglist,MATCH(0,INDEX(COUNTIF(A$10:A18,ImpactDisaglist),0,0),0)),INDEX(OutcomeDisaglist,MATCH(0,INDEX(COUNTIF(A$10:A18,OutcomeDisaglist),0,0),0))),"")</f>
        <v/>
      </c>
      <c r="B19" s="1027" t="str">
        <f>IFERROR(INDEX('Disagg.1A_import-export'!D$7:D$200,MATCH($A19,'Disagg.1A_import-export'!$B$7:$B$200,0)),"")</f>
        <v/>
      </c>
      <c r="C19" s="1028" t="str">
        <f>IF(B19="","",IFERROR(INDEX('Disagg.1A_import-export'!E$7:E$13,MATCH($A19,'Disagg.1A_import-export'!$B$7:$B$13,0)),""))</f>
        <v/>
      </c>
      <c r="D19" s="1028" t="str">
        <f>IF(B19="","",IFERROR(IF(INDEX('Disagg.1A_import-export'!I$7:I$13,MATCH($A19,'Disagg.1A_import-export'!$B$7:$B$13,0))="","",INDEX('Disagg.1A_import-export'!I$7:I$13,MATCH($A19,'Disagg.1A_import-export'!$B$7:$B$13,0))),""))</f>
        <v/>
      </c>
      <c r="E19" s="1028" t="str">
        <f>IF(B19="","",IFERROR(IF(INDEX('Disagg.1A_import-export'!J$7:J$13,MATCH($A19,'Disagg.1A_import-export'!$B$7:$B$13,0))="","",INDEX('Disagg.1A_import-export'!J$7:J$13,MATCH($A19,'Disagg.1A_import-export'!$B$7:$B$13,0))),""))</f>
        <v/>
      </c>
      <c r="F19" s="1028" t="str">
        <f>IF(B19="","",IFERROR(IF(INDEX('Disagg.1A_import-export'!K$7:K$13,MATCH($A19,'Disagg.1A_import-export'!$B$7:$B$13,0))="","",INDEX('Disagg.1A_import-export'!K$7:K$13,MATCH($A19,'Disagg.1A_import-export'!$B$7:$B$13,0))),""))</f>
        <v/>
      </c>
      <c r="G19" s="1028" t="str">
        <f>IF(B19="","",IFERROR(IF(INDEX('Disagg.1A_import-export'!L$7:L$13,MATCH($A19,'Disagg.1A_import-export'!$B$7:$B$13,0))="","",INDEX('Disagg.1A_import-export'!L$7:L$13,MATCH($A19,'Disagg.1A_import-export'!$B$7:$B$13,0))),""))</f>
        <v/>
      </c>
      <c r="H19" s="1028" t="str">
        <f>IF(B19="","",IFERROR(IF(INDEX('Disagg.1A_import-export'!M$7:M$13,MATCH($A19,'Disagg.1A_import-export'!$B$7:$B$13,0))="","",INDEX('Disagg.1A_import-export'!M$7:M$13,MATCH($A19,'Disagg.1A_import-export'!$B$7:$B$13,0))),""))</f>
        <v/>
      </c>
      <c r="I19" s="1028" t="str">
        <f>IF(B19="","",IFERROR(IF(INDEX('Disagg.1A_import-export'!N$7:N$13,MATCH($A19,'Disagg.1A_import-export'!$B$7:$B$13,0))="","",INDEX('Disagg.1A_import-export'!N$7:N$13,MATCH($A19,'Disagg.1A_import-export'!$B$7:$B$13,0))),""))</f>
        <v/>
      </c>
      <c r="J19" s="1028" t="str">
        <f>IF(B19="","",IFERROR(IF(INDEX('Disagg.1A_import-export'!AC$7:AC$13,MATCH($A19,'Disagg.1A_import-export'!$B$7:$B$13,0))="","",INDEX('Disagg.1A_import-export'!AC$7:AC$13,MATCH($A19,'Disagg.1A_import-export'!$B$7:$B$13,0))),""))</f>
        <v/>
      </c>
      <c r="K19" s="1064"/>
      <c r="L19" s="1065"/>
      <c r="M19" s="1065"/>
      <c r="N19" s="1066"/>
      <c r="O19" s="1067"/>
      <c r="P19" s="1065"/>
      <c r="Q19" s="1065"/>
      <c r="R19" s="1066"/>
      <c r="S19" s="1067"/>
      <c r="T19" s="1065"/>
      <c r="U19" s="1068"/>
      <c r="V19" s="1069"/>
    </row>
    <row r="20" spans="1:22" ht="60" customHeight="1" x14ac:dyDescent="0.2">
      <c r="A20" s="648" t="str">
        <f>IFERROR(IF(INDEX(ImpactDisaglist,MATCH(0,INDEX(COUNTIF(A$10:A19,ImpactDisaglist),0,0),0))&lt;&gt;"",INDEX(ImpactDisaglist,MATCH(0,INDEX(COUNTIF(A$10:A19,ImpactDisaglist),0,0),0)),INDEX(OutcomeDisaglist,MATCH(0,INDEX(COUNTIF(A$10:A19,OutcomeDisaglist),0,0),0))),"")</f>
        <v/>
      </c>
      <c r="B20" s="1027" t="str">
        <f>IFERROR(INDEX('Disagg.1A_import-export'!D$7:D$200,MATCH($A20,'Disagg.1A_import-export'!$B$7:$B$200,0)),"")</f>
        <v/>
      </c>
      <c r="C20" s="1028" t="str">
        <f>IF(B20="","",IFERROR(INDEX('Disagg.1A_import-export'!E$7:E$13,MATCH($A20,'Disagg.1A_import-export'!$B$7:$B$13,0)),""))</f>
        <v/>
      </c>
      <c r="D20" s="1028" t="str">
        <f>IF(B20="","",IFERROR(IF(INDEX('Disagg.1A_import-export'!I$7:I$13,MATCH($A20,'Disagg.1A_import-export'!$B$7:$B$13,0))="","",INDEX('Disagg.1A_import-export'!I$7:I$13,MATCH($A20,'Disagg.1A_import-export'!$B$7:$B$13,0))),""))</f>
        <v/>
      </c>
      <c r="E20" s="1028" t="str">
        <f>IF(B20="","",IFERROR(IF(INDEX('Disagg.1A_import-export'!J$7:J$13,MATCH($A20,'Disagg.1A_import-export'!$B$7:$B$13,0))="","",INDEX('Disagg.1A_import-export'!J$7:J$13,MATCH($A20,'Disagg.1A_import-export'!$B$7:$B$13,0))),""))</f>
        <v/>
      </c>
      <c r="F20" s="1028" t="str">
        <f>IF(B20="","",IFERROR(IF(INDEX('Disagg.1A_import-export'!K$7:K$13,MATCH($A20,'Disagg.1A_import-export'!$B$7:$B$13,0))="","",INDEX('Disagg.1A_import-export'!K$7:K$13,MATCH($A20,'Disagg.1A_import-export'!$B$7:$B$13,0))),""))</f>
        <v/>
      </c>
      <c r="G20" s="1028" t="str">
        <f>IF(B20="","",IFERROR(IF(INDEX('Disagg.1A_import-export'!L$7:L$13,MATCH($A20,'Disagg.1A_import-export'!$B$7:$B$13,0))="","",INDEX('Disagg.1A_import-export'!L$7:L$13,MATCH($A20,'Disagg.1A_import-export'!$B$7:$B$13,0))),""))</f>
        <v/>
      </c>
      <c r="H20" s="1028" t="str">
        <f>IF(B20="","",IFERROR(IF(INDEX('Disagg.1A_import-export'!M$7:M$13,MATCH($A20,'Disagg.1A_import-export'!$B$7:$B$13,0))="","",INDEX('Disagg.1A_import-export'!M$7:M$13,MATCH($A20,'Disagg.1A_import-export'!$B$7:$B$13,0))),""))</f>
        <v/>
      </c>
      <c r="I20" s="1028" t="str">
        <f>IF(B20="","",IFERROR(IF(INDEX('Disagg.1A_import-export'!N$7:N$13,MATCH($A20,'Disagg.1A_import-export'!$B$7:$B$13,0))="","",INDEX('Disagg.1A_import-export'!N$7:N$13,MATCH($A20,'Disagg.1A_import-export'!$B$7:$B$13,0))),""))</f>
        <v/>
      </c>
      <c r="J20" s="1028" t="str">
        <f>IF(B20="","",IFERROR(IF(INDEX('Disagg.1A_import-export'!AC$7:AC$13,MATCH($A20,'Disagg.1A_import-export'!$B$7:$B$13,0))="","",INDEX('Disagg.1A_import-export'!AC$7:AC$13,MATCH($A20,'Disagg.1A_import-export'!$B$7:$B$13,0))),""))</f>
        <v/>
      </c>
      <c r="K20" s="1064"/>
      <c r="L20" s="1065"/>
      <c r="M20" s="1065"/>
      <c r="N20" s="1066"/>
      <c r="O20" s="1067"/>
      <c r="P20" s="1065"/>
      <c r="Q20" s="1065"/>
      <c r="R20" s="1066"/>
      <c r="S20" s="1067"/>
      <c r="T20" s="1065"/>
      <c r="U20" s="1068"/>
      <c r="V20" s="1069"/>
    </row>
    <row r="21" spans="1:22" ht="60" customHeight="1" x14ac:dyDescent="0.2">
      <c r="A21" s="648" t="str">
        <f>IFERROR(IF(INDEX(ImpactDisaglist,MATCH(0,INDEX(COUNTIF(A$10:A20,ImpactDisaglist),0,0),0))&lt;&gt;"",INDEX(ImpactDisaglist,MATCH(0,INDEX(COUNTIF(A$10:A20,ImpactDisaglist),0,0),0)),INDEX(OutcomeDisaglist,MATCH(0,INDEX(COUNTIF(A$10:A20,OutcomeDisaglist),0,0),0))),"")</f>
        <v/>
      </c>
      <c r="B21" s="1027" t="str">
        <f>IFERROR(INDEX('Disagg.1A_import-export'!D$7:D$200,MATCH($A21,'Disagg.1A_import-export'!$B$7:$B$200,0)),"")</f>
        <v/>
      </c>
      <c r="C21" s="1028" t="str">
        <f>IF(B21="","",IFERROR(INDEX('Disagg.1A_import-export'!E$7:E$13,MATCH($A21,'Disagg.1A_import-export'!$B$7:$B$13,0)),""))</f>
        <v/>
      </c>
      <c r="D21" s="1028" t="str">
        <f>IF(B21="","",IFERROR(IF(INDEX('Disagg.1A_import-export'!I$7:I$13,MATCH($A21,'Disagg.1A_import-export'!$B$7:$B$13,0))="","",INDEX('Disagg.1A_import-export'!I$7:I$13,MATCH($A21,'Disagg.1A_import-export'!$B$7:$B$13,0))),""))</f>
        <v/>
      </c>
      <c r="E21" s="1028" t="str">
        <f>IF(B21="","",IFERROR(IF(INDEX('Disagg.1A_import-export'!J$7:J$13,MATCH($A21,'Disagg.1A_import-export'!$B$7:$B$13,0))="","",INDEX('Disagg.1A_import-export'!J$7:J$13,MATCH($A21,'Disagg.1A_import-export'!$B$7:$B$13,0))),""))</f>
        <v/>
      </c>
      <c r="F21" s="1028" t="str">
        <f>IF(B21="","",IFERROR(IF(INDEX('Disagg.1A_import-export'!K$7:K$13,MATCH($A21,'Disagg.1A_import-export'!$B$7:$B$13,0))="","",INDEX('Disagg.1A_import-export'!K$7:K$13,MATCH($A21,'Disagg.1A_import-export'!$B$7:$B$13,0))),""))</f>
        <v/>
      </c>
      <c r="G21" s="1028" t="str">
        <f>IF(B21="","",IFERROR(IF(INDEX('Disagg.1A_import-export'!L$7:L$13,MATCH($A21,'Disagg.1A_import-export'!$B$7:$B$13,0))="","",INDEX('Disagg.1A_import-export'!L$7:L$13,MATCH($A21,'Disagg.1A_import-export'!$B$7:$B$13,0))),""))</f>
        <v/>
      </c>
      <c r="H21" s="1028" t="str">
        <f>IF(B21="","",IFERROR(IF(INDEX('Disagg.1A_import-export'!M$7:M$13,MATCH($A21,'Disagg.1A_import-export'!$B$7:$B$13,0))="","",INDEX('Disagg.1A_import-export'!M$7:M$13,MATCH($A21,'Disagg.1A_import-export'!$B$7:$B$13,0))),""))</f>
        <v/>
      </c>
      <c r="I21" s="1028" t="str">
        <f>IF(B21="","",IFERROR(IF(INDEX('Disagg.1A_import-export'!N$7:N$13,MATCH($A21,'Disagg.1A_import-export'!$B$7:$B$13,0))="","",INDEX('Disagg.1A_import-export'!N$7:N$13,MATCH($A21,'Disagg.1A_import-export'!$B$7:$B$13,0))),""))</f>
        <v/>
      </c>
      <c r="J21" s="1028" t="str">
        <f>IF(B21="","",IFERROR(IF(INDEX('Disagg.1A_import-export'!AC$7:AC$13,MATCH($A21,'Disagg.1A_import-export'!$B$7:$B$13,0))="","",INDEX('Disagg.1A_import-export'!AC$7:AC$13,MATCH($A21,'Disagg.1A_import-export'!$B$7:$B$13,0))),""))</f>
        <v/>
      </c>
      <c r="K21" s="1064"/>
      <c r="L21" s="1065"/>
      <c r="M21" s="1065"/>
      <c r="N21" s="1066"/>
      <c r="O21" s="1067"/>
      <c r="P21" s="1065"/>
      <c r="Q21" s="1065"/>
      <c r="R21" s="1066"/>
      <c r="S21" s="1067"/>
      <c r="T21" s="1065"/>
      <c r="U21" s="1068"/>
      <c r="V21" s="1069"/>
    </row>
    <row r="22" spans="1:22" ht="60" customHeight="1" x14ac:dyDescent="0.2">
      <c r="A22" s="648" t="str">
        <f>IFERROR(IF(INDEX(ImpactDisaglist,MATCH(0,INDEX(COUNTIF(A$10:A21,ImpactDisaglist),0,0),0))&lt;&gt;"",INDEX(ImpactDisaglist,MATCH(0,INDEX(COUNTIF(A$10:A21,ImpactDisaglist),0,0),0)),INDEX(OutcomeDisaglist,MATCH(0,INDEX(COUNTIF(A$10:A21,OutcomeDisaglist),0,0),0))),"")</f>
        <v/>
      </c>
      <c r="B22" s="1027" t="str">
        <f>IFERROR(INDEX('Disagg.1A_import-export'!D$7:D$200,MATCH($A22,'Disagg.1A_import-export'!$B$7:$B$200,0)),"")</f>
        <v/>
      </c>
      <c r="C22" s="1028" t="str">
        <f>IF(B22="","",IFERROR(INDEX('Disagg.1A_import-export'!E$7:E$13,MATCH($A22,'Disagg.1A_import-export'!$B$7:$B$13,0)),""))</f>
        <v/>
      </c>
      <c r="D22" s="1028" t="str">
        <f>IF(B22="","",IFERROR(IF(INDEX('Disagg.1A_import-export'!I$7:I$13,MATCH($A22,'Disagg.1A_import-export'!$B$7:$B$13,0))="","",INDEX('Disagg.1A_import-export'!I$7:I$13,MATCH($A22,'Disagg.1A_import-export'!$B$7:$B$13,0))),""))</f>
        <v/>
      </c>
      <c r="E22" s="1028" t="str">
        <f>IF(B22="","",IFERROR(IF(INDEX('Disagg.1A_import-export'!J$7:J$13,MATCH($A22,'Disagg.1A_import-export'!$B$7:$B$13,0))="","",INDEX('Disagg.1A_import-export'!J$7:J$13,MATCH($A22,'Disagg.1A_import-export'!$B$7:$B$13,0))),""))</f>
        <v/>
      </c>
      <c r="F22" s="1028" t="str">
        <f>IF(B22="","",IFERROR(IF(INDEX('Disagg.1A_import-export'!K$7:K$13,MATCH($A22,'Disagg.1A_import-export'!$B$7:$B$13,0))="","",INDEX('Disagg.1A_import-export'!K$7:K$13,MATCH($A22,'Disagg.1A_import-export'!$B$7:$B$13,0))),""))</f>
        <v/>
      </c>
      <c r="G22" s="1028" t="str">
        <f>IF(B22="","",IFERROR(IF(INDEX('Disagg.1A_import-export'!L$7:L$13,MATCH($A22,'Disagg.1A_import-export'!$B$7:$B$13,0))="","",INDEX('Disagg.1A_import-export'!L$7:L$13,MATCH($A22,'Disagg.1A_import-export'!$B$7:$B$13,0))),""))</f>
        <v/>
      </c>
      <c r="H22" s="1028" t="str">
        <f>IF(B22="","",IFERROR(IF(INDEX('Disagg.1A_import-export'!M$7:M$13,MATCH($A22,'Disagg.1A_import-export'!$B$7:$B$13,0))="","",INDEX('Disagg.1A_import-export'!M$7:M$13,MATCH($A22,'Disagg.1A_import-export'!$B$7:$B$13,0))),""))</f>
        <v/>
      </c>
      <c r="I22" s="1028" t="str">
        <f>IF(B22="","",IFERROR(IF(INDEX('Disagg.1A_import-export'!N$7:N$13,MATCH($A22,'Disagg.1A_import-export'!$B$7:$B$13,0))="","",INDEX('Disagg.1A_import-export'!N$7:N$13,MATCH($A22,'Disagg.1A_import-export'!$B$7:$B$13,0))),""))</f>
        <v/>
      </c>
      <c r="J22" s="1028" t="str">
        <f>IF(B22="","",IFERROR(IF(INDEX('Disagg.1A_import-export'!AC$7:AC$13,MATCH($A22,'Disagg.1A_import-export'!$B$7:$B$13,0))="","",INDEX('Disagg.1A_import-export'!AC$7:AC$13,MATCH($A22,'Disagg.1A_import-export'!$B$7:$B$13,0))),""))</f>
        <v/>
      </c>
      <c r="K22" s="1064"/>
      <c r="L22" s="1065"/>
      <c r="M22" s="1065"/>
      <c r="N22" s="1066"/>
      <c r="O22" s="1067"/>
      <c r="P22" s="1065"/>
      <c r="Q22" s="1065"/>
      <c r="R22" s="1066"/>
      <c r="S22" s="1067"/>
      <c r="T22" s="1065"/>
      <c r="U22" s="1068"/>
      <c r="V22" s="1069"/>
    </row>
    <row r="23" spans="1:22" ht="60" customHeight="1" x14ac:dyDescent="0.2">
      <c r="A23" s="648" t="str">
        <f>IFERROR(IF(INDEX(ImpactDisaglist,MATCH(0,INDEX(COUNTIF(A$10:A22,ImpactDisaglist),0,0),0))&lt;&gt;"",INDEX(ImpactDisaglist,MATCH(0,INDEX(COUNTIF(A$10:A22,ImpactDisaglist),0,0),0)),INDEX(OutcomeDisaglist,MATCH(0,INDEX(COUNTIF(A$10:A22,OutcomeDisaglist),0,0),0))),"")</f>
        <v/>
      </c>
      <c r="B23" s="1027" t="str">
        <f>IFERROR(INDEX('Disagg.1A_import-export'!D$7:D$200,MATCH($A23,'Disagg.1A_import-export'!$B$7:$B$200,0)),"")</f>
        <v/>
      </c>
      <c r="C23" s="1028" t="str">
        <f>IF(B23="","",IFERROR(INDEX('Disagg.1A_import-export'!E$7:E$13,MATCH($A23,'Disagg.1A_import-export'!$B$7:$B$13,0)),""))</f>
        <v/>
      </c>
      <c r="D23" s="1028" t="str">
        <f>IF(B23="","",IFERROR(IF(INDEX('Disagg.1A_import-export'!I$7:I$13,MATCH($A23,'Disagg.1A_import-export'!$B$7:$B$13,0))="","",INDEX('Disagg.1A_import-export'!I$7:I$13,MATCH($A23,'Disagg.1A_import-export'!$B$7:$B$13,0))),""))</f>
        <v/>
      </c>
      <c r="E23" s="1028" t="str">
        <f>IF(B23="","",IFERROR(IF(INDEX('Disagg.1A_import-export'!J$7:J$13,MATCH($A23,'Disagg.1A_import-export'!$B$7:$B$13,0))="","",INDEX('Disagg.1A_import-export'!J$7:J$13,MATCH($A23,'Disagg.1A_import-export'!$B$7:$B$13,0))),""))</f>
        <v/>
      </c>
      <c r="F23" s="1028" t="str">
        <f>IF(B23="","",IFERROR(IF(INDEX('Disagg.1A_import-export'!K$7:K$13,MATCH($A23,'Disagg.1A_import-export'!$B$7:$B$13,0))="","",INDEX('Disagg.1A_import-export'!K$7:K$13,MATCH($A23,'Disagg.1A_import-export'!$B$7:$B$13,0))),""))</f>
        <v/>
      </c>
      <c r="G23" s="1028" t="str">
        <f>IF(B23="","",IFERROR(IF(INDEX('Disagg.1A_import-export'!L$7:L$13,MATCH($A23,'Disagg.1A_import-export'!$B$7:$B$13,0))="","",INDEX('Disagg.1A_import-export'!L$7:L$13,MATCH($A23,'Disagg.1A_import-export'!$B$7:$B$13,0))),""))</f>
        <v/>
      </c>
      <c r="H23" s="1028" t="str">
        <f>IF(B23="","",IFERROR(IF(INDEX('Disagg.1A_import-export'!M$7:M$13,MATCH($A23,'Disagg.1A_import-export'!$B$7:$B$13,0))="","",INDEX('Disagg.1A_import-export'!M$7:M$13,MATCH($A23,'Disagg.1A_import-export'!$B$7:$B$13,0))),""))</f>
        <v/>
      </c>
      <c r="I23" s="1028" t="str">
        <f>IF(B23="","",IFERROR(IF(INDEX('Disagg.1A_import-export'!N$7:N$13,MATCH($A23,'Disagg.1A_import-export'!$B$7:$B$13,0))="","",INDEX('Disagg.1A_import-export'!N$7:N$13,MATCH($A23,'Disagg.1A_import-export'!$B$7:$B$13,0))),""))</f>
        <v/>
      </c>
      <c r="J23" s="1028" t="str">
        <f>IF(B23="","",IFERROR(IF(INDEX('Disagg.1A_import-export'!AC$7:AC$13,MATCH($A23,'Disagg.1A_import-export'!$B$7:$B$13,0))="","",INDEX('Disagg.1A_import-export'!AC$7:AC$13,MATCH($A23,'Disagg.1A_import-export'!$B$7:$B$13,0))),""))</f>
        <v/>
      </c>
      <c r="K23" s="1064"/>
      <c r="L23" s="1065"/>
      <c r="M23" s="1065"/>
      <c r="N23" s="1066"/>
      <c r="O23" s="1067"/>
      <c r="P23" s="1065"/>
      <c r="Q23" s="1065"/>
      <c r="R23" s="1066"/>
      <c r="S23" s="1067"/>
      <c r="T23" s="1065"/>
      <c r="U23" s="1068"/>
      <c r="V23" s="1069"/>
    </row>
    <row r="24" spans="1:22" ht="60" customHeight="1" x14ac:dyDescent="0.2">
      <c r="A24" s="648" t="str">
        <f>IFERROR(IF(INDEX(ImpactDisaglist,MATCH(0,INDEX(COUNTIF(A$10:A23,ImpactDisaglist),0,0),0))&lt;&gt;"",INDEX(ImpactDisaglist,MATCH(0,INDEX(COUNTIF(A$10:A23,ImpactDisaglist),0,0),0)),INDEX(OutcomeDisaglist,MATCH(0,INDEX(COUNTIF(A$10:A23,OutcomeDisaglist),0,0),0))),"")</f>
        <v/>
      </c>
      <c r="B24" s="1027" t="str">
        <f>IFERROR(INDEX('Disagg.1A_import-export'!D$7:D$200,MATCH($A24,'Disagg.1A_import-export'!$B$7:$B$200,0)),"")</f>
        <v/>
      </c>
      <c r="C24" s="1028" t="str">
        <f>IF(B24="","",IFERROR(INDEX('Disagg.1A_import-export'!E$7:E$13,MATCH($A24,'Disagg.1A_import-export'!$B$7:$B$13,0)),""))</f>
        <v/>
      </c>
      <c r="D24" s="1028" t="str">
        <f>IF(B24="","",IFERROR(IF(INDEX('Disagg.1A_import-export'!I$7:I$13,MATCH($A24,'Disagg.1A_import-export'!$B$7:$B$13,0))="","",INDEX('Disagg.1A_import-export'!I$7:I$13,MATCH($A24,'Disagg.1A_import-export'!$B$7:$B$13,0))),""))</f>
        <v/>
      </c>
      <c r="E24" s="1028" t="str">
        <f>IF(B24="","",IFERROR(IF(INDEX('Disagg.1A_import-export'!J$7:J$13,MATCH($A24,'Disagg.1A_import-export'!$B$7:$B$13,0))="","",INDEX('Disagg.1A_import-export'!J$7:J$13,MATCH($A24,'Disagg.1A_import-export'!$B$7:$B$13,0))),""))</f>
        <v/>
      </c>
      <c r="F24" s="1028" t="str">
        <f>IF(B24="","",IFERROR(IF(INDEX('Disagg.1A_import-export'!K$7:K$13,MATCH($A24,'Disagg.1A_import-export'!$B$7:$B$13,0))="","",INDEX('Disagg.1A_import-export'!K$7:K$13,MATCH($A24,'Disagg.1A_import-export'!$B$7:$B$13,0))),""))</f>
        <v/>
      </c>
      <c r="G24" s="1028" t="str">
        <f>IF(B24="","",IFERROR(IF(INDEX('Disagg.1A_import-export'!L$7:L$13,MATCH($A24,'Disagg.1A_import-export'!$B$7:$B$13,0))="","",INDEX('Disagg.1A_import-export'!L$7:L$13,MATCH($A24,'Disagg.1A_import-export'!$B$7:$B$13,0))),""))</f>
        <v/>
      </c>
      <c r="H24" s="1028" t="str">
        <f>IF(B24="","",IFERROR(IF(INDEX('Disagg.1A_import-export'!M$7:M$13,MATCH($A24,'Disagg.1A_import-export'!$B$7:$B$13,0))="","",INDEX('Disagg.1A_import-export'!M$7:M$13,MATCH($A24,'Disagg.1A_import-export'!$B$7:$B$13,0))),""))</f>
        <v/>
      </c>
      <c r="I24" s="1028" t="str">
        <f>IF(B24="","",IFERROR(IF(INDEX('Disagg.1A_import-export'!N$7:N$13,MATCH($A24,'Disagg.1A_import-export'!$B$7:$B$13,0))="","",INDEX('Disagg.1A_import-export'!N$7:N$13,MATCH($A24,'Disagg.1A_import-export'!$B$7:$B$13,0))),""))</f>
        <v/>
      </c>
      <c r="J24" s="1028" t="str">
        <f>IF(B24="","",IFERROR(IF(INDEX('Disagg.1A_import-export'!AC$7:AC$13,MATCH($A24,'Disagg.1A_import-export'!$B$7:$B$13,0))="","",INDEX('Disagg.1A_import-export'!AC$7:AC$13,MATCH($A24,'Disagg.1A_import-export'!$B$7:$B$13,0))),""))</f>
        <v/>
      </c>
      <c r="K24" s="1064"/>
      <c r="L24" s="1065"/>
      <c r="M24" s="1065"/>
      <c r="N24" s="1066"/>
      <c r="O24" s="1067"/>
      <c r="P24" s="1065"/>
      <c r="Q24" s="1065"/>
      <c r="R24" s="1066"/>
      <c r="S24" s="1067"/>
      <c r="T24" s="1065"/>
      <c r="U24" s="1068"/>
      <c r="V24" s="1069"/>
    </row>
    <row r="25" spans="1:22" ht="60" customHeight="1" x14ac:dyDescent="0.2">
      <c r="A25" s="648" t="str">
        <f>IFERROR(IF(INDEX(ImpactDisaglist,MATCH(0,INDEX(COUNTIF(A$10:A24,ImpactDisaglist),0,0),0))&lt;&gt;"",INDEX(ImpactDisaglist,MATCH(0,INDEX(COUNTIF(A$10:A24,ImpactDisaglist),0,0),0)),INDEX(OutcomeDisaglist,MATCH(0,INDEX(COUNTIF(A$10:A24,OutcomeDisaglist),0,0),0))),"")</f>
        <v/>
      </c>
      <c r="B25" s="1027" t="str">
        <f>IFERROR(INDEX('Disagg.1A_import-export'!D$7:D$200,MATCH($A25,'Disagg.1A_import-export'!$B$7:$B$200,0)),"")</f>
        <v/>
      </c>
      <c r="C25" s="1028" t="str">
        <f>IF(B25="","",IFERROR(INDEX('Disagg.1A_import-export'!E$7:E$13,MATCH($A25,'Disagg.1A_import-export'!$B$7:$B$13,0)),""))</f>
        <v/>
      </c>
      <c r="D25" s="1028" t="str">
        <f>IF(B25="","",IFERROR(IF(INDEX('Disagg.1A_import-export'!I$7:I$13,MATCH($A25,'Disagg.1A_import-export'!$B$7:$B$13,0))="","",INDEX('Disagg.1A_import-export'!I$7:I$13,MATCH($A25,'Disagg.1A_import-export'!$B$7:$B$13,0))),""))</f>
        <v/>
      </c>
      <c r="E25" s="1028" t="str">
        <f>IF(B25="","",IFERROR(IF(INDEX('Disagg.1A_import-export'!J$7:J$13,MATCH($A25,'Disagg.1A_import-export'!$B$7:$B$13,0))="","",INDEX('Disagg.1A_import-export'!J$7:J$13,MATCH($A25,'Disagg.1A_import-export'!$B$7:$B$13,0))),""))</f>
        <v/>
      </c>
      <c r="F25" s="1028" t="str">
        <f>IF(B25="","",IFERROR(IF(INDEX('Disagg.1A_import-export'!K$7:K$13,MATCH($A25,'Disagg.1A_import-export'!$B$7:$B$13,0))="","",INDEX('Disagg.1A_import-export'!K$7:K$13,MATCH($A25,'Disagg.1A_import-export'!$B$7:$B$13,0))),""))</f>
        <v/>
      </c>
      <c r="G25" s="1028" t="str">
        <f>IF(B25="","",IFERROR(IF(INDEX('Disagg.1A_import-export'!L$7:L$13,MATCH($A25,'Disagg.1A_import-export'!$B$7:$B$13,0))="","",INDEX('Disagg.1A_import-export'!L$7:L$13,MATCH($A25,'Disagg.1A_import-export'!$B$7:$B$13,0))),""))</f>
        <v/>
      </c>
      <c r="H25" s="1028" t="str">
        <f>IF(B25="","",IFERROR(IF(INDEX('Disagg.1A_import-export'!M$7:M$13,MATCH($A25,'Disagg.1A_import-export'!$B$7:$B$13,0))="","",INDEX('Disagg.1A_import-export'!M$7:M$13,MATCH($A25,'Disagg.1A_import-export'!$B$7:$B$13,0))),""))</f>
        <v/>
      </c>
      <c r="I25" s="1028" t="str">
        <f>IF(B25="","",IFERROR(IF(INDEX('Disagg.1A_import-export'!N$7:N$13,MATCH($A25,'Disagg.1A_import-export'!$B$7:$B$13,0))="","",INDEX('Disagg.1A_import-export'!N$7:N$13,MATCH($A25,'Disagg.1A_import-export'!$B$7:$B$13,0))),""))</f>
        <v/>
      </c>
      <c r="J25" s="1028" t="str">
        <f>IF(B25="","",IFERROR(IF(INDEX('Disagg.1A_import-export'!AC$7:AC$13,MATCH($A25,'Disagg.1A_import-export'!$B$7:$B$13,0))="","",INDEX('Disagg.1A_import-export'!AC$7:AC$13,MATCH($A25,'Disagg.1A_import-export'!$B$7:$B$13,0))),""))</f>
        <v/>
      </c>
      <c r="K25" s="1064"/>
      <c r="L25" s="1065"/>
      <c r="M25" s="1065"/>
      <c r="N25" s="1066"/>
      <c r="O25" s="1067"/>
      <c r="P25" s="1065"/>
      <c r="Q25" s="1065"/>
      <c r="R25" s="1066"/>
      <c r="S25" s="1067"/>
      <c r="T25" s="1065"/>
      <c r="U25" s="1068"/>
      <c r="V25" s="1069"/>
    </row>
    <row r="26" spans="1:22" ht="60" customHeight="1" x14ac:dyDescent="0.2">
      <c r="A26" s="648" t="str">
        <f>IFERROR(IF(INDEX(ImpactDisaglist,MATCH(0,INDEX(COUNTIF(A$10:A25,ImpactDisaglist),0,0),0))&lt;&gt;"",INDEX(ImpactDisaglist,MATCH(0,INDEX(COUNTIF(A$10:A25,ImpactDisaglist),0,0),0)),INDEX(OutcomeDisaglist,MATCH(0,INDEX(COUNTIF(A$10:A25,OutcomeDisaglist),0,0),0))),"")</f>
        <v/>
      </c>
      <c r="B26" s="1027" t="str">
        <f>IFERROR(INDEX('Disagg.1A_import-export'!D$7:D$200,MATCH($A26,'Disagg.1A_import-export'!$B$7:$B$200,0)),"")</f>
        <v/>
      </c>
      <c r="C26" s="1028" t="str">
        <f>IF(B26="","",IFERROR(INDEX('Disagg.1A_import-export'!E$7:E$13,MATCH($A26,'Disagg.1A_import-export'!$B$7:$B$13,0)),""))</f>
        <v/>
      </c>
      <c r="D26" s="1028" t="str">
        <f>IF(B26="","",IFERROR(IF(INDEX('Disagg.1A_import-export'!I$7:I$13,MATCH($A26,'Disagg.1A_import-export'!$B$7:$B$13,0))="","",INDEX('Disagg.1A_import-export'!I$7:I$13,MATCH($A26,'Disagg.1A_import-export'!$B$7:$B$13,0))),""))</f>
        <v/>
      </c>
      <c r="E26" s="1028" t="str">
        <f>IF(B26="","",IFERROR(IF(INDEX('Disagg.1A_import-export'!J$7:J$13,MATCH($A26,'Disagg.1A_import-export'!$B$7:$B$13,0))="","",INDEX('Disagg.1A_import-export'!J$7:J$13,MATCH($A26,'Disagg.1A_import-export'!$B$7:$B$13,0))),""))</f>
        <v/>
      </c>
      <c r="F26" s="1028" t="str">
        <f>IF(B26="","",IFERROR(IF(INDEX('Disagg.1A_import-export'!K$7:K$13,MATCH($A26,'Disagg.1A_import-export'!$B$7:$B$13,0))="","",INDEX('Disagg.1A_import-export'!K$7:K$13,MATCH($A26,'Disagg.1A_import-export'!$B$7:$B$13,0))),""))</f>
        <v/>
      </c>
      <c r="G26" s="1028" t="str">
        <f>IF(B26="","",IFERROR(IF(INDEX('Disagg.1A_import-export'!L$7:L$13,MATCH($A26,'Disagg.1A_import-export'!$B$7:$B$13,0))="","",INDEX('Disagg.1A_import-export'!L$7:L$13,MATCH($A26,'Disagg.1A_import-export'!$B$7:$B$13,0))),""))</f>
        <v/>
      </c>
      <c r="H26" s="1028" t="str">
        <f>IF(B26="","",IFERROR(IF(INDEX('Disagg.1A_import-export'!M$7:M$13,MATCH($A26,'Disagg.1A_import-export'!$B$7:$B$13,0))="","",INDEX('Disagg.1A_import-export'!M$7:M$13,MATCH($A26,'Disagg.1A_import-export'!$B$7:$B$13,0))),""))</f>
        <v/>
      </c>
      <c r="I26" s="1028" t="str">
        <f>IF(B26="","",IFERROR(IF(INDEX('Disagg.1A_import-export'!N$7:N$13,MATCH($A26,'Disagg.1A_import-export'!$B$7:$B$13,0))="","",INDEX('Disagg.1A_import-export'!N$7:N$13,MATCH($A26,'Disagg.1A_import-export'!$B$7:$B$13,0))),""))</f>
        <v/>
      </c>
      <c r="J26" s="1028" t="str">
        <f>IF(B26="","",IFERROR(IF(INDEX('Disagg.1A_import-export'!AC$7:AC$13,MATCH($A26,'Disagg.1A_import-export'!$B$7:$B$13,0))="","",INDEX('Disagg.1A_import-export'!AC$7:AC$13,MATCH($A26,'Disagg.1A_import-export'!$B$7:$B$13,0))),""))</f>
        <v/>
      </c>
      <c r="K26" s="1064"/>
      <c r="L26" s="1065"/>
      <c r="M26" s="1065"/>
      <c r="N26" s="1066"/>
      <c r="O26" s="1067"/>
      <c r="P26" s="1065"/>
      <c r="Q26" s="1065"/>
      <c r="R26" s="1066"/>
      <c r="S26" s="1067"/>
      <c r="T26" s="1065"/>
      <c r="U26" s="1068"/>
      <c r="V26" s="1069"/>
    </row>
    <row r="27" spans="1:22" ht="60" customHeight="1" x14ac:dyDescent="0.2">
      <c r="A27" s="648" t="str">
        <f>IFERROR(IF(INDEX(ImpactDisaglist,MATCH(0,INDEX(COUNTIF(A$10:A26,ImpactDisaglist),0,0),0))&lt;&gt;"",INDEX(ImpactDisaglist,MATCH(0,INDEX(COUNTIF(A$10:A26,ImpactDisaglist),0,0),0)),INDEX(OutcomeDisaglist,MATCH(0,INDEX(COUNTIF(A$10:A26,OutcomeDisaglist),0,0),0))),"")</f>
        <v/>
      </c>
      <c r="B27" s="1027" t="str">
        <f>IFERROR(INDEX('Disagg.1A_import-export'!D$7:D$200,MATCH($A27,'Disagg.1A_import-export'!$B$7:$B$200,0)),"")</f>
        <v/>
      </c>
      <c r="C27" s="1028" t="str">
        <f>IF(B27="","",IFERROR(INDEX('Disagg.1A_import-export'!E$7:E$13,MATCH($A27,'Disagg.1A_import-export'!$B$7:$B$13,0)),""))</f>
        <v/>
      </c>
      <c r="D27" s="1028" t="str">
        <f>IF(B27="","",IFERROR(IF(INDEX('Disagg.1A_import-export'!I$7:I$13,MATCH($A27,'Disagg.1A_import-export'!$B$7:$B$13,0))="","",INDEX('Disagg.1A_import-export'!I$7:I$13,MATCH($A27,'Disagg.1A_import-export'!$B$7:$B$13,0))),""))</f>
        <v/>
      </c>
      <c r="E27" s="1028" t="str">
        <f>IF(B27="","",IFERROR(IF(INDEX('Disagg.1A_import-export'!J$7:J$13,MATCH($A27,'Disagg.1A_import-export'!$B$7:$B$13,0))="","",INDEX('Disagg.1A_import-export'!J$7:J$13,MATCH($A27,'Disagg.1A_import-export'!$B$7:$B$13,0))),""))</f>
        <v/>
      </c>
      <c r="F27" s="1028" t="str">
        <f>IF(B27="","",IFERROR(IF(INDEX('Disagg.1A_import-export'!K$7:K$13,MATCH($A27,'Disagg.1A_import-export'!$B$7:$B$13,0))="","",INDEX('Disagg.1A_import-export'!K$7:K$13,MATCH($A27,'Disagg.1A_import-export'!$B$7:$B$13,0))),""))</f>
        <v/>
      </c>
      <c r="G27" s="1028" t="str">
        <f>IF(B27="","",IFERROR(IF(INDEX('Disagg.1A_import-export'!L$7:L$13,MATCH($A27,'Disagg.1A_import-export'!$B$7:$B$13,0))="","",INDEX('Disagg.1A_import-export'!L$7:L$13,MATCH($A27,'Disagg.1A_import-export'!$B$7:$B$13,0))),""))</f>
        <v/>
      </c>
      <c r="H27" s="1028" t="str">
        <f>IF(B27="","",IFERROR(IF(INDEX('Disagg.1A_import-export'!M$7:M$13,MATCH($A27,'Disagg.1A_import-export'!$B$7:$B$13,0))="","",INDEX('Disagg.1A_import-export'!M$7:M$13,MATCH($A27,'Disagg.1A_import-export'!$B$7:$B$13,0))),""))</f>
        <v/>
      </c>
      <c r="I27" s="1028" t="str">
        <f>IF(B27="","",IFERROR(IF(INDEX('Disagg.1A_import-export'!N$7:N$13,MATCH($A27,'Disagg.1A_import-export'!$B$7:$B$13,0))="","",INDEX('Disagg.1A_import-export'!N$7:N$13,MATCH($A27,'Disagg.1A_import-export'!$B$7:$B$13,0))),""))</f>
        <v/>
      </c>
      <c r="J27" s="1028" t="str">
        <f>IF(B27="","",IFERROR(IF(INDEX('Disagg.1A_import-export'!AC$7:AC$13,MATCH($A27,'Disagg.1A_import-export'!$B$7:$B$13,0))="","",INDEX('Disagg.1A_import-export'!AC$7:AC$13,MATCH($A27,'Disagg.1A_import-export'!$B$7:$B$13,0))),""))</f>
        <v/>
      </c>
      <c r="K27" s="1064"/>
      <c r="L27" s="1065"/>
      <c r="M27" s="1065"/>
      <c r="N27" s="1066"/>
      <c r="O27" s="1067"/>
      <c r="P27" s="1065"/>
      <c r="Q27" s="1065"/>
      <c r="R27" s="1066"/>
      <c r="S27" s="1067"/>
      <c r="T27" s="1065"/>
      <c r="U27" s="1068"/>
      <c r="V27" s="1069"/>
    </row>
    <row r="28" spans="1:22" ht="60" customHeight="1" x14ac:dyDescent="0.2">
      <c r="A28" s="648" t="str">
        <f>IFERROR(IF(INDEX(ImpactDisaglist,MATCH(0,INDEX(COUNTIF(A$10:A27,ImpactDisaglist),0,0),0))&lt;&gt;"",INDEX(ImpactDisaglist,MATCH(0,INDEX(COUNTIF(A$10:A27,ImpactDisaglist),0,0),0)),INDEX(OutcomeDisaglist,MATCH(0,INDEX(COUNTIF(A$10:A27,OutcomeDisaglist),0,0),0))),"")</f>
        <v/>
      </c>
      <c r="B28" s="1027" t="str">
        <f>IFERROR(INDEX('Disagg.1A_import-export'!D$7:D$200,MATCH($A28,'Disagg.1A_import-export'!$B$7:$B$200,0)),"")</f>
        <v/>
      </c>
      <c r="C28" s="1028" t="str">
        <f>IF(B28="","",IFERROR(INDEX('Disagg.1A_import-export'!E$7:E$13,MATCH($A28,'Disagg.1A_import-export'!$B$7:$B$13,0)),""))</f>
        <v/>
      </c>
      <c r="D28" s="1028" t="str">
        <f>IF(B28="","",IFERROR(IF(INDEX('Disagg.1A_import-export'!I$7:I$13,MATCH($A28,'Disagg.1A_import-export'!$B$7:$B$13,0))="","",INDEX('Disagg.1A_import-export'!I$7:I$13,MATCH($A28,'Disagg.1A_import-export'!$B$7:$B$13,0))),""))</f>
        <v/>
      </c>
      <c r="E28" s="1028" t="str">
        <f>IF(B28="","",IFERROR(IF(INDEX('Disagg.1A_import-export'!J$7:J$13,MATCH($A28,'Disagg.1A_import-export'!$B$7:$B$13,0))="","",INDEX('Disagg.1A_import-export'!J$7:J$13,MATCH($A28,'Disagg.1A_import-export'!$B$7:$B$13,0))),""))</f>
        <v/>
      </c>
      <c r="F28" s="1028" t="str">
        <f>IF(B28="","",IFERROR(IF(INDEX('Disagg.1A_import-export'!K$7:K$13,MATCH($A28,'Disagg.1A_import-export'!$B$7:$B$13,0))="","",INDEX('Disagg.1A_import-export'!K$7:K$13,MATCH($A28,'Disagg.1A_import-export'!$B$7:$B$13,0))),""))</f>
        <v/>
      </c>
      <c r="G28" s="1028" t="str">
        <f>IF(B28="","",IFERROR(IF(INDEX('Disagg.1A_import-export'!L$7:L$13,MATCH($A28,'Disagg.1A_import-export'!$B$7:$B$13,0))="","",INDEX('Disagg.1A_import-export'!L$7:L$13,MATCH($A28,'Disagg.1A_import-export'!$B$7:$B$13,0))),""))</f>
        <v/>
      </c>
      <c r="H28" s="1028" t="str">
        <f>IF(B28="","",IFERROR(IF(INDEX('Disagg.1A_import-export'!M$7:M$13,MATCH($A28,'Disagg.1A_import-export'!$B$7:$B$13,0))="","",INDEX('Disagg.1A_import-export'!M$7:M$13,MATCH($A28,'Disagg.1A_import-export'!$B$7:$B$13,0))),""))</f>
        <v/>
      </c>
      <c r="I28" s="1028" t="str">
        <f>IF(B28="","",IFERROR(IF(INDEX('Disagg.1A_import-export'!N$7:N$13,MATCH($A28,'Disagg.1A_import-export'!$B$7:$B$13,0))="","",INDEX('Disagg.1A_import-export'!N$7:N$13,MATCH($A28,'Disagg.1A_import-export'!$B$7:$B$13,0))),""))</f>
        <v/>
      </c>
      <c r="J28" s="1028" t="str">
        <f>IF(B28="","",IFERROR(IF(INDEX('Disagg.1A_import-export'!AC$7:AC$13,MATCH($A28,'Disagg.1A_import-export'!$B$7:$B$13,0))="","",INDEX('Disagg.1A_import-export'!AC$7:AC$13,MATCH($A28,'Disagg.1A_import-export'!$B$7:$B$13,0))),""))</f>
        <v/>
      </c>
      <c r="K28" s="1064"/>
      <c r="L28" s="1065"/>
      <c r="M28" s="1065"/>
      <c r="N28" s="1066"/>
      <c r="O28" s="1067"/>
      <c r="P28" s="1065"/>
      <c r="Q28" s="1065"/>
      <c r="R28" s="1066"/>
      <c r="S28" s="1067"/>
      <c r="T28" s="1065"/>
      <c r="U28" s="1068"/>
      <c r="V28" s="1069"/>
    </row>
    <row r="29" spans="1:22" ht="60" customHeight="1" x14ac:dyDescent="0.2">
      <c r="A29" s="648" t="str">
        <f>IFERROR(IF(INDEX(ImpactDisaglist,MATCH(0,INDEX(COUNTIF(A$10:A28,ImpactDisaglist),0,0),0))&lt;&gt;"",INDEX(ImpactDisaglist,MATCH(0,INDEX(COUNTIF(A$10:A28,ImpactDisaglist),0,0),0)),INDEX(OutcomeDisaglist,MATCH(0,INDEX(COUNTIF(A$10:A28,OutcomeDisaglist),0,0),0))),"")</f>
        <v/>
      </c>
      <c r="B29" s="1027" t="str">
        <f>IFERROR(INDEX('Disagg.1A_import-export'!D$7:D$200,MATCH($A29,'Disagg.1A_import-export'!$B$7:$B$200,0)),"")</f>
        <v/>
      </c>
      <c r="C29" s="1028" t="str">
        <f>IF(B29="","",IFERROR(INDEX('Disagg.1A_import-export'!E$7:E$13,MATCH($A29,'Disagg.1A_import-export'!$B$7:$B$13,0)),""))</f>
        <v/>
      </c>
      <c r="D29" s="1028" t="str">
        <f>IF(B29="","",IFERROR(IF(INDEX('Disagg.1A_import-export'!I$7:I$13,MATCH($A29,'Disagg.1A_import-export'!$B$7:$B$13,0))="","",INDEX('Disagg.1A_import-export'!I$7:I$13,MATCH($A29,'Disagg.1A_import-export'!$B$7:$B$13,0))),""))</f>
        <v/>
      </c>
      <c r="E29" s="1028" t="str">
        <f>IF(B29="","",IFERROR(IF(INDEX('Disagg.1A_import-export'!J$7:J$13,MATCH($A29,'Disagg.1A_import-export'!$B$7:$B$13,0))="","",INDEX('Disagg.1A_import-export'!J$7:J$13,MATCH($A29,'Disagg.1A_import-export'!$B$7:$B$13,0))),""))</f>
        <v/>
      </c>
      <c r="F29" s="1028" t="str">
        <f>IF(B29="","",IFERROR(IF(INDEX('Disagg.1A_import-export'!K$7:K$13,MATCH($A29,'Disagg.1A_import-export'!$B$7:$B$13,0))="","",INDEX('Disagg.1A_import-export'!K$7:K$13,MATCH($A29,'Disagg.1A_import-export'!$B$7:$B$13,0))),""))</f>
        <v/>
      </c>
      <c r="G29" s="1028" t="str">
        <f>IF(B29="","",IFERROR(IF(INDEX('Disagg.1A_import-export'!L$7:L$13,MATCH($A29,'Disagg.1A_import-export'!$B$7:$B$13,0))="","",INDEX('Disagg.1A_import-export'!L$7:L$13,MATCH($A29,'Disagg.1A_import-export'!$B$7:$B$13,0))),""))</f>
        <v/>
      </c>
      <c r="H29" s="1028" t="str">
        <f>IF(B29="","",IFERROR(IF(INDEX('Disagg.1A_import-export'!M$7:M$13,MATCH($A29,'Disagg.1A_import-export'!$B$7:$B$13,0))="","",INDEX('Disagg.1A_import-export'!M$7:M$13,MATCH($A29,'Disagg.1A_import-export'!$B$7:$B$13,0))),""))</f>
        <v/>
      </c>
      <c r="I29" s="1028" t="str">
        <f>IF(B29="","",IFERROR(IF(INDEX('Disagg.1A_import-export'!N$7:N$13,MATCH($A29,'Disagg.1A_import-export'!$B$7:$B$13,0))="","",INDEX('Disagg.1A_import-export'!N$7:N$13,MATCH($A29,'Disagg.1A_import-export'!$B$7:$B$13,0))),""))</f>
        <v/>
      </c>
      <c r="J29" s="1028" t="str">
        <f>IF(B29="","",IFERROR(IF(INDEX('Disagg.1A_import-export'!AC$7:AC$13,MATCH($A29,'Disagg.1A_import-export'!$B$7:$B$13,0))="","",INDEX('Disagg.1A_import-export'!AC$7:AC$13,MATCH($A29,'Disagg.1A_import-export'!$B$7:$B$13,0))),""))</f>
        <v/>
      </c>
      <c r="K29" s="1064"/>
      <c r="L29" s="1065"/>
      <c r="M29" s="1065"/>
      <c r="N29" s="1066"/>
      <c r="O29" s="1067"/>
      <c r="P29" s="1065"/>
      <c r="Q29" s="1065"/>
      <c r="R29" s="1066"/>
      <c r="S29" s="1067"/>
      <c r="T29" s="1065"/>
      <c r="U29" s="1068"/>
      <c r="V29" s="1069"/>
    </row>
    <row r="30" spans="1:22" ht="60" customHeight="1" x14ac:dyDescent="0.2">
      <c r="A30" s="648" t="str">
        <f>IFERROR(IF(INDEX(ImpactDisaglist,MATCH(0,INDEX(COUNTIF(A$10:A29,ImpactDisaglist),0,0),0))&lt;&gt;"",INDEX(ImpactDisaglist,MATCH(0,INDEX(COUNTIF(A$10:A29,ImpactDisaglist),0,0),0)),INDEX(OutcomeDisaglist,MATCH(0,INDEX(COUNTIF(A$10:A29,OutcomeDisaglist),0,0),0))),"")</f>
        <v/>
      </c>
      <c r="B30" s="1027" t="str">
        <f>IFERROR(INDEX('Disagg.1A_import-export'!D$7:D$200,MATCH($A30,'Disagg.1A_import-export'!$B$7:$B$200,0)),"")</f>
        <v/>
      </c>
      <c r="C30" s="1028" t="str">
        <f>IF(B30="","",IFERROR(INDEX('Disagg.1A_import-export'!E$7:E$13,MATCH($A30,'Disagg.1A_import-export'!$B$7:$B$13,0)),""))</f>
        <v/>
      </c>
      <c r="D30" s="1028" t="str">
        <f>IF(B30="","",IFERROR(IF(INDEX('Disagg.1A_import-export'!I$7:I$13,MATCH($A30,'Disagg.1A_import-export'!$B$7:$B$13,0))="","",INDEX('Disagg.1A_import-export'!I$7:I$13,MATCH($A30,'Disagg.1A_import-export'!$B$7:$B$13,0))),""))</f>
        <v/>
      </c>
      <c r="E30" s="1028" t="str">
        <f>IF(B30="","",IFERROR(IF(INDEX('Disagg.1A_import-export'!J$7:J$13,MATCH($A30,'Disagg.1A_import-export'!$B$7:$B$13,0))="","",INDEX('Disagg.1A_import-export'!J$7:J$13,MATCH($A30,'Disagg.1A_import-export'!$B$7:$B$13,0))),""))</f>
        <v/>
      </c>
      <c r="F30" s="1028" t="str">
        <f>IF(B30="","",IFERROR(IF(INDEX('Disagg.1A_import-export'!K$7:K$13,MATCH($A30,'Disagg.1A_import-export'!$B$7:$B$13,0))="","",INDEX('Disagg.1A_import-export'!K$7:K$13,MATCH($A30,'Disagg.1A_import-export'!$B$7:$B$13,0))),""))</f>
        <v/>
      </c>
      <c r="G30" s="1028" t="str">
        <f>IF(B30="","",IFERROR(IF(INDEX('Disagg.1A_import-export'!L$7:L$13,MATCH($A30,'Disagg.1A_import-export'!$B$7:$B$13,0))="","",INDEX('Disagg.1A_import-export'!L$7:L$13,MATCH($A30,'Disagg.1A_import-export'!$B$7:$B$13,0))),""))</f>
        <v/>
      </c>
      <c r="H30" s="1028" t="str">
        <f>IF(B30="","",IFERROR(IF(INDEX('Disagg.1A_import-export'!M$7:M$13,MATCH($A30,'Disagg.1A_import-export'!$B$7:$B$13,0))="","",INDEX('Disagg.1A_import-export'!M$7:M$13,MATCH($A30,'Disagg.1A_import-export'!$B$7:$B$13,0))),""))</f>
        <v/>
      </c>
      <c r="I30" s="1028" t="str">
        <f>IF(B30="","",IFERROR(IF(INDEX('Disagg.1A_import-export'!N$7:N$13,MATCH($A30,'Disagg.1A_import-export'!$B$7:$B$13,0))="","",INDEX('Disagg.1A_import-export'!N$7:N$13,MATCH($A30,'Disagg.1A_import-export'!$B$7:$B$13,0))),""))</f>
        <v/>
      </c>
      <c r="J30" s="1028" t="str">
        <f>IF(B30="","",IFERROR(IF(INDEX('Disagg.1A_import-export'!AC$7:AC$13,MATCH($A30,'Disagg.1A_import-export'!$B$7:$B$13,0))="","",INDEX('Disagg.1A_import-export'!AC$7:AC$13,MATCH($A30,'Disagg.1A_import-export'!$B$7:$B$13,0))),""))</f>
        <v/>
      </c>
      <c r="K30" s="1064"/>
      <c r="L30" s="1065"/>
      <c r="M30" s="1065"/>
      <c r="N30" s="1066"/>
      <c r="O30" s="1067"/>
      <c r="P30" s="1065"/>
      <c r="Q30" s="1065"/>
      <c r="R30" s="1066"/>
      <c r="S30" s="1067"/>
      <c r="T30" s="1065"/>
      <c r="U30" s="1068"/>
      <c r="V30" s="1069"/>
    </row>
    <row r="31" spans="1:22" ht="60" customHeight="1" x14ac:dyDescent="0.2">
      <c r="A31" s="648" t="str">
        <f>IFERROR(IF(INDEX(ImpactDisaglist,MATCH(0,INDEX(COUNTIF(A$10:A30,ImpactDisaglist),0,0),0))&lt;&gt;"",INDEX(ImpactDisaglist,MATCH(0,INDEX(COUNTIF(A$10:A30,ImpactDisaglist),0,0),0)),INDEX(OutcomeDisaglist,MATCH(0,INDEX(COUNTIF(A$10:A30,OutcomeDisaglist),0,0),0))),"")</f>
        <v/>
      </c>
      <c r="B31" s="1027" t="str">
        <f>IFERROR(INDEX('Disagg.1A_import-export'!D$7:D$200,MATCH($A31,'Disagg.1A_import-export'!$B$7:$B$200,0)),"")</f>
        <v/>
      </c>
      <c r="C31" s="1028" t="str">
        <f>IF(B31="","",IFERROR(INDEX('Disagg.1A_import-export'!E$7:E$13,MATCH($A31,'Disagg.1A_import-export'!$B$7:$B$13,0)),""))</f>
        <v/>
      </c>
      <c r="D31" s="1028" t="str">
        <f>IF(B31="","",IFERROR(IF(INDEX('Disagg.1A_import-export'!I$7:I$13,MATCH($A31,'Disagg.1A_import-export'!$B$7:$B$13,0))="","",INDEX('Disagg.1A_import-export'!I$7:I$13,MATCH($A31,'Disagg.1A_import-export'!$B$7:$B$13,0))),""))</f>
        <v/>
      </c>
      <c r="E31" s="1028" t="str">
        <f>IF(B31="","",IFERROR(IF(INDEX('Disagg.1A_import-export'!J$7:J$13,MATCH($A31,'Disagg.1A_import-export'!$B$7:$B$13,0))="","",INDEX('Disagg.1A_import-export'!J$7:J$13,MATCH($A31,'Disagg.1A_import-export'!$B$7:$B$13,0))),""))</f>
        <v/>
      </c>
      <c r="F31" s="1028" t="str">
        <f>IF(B31="","",IFERROR(IF(INDEX('Disagg.1A_import-export'!K$7:K$13,MATCH($A31,'Disagg.1A_import-export'!$B$7:$B$13,0))="","",INDEX('Disagg.1A_import-export'!K$7:K$13,MATCH($A31,'Disagg.1A_import-export'!$B$7:$B$13,0))),""))</f>
        <v/>
      </c>
      <c r="G31" s="1028" t="str">
        <f>IF(B31="","",IFERROR(IF(INDEX('Disagg.1A_import-export'!L$7:L$13,MATCH($A31,'Disagg.1A_import-export'!$B$7:$B$13,0))="","",INDEX('Disagg.1A_import-export'!L$7:L$13,MATCH($A31,'Disagg.1A_import-export'!$B$7:$B$13,0))),""))</f>
        <v/>
      </c>
      <c r="H31" s="1028" t="str">
        <f>IF(B31="","",IFERROR(IF(INDEX('Disagg.1A_import-export'!M$7:M$13,MATCH($A31,'Disagg.1A_import-export'!$B$7:$B$13,0))="","",INDEX('Disagg.1A_import-export'!M$7:M$13,MATCH($A31,'Disagg.1A_import-export'!$B$7:$B$13,0))),""))</f>
        <v/>
      </c>
      <c r="I31" s="1028" t="str">
        <f>IF(B31="","",IFERROR(IF(INDEX('Disagg.1A_import-export'!N$7:N$13,MATCH($A31,'Disagg.1A_import-export'!$B$7:$B$13,0))="","",INDEX('Disagg.1A_import-export'!N$7:N$13,MATCH($A31,'Disagg.1A_import-export'!$B$7:$B$13,0))),""))</f>
        <v/>
      </c>
      <c r="J31" s="1028" t="str">
        <f>IF(B31="","",IFERROR(IF(INDEX('Disagg.1A_import-export'!AC$7:AC$13,MATCH($A31,'Disagg.1A_import-export'!$B$7:$B$13,0))="","",INDEX('Disagg.1A_import-export'!AC$7:AC$13,MATCH($A31,'Disagg.1A_import-export'!$B$7:$B$13,0))),""))</f>
        <v/>
      </c>
      <c r="K31" s="1064"/>
      <c r="L31" s="1065"/>
      <c r="M31" s="1065"/>
      <c r="N31" s="1066"/>
      <c r="O31" s="1067"/>
      <c r="P31" s="1065"/>
      <c r="Q31" s="1065"/>
      <c r="R31" s="1066"/>
      <c r="S31" s="1067"/>
      <c r="T31" s="1065"/>
      <c r="U31" s="1068"/>
      <c r="V31" s="1069"/>
    </row>
    <row r="32" spans="1:22" ht="60" customHeight="1" x14ac:dyDescent="0.2">
      <c r="A32" s="648" t="str">
        <f>IFERROR(IF(INDEX(ImpactDisaglist,MATCH(0,INDEX(COUNTIF(A$10:A31,ImpactDisaglist),0,0),0))&lt;&gt;"",INDEX(ImpactDisaglist,MATCH(0,INDEX(COUNTIF(A$10:A31,ImpactDisaglist),0,0),0)),INDEX(OutcomeDisaglist,MATCH(0,INDEX(COUNTIF(A$10:A31,OutcomeDisaglist),0,0),0))),"")</f>
        <v/>
      </c>
      <c r="B32" s="1027" t="str">
        <f>IFERROR(INDEX('Disagg.1A_import-export'!D$7:D$200,MATCH($A32,'Disagg.1A_import-export'!$B$7:$B$200,0)),"")</f>
        <v/>
      </c>
      <c r="C32" s="1028" t="str">
        <f>IF(B32="","",IFERROR(INDEX('Disagg.1A_import-export'!E$7:E$13,MATCH($A32,'Disagg.1A_import-export'!$B$7:$B$13,0)),""))</f>
        <v/>
      </c>
      <c r="D32" s="1028" t="str">
        <f>IF(B32="","",IFERROR(IF(INDEX('Disagg.1A_import-export'!I$7:I$13,MATCH($A32,'Disagg.1A_import-export'!$B$7:$B$13,0))="","",INDEX('Disagg.1A_import-export'!I$7:I$13,MATCH($A32,'Disagg.1A_import-export'!$B$7:$B$13,0))),""))</f>
        <v/>
      </c>
      <c r="E32" s="1028" t="str">
        <f>IF(B32="","",IFERROR(IF(INDEX('Disagg.1A_import-export'!J$7:J$13,MATCH($A32,'Disagg.1A_import-export'!$B$7:$B$13,0))="","",INDEX('Disagg.1A_import-export'!J$7:J$13,MATCH($A32,'Disagg.1A_import-export'!$B$7:$B$13,0))),""))</f>
        <v/>
      </c>
      <c r="F32" s="1028" t="str">
        <f>IF(B32="","",IFERROR(IF(INDEX('Disagg.1A_import-export'!K$7:K$13,MATCH($A32,'Disagg.1A_import-export'!$B$7:$B$13,0))="","",INDEX('Disagg.1A_import-export'!K$7:K$13,MATCH($A32,'Disagg.1A_import-export'!$B$7:$B$13,0))),""))</f>
        <v/>
      </c>
      <c r="G32" s="1028" t="str">
        <f>IF(B32="","",IFERROR(IF(INDEX('Disagg.1A_import-export'!L$7:L$13,MATCH($A32,'Disagg.1A_import-export'!$B$7:$B$13,0))="","",INDEX('Disagg.1A_import-export'!L$7:L$13,MATCH($A32,'Disagg.1A_import-export'!$B$7:$B$13,0))),""))</f>
        <v/>
      </c>
      <c r="H32" s="1028" t="str">
        <f>IF(B32="","",IFERROR(IF(INDEX('Disagg.1A_import-export'!M$7:M$13,MATCH($A32,'Disagg.1A_import-export'!$B$7:$B$13,0))="","",INDEX('Disagg.1A_import-export'!M$7:M$13,MATCH($A32,'Disagg.1A_import-export'!$B$7:$B$13,0))),""))</f>
        <v/>
      </c>
      <c r="I32" s="1028" t="str">
        <f>IF(B32="","",IFERROR(IF(INDEX('Disagg.1A_import-export'!N$7:N$13,MATCH($A32,'Disagg.1A_import-export'!$B$7:$B$13,0))="","",INDEX('Disagg.1A_import-export'!N$7:N$13,MATCH($A32,'Disagg.1A_import-export'!$B$7:$B$13,0))),""))</f>
        <v/>
      </c>
      <c r="J32" s="1028" t="str">
        <f>IF(B32="","",IFERROR(IF(INDEX('Disagg.1A_import-export'!AC$7:AC$13,MATCH($A32,'Disagg.1A_import-export'!$B$7:$B$13,0))="","",INDEX('Disagg.1A_import-export'!AC$7:AC$13,MATCH($A32,'Disagg.1A_import-export'!$B$7:$B$13,0))),""))</f>
        <v/>
      </c>
      <c r="K32" s="1064"/>
      <c r="L32" s="1065"/>
      <c r="M32" s="1065"/>
      <c r="N32" s="1066"/>
      <c r="O32" s="1067"/>
      <c r="P32" s="1065"/>
      <c r="Q32" s="1065"/>
      <c r="R32" s="1066"/>
      <c r="S32" s="1067"/>
      <c r="T32" s="1065"/>
      <c r="U32" s="1068"/>
      <c r="V32" s="1069"/>
    </row>
    <row r="33" spans="1:22" ht="60" customHeight="1" x14ac:dyDescent="0.2">
      <c r="A33" s="648" t="str">
        <f>IFERROR(IF(INDEX(ImpactDisaglist,MATCH(0,INDEX(COUNTIF(A$10:A32,ImpactDisaglist),0,0),0))&lt;&gt;"",INDEX(ImpactDisaglist,MATCH(0,INDEX(COUNTIF(A$10:A32,ImpactDisaglist),0,0),0)),INDEX(OutcomeDisaglist,MATCH(0,INDEX(COUNTIF(A$10:A32,OutcomeDisaglist),0,0),0))),"")</f>
        <v/>
      </c>
      <c r="B33" s="1027" t="str">
        <f>IFERROR(INDEX('Disagg.1A_import-export'!D$7:D$200,MATCH($A33,'Disagg.1A_import-export'!$B$7:$B$200,0)),"")</f>
        <v/>
      </c>
      <c r="C33" s="1028" t="str">
        <f>IF(B33="","",IFERROR(INDEX('Disagg.1A_import-export'!E$7:E$13,MATCH($A33,'Disagg.1A_import-export'!$B$7:$B$13,0)),""))</f>
        <v/>
      </c>
      <c r="D33" s="1028" t="str">
        <f>IF(B33="","",IFERROR(IF(INDEX('Disagg.1A_import-export'!I$7:I$13,MATCH($A33,'Disagg.1A_import-export'!$B$7:$B$13,0))="","",INDEX('Disagg.1A_import-export'!I$7:I$13,MATCH($A33,'Disagg.1A_import-export'!$B$7:$B$13,0))),""))</f>
        <v/>
      </c>
      <c r="E33" s="1028" t="str">
        <f>IF(B33="","",IFERROR(IF(INDEX('Disagg.1A_import-export'!J$7:J$13,MATCH($A33,'Disagg.1A_import-export'!$B$7:$B$13,0))="","",INDEX('Disagg.1A_import-export'!J$7:J$13,MATCH($A33,'Disagg.1A_import-export'!$B$7:$B$13,0))),""))</f>
        <v/>
      </c>
      <c r="F33" s="1028" t="str">
        <f>IF(B33="","",IFERROR(IF(INDEX('Disagg.1A_import-export'!K$7:K$13,MATCH($A33,'Disagg.1A_import-export'!$B$7:$B$13,0))="","",INDEX('Disagg.1A_import-export'!K$7:K$13,MATCH($A33,'Disagg.1A_import-export'!$B$7:$B$13,0))),""))</f>
        <v/>
      </c>
      <c r="G33" s="1028" t="str">
        <f>IF(B33="","",IFERROR(IF(INDEX('Disagg.1A_import-export'!L$7:L$13,MATCH($A33,'Disagg.1A_import-export'!$B$7:$B$13,0))="","",INDEX('Disagg.1A_import-export'!L$7:L$13,MATCH($A33,'Disagg.1A_import-export'!$B$7:$B$13,0))),""))</f>
        <v/>
      </c>
      <c r="H33" s="1028" t="str">
        <f>IF(B33="","",IFERROR(IF(INDEX('Disagg.1A_import-export'!M$7:M$13,MATCH($A33,'Disagg.1A_import-export'!$B$7:$B$13,0))="","",INDEX('Disagg.1A_import-export'!M$7:M$13,MATCH($A33,'Disagg.1A_import-export'!$B$7:$B$13,0))),""))</f>
        <v/>
      </c>
      <c r="I33" s="1028" t="str">
        <f>IF(B33="","",IFERROR(IF(INDEX('Disagg.1A_import-export'!N$7:N$13,MATCH($A33,'Disagg.1A_import-export'!$B$7:$B$13,0))="","",INDEX('Disagg.1A_import-export'!N$7:N$13,MATCH($A33,'Disagg.1A_import-export'!$B$7:$B$13,0))),""))</f>
        <v/>
      </c>
      <c r="J33" s="1028" t="str">
        <f>IF(B33="","",IFERROR(IF(INDEX('Disagg.1A_import-export'!AC$7:AC$13,MATCH($A33,'Disagg.1A_import-export'!$B$7:$B$13,0))="","",INDEX('Disagg.1A_import-export'!AC$7:AC$13,MATCH($A33,'Disagg.1A_import-export'!$B$7:$B$13,0))),""))</f>
        <v/>
      </c>
      <c r="K33" s="1064"/>
      <c r="L33" s="1065"/>
      <c r="M33" s="1065"/>
      <c r="N33" s="1066"/>
      <c r="O33" s="1067"/>
      <c r="P33" s="1065"/>
      <c r="Q33" s="1065"/>
      <c r="R33" s="1066"/>
      <c r="S33" s="1067"/>
      <c r="T33" s="1065"/>
      <c r="U33" s="1068"/>
      <c r="V33" s="1069"/>
    </row>
    <row r="34" spans="1:22" ht="60" customHeight="1" x14ac:dyDescent="0.2">
      <c r="A34" s="648" t="str">
        <f>IFERROR(IF(INDEX(ImpactDisaglist,MATCH(0,INDEX(COUNTIF(A$10:A33,ImpactDisaglist),0,0),0))&lt;&gt;"",INDEX(ImpactDisaglist,MATCH(0,INDEX(COUNTIF(A$10:A33,ImpactDisaglist),0,0),0)),INDEX(OutcomeDisaglist,MATCH(0,INDEX(COUNTIF(A$10:A33,OutcomeDisaglist),0,0),0))),"")</f>
        <v/>
      </c>
      <c r="B34" s="1027" t="str">
        <f>IFERROR(INDEX('Disagg.1A_import-export'!D$7:D$200,MATCH($A34,'Disagg.1A_import-export'!$B$7:$B$200,0)),"")</f>
        <v/>
      </c>
      <c r="C34" s="1028" t="str">
        <f>IF(B34="","",IFERROR(INDEX('Disagg.1A_import-export'!E$7:E$13,MATCH($A34,'Disagg.1A_import-export'!$B$7:$B$13,0)),""))</f>
        <v/>
      </c>
      <c r="D34" s="1028" t="str">
        <f>IF(B34="","",IFERROR(IF(INDEX('Disagg.1A_import-export'!I$7:I$13,MATCH($A34,'Disagg.1A_import-export'!$B$7:$B$13,0))="","",INDEX('Disagg.1A_import-export'!I$7:I$13,MATCH($A34,'Disagg.1A_import-export'!$B$7:$B$13,0))),""))</f>
        <v/>
      </c>
      <c r="E34" s="1028" t="str">
        <f>IF(B34="","",IFERROR(IF(INDEX('Disagg.1A_import-export'!J$7:J$13,MATCH($A34,'Disagg.1A_import-export'!$B$7:$B$13,0))="","",INDEX('Disagg.1A_import-export'!J$7:J$13,MATCH($A34,'Disagg.1A_import-export'!$B$7:$B$13,0))),""))</f>
        <v/>
      </c>
      <c r="F34" s="1028" t="str">
        <f>IF(B34="","",IFERROR(IF(INDEX('Disagg.1A_import-export'!K$7:K$13,MATCH($A34,'Disagg.1A_import-export'!$B$7:$B$13,0))="","",INDEX('Disagg.1A_import-export'!K$7:K$13,MATCH($A34,'Disagg.1A_import-export'!$B$7:$B$13,0))),""))</f>
        <v/>
      </c>
      <c r="G34" s="1028" t="str">
        <f>IF(B34="","",IFERROR(IF(INDEX('Disagg.1A_import-export'!L$7:L$13,MATCH($A34,'Disagg.1A_import-export'!$B$7:$B$13,0))="","",INDEX('Disagg.1A_import-export'!L$7:L$13,MATCH($A34,'Disagg.1A_import-export'!$B$7:$B$13,0))),""))</f>
        <v/>
      </c>
      <c r="H34" s="1028" t="str">
        <f>IF(B34="","",IFERROR(IF(INDEX('Disagg.1A_import-export'!M$7:M$13,MATCH($A34,'Disagg.1A_import-export'!$B$7:$B$13,0))="","",INDEX('Disagg.1A_import-export'!M$7:M$13,MATCH($A34,'Disagg.1A_import-export'!$B$7:$B$13,0))),""))</f>
        <v/>
      </c>
      <c r="I34" s="1028" t="str">
        <f>IF(B34="","",IFERROR(IF(INDEX('Disagg.1A_import-export'!N$7:N$13,MATCH($A34,'Disagg.1A_import-export'!$B$7:$B$13,0))="","",INDEX('Disagg.1A_import-export'!N$7:N$13,MATCH($A34,'Disagg.1A_import-export'!$B$7:$B$13,0))),""))</f>
        <v/>
      </c>
      <c r="J34" s="1028" t="str">
        <f>IF(B34="","",IFERROR(IF(INDEX('Disagg.1A_import-export'!AC$7:AC$13,MATCH($A34,'Disagg.1A_import-export'!$B$7:$B$13,0))="","",INDEX('Disagg.1A_import-export'!AC$7:AC$13,MATCH($A34,'Disagg.1A_import-export'!$B$7:$B$13,0))),""))</f>
        <v/>
      </c>
      <c r="K34" s="1064"/>
      <c r="L34" s="1065"/>
      <c r="M34" s="1065"/>
      <c r="N34" s="1066"/>
      <c r="O34" s="1067"/>
      <c r="P34" s="1065"/>
      <c r="Q34" s="1065"/>
      <c r="R34" s="1066"/>
      <c r="S34" s="1067"/>
      <c r="T34" s="1065"/>
      <c r="U34" s="1068"/>
      <c r="V34" s="1069"/>
    </row>
    <row r="35" spans="1:22" ht="60" customHeight="1" x14ac:dyDescent="0.2">
      <c r="A35" s="648" t="str">
        <f>IFERROR(IF(INDEX(ImpactDisaglist,MATCH(0,INDEX(COUNTIF(A$10:A34,ImpactDisaglist),0,0),0))&lt;&gt;"",INDEX(ImpactDisaglist,MATCH(0,INDEX(COUNTIF(A$10:A34,ImpactDisaglist),0,0),0)),INDEX(OutcomeDisaglist,MATCH(0,INDEX(COUNTIF(A$10:A34,OutcomeDisaglist),0,0),0))),"")</f>
        <v/>
      </c>
      <c r="B35" s="1027" t="str">
        <f>IFERROR(INDEX('Disagg.1A_import-export'!D$7:D$200,MATCH($A35,'Disagg.1A_import-export'!$B$7:$B$200,0)),"")</f>
        <v/>
      </c>
      <c r="C35" s="1028" t="str">
        <f>IF(B35="","",IFERROR(INDEX('Disagg.1A_import-export'!E$7:E$13,MATCH($A35,'Disagg.1A_import-export'!$B$7:$B$13,0)),""))</f>
        <v/>
      </c>
      <c r="D35" s="1028" t="str">
        <f>IF(B35="","",IFERROR(IF(INDEX('Disagg.1A_import-export'!I$7:I$13,MATCH($A35,'Disagg.1A_import-export'!$B$7:$B$13,0))="","",INDEX('Disagg.1A_import-export'!I$7:I$13,MATCH($A35,'Disagg.1A_import-export'!$B$7:$B$13,0))),""))</f>
        <v/>
      </c>
      <c r="E35" s="1028" t="str">
        <f>IF(B35="","",IFERROR(IF(INDEX('Disagg.1A_import-export'!J$7:J$13,MATCH($A35,'Disagg.1A_import-export'!$B$7:$B$13,0))="","",INDEX('Disagg.1A_import-export'!J$7:J$13,MATCH($A35,'Disagg.1A_import-export'!$B$7:$B$13,0))),""))</f>
        <v/>
      </c>
      <c r="F35" s="1028" t="str">
        <f>IF(B35="","",IFERROR(IF(INDEX('Disagg.1A_import-export'!K$7:K$13,MATCH($A35,'Disagg.1A_import-export'!$B$7:$B$13,0))="","",INDEX('Disagg.1A_import-export'!K$7:K$13,MATCH($A35,'Disagg.1A_import-export'!$B$7:$B$13,0))),""))</f>
        <v/>
      </c>
      <c r="G35" s="1028" t="str">
        <f>IF(B35="","",IFERROR(IF(INDEX('Disagg.1A_import-export'!L$7:L$13,MATCH($A35,'Disagg.1A_import-export'!$B$7:$B$13,0))="","",INDEX('Disagg.1A_import-export'!L$7:L$13,MATCH($A35,'Disagg.1A_import-export'!$B$7:$B$13,0))),""))</f>
        <v/>
      </c>
      <c r="H35" s="1028" t="str">
        <f>IF(B35="","",IFERROR(IF(INDEX('Disagg.1A_import-export'!M$7:M$13,MATCH($A35,'Disagg.1A_import-export'!$B$7:$B$13,0))="","",INDEX('Disagg.1A_import-export'!M$7:M$13,MATCH($A35,'Disagg.1A_import-export'!$B$7:$B$13,0))),""))</f>
        <v/>
      </c>
      <c r="I35" s="1028" t="str">
        <f>IF(B35="","",IFERROR(IF(INDEX('Disagg.1A_import-export'!N$7:N$13,MATCH($A35,'Disagg.1A_import-export'!$B$7:$B$13,0))="","",INDEX('Disagg.1A_import-export'!N$7:N$13,MATCH($A35,'Disagg.1A_import-export'!$B$7:$B$13,0))),""))</f>
        <v/>
      </c>
      <c r="J35" s="1028" t="str">
        <f>IF(B35="","",IFERROR(IF(INDEX('Disagg.1A_import-export'!AC$7:AC$13,MATCH($A35,'Disagg.1A_import-export'!$B$7:$B$13,0))="","",INDEX('Disagg.1A_import-export'!AC$7:AC$13,MATCH($A35,'Disagg.1A_import-export'!$B$7:$B$13,0))),""))</f>
        <v/>
      </c>
      <c r="K35" s="1064"/>
      <c r="L35" s="1065"/>
      <c r="M35" s="1065"/>
      <c r="N35" s="1066"/>
      <c r="O35" s="1067"/>
      <c r="P35" s="1065"/>
      <c r="Q35" s="1065"/>
      <c r="R35" s="1066"/>
      <c r="S35" s="1067"/>
      <c r="T35" s="1065"/>
      <c r="U35" s="1068"/>
      <c r="V35" s="1069"/>
    </row>
    <row r="36" spans="1:22" ht="60" customHeight="1" x14ac:dyDescent="0.2">
      <c r="A36" s="648" t="str">
        <f>IFERROR(IF(INDEX(ImpactDisaglist,MATCH(0,INDEX(COUNTIF(A$10:A35,ImpactDisaglist),0,0),0))&lt;&gt;"",INDEX(ImpactDisaglist,MATCH(0,INDEX(COUNTIF(A$10:A35,ImpactDisaglist),0,0),0)),INDEX(OutcomeDisaglist,MATCH(0,INDEX(COUNTIF(A$10:A35,OutcomeDisaglist),0,0),0))),"")</f>
        <v/>
      </c>
      <c r="B36" s="1027" t="str">
        <f>IFERROR(INDEX('Disagg.1A_import-export'!D$7:D$200,MATCH($A36,'Disagg.1A_import-export'!$B$7:$B$200,0)),"")</f>
        <v/>
      </c>
      <c r="C36" s="1028" t="str">
        <f>IF(B36="","",IFERROR(INDEX('Disagg.1A_import-export'!E$7:E$13,MATCH($A36,'Disagg.1A_import-export'!$B$7:$B$13,0)),""))</f>
        <v/>
      </c>
      <c r="D36" s="1028" t="str">
        <f>IF(B36="","",IFERROR(IF(INDEX('Disagg.1A_import-export'!I$7:I$13,MATCH($A36,'Disagg.1A_import-export'!$B$7:$B$13,0))="","",INDEX('Disagg.1A_import-export'!I$7:I$13,MATCH($A36,'Disagg.1A_import-export'!$B$7:$B$13,0))),""))</f>
        <v/>
      </c>
      <c r="E36" s="1028" t="str">
        <f>IF(B36="","",IFERROR(IF(INDEX('Disagg.1A_import-export'!J$7:J$13,MATCH($A36,'Disagg.1A_import-export'!$B$7:$B$13,0))="","",INDEX('Disagg.1A_import-export'!J$7:J$13,MATCH($A36,'Disagg.1A_import-export'!$B$7:$B$13,0))),""))</f>
        <v/>
      </c>
      <c r="F36" s="1028" t="str">
        <f>IF(B36="","",IFERROR(IF(INDEX('Disagg.1A_import-export'!K$7:K$13,MATCH($A36,'Disagg.1A_import-export'!$B$7:$B$13,0))="","",INDEX('Disagg.1A_import-export'!K$7:K$13,MATCH($A36,'Disagg.1A_import-export'!$B$7:$B$13,0))),""))</f>
        <v/>
      </c>
      <c r="G36" s="1028" t="str">
        <f>IF(B36="","",IFERROR(IF(INDEX('Disagg.1A_import-export'!L$7:L$13,MATCH($A36,'Disagg.1A_import-export'!$B$7:$B$13,0))="","",INDEX('Disagg.1A_import-export'!L$7:L$13,MATCH($A36,'Disagg.1A_import-export'!$B$7:$B$13,0))),""))</f>
        <v/>
      </c>
      <c r="H36" s="1028" t="str">
        <f>IF(B36="","",IFERROR(IF(INDEX('Disagg.1A_import-export'!M$7:M$13,MATCH($A36,'Disagg.1A_import-export'!$B$7:$B$13,0))="","",INDEX('Disagg.1A_import-export'!M$7:M$13,MATCH($A36,'Disagg.1A_import-export'!$B$7:$B$13,0))),""))</f>
        <v/>
      </c>
      <c r="I36" s="1028" t="str">
        <f>IF(B36="","",IFERROR(IF(INDEX('Disagg.1A_import-export'!N$7:N$13,MATCH($A36,'Disagg.1A_import-export'!$B$7:$B$13,0))="","",INDEX('Disagg.1A_import-export'!N$7:N$13,MATCH($A36,'Disagg.1A_import-export'!$B$7:$B$13,0))),""))</f>
        <v/>
      </c>
      <c r="J36" s="1028" t="str">
        <f>IF(B36="","",IFERROR(IF(INDEX('Disagg.1A_import-export'!AC$7:AC$13,MATCH($A36,'Disagg.1A_import-export'!$B$7:$B$13,0))="","",INDEX('Disagg.1A_import-export'!AC$7:AC$13,MATCH($A36,'Disagg.1A_import-export'!$B$7:$B$13,0))),""))</f>
        <v/>
      </c>
      <c r="K36" s="1064"/>
      <c r="L36" s="1065"/>
      <c r="M36" s="1065"/>
      <c r="N36" s="1066"/>
      <c r="O36" s="1067"/>
      <c r="P36" s="1065"/>
      <c r="Q36" s="1065"/>
      <c r="R36" s="1066"/>
      <c r="S36" s="1067"/>
      <c r="T36" s="1065"/>
      <c r="U36" s="1068"/>
      <c r="V36" s="1069"/>
    </row>
    <row r="37" spans="1:22" ht="60" customHeight="1" x14ac:dyDescent="0.2">
      <c r="A37" s="648" t="str">
        <f>IFERROR(IF(INDEX(ImpactDisaglist,MATCH(0,INDEX(COUNTIF(A$10:A36,ImpactDisaglist),0,0),0))&lt;&gt;"",INDEX(ImpactDisaglist,MATCH(0,INDEX(COUNTIF(A$10:A36,ImpactDisaglist),0,0),0)),INDEX(OutcomeDisaglist,MATCH(0,INDEX(COUNTIF(A$10:A36,OutcomeDisaglist),0,0),0))),"")</f>
        <v/>
      </c>
      <c r="B37" s="1027" t="str">
        <f>IFERROR(INDEX('Disagg.1A_import-export'!D$7:D$200,MATCH($A37,'Disagg.1A_import-export'!$B$7:$B$200,0)),"")</f>
        <v/>
      </c>
      <c r="C37" s="1028" t="str">
        <f>IF(B37="","",IFERROR(INDEX('Disagg.1A_import-export'!E$7:E$13,MATCH($A37,'Disagg.1A_import-export'!$B$7:$B$13,0)),""))</f>
        <v/>
      </c>
      <c r="D37" s="1028" t="str">
        <f>IF(B37="","",IFERROR(IF(INDEX('Disagg.1A_import-export'!I$7:I$13,MATCH($A37,'Disagg.1A_import-export'!$B$7:$B$13,0))="","",INDEX('Disagg.1A_import-export'!I$7:I$13,MATCH($A37,'Disagg.1A_import-export'!$B$7:$B$13,0))),""))</f>
        <v/>
      </c>
      <c r="E37" s="1028" t="str">
        <f>IF(B37="","",IFERROR(IF(INDEX('Disagg.1A_import-export'!J$7:J$13,MATCH($A37,'Disagg.1A_import-export'!$B$7:$B$13,0))="","",INDEX('Disagg.1A_import-export'!J$7:J$13,MATCH($A37,'Disagg.1A_import-export'!$B$7:$B$13,0))),""))</f>
        <v/>
      </c>
      <c r="F37" s="1028" t="str">
        <f>IF(B37="","",IFERROR(IF(INDEX('Disagg.1A_import-export'!K$7:K$13,MATCH($A37,'Disagg.1A_import-export'!$B$7:$B$13,0))="","",INDEX('Disagg.1A_import-export'!K$7:K$13,MATCH($A37,'Disagg.1A_import-export'!$B$7:$B$13,0))),""))</f>
        <v/>
      </c>
      <c r="G37" s="1028" t="str">
        <f>IF(B37="","",IFERROR(IF(INDEX('Disagg.1A_import-export'!L$7:L$13,MATCH($A37,'Disagg.1A_import-export'!$B$7:$B$13,0))="","",INDEX('Disagg.1A_import-export'!L$7:L$13,MATCH($A37,'Disagg.1A_import-export'!$B$7:$B$13,0))),""))</f>
        <v/>
      </c>
      <c r="H37" s="1028" t="str">
        <f>IF(B37="","",IFERROR(IF(INDEX('Disagg.1A_import-export'!M$7:M$13,MATCH($A37,'Disagg.1A_import-export'!$B$7:$B$13,0))="","",INDEX('Disagg.1A_import-export'!M$7:M$13,MATCH($A37,'Disagg.1A_import-export'!$B$7:$B$13,0))),""))</f>
        <v/>
      </c>
      <c r="I37" s="1028" t="str">
        <f>IF(B37="","",IFERROR(IF(INDEX('Disagg.1A_import-export'!N$7:N$13,MATCH($A37,'Disagg.1A_import-export'!$B$7:$B$13,0))="","",INDEX('Disagg.1A_import-export'!N$7:N$13,MATCH($A37,'Disagg.1A_import-export'!$B$7:$B$13,0))),""))</f>
        <v/>
      </c>
      <c r="J37" s="1028" t="str">
        <f>IF(B37="","",IFERROR(IF(INDEX('Disagg.1A_import-export'!AC$7:AC$13,MATCH($A37,'Disagg.1A_import-export'!$B$7:$B$13,0))="","",INDEX('Disagg.1A_import-export'!AC$7:AC$13,MATCH($A37,'Disagg.1A_import-export'!$B$7:$B$13,0))),""))</f>
        <v/>
      </c>
      <c r="K37" s="1064"/>
      <c r="L37" s="1065"/>
      <c r="M37" s="1065"/>
      <c r="N37" s="1066"/>
      <c r="O37" s="1067"/>
      <c r="P37" s="1065"/>
      <c r="Q37" s="1065"/>
      <c r="R37" s="1066"/>
      <c r="S37" s="1067"/>
      <c r="T37" s="1065"/>
      <c r="U37" s="1068"/>
      <c r="V37" s="1069"/>
    </row>
    <row r="38" spans="1:22" ht="60" customHeight="1" x14ac:dyDescent="0.2">
      <c r="A38" s="648" t="str">
        <f>IFERROR(IF(INDEX(ImpactDisaglist,MATCH(0,INDEX(COUNTIF(A$10:A37,ImpactDisaglist),0,0),0))&lt;&gt;"",INDEX(ImpactDisaglist,MATCH(0,INDEX(COUNTIF(A$10:A37,ImpactDisaglist),0,0),0)),INDEX(OutcomeDisaglist,MATCH(0,INDEX(COUNTIF(A$10:A37,OutcomeDisaglist),0,0),0))),"")</f>
        <v/>
      </c>
      <c r="B38" s="1027" t="str">
        <f>IFERROR(INDEX('Disagg.1A_import-export'!D$7:D$200,MATCH($A38,'Disagg.1A_import-export'!$B$7:$B$200,0)),"")</f>
        <v/>
      </c>
      <c r="C38" s="1028" t="str">
        <f>IF(B38="","",IFERROR(INDEX('Disagg.1A_import-export'!E$7:E$13,MATCH($A38,'Disagg.1A_import-export'!$B$7:$B$13,0)),""))</f>
        <v/>
      </c>
      <c r="D38" s="1028" t="str">
        <f>IF(B38="","",IFERROR(IF(INDEX('Disagg.1A_import-export'!I$7:I$13,MATCH($A38,'Disagg.1A_import-export'!$B$7:$B$13,0))="","",INDEX('Disagg.1A_import-export'!I$7:I$13,MATCH($A38,'Disagg.1A_import-export'!$B$7:$B$13,0))),""))</f>
        <v/>
      </c>
      <c r="E38" s="1028" t="str">
        <f>IF(B38="","",IFERROR(IF(INDEX('Disagg.1A_import-export'!J$7:J$13,MATCH($A38,'Disagg.1A_import-export'!$B$7:$B$13,0))="","",INDEX('Disagg.1A_import-export'!J$7:J$13,MATCH($A38,'Disagg.1A_import-export'!$B$7:$B$13,0))),""))</f>
        <v/>
      </c>
      <c r="F38" s="1028" t="str">
        <f>IF(B38="","",IFERROR(IF(INDEX('Disagg.1A_import-export'!K$7:K$13,MATCH($A38,'Disagg.1A_import-export'!$B$7:$B$13,0))="","",INDEX('Disagg.1A_import-export'!K$7:K$13,MATCH($A38,'Disagg.1A_import-export'!$B$7:$B$13,0))),""))</f>
        <v/>
      </c>
      <c r="G38" s="1028" t="str">
        <f>IF(B38="","",IFERROR(IF(INDEX('Disagg.1A_import-export'!L$7:L$13,MATCH($A38,'Disagg.1A_import-export'!$B$7:$B$13,0))="","",INDEX('Disagg.1A_import-export'!L$7:L$13,MATCH($A38,'Disagg.1A_import-export'!$B$7:$B$13,0))),""))</f>
        <v/>
      </c>
      <c r="H38" s="1028" t="str">
        <f>IF(B38="","",IFERROR(IF(INDEX('Disagg.1A_import-export'!M$7:M$13,MATCH($A38,'Disagg.1A_import-export'!$B$7:$B$13,0))="","",INDEX('Disagg.1A_import-export'!M$7:M$13,MATCH($A38,'Disagg.1A_import-export'!$B$7:$B$13,0))),""))</f>
        <v/>
      </c>
      <c r="I38" s="1028" t="str">
        <f>IF(B38="","",IFERROR(IF(INDEX('Disagg.1A_import-export'!N$7:N$13,MATCH($A38,'Disagg.1A_import-export'!$B$7:$B$13,0))="","",INDEX('Disagg.1A_import-export'!N$7:N$13,MATCH($A38,'Disagg.1A_import-export'!$B$7:$B$13,0))),""))</f>
        <v/>
      </c>
      <c r="J38" s="1028" t="str">
        <f>IF(B38="","",IFERROR(IF(INDEX('Disagg.1A_import-export'!AC$7:AC$13,MATCH($A38,'Disagg.1A_import-export'!$B$7:$B$13,0))="","",INDEX('Disagg.1A_import-export'!AC$7:AC$13,MATCH($A38,'Disagg.1A_import-export'!$B$7:$B$13,0))),""))</f>
        <v/>
      </c>
      <c r="K38" s="1064"/>
      <c r="L38" s="1065"/>
      <c r="M38" s="1065"/>
      <c r="N38" s="1066"/>
      <c r="O38" s="1067"/>
      <c r="P38" s="1065"/>
      <c r="Q38" s="1065"/>
      <c r="R38" s="1066"/>
      <c r="S38" s="1067"/>
      <c r="T38" s="1065"/>
      <c r="U38" s="1068"/>
      <c r="V38" s="1069"/>
    </row>
    <row r="39" spans="1:22" ht="60" customHeight="1" x14ac:dyDescent="0.2">
      <c r="A39" s="648" t="str">
        <f>IFERROR(IF(INDEX(ImpactDisaglist,MATCH(0,INDEX(COUNTIF(A$10:A38,ImpactDisaglist),0,0),0))&lt;&gt;"",INDEX(ImpactDisaglist,MATCH(0,INDEX(COUNTIF(A$10:A38,ImpactDisaglist),0,0),0)),INDEX(OutcomeDisaglist,MATCH(0,INDEX(COUNTIF(A$10:A38,OutcomeDisaglist),0,0),0))),"")</f>
        <v/>
      </c>
      <c r="B39" s="1027" t="str">
        <f>IFERROR(INDEX('Disagg.1A_import-export'!D$7:D$200,MATCH($A39,'Disagg.1A_import-export'!$B$7:$B$200,0)),"")</f>
        <v/>
      </c>
      <c r="C39" s="1028" t="str">
        <f>IF(B39="","",IFERROR(INDEX('Disagg.1A_import-export'!E$7:E$13,MATCH($A39,'Disagg.1A_import-export'!$B$7:$B$13,0)),""))</f>
        <v/>
      </c>
      <c r="D39" s="1028" t="str">
        <f>IF(B39="","",IFERROR(IF(INDEX('Disagg.1A_import-export'!I$7:I$13,MATCH($A39,'Disagg.1A_import-export'!$B$7:$B$13,0))="","",INDEX('Disagg.1A_import-export'!I$7:I$13,MATCH($A39,'Disagg.1A_import-export'!$B$7:$B$13,0))),""))</f>
        <v/>
      </c>
      <c r="E39" s="1028" t="str">
        <f>IF(B39="","",IFERROR(IF(INDEX('Disagg.1A_import-export'!J$7:J$13,MATCH($A39,'Disagg.1A_import-export'!$B$7:$B$13,0))="","",INDEX('Disagg.1A_import-export'!J$7:J$13,MATCH($A39,'Disagg.1A_import-export'!$B$7:$B$13,0))),""))</f>
        <v/>
      </c>
      <c r="F39" s="1028" t="str">
        <f>IF(B39="","",IFERROR(IF(INDEX('Disagg.1A_import-export'!K$7:K$13,MATCH($A39,'Disagg.1A_import-export'!$B$7:$B$13,0))="","",INDEX('Disagg.1A_import-export'!K$7:K$13,MATCH($A39,'Disagg.1A_import-export'!$B$7:$B$13,0))),""))</f>
        <v/>
      </c>
      <c r="G39" s="1028" t="str">
        <f>IF(B39="","",IFERROR(IF(INDEX('Disagg.1A_import-export'!L$7:L$13,MATCH($A39,'Disagg.1A_import-export'!$B$7:$B$13,0))="","",INDEX('Disagg.1A_import-export'!L$7:L$13,MATCH($A39,'Disagg.1A_import-export'!$B$7:$B$13,0))),""))</f>
        <v/>
      </c>
      <c r="H39" s="1028" t="str">
        <f>IF(B39="","",IFERROR(IF(INDEX('Disagg.1A_import-export'!M$7:M$13,MATCH($A39,'Disagg.1A_import-export'!$B$7:$B$13,0))="","",INDEX('Disagg.1A_import-export'!M$7:M$13,MATCH($A39,'Disagg.1A_import-export'!$B$7:$B$13,0))),""))</f>
        <v/>
      </c>
      <c r="I39" s="1028" t="str">
        <f>IF(B39="","",IFERROR(IF(INDEX('Disagg.1A_import-export'!N$7:N$13,MATCH($A39,'Disagg.1A_import-export'!$B$7:$B$13,0))="","",INDEX('Disagg.1A_import-export'!N$7:N$13,MATCH($A39,'Disagg.1A_import-export'!$B$7:$B$13,0))),""))</f>
        <v/>
      </c>
      <c r="J39" s="1028" t="str">
        <f>IF(B39="","",IFERROR(IF(INDEX('Disagg.1A_import-export'!AC$7:AC$13,MATCH($A39,'Disagg.1A_import-export'!$B$7:$B$13,0))="","",INDEX('Disagg.1A_import-export'!AC$7:AC$13,MATCH($A39,'Disagg.1A_import-export'!$B$7:$B$13,0))),""))</f>
        <v/>
      </c>
      <c r="K39" s="1064"/>
      <c r="L39" s="1065"/>
      <c r="M39" s="1065"/>
      <c r="N39" s="1066"/>
      <c r="O39" s="1067"/>
      <c r="P39" s="1065"/>
      <c r="Q39" s="1065"/>
      <c r="R39" s="1066"/>
      <c r="S39" s="1067"/>
      <c r="T39" s="1065"/>
      <c r="U39" s="1068"/>
      <c r="V39" s="1069"/>
    </row>
    <row r="40" spans="1:22" ht="60" customHeight="1" x14ac:dyDescent="0.2">
      <c r="A40" s="648" t="str">
        <f>IFERROR(IF(INDEX(ImpactDisaglist,MATCH(0,INDEX(COUNTIF(A$10:A39,ImpactDisaglist),0,0),0))&lt;&gt;"",INDEX(ImpactDisaglist,MATCH(0,INDEX(COUNTIF(A$10:A39,ImpactDisaglist),0,0),0)),INDEX(OutcomeDisaglist,MATCH(0,INDEX(COUNTIF(A$10:A39,OutcomeDisaglist),0,0),0))),"")</f>
        <v/>
      </c>
      <c r="B40" s="1027" t="str">
        <f>IFERROR(INDEX('Disagg.1A_import-export'!D$7:D$200,MATCH($A40,'Disagg.1A_import-export'!$B$7:$B$200,0)),"")</f>
        <v/>
      </c>
      <c r="C40" s="1028" t="str">
        <f>IF(B40="","",IFERROR(INDEX('Disagg.1A_import-export'!E$7:E$13,MATCH($A40,'Disagg.1A_import-export'!$B$7:$B$13,0)),""))</f>
        <v/>
      </c>
      <c r="D40" s="1028" t="str">
        <f>IF(B40="","",IFERROR(IF(INDEX('Disagg.1A_import-export'!I$7:I$13,MATCH($A40,'Disagg.1A_import-export'!$B$7:$B$13,0))="","",INDEX('Disagg.1A_import-export'!I$7:I$13,MATCH($A40,'Disagg.1A_import-export'!$B$7:$B$13,0))),""))</f>
        <v/>
      </c>
      <c r="E40" s="1028" t="str">
        <f>IF(B40="","",IFERROR(IF(INDEX('Disagg.1A_import-export'!J$7:J$13,MATCH($A40,'Disagg.1A_import-export'!$B$7:$B$13,0))="","",INDEX('Disagg.1A_import-export'!J$7:J$13,MATCH($A40,'Disagg.1A_import-export'!$B$7:$B$13,0))),""))</f>
        <v/>
      </c>
      <c r="F40" s="1028" t="str">
        <f>IF(B40="","",IFERROR(IF(INDEX('Disagg.1A_import-export'!K$7:K$13,MATCH($A40,'Disagg.1A_import-export'!$B$7:$B$13,0))="","",INDEX('Disagg.1A_import-export'!K$7:K$13,MATCH($A40,'Disagg.1A_import-export'!$B$7:$B$13,0))),""))</f>
        <v/>
      </c>
      <c r="G40" s="1028" t="str">
        <f>IF(B40="","",IFERROR(IF(INDEX('Disagg.1A_import-export'!L$7:L$13,MATCH($A40,'Disagg.1A_import-export'!$B$7:$B$13,0))="","",INDEX('Disagg.1A_import-export'!L$7:L$13,MATCH($A40,'Disagg.1A_import-export'!$B$7:$B$13,0))),""))</f>
        <v/>
      </c>
      <c r="H40" s="1028" t="str">
        <f>IF(B40="","",IFERROR(IF(INDEX('Disagg.1A_import-export'!M$7:M$13,MATCH($A40,'Disagg.1A_import-export'!$B$7:$B$13,0))="","",INDEX('Disagg.1A_import-export'!M$7:M$13,MATCH($A40,'Disagg.1A_import-export'!$B$7:$B$13,0))),""))</f>
        <v/>
      </c>
      <c r="I40" s="1028" t="str">
        <f>IF(B40="","",IFERROR(IF(INDEX('Disagg.1A_import-export'!N$7:N$13,MATCH($A40,'Disagg.1A_import-export'!$B$7:$B$13,0))="","",INDEX('Disagg.1A_import-export'!N$7:N$13,MATCH($A40,'Disagg.1A_import-export'!$B$7:$B$13,0))),""))</f>
        <v/>
      </c>
      <c r="J40" s="1028" t="str">
        <f>IF(B40="","",IFERROR(IF(INDEX('Disagg.1A_import-export'!AC$7:AC$13,MATCH($A40,'Disagg.1A_import-export'!$B$7:$B$13,0))="","",INDEX('Disagg.1A_import-export'!AC$7:AC$13,MATCH($A40,'Disagg.1A_import-export'!$B$7:$B$13,0))),""))</f>
        <v/>
      </c>
      <c r="K40" s="1064"/>
      <c r="L40" s="1065"/>
      <c r="M40" s="1065"/>
      <c r="N40" s="1066"/>
      <c r="O40" s="1067"/>
      <c r="P40" s="1065"/>
      <c r="Q40" s="1065"/>
      <c r="R40" s="1066"/>
      <c r="S40" s="1067"/>
      <c r="T40" s="1065"/>
      <c r="U40" s="1068"/>
      <c r="V40" s="1069"/>
    </row>
    <row r="41" spans="1:22" ht="60" customHeight="1" x14ac:dyDescent="0.2">
      <c r="A41" s="648" t="str">
        <f>IFERROR(IF(INDEX(ImpactDisaglist,MATCH(0,INDEX(COUNTIF(A$10:A40,ImpactDisaglist),0,0),0))&lt;&gt;"",INDEX(ImpactDisaglist,MATCH(0,INDEX(COUNTIF(A$10:A40,ImpactDisaglist),0,0),0)),INDEX(OutcomeDisaglist,MATCH(0,INDEX(COUNTIF(A$10:A40,OutcomeDisaglist),0,0),0))),"")</f>
        <v/>
      </c>
      <c r="B41" s="1027" t="str">
        <f>IFERROR(INDEX('Disagg.1A_import-export'!D$7:D$200,MATCH($A41,'Disagg.1A_import-export'!$B$7:$B$200,0)),"")</f>
        <v/>
      </c>
      <c r="C41" s="1028" t="str">
        <f>IF(B41="","",IFERROR(INDEX('Disagg.1A_import-export'!E$7:E$13,MATCH($A41,'Disagg.1A_import-export'!$B$7:$B$13,0)),""))</f>
        <v/>
      </c>
      <c r="D41" s="1028" t="str">
        <f>IF(B41="","",IFERROR(IF(INDEX('Disagg.1A_import-export'!I$7:I$13,MATCH($A41,'Disagg.1A_import-export'!$B$7:$B$13,0))="","",INDEX('Disagg.1A_import-export'!I$7:I$13,MATCH($A41,'Disagg.1A_import-export'!$B$7:$B$13,0))),""))</f>
        <v/>
      </c>
      <c r="E41" s="1028" t="str">
        <f>IF(B41="","",IFERROR(IF(INDEX('Disagg.1A_import-export'!J$7:J$13,MATCH($A41,'Disagg.1A_import-export'!$B$7:$B$13,0))="","",INDEX('Disagg.1A_import-export'!J$7:J$13,MATCH($A41,'Disagg.1A_import-export'!$B$7:$B$13,0))),""))</f>
        <v/>
      </c>
      <c r="F41" s="1028" t="str">
        <f>IF(B41="","",IFERROR(IF(INDEX('Disagg.1A_import-export'!K$7:K$13,MATCH($A41,'Disagg.1A_import-export'!$B$7:$B$13,0))="","",INDEX('Disagg.1A_import-export'!K$7:K$13,MATCH($A41,'Disagg.1A_import-export'!$B$7:$B$13,0))),""))</f>
        <v/>
      </c>
      <c r="G41" s="1028" t="str">
        <f>IF(B41="","",IFERROR(IF(INDEX('Disagg.1A_import-export'!L$7:L$13,MATCH($A41,'Disagg.1A_import-export'!$B$7:$B$13,0))="","",INDEX('Disagg.1A_import-export'!L$7:L$13,MATCH($A41,'Disagg.1A_import-export'!$B$7:$B$13,0))),""))</f>
        <v/>
      </c>
      <c r="H41" s="1028" t="str">
        <f>IF(B41="","",IFERROR(IF(INDEX('Disagg.1A_import-export'!M$7:M$13,MATCH($A41,'Disagg.1A_import-export'!$B$7:$B$13,0))="","",INDEX('Disagg.1A_import-export'!M$7:M$13,MATCH($A41,'Disagg.1A_import-export'!$B$7:$B$13,0))),""))</f>
        <v/>
      </c>
      <c r="I41" s="1028" t="str">
        <f>IF(B41="","",IFERROR(IF(INDEX('Disagg.1A_import-export'!N$7:N$13,MATCH($A41,'Disagg.1A_import-export'!$B$7:$B$13,0))="","",INDEX('Disagg.1A_import-export'!N$7:N$13,MATCH($A41,'Disagg.1A_import-export'!$B$7:$B$13,0))),""))</f>
        <v/>
      </c>
      <c r="J41" s="1028" t="str">
        <f>IF(B41="","",IFERROR(IF(INDEX('Disagg.1A_import-export'!AC$7:AC$13,MATCH($A41,'Disagg.1A_import-export'!$B$7:$B$13,0))="","",INDEX('Disagg.1A_import-export'!AC$7:AC$13,MATCH($A41,'Disagg.1A_import-export'!$B$7:$B$13,0))),""))</f>
        <v/>
      </c>
      <c r="K41" s="1064"/>
      <c r="L41" s="1065"/>
      <c r="M41" s="1065"/>
      <c r="N41" s="1066"/>
      <c r="O41" s="1067"/>
      <c r="P41" s="1065"/>
      <c r="Q41" s="1065"/>
      <c r="R41" s="1066"/>
      <c r="S41" s="1067"/>
      <c r="T41" s="1065"/>
      <c r="U41" s="1068"/>
      <c r="V41" s="1069"/>
    </row>
    <row r="42" spans="1:22" ht="60" customHeight="1" x14ac:dyDescent="0.2">
      <c r="A42" s="648" t="str">
        <f>IFERROR(IF(INDEX(ImpactDisaglist,MATCH(0,INDEX(COUNTIF(A$10:A41,ImpactDisaglist),0,0),0))&lt;&gt;"",INDEX(ImpactDisaglist,MATCH(0,INDEX(COUNTIF(A$10:A41,ImpactDisaglist),0,0),0)),INDEX(OutcomeDisaglist,MATCH(0,INDEX(COUNTIF(A$10:A41,OutcomeDisaglist),0,0),0))),"")</f>
        <v/>
      </c>
      <c r="B42" s="1027" t="str">
        <f>IFERROR(INDEX('Disagg.1A_import-export'!D$7:D$200,MATCH($A42,'Disagg.1A_import-export'!$B$7:$B$200,0)),"")</f>
        <v/>
      </c>
      <c r="C42" s="1028" t="str">
        <f>IF(B42="","",IFERROR(INDEX('Disagg.1A_import-export'!E$7:E$13,MATCH($A42,'Disagg.1A_import-export'!$B$7:$B$13,0)),""))</f>
        <v/>
      </c>
      <c r="D42" s="1028" t="str">
        <f>IF(B42="","",IFERROR(IF(INDEX('Disagg.1A_import-export'!I$7:I$13,MATCH($A42,'Disagg.1A_import-export'!$B$7:$B$13,0))="","",INDEX('Disagg.1A_import-export'!I$7:I$13,MATCH($A42,'Disagg.1A_import-export'!$B$7:$B$13,0))),""))</f>
        <v/>
      </c>
      <c r="E42" s="1028" t="str">
        <f>IF(B42="","",IFERROR(IF(INDEX('Disagg.1A_import-export'!J$7:J$13,MATCH($A42,'Disagg.1A_import-export'!$B$7:$B$13,0))="","",INDEX('Disagg.1A_import-export'!J$7:J$13,MATCH($A42,'Disagg.1A_import-export'!$B$7:$B$13,0))),""))</f>
        <v/>
      </c>
      <c r="F42" s="1028" t="str">
        <f>IF(B42="","",IFERROR(IF(INDEX('Disagg.1A_import-export'!K$7:K$13,MATCH($A42,'Disagg.1A_import-export'!$B$7:$B$13,0))="","",INDEX('Disagg.1A_import-export'!K$7:K$13,MATCH($A42,'Disagg.1A_import-export'!$B$7:$B$13,0))),""))</f>
        <v/>
      </c>
      <c r="G42" s="1028" t="str">
        <f>IF(B42="","",IFERROR(IF(INDEX('Disagg.1A_import-export'!L$7:L$13,MATCH($A42,'Disagg.1A_import-export'!$B$7:$B$13,0))="","",INDEX('Disagg.1A_import-export'!L$7:L$13,MATCH($A42,'Disagg.1A_import-export'!$B$7:$B$13,0))),""))</f>
        <v/>
      </c>
      <c r="H42" s="1028" t="str">
        <f>IF(B42="","",IFERROR(IF(INDEX('Disagg.1A_import-export'!M$7:M$13,MATCH($A42,'Disagg.1A_import-export'!$B$7:$B$13,0))="","",INDEX('Disagg.1A_import-export'!M$7:M$13,MATCH($A42,'Disagg.1A_import-export'!$B$7:$B$13,0))),""))</f>
        <v/>
      </c>
      <c r="I42" s="1028" t="str">
        <f>IF(B42="","",IFERROR(IF(INDEX('Disagg.1A_import-export'!N$7:N$13,MATCH($A42,'Disagg.1A_import-export'!$B$7:$B$13,0))="","",INDEX('Disagg.1A_import-export'!N$7:N$13,MATCH($A42,'Disagg.1A_import-export'!$B$7:$B$13,0))),""))</f>
        <v/>
      </c>
      <c r="J42" s="1028" t="str">
        <f>IF(B42="","",IFERROR(IF(INDEX('Disagg.1A_import-export'!AC$7:AC$13,MATCH($A42,'Disagg.1A_import-export'!$B$7:$B$13,0))="","",INDEX('Disagg.1A_import-export'!AC$7:AC$13,MATCH($A42,'Disagg.1A_import-export'!$B$7:$B$13,0))),""))</f>
        <v/>
      </c>
      <c r="K42" s="1064"/>
      <c r="L42" s="1065"/>
      <c r="M42" s="1065"/>
      <c r="N42" s="1066"/>
      <c r="O42" s="1067"/>
      <c r="P42" s="1065"/>
      <c r="Q42" s="1065"/>
      <c r="R42" s="1066"/>
      <c r="S42" s="1067"/>
      <c r="T42" s="1065"/>
      <c r="U42" s="1068"/>
      <c r="V42" s="1069"/>
    </row>
    <row r="43" spans="1:22" ht="60" customHeight="1" x14ac:dyDescent="0.2">
      <c r="A43" s="648" t="str">
        <f>IFERROR(IF(INDEX(ImpactDisaglist,MATCH(0,INDEX(COUNTIF(A$10:A42,ImpactDisaglist),0,0),0))&lt;&gt;"",INDEX(ImpactDisaglist,MATCH(0,INDEX(COUNTIF(A$10:A42,ImpactDisaglist),0,0),0)),INDEX(OutcomeDisaglist,MATCH(0,INDEX(COUNTIF(A$10:A42,OutcomeDisaglist),0,0),0))),"")</f>
        <v/>
      </c>
      <c r="B43" s="1027" t="str">
        <f>IFERROR(INDEX('Disagg.1A_import-export'!D$7:D$200,MATCH($A43,'Disagg.1A_import-export'!$B$7:$B$200,0)),"")</f>
        <v/>
      </c>
      <c r="C43" s="1028" t="str">
        <f>IF(B43="","",IFERROR(INDEX('Disagg.1A_import-export'!E$7:E$13,MATCH($A43,'Disagg.1A_import-export'!$B$7:$B$13,0)),""))</f>
        <v/>
      </c>
      <c r="D43" s="1028" t="str">
        <f>IF(B43="","",IFERROR(IF(INDEX('Disagg.1A_import-export'!I$7:I$13,MATCH($A43,'Disagg.1A_import-export'!$B$7:$B$13,0))="","",INDEX('Disagg.1A_import-export'!I$7:I$13,MATCH($A43,'Disagg.1A_import-export'!$B$7:$B$13,0))),""))</f>
        <v/>
      </c>
      <c r="E43" s="1028" t="str">
        <f>IF(B43="","",IFERROR(IF(INDEX('Disagg.1A_import-export'!J$7:J$13,MATCH($A43,'Disagg.1A_import-export'!$B$7:$B$13,0))="","",INDEX('Disagg.1A_import-export'!J$7:J$13,MATCH($A43,'Disagg.1A_import-export'!$B$7:$B$13,0))),""))</f>
        <v/>
      </c>
      <c r="F43" s="1028" t="str">
        <f>IF(B43="","",IFERROR(IF(INDEX('Disagg.1A_import-export'!K$7:K$13,MATCH($A43,'Disagg.1A_import-export'!$B$7:$B$13,0))="","",INDEX('Disagg.1A_import-export'!K$7:K$13,MATCH($A43,'Disagg.1A_import-export'!$B$7:$B$13,0))),""))</f>
        <v/>
      </c>
      <c r="G43" s="1028" t="str">
        <f>IF(B43="","",IFERROR(IF(INDEX('Disagg.1A_import-export'!L$7:L$13,MATCH($A43,'Disagg.1A_import-export'!$B$7:$B$13,0))="","",INDEX('Disagg.1A_import-export'!L$7:L$13,MATCH($A43,'Disagg.1A_import-export'!$B$7:$B$13,0))),""))</f>
        <v/>
      </c>
      <c r="H43" s="1028" t="str">
        <f>IF(B43="","",IFERROR(IF(INDEX('Disagg.1A_import-export'!M$7:M$13,MATCH($A43,'Disagg.1A_import-export'!$B$7:$B$13,0))="","",INDEX('Disagg.1A_import-export'!M$7:M$13,MATCH($A43,'Disagg.1A_import-export'!$B$7:$B$13,0))),""))</f>
        <v/>
      </c>
      <c r="I43" s="1028" t="str">
        <f>IF(B43="","",IFERROR(IF(INDEX('Disagg.1A_import-export'!N$7:N$13,MATCH($A43,'Disagg.1A_import-export'!$B$7:$B$13,0))="","",INDEX('Disagg.1A_import-export'!N$7:N$13,MATCH($A43,'Disagg.1A_import-export'!$B$7:$B$13,0))),""))</f>
        <v/>
      </c>
      <c r="J43" s="1028" t="str">
        <f>IF(B43="","",IFERROR(IF(INDEX('Disagg.1A_import-export'!AC$7:AC$13,MATCH($A43,'Disagg.1A_import-export'!$B$7:$B$13,0))="","",INDEX('Disagg.1A_import-export'!AC$7:AC$13,MATCH($A43,'Disagg.1A_import-export'!$B$7:$B$13,0))),""))</f>
        <v/>
      </c>
      <c r="K43" s="1064"/>
      <c r="L43" s="1065"/>
      <c r="M43" s="1065"/>
      <c r="N43" s="1066"/>
      <c r="O43" s="1067"/>
      <c r="P43" s="1065"/>
      <c r="Q43" s="1065"/>
      <c r="R43" s="1066"/>
      <c r="S43" s="1067"/>
      <c r="T43" s="1065"/>
      <c r="U43" s="1068"/>
      <c r="V43" s="1069"/>
    </row>
    <row r="44" spans="1:22" ht="60" customHeight="1" x14ac:dyDescent="0.2">
      <c r="A44" s="648" t="str">
        <f>IFERROR(IF(INDEX(ImpactDisaglist,MATCH(0,INDEX(COUNTIF(A$10:A43,ImpactDisaglist),0,0),0))&lt;&gt;"",INDEX(ImpactDisaglist,MATCH(0,INDEX(COUNTIF(A$10:A43,ImpactDisaglist),0,0),0)),INDEX(OutcomeDisaglist,MATCH(0,INDEX(COUNTIF(A$10:A43,OutcomeDisaglist),0,0),0))),"")</f>
        <v/>
      </c>
      <c r="B44" s="1027" t="str">
        <f>IFERROR(INDEX('Disagg.1A_import-export'!D$7:D$200,MATCH($A44,'Disagg.1A_import-export'!$B$7:$B$200,0)),"")</f>
        <v/>
      </c>
      <c r="C44" s="1028" t="str">
        <f>IF(B44="","",IFERROR(INDEX('Disagg.1A_import-export'!E$7:E$13,MATCH($A44,'Disagg.1A_import-export'!$B$7:$B$13,0)),""))</f>
        <v/>
      </c>
      <c r="D44" s="1028" t="str">
        <f>IF(B44="","",IFERROR(IF(INDEX('Disagg.1A_import-export'!I$7:I$13,MATCH($A44,'Disagg.1A_import-export'!$B$7:$B$13,0))="","",INDEX('Disagg.1A_import-export'!I$7:I$13,MATCH($A44,'Disagg.1A_import-export'!$B$7:$B$13,0))),""))</f>
        <v/>
      </c>
      <c r="E44" s="1028" t="str">
        <f>IF(B44="","",IFERROR(IF(INDEX('Disagg.1A_import-export'!J$7:J$13,MATCH($A44,'Disagg.1A_import-export'!$B$7:$B$13,0))="","",INDEX('Disagg.1A_import-export'!J$7:J$13,MATCH($A44,'Disagg.1A_import-export'!$B$7:$B$13,0))),""))</f>
        <v/>
      </c>
      <c r="F44" s="1028" t="str">
        <f>IF(B44="","",IFERROR(IF(INDEX('Disagg.1A_import-export'!K$7:K$13,MATCH($A44,'Disagg.1A_import-export'!$B$7:$B$13,0))="","",INDEX('Disagg.1A_import-export'!K$7:K$13,MATCH($A44,'Disagg.1A_import-export'!$B$7:$B$13,0))),""))</f>
        <v/>
      </c>
      <c r="G44" s="1028" t="str">
        <f>IF(B44="","",IFERROR(IF(INDEX('Disagg.1A_import-export'!L$7:L$13,MATCH($A44,'Disagg.1A_import-export'!$B$7:$B$13,0))="","",INDEX('Disagg.1A_import-export'!L$7:L$13,MATCH($A44,'Disagg.1A_import-export'!$B$7:$B$13,0))),""))</f>
        <v/>
      </c>
      <c r="H44" s="1028" t="str">
        <f>IF(B44="","",IFERROR(IF(INDEX('Disagg.1A_import-export'!M$7:M$13,MATCH($A44,'Disagg.1A_import-export'!$B$7:$B$13,0))="","",INDEX('Disagg.1A_import-export'!M$7:M$13,MATCH($A44,'Disagg.1A_import-export'!$B$7:$B$13,0))),""))</f>
        <v/>
      </c>
      <c r="I44" s="1028" t="str">
        <f>IF(B44="","",IFERROR(IF(INDEX('Disagg.1A_import-export'!N$7:N$13,MATCH($A44,'Disagg.1A_import-export'!$B$7:$B$13,0))="","",INDEX('Disagg.1A_import-export'!N$7:N$13,MATCH($A44,'Disagg.1A_import-export'!$B$7:$B$13,0))),""))</f>
        <v/>
      </c>
      <c r="J44" s="1028" t="str">
        <f>IF(B44="","",IFERROR(IF(INDEX('Disagg.1A_import-export'!AC$7:AC$13,MATCH($A44,'Disagg.1A_import-export'!$B$7:$B$13,0))="","",INDEX('Disagg.1A_import-export'!AC$7:AC$13,MATCH($A44,'Disagg.1A_import-export'!$B$7:$B$13,0))),""))</f>
        <v/>
      </c>
      <c r="K44" s="1064"/>
      <c r="L44" s="1065"/>
      <c r="M44" s="1065"/>
      <c r="N44" s="1066"/>
      <c r="O44" s="1067"/>
      <c r="P44" s="1065"/>
      <c r="Q44" s="1065"/>
      <c r="R44" s="1066"/>
      <c r="S44" s="1067"/>
      <c r="T44" s="1065"/>
      <c r="U44" s="1068"/>
      <c r="V44" s="1069"/>
    </row>
    <row r="45" spans="1:22" ht="60" customHeight="1" x14ac:dyDescent="0.2">
      <c r="A45" s="648" t="str">
        <f>IFERROR(IF(INDEX(ImpactDisaglist,MATCH(0,INDEX(COUNTIF(A$10:A44,ImpactDisaglist),0,0),0))&lt;&gt;"",INDEX(ImpactDisaglist,MATCH(0,INDEX(COUNTIF(A$10:A44,ImpactDisaglist),0,0),0)),INDEX(OutcomeDisaglist,MATCH(0,INDEX(COUNTIF(A$10:A44,OutcomeDisaglist),0,0),0))),"")</f>
        <v/>
      </c>
      <c r="B45" s="1027" t="str">
        <f>IFERROR(INDEX('Disagg.1A_import-export'!D$7:D$200,MATCH($A45,'Disagg.1A_import-export'!$B$7:$B$200,0)),"")</f>
        <v/>
      </c>
      <c r="C45" s="1028" t="str">
        <f>IF(B45="","",IFERROR(INDEX('Disagg.1A_import-export'!E$7:E$13,MATCH($A45,'Disagg.1A_import-export'!$B$7:$B$13,0)),""))</f>
        <v/>
      </c>
      <c r="D45" s="1028" t="str">
        <f>IF(B45="","",IFERROR(IF(INDEX('Disagg.1A_import-export'!I$7:I$13,MATCH($A45,'Disagg.1A_import-export'!$B$7:$B$13,0))="","",INDEX('Disagg.1A_import-export'!I$7:I$13,MATCH($A45,'Disagg.1A_import-export'!$B$7:$B$13,0))),""))</f>
        <v/>
      </c>
      <c r="E45" s="1028" t="str">
        <f>IF(B45="","",IFERROR(IF(INDEX('Disagg.1A_import-export'!J$7:J$13,MATCH($A45,'Disagg.1A_import-export'!$B$7:$B$13,0))="","",INDEX('Disagg.1A_import-export'!J$7:J$13,MATCH($A45,'Disagg.1A_import-export'!$B$7:$B$13,0))),""))</f>
        <v/>
      </c>
      <c r="F45" s="1028" t="str">
        <f>IF(B45="","",IFERROR(IF(INDEX('Disagg.1A_import-export'!K$7:K$13,MATCH($A45,'Disagg.1A_import-export'!$B$7:$B$13,0))="","",INDEX('Disagg.1A_import-export'!K$7:K$13,MATCH($A45,'Disagg.1A_import-export'!$B$7:$B$13,0))),""))</f>
        <v/>
      </c>
      <c r="G45" s="1028" t="str">
        <f>IF(B45="","",IFERROR(IF(INDEX('Disagg.1A_import-export'!L$7:L$13,MATCH($A45,'Disagg.1A_import-export'!$B$7:$B$13,0))="","",INDEX('Disagg.1A_import-export'!L$7:L$13,MATCH($A45,'Disagg.1A_import-export'!$B$7:$B$13,0))),""))</f>
        <v/>
      </c>
      <c r="H45" s="1028" t="str">
        <f>IF(B45="","",IFERROR(IF(INDEX('Disagg.1A_import-export'!M$7:M$13,MATCH($A45,'Disagg.1A_import-export'!$B$7:$B$13,0))="","",INDEX('Disagg.1A_import-export'!M$7:M$13,MATCH($A45,'Disagg.1A_import-export'!$B$7:$B$13,0))),""))</f>
        <v/>
      </c>
      <c r="I45" s="1028" t="str">
        <f>IF(B45="","",IFERROR(IF(INDEX('Disagg.1A_import-export'!N$7:N$13,MATCH($A45,'Disagg.1A_import-export'!$B$7:$B$13,0))="","",INDEX('Disagg.1A_import-export'!N$7:N$13,MATCH($A45,'Disagg.1A_import-export'!$B$7:$B$13,0))),""))</f>
        <v/>
      </c>
      <c r="J45" s="1028" t="str">
        <f>IF(B45="","",IFERROR(IF(INDEX('Disagg.1A_import-export'!AC$7:AC$13,MATCH($A45,'Disagg.1A_import-export'!$B$7:$B$13,0))="","",INDEX('Disagg.1A_import-export'!AC$7:AC$13,MATCH($A45,'Disagg.1A_import-export'!$B$7:$B$13,0))),""))</f>
        <v/>
      </c>
      <c r="K45" s="1064"/>
      <c r="L45" s="1065"/>
      <c r="M45" s="1065"/>
      <c r="N45" s="1066"/>
      <c r="O45" s="1067"/>
      <c r="P45" s="1065"/>
      <c r="Q45" s="1065"/>
      <c r="R45" s="1066"/>
      <c r="S45" s="1067"/>
      <c r="T45" s="1065"/>
      <c r="U45" s="1068"/>
      <c r="V45" s="1069"/>
    </row>
    <row r="46" spans="1:22" ht="60" customHeight="1" x14ac:dyDescent="0.2">
      <c r="A46" s="648" t="str">
        <f>IFERROR(IF(INDEX(ImpactDisaglist,MATCH(0,INDEX(COUNTIF(A$10:A45,ImpactDisaglist),0,0),0))&lt;&gt;"",INDEX(ImpactDisaglist,MATCH(0,INDEX(COUNTIF(A$10:A45,ImpactDisaglist),0,0),0)),INDEX(OutcomeDisaglist,MATCH(0,INDEX(COUNTIF(A$10:A45,OutcomeDisaglist),0,0),0))),"")</f>
        <v/>
      </c>
      <c r="B46" s="1027" t="str">
        <f>IFERROR(INDEX('Disagg.1A_import-export'!D$7:D$200,MATCH($A46,'Disagg.1A_import-export'!$B$7:$B$200,0)),"")</f>
        <v/>
      </c>
      <c r="C46" s="1028" t="str">
        <f>IF(B46="","",IFERROR(INDEX('Disagg.1A_import-export'!E$7:E$13,MATCH($A46,'Disagg.1A_import-export'!$B$7:$B$13,0)),""))</f>
        <v/>
      </c>
      <c r="D46" s="1028" t="str">
        <f>IF(B46="","",IFERROR(IF(INDEX('Disagg.1A_import-export'!I$7:I$13,MATCH($A46,'Disagg.1A_import-export'!$B$7:$B$13,0))="","",INDEX('Disagg.1A_import-export'!I$7:I$13,MATCH($A46,'Disagg.1A_import-export'!$B$7:$B$13,0))),""))</f>
        <v/>
      </c>
      <c r="E46" s="1028" t="str">
        <f>IF(B46="","",IFERROR(IF(INDEX('Disagg.1A_import-export'!J$7:J$13,MATCH($A46,'Disagg.1A_import-export'!$B$7:$B$13,0))="","",INDEX('Disagg.1A_import-export'!J$7:J$13,MATCH($A46,'Disagg.1A_import-export'!$B$7:$B$13,0))),""))</f>
        <v/>
      </c>
      <c r="F46" s="1028" t="str">
        <f>IF(B46="","",IFERROR(IF(INDEX('Disagg.1A_import-export'!K$7:K$13,MATCH($A46,'Disagg.1A_import-export'!$B$7:$B$13,0))="","",INDEX('Disagg.1A_import-export'!K$7:K$13,MATCH($A46,'Disagg.1A_import-export'!$B$7:$B$13,0))),""))</f>
        <v/>
      </c>
      <c r="G46" s="1028" t="str">
        <f>IF(B46="","",IFERROR(IF(INDEX('Disagg.1A_import-export'!L$7:L$13,MATCH($A46,'Disagg.1A_import-export'!$B$7:$B$13,0))="","",INDEX('Disagg.1A_import-export'!L$7:L$13,MATCH($A46,'Disagg.1A_import-export'!$B$7:$B$13,0))),""))</f>
        <v/>
      </c>
      <c r="H46" s="1028" t="str">
        <f>IF(B46="","",IFERROR(IF(INDEX('Disagg.1A_import-export'!M$7:M$13,MATCH($A46,'Disagg.1A_import-export'!$B$7:$B$13,0))="","",INDEX('Disagg.1A_import-export'!M$7:M$13,MATCH($A46,'Disagg.1A_import-export'!$B$7:$B$13,0))),""))</f>
        <v/>
      </c>
      <c r="I46" s="1028" t="str">
        <f>IF(B46="","",IFERROR(IF(INDEX('Disagg.1A_import-export'!N$7:N$13,MATCH($A46,'Disagg.1A_import-export'!$B$7:$B$13,0))="","",INDEX('Disagg.1A_import-export'!N$7:N$13,MATCH($A46,'Disagg.1A_import-export'!$B$7:$B$13,0))),""))</f>
        <v/>
      </c>
      <c r="J46" s="1028" t="str">
        <f>IF(B46="","",IFERROR(IF(INDEX('Disagg.1A_import-export'!AC$7:AC$13,MATCH($A46,'Disagg.1A_import-export'!$B$7:$B$13,0))="","",INDEX('Disagg.1A_import-export'!AC$7:AC$13,MATCH($A46,'Disagg.1A_import-export'!$B$7:$B$13,0))),""))</f>
        <v/>
      </c>
      <c r="K46" s="1064"/>
      <c r="L46" s="1065"/>
      <c r="M46" s="1065"/>
      <c r="N46" s="1066"/>
      <c r="O46" s="1067"/>
      <c r="P46" s="1065"/>
      <c r="Q46" s="1065"/>
      <c r="R46" s="1066"/>
      <c r="S46" s="1067"/>
      <c r="T46" s="1065"/>
      <c r="U46" s="1068"/>
      <c r="V46" s="1069"/>
    </row>
    <row r="47" spans="1:22" ht="60" customHeight="1" x14ac:dyDescent="0.2">
      <c r="A47" s="648" t="str">
        <f>IFERROR(IF(INDEX(ImpactDisaglist,MATCH(0,INDEX(COUNTIF(A$10:A46,ImpactDisaglist),0,0),0))&lt;&gt;"",INDEX(ImpactDisaglist,MATCH(0,INDEX(COUNTIF(A$10:A46,ImpactDisaglist),0,0),0)),INDEX(OutcomeDisaglist,MATCH(0,INDEX(COUNTIF(A$10:A46,OutcomeDisaglist),0,0),0))),"")</f>
        <v/>
      </c>
      <c r="B47" s="1027" t="str">
        <f>IFERROR(INDEX('Disagg.1A_import-export'!D$7:D$200,MATCH($A47,'Disagg.1A_import-export'!$B$7:$B$200,0)),"")</f>
        <v/>
      </c>
      <c r="C47" s="1028" t="str">
        <f>IF(B47="","",IFERROR(INDEX('Disagg.1A_import-export'!E$7:E$13,MATCH($A47,'Disagg.1A_import-export'!$B$7:$B$13,0)),""))</f>
        <v/>
      </c>
      <c r="D47" s="1028" t="str">
        <f>IF(B47="","",IFERROR(IF(INDEX('Disagg.1A_import-export'!I$7:I$13,MATCH($A47,'Disagg.1A_import-export'!$B$7:$B$13,0))="","",INDEX('Disagg.1A_import-export'!I$7:I$13,MATCH($A47,'Disagg.1A_import-export'!$B$7:$B$13,0))),""))</f>
        <v/>
      </c>
      <c r="E47" s="1028" t="str">
        <f>IF(B47="","",IFERROR(IF(INDEX('Disagg.1A_import-export'!J$7:J$13,MATCH($A47,'Disagg.1A_import-export'!$B$7:$B$13,0))="","",INDEX('Disagg.1A_import-export'!J$7:J$13,MATCH($A47,'Disagg.1A_import-export'!$B$7:$B$13,0))),""))</f>
        <v/>
      </c>
      <c r="F47" s="1028" t="str">
        <f>IF(B47="","",IFERROR(IF(INDEX('Disagg.1A_import-export'!K$7:K$13,MATCH($A47,'Disagg.1A_import-export'!$B$7:$B$13,0))="","",INDEX('Disagg.1A_import-export'!K$7:K$13,MATCH($A47,'Disagg.1A_import-export'!$B$7:$B$13,0))),""))</f>
        <v/>
      </c>
      <c r="G47" s="1028" t="str">
        <f>IF(B47="","",IFERROR(IF(INDEX('Disagg.1A_import-export'!L$7:L$13,MATCH($A47,'Disagg.1A_import-export'!$B$7:$B$13,0))="","",INDEX('Disagg.1A_import-export'!L$7:L$13,MATCH($A47,'Disagg.1A_import-export'!$B$7:$B$13,0))),""))</f>
        <v/>
      </c>
      <c r="H47" s="1028" t="str">
        <f>IF(B47="","",IFERROR(IF(INDEX('Disagg.1A_import-export'!M$7:M$13,MATCH($A47,'Disagg.1A_import-export'!$B$7:$B$13,0))="","",INDEX('Disagg.1A_import-export'!M$7:M$13,MATCH($A47,'Disagg.1A_import-export'!$B$7:$B$13,0))),""))</f>
        <v/>
      </c>
      <c r="I47" s="1028" t="str">
        <f>IF(B47="","",IFERROR(IF(INDEX('Disagg.1A_import-export'!N$7:N$13,MATCH($A47,'Disagg.1A_import-export'!$B$7:$B$13,0))="","",INDEX('Disagg.1A_import-export'!N$7:N$13,MATCH($A47,'Disagg.1A_import-export'!$B$7:$B$13,0))),""))</f>
        <v/>
      </c>
      <c r="J47" s="1028" t="str">
        <f>IF(B47="","",IFERROR(IF(INDEX('Disagg.1A_import-export'!AC$7:AC$13,MATCH($A47,'Disagg.1A_import-export'!$B$7:$B$13,0))="","",INDEX('Disagg.1A_import-export'!AC$7:AC$13,MATCH($A47,'Disagg.1A_import-export'!$B$7:$B$13,0))),""))</f>
        <v/>
      </c>
      <c r="K47" s="1064"/>
      <c r="L47" s="1065"/>
      <c r="M47" s="1065"/>
      <c r="N47" s="1066"/>
      <c r="O47" s="1067"/>
      <c r="P47" s="1065"/>
      <c r="Q47" s="1065"/>
      <c r="R47" s="1066"/>
      <c r="S47" s="1067"/>
      <c r="T47" s="1065"/>
      <c r="U47" s="1068"/>
      <c r="V47" s="1069"/>
    </row>
    <row r="48" spans="1:22" ht="60" customHeight="1" x14ac:dyDescent="0.2">
      <c r="A48" s="648" t="str">
        <f>IFERROR(IF(INDEX(ImpactDisaglist,MATCH(0,INDEX(COUNTIF(A$10:A47,ImpactDisaglist),0,0),0))&lt;&gt;"",INDEX(ImpactDisaglist,MATCH(0,INDEX(COUNTIF(A$10:A47,ImpactDisaglist),0,0),0)),INDEX(OutcomeDisaglist,MATCH(0,INDEX(COUNTIF(A$10:A47,OutcomeDisaglist),0,0),0))),"")</f>
        <v/>
      </c>
      <c r="B48" s="1027" t="str">
        <f>IFERROR(INDEX('Disagg.1A_import-export'!D$7:D$200,MATCH($A48,'Disagg.1A_import-export'!$B$7:$B$200,0)),"")</f>
        <v/>
      </c>
      <c r="C48" s="1028" t="str">
        <f>IF(B48="","",IFERROR(INDEX('Disagg.1A_import-export'!E$7:E$13,MATCH($A48,'Disagg.1A_import-export'!$B$7:$B$13,0)),""))</f>
        <v/>
      </c>
      <c r="D48" s="1028" t="str">
        <f>IF(B48="","",IFERROR(IF(INDEX('Disagg.1A_import-export'!I$7:I$13,MATCH($A48,'Disagg.1A_import-export'!$B$7:$B$13,0))="","",INDEX('Disagg.1A_import-export'!I$7:I$13,MATCH($A48,'Disagg.1A_import-export'!$B$7:$B$13,0))),""))</f>
        <v/>
      </c>
      <c r="E48" s="1028" t="str">
        <f>IF(B48="","",IFERROR(IF(INDEX('Disagg.1A_import-export'!J$7:J$13,MATCH($A48,'Disagg.1A_import-export'!$B$7:$B$13,0))="","",INDEX('Disagg.1A_import-export'!J$7:J$13,MATCH($A48,'Disagg.1A_import-export'!$B$7:$B$13,0))),""))</f>
        <v/>
      </c>
      <c r="F48" s="1028" t="str">
        <f>IF(B48="","",IFERROR(IF(INDEX('Disagg.1A_import-export'!K$7:K$13,MATCH($A48,'Disagg.1A_import-export'!$B$7:$B$13,0))="","",INDEX('Disagg.1A_import-export'!K$7:K$13,MATCH($A48,'Disagg.1A_import-export'!$B$7:$B$13,0))),""))</f>
        <v/>
      </c>
      <c r="G48" s="1028" t="str">
        <f>IF(B48="","",IFERROR(IF(INDEX('Disagg.1A_import-export'!L$7:L$13,MATCH($A48,'Disagg.1A_import-export'!$B$7:$B$13,0))="","",INDEX('Disagg.1A_import-export'!L$7:L$13,MATCH($A48,'Disagg.1A_import-export'!$B$7:$B$13,0))),""))</f>
        <v/>
      </c>
      <c r="H48" s="1028" t="str">
        <f>IF(B48="","",IFERROR(IF(INDEX('Disagg.1A_import-export'!M$7:M$13,MATCH($A48,'Disagg.1A_import-export'!$B$7:$B$13,0))="","",INDEX('Disagg.1A_import-export'!M$7:M$13,MATCH($A48,'Disagg.1A_import-export'!$B$7:$B$13,0))),""))</f>
        <v/>
      </c>
      <c r="I48" s="1028" t="str">
        <f>IF(B48="","",IFERROR(IF(INDEX('Disagg.1A_import-export'!N$7:N$13,MATCH($A48,'Disagg.1A_import-export'!$B$7:$B$13,0))="","",INDEX('Disagg.1A_import-export'!N$7:N$13,MATCH($A48,'Disagg.1A_import-export'!$B$7:$B$13,0))),""))</f>
        <v/>
      </c>
      <c r="J48" s="1028" t="str">
        <f>IF(B48="","",IFERROR(IF(INDEX('Disagg.1A_import-export'!AC$7:AC$13,MATCH($A48,'Disagg.1A_import-export'!$B$7:$B$13,0))="","",INDEX('Disagg.1A_import-export'!AC$7:AC$13,MATCH($A48,'Disagg.1A_import-export'!$B$7:$B$13,0))),""))</f>
        <v/>
      </c>
      <c r="K48" s="1064"/>
      <c r="L48" s="1065"/>
      <c r="M48" s="1065"/>
      <c r="N48" s="1066"/>
      <c r="O48" s="1067"/>
      <c r="P48" s="1065"/>
      <c r="Q48" s="1065"/>
      <c r="R48" s="1066"/>
      <c r="S48" s="1067"/>
      <c r="T48" s="1065"/>
      <c r="U48" s="1068"/>
      <c r="V48" s="1069"/>
    </row>
    <row r="49" spans="1:22" ht="60" customHeight="1" x14ac:dyDescent="0.2">
      <c r="A49" s="648" t="str">
        <f>IFERROR(IF(INDEX(ImpactDisaglist,MATCH(0,INDEX(COUNTIF(A$10:A48,ImpactDisaglist),0,0),0))&lt;&gt;"",INDEX(ImpactDisaglist,MATCH(0,INDEX(COUNTIF(A$10:A48,ImpactDisaglist),0,0),0)),INDEX(OutcomeDisaglist,MATCH(0,INDEX(COUNTIF(A$10:A48,OutcomeDisaglist),0,0),0))),"")</f>
        <v/>
      </c>
      <c r="B49" s="1027" t="str">
        <f>IFERROR(INDEX('Disagg.1A_import-export'!D$7:D$200,MATCH($A49,'Disagg.1A_import-export'!$B$7:$B$200,0)),"")</f>
        <v/>
      </c>
      <c r="C49" s="1028" t="str">
        <f>IF(B49="","",IFERROR(INDEX('Disagg.1A_import-export'!E$7:E$13,MATCH($A49,'Disagg.1A_import-export'!$B$7:$B$13,0)),""))</f>
        <v/>
      </c>
      <c r="D49" s="1028" t="str">
        <f>IF(B49="","",IFERROR(IF(INDEX('Disagg.1A_import-export'!I$7:I$13,MATCH($A49,'Disagg.1A_import-export'!$B$7:$B$13,0))="","",INDEX('Disagg.1A_import-export'!I$7:I$13,MATCH($A49,'Disagg.1A_import-export'!$B$7:$B$13,0))),""))</f>
        <v/>
      </c>
      <c r="E49" s="1028" t="str">
        <f>IF(B49="","",IFERROR(IF(INDEX('Disagg.1A_import-export'!J$7:J$13,MATCH($A49,'Disagg.1A_import-export'!$B$7:$B$13,0))="","",INDEX('Disagg.1A_import-export'!J$7:J$13,MATCH($A49,'Disagg.1A_import-export'!$B$7:$B$13,0))),""))</f>
        <v/>
      </c>
      <c r="F49" s="1028" t="str">
        <f>IF(B49="","",IFERROR(IF(INDEX('Disagg.1A_import-export'!K$7:K$13,MATCH($A49,'Disagg.1A_import-export'!$B$7:$B$13,0))="","",INDEX('Disagg.1A_import-export'!K$7:K$13,MATCH($A49,'Disagg.1A_import-export'!$B$7:$B$13,0))),""))</f>
        <v/>
      </c>
      <c r="G49" s="1028" t="str">
        <f>IF(B49="","",IFERROR(IF(INDEX('Disagg.1A_import-export'!L$7:L$13,MATCH($A49,'Disagg.1A_import-export'!$B$7:$B$13,0))="","",INDEX('Disagg.1A_import-export'!L$7:L$13,MATCH($A49,'Disagg.1A_import-export'!$B$7:$B$13,0))),""))</f>
        <v/>
      </c>
      <c r="H49" s="1028" t="str">
        <f>IF(B49="","",IFERROR(IF(INDEX('Disagg.1A_import-export'!M$7:M$13,MATCH($A49,'Disagg.1A_import-export'!$B$7:$B$13,0))="","",INDEX('Disagg.1A_import-export'!M$7:M$13,MATCH($A49,'Disagg.1A_import-export'!$B$7:$B$13,0))),""))</f>
        <v/>
      </c>
      <c r="I49" s="1028" t="str">
        <f>IF(B49="","",IFERROR(IF(INDEX('Disagg.1A_import-export'!N$7:N$13,MATCH($A49,'Disagg.1A_import-export'!$B$7:$B$13,0))="","",INDEX('Disagg.1A_import-export'!N$7:N$13,MATCH($A49,'Disagg.1A_import-export'!$B$7:$B$13,0))),""))</f>
        <v/>
      </c>
      <c r="J49" s="1028" t="str">
        <f>IF(B49="","",IFERROR(IF(INDEX('Disagg.1A_import-export'!AC$7:AC$13,MATCH($A49,'Disagg.1A_import-export'!$B$7:$B$13,0))="","",INDEX('Disagg.1A_import-export'!AC$7:AC$13,MATCH($A49,'Disagg.1A_import-export'!$B$7:$B$13,0))),""))</f>
        <v/>
      </c>
      <c r="K49" s="1064"/>
      <c r="L49" s="1065"/>
      <c r="M49" s="1065"/>
      <c r="N49" s="1066"/>
      <c r="O49" s="1067"/>
      <c r="P49" s="1065"/>
      <c r="Q49" s="1065"/>
      <c r="R49" s="1066"/>
      <c r="S49" s="1067"/>
      <c r="T49" s="1065"/>
      <c r="U49" s="1068"/>
      <c r="V49" s="1069"/>
    </row>
    <row r="50" spans="1:22" ht="60" customHeight="1" x14ac:dyDescent="0.2">
      <c r="A50" s="648" t="str">
        <f>IFERROR(IF(INDEX(ImpactDisaglist,MATCH(0,INDEX(COUNTIF(A$10:A49,ImpactDisaglist),0,0),0))&lt;&gt;"",INDEX(ImpactDisaglist,MATCH(0,INDEX(COUNTIF(A$10:A49,ImpactDisaglist),0,0),0)),INDEX(OutcomeDisaglist,MATCH(0,INDEX(COUNTIF(A$10:A49,OutcomeDisaglist),0,0),0))),"")</f>
        <v/>
      </c>
      <c r="B50" s="1027" t="str">
        <f>IFERROR(INDEX('Disagg.1A_import-export'!D$7:D$200,MATCH($A50,'Disagg.1A_import-export'!$B$7:$B$200,0)),"")</f>
        <v/>
      </c>
      <c r="C50" s="1028" t="str">
        <f>IF(B50="","",IFERROR(INDEX('Disagg.1A_import-export'!E$7:E$13,MATCH($A50,'Disagg.1A_import-export'!$B$7:$B$13,0)),""))</f>
        <v/>
      </c>
      <c r="D50" s="1028" t="str">
        <f>IF(B50="","",IFERROR(IF(INDEX('Disagg.1A_import-export'!I$7:I$13,MATCH($A50,'Disagg.1A_import-export'!$B$7:$B$13,0))="","",INDEX('Disagg.1A_import-export'!I$7:I$13,MATCH($A50,'Disagg.1A_import-export'!$B$7:$B$13,0))),""))</f>
        <v/>
      </c>
      <c r="E50" s="1028" t="str">
        <f>IF(B50="","",IFERROR(IF(INDEX('Disagg.1A_import-export'!J$7:J$13,MATCH($A50,'Disagg.1A_import-export'!$B$7:$B$13,0))="","",INDEX('Disagg.1A_import-export'!J$7:J$13,MATCH($A50,'Disagg.1A_import-export'!$B$7:$B$13,0))),""))</f>
        <v/>
      </c>
      <c r="F50" s="1028" t="str">
        <f>IF(B50="","",IFERROR(IF(INDEX('Disagg.1A_import-export'!K$7:K$13,MATCH($A50,'Disagg.1A_import-export'!$B$7:$B$13,0))="","",INDEX('Disagg.1A_import-export'!K$7:K$13,MATCH($A50,'Disagg.1A_import-export'!$B$7:$B$13,0))),""))</f>
        <v/>
      </c>
      <c r="G50" s="1028" t="str">
        <f>IF(B50="","",IFERROR(IF(INDEX('Disagg.1A_import-export'!L$7:L$13,MATCH($A50,'Disagg.1A_import-export'!$B$7:$B$13,0))="","",INDEX('Disagg.1A_import-export'!L$7:L$13,MATCH($A50,'Disagg.1A_import-export'!$B$7:$B$13,0))),""))</f>
        <v/>
      </c>
      <c r="H50" s="1028" t="str">
        <f>IF(B50="","",IFERROR(IF(INDEX('Disagg.1A_import-export'!M$7:M$13,MATCH($A50,'Disagg.1A_import-export'!$B$7:$B$13,0))="","",INDEX('Disagg.1A_import-export'!M$7:M$13,MATCH($A50,'Disagg.1A_import-export'!$B$7:$B$13,0))),""))</f>
        <v/>
      </c>
      <c r="I50" s="1028" t="str">
        <f>IF(B50="","",IFERROR(IF(INDEX('Disagg.1A_import-export'!N$7:N$13,MATCH($A50,'Disagg.1A_import-export'!$B$7:$B$13,0))="","",INDEX('Disagg.1A_import-export'!N$7:N$13,MATCH($A50,'Disagg.1A_import-export'!$B$7:$B$13,0))),""))</f>
        <v/>
      </c>
      <c r="J50" s="1028" t="str">
        <f>IF(B50="","",IFERROR(IF(INDEX('Disagg.1A_import-export'!AC$7:AC$13,MATCH($A50,'Disagg.1A_import-export'!$B$7:$B$13,0))="","",INDEX('Disagg.1A_import-export'!AC$7:AC$13,MATCH($A50,'Disagg.1A_import-export'!$B$7:$B$13,0))),""))</f>
        <v/>
      </c>
      <c r="K50" s="1064"/>
      <c r="L50" s="1065"/>
      <c r="M50" s="1065"/>
      <c r="N50" s="1066"/>
      <c r="O50" s="1067"/>
      <c r="P50" s="1065"/>
      <c r="Q50" s="1065"/>
      <c r="R50" s="1066"/>
      <c r="S50" s="1067"/>
      <c r="T50" s="1065"/>
      <c r="U50" s="1068"/>
      <c r="V50" s="1069"/>
    </row>
    <row r="51" spans="1:22" ht="60" customHeight="1" thickBot="1" x14ac:dyDescent="0.25">
      <c r="A51" s="648" t="str">
        <f>IFERROR(IF(INDEX(ImpactDisaglist,MATCH(0,INDEX(COUNTIF(A$10:A50,ImpactDisaglist),0,0),0))&lt;&gt;"",INDEX(ImpactDisaglist,MATCH(0,INDEX(COUNTIF(A$10:A50,ImpactDisaglist),0,0),0)),INDEX(OutcomeDisaglist,MATCH(0,INDEX(COUNTIF(A$10:A50,OutcomeDisaglist),0,0),0))),"")</f>
        <v/>
      </c>
      <c r="B51" s="1027" t="str">
        <f>IFERROR(INDEX('Disagg.1A_import-export'!D$7:D$200,MATCH($A51,'Disagg.1A_import-export'!$B$7:$B$200,0)),"")</f>
        <v/>
      </c>
      <c r="C51" s="1028" t="str">
        <f>IF(B51="","",IFERROR(INDEX('Disagg.1A_import-export'!E$7:E$13,MATCH($A51,'Disagg.1A_import-export'!$B$7:$B$13,0)),""))</f>
        <v/>
      </c>
      <c r="D51" s="1028" t="str">
        <f>IF(B51="","",IFERROR(IF(INDEX('Disagg.1A_import-export'!I$7:I$13,MATCH($A51,'Disagg.1A_import-export'!$B$7:$B$13,0))="","",INDEX('Disagg.1A_import-export'!I$7:I$13,MATCH($A51,'Disagg.1A_import-export'!$B$7:$B$13,0))),""))</f>
        <v/>
      </c>
      <c r="E51" s="1028" t="str">
        <f>IF(B51="","",IFERROR(IF(INDEX('Disagg.1A_import-export'!J$7:J$13,MATCH($A51,'Disagg.1A_import-export'!$B$7:$B$13,0))="","",INDEX('Disagg.1A_import-export'!J$7:J$13,MATCH($A51,'Disagg.1A_import-export'!$B$7:$B$13,0))),""))</f>
        <v/>
      </c>
      <c r="F51" s="1028" t="str">
        <f>IF(B51="","",IFERROR(IF(INDEX('Disagg.1A_import-export'!K$7:K$13,MATCH($A51,'Disagg.1A_import-export'!$B$7:$B$13,0))="","",INDEX('Disagg.1A_import-export'!K$7:K$13,MATCH($A51,'Disagg.1A_import-export'!$B$7:$B$13,0))),""))</f>
        <v/>
      </c>
      <c r="G51" s="1028" t="str">
        <f>IF(B51="","",IFERROR(IF(INDEX('Disagg.1A_import-export'!L$7:L$13,MATCH($A51,'Disagg.1A_import-export'!$B$7:$B$13,0))="","",INDEX('Disagg.1A_import-export'!L$7:L$13,MATCH($A51,'Disagg.1A_import-export'!$B$7:$B$13,0))),""))</f>
        <v/>
      </c>
      <c r="H51" s="1028" t="str">
        <f>IF(B51="","",IFERROR(IF(INDEX('Disagg.1A_import-export'!M$7:M$13,MATCH($A51,'Disagg.1A_import-export'!$B$7:$B$13,0))="","",INDEX('Disagg.1A_import-export'!M$7:M$13,MATCH($A51,'Disagg.1A_import-export'!$B$7:$B$13,0))),""))</f>
        <v/>
      </c>
      <c r="I51" s="1028" t="str">
        <f>IF(B51="","",IFERROR(IF(INDEX('Disagg.1A_import-export'!N$7:N$13,MATCH($A51,'Disagg.1A_import-export'!$B$7:$B$13,0))="","",INDEX('Disagg.1A_import-export'!N$7:N$13,MATCH($A51,'Disagg.1A_import-export'!$B$7:$B$13,0))),""))</f>
        <v/>
      </c>
      <c r="J51" s="1028" t="str">
        <f>IF(B51="","",IFERROR(IF(INDEX('Disagg.1A_import-export'!AC$7:AC$13,MATCH($A51,'Disagg.1A_import-export'!$B$7:$B$13,0))="","",INDEX('Disagg.1A_import-export'!AC$7:AC$13,MATCH($A51,'Disagg.1A_import-export'!$B$7:$B$13,0))),""))</f>
        <v/>
      </c>
      <c r="K51" s="1064"/>
      <c r="L51" s="1065"/>
      <c r="M51" s="1065"/>
      <c r="N51" s="1066"/>
      <c r="O51" s="1067"/>
      <c r="P51" s="1065"/>
      <c r="Q51" s="1065"/>
      <c r="R51" s="1066"/>
      <c r="S51" s="1067"/>
      <c r="T51" s="1065"/>
      <c r="U51" s="1068"/>
      <c r="V51" s="1070"/>
    </row>
    <row r="52" spans="1:22" ht="15.75" thickBot="1" x14ac:dyDescent="0.25">
      <c r="A52" s="648" t="str">
        <f>IFERROR(IF(INDEX(ImpactDisaglist,MATCH(0,INDEX(COUNTIF(A$10:A51,ImpactDisaglist),0,0),0))&lt;&gt;"",INDEX(ImpactDisaglist,MATCH(0,INDEX(COUNTIF(A$10:A51,ImpactDisaglist),0,0),0)),INDEX(OutcomeDisaglist,MATCH(0,INDEX(COUNTIF(A$10:A51,OutcomeDisaglist),0,0),0))),"")</f>
        <v/>
      </c>
      <c r="B52" s="1027" t="str">
        <f>IFERROR(INDEX('Disagg.1A_import-export'!D$7:D$200,MATCH($A52,'Disagg.1A_import-export'!$B$7:$B$200,0)),"")</f>
        <v/>
      </c>
      <c r="C52" s="1028" t="str">
        <f>IF(B52="","",IFERROR(INDEX('Disagg.1A_import-export'!E$7:E$13,MATCH($A52,'Disagg.1A_import-export'!$B$7:$B$13,0)),""))</f>
        <v/>
      </c>
      <c r="D52" s="1028" t="str">
        <f>IF(B52="","",IFERROR(IF(INDEX('Disagg.1A_import-export'!I$7:I$13,MATCH($A52,'Disagg.1A_import-export'!$B$7:$B$13,0))="","",INDEX('Disagg.1A_import-export'!I$7:I$13,MATCH($A52,'Disagg.1A_import-export'!$B$7:$B$13,0))),""))</f>
        <v/>
      </c>
      <c r="E52" s="1028" t="str">
        <f>IF(B52="","",IFERROR(IF(INDEX('Disagg.1A_import-export'!J$7:J$13,MATCH($A52,'Disagg.1A_import-export'!$B$7:$B$13,0))="","",INDEX('Disagg.1A_import-export'!J$7:J$13,MATCH($A52,'Disagg.1A_import-export'!$B$7:$B$13,0))),""))</f>
        <v/>
      </c>
      <c r="F52" s="1028" t="str">
        <f>IF(B52="","",IFERROR(IF(INDEX('Disagg.1A_import-export'!K$7:K$13,MATCH($A52,'Disagg.1A_import-export'!$B$7:$B$13,0))="","",INDEX('Disagg.1A_import-export'!K$7:K$13,MATCH($A52,'Disagg.1A_import-export'!$B$7:$B$13,0))),""))</f>
        <v/>
      </c>
      <c r="G52" s="1028" t="str">
        <f>IF(B52="","",IFERROR(IF(INDEX('Disagg.1A_import-export'!L$7:L$13,MATCH($A52,'Disagg.1A_import-export'!$B$7:$B$13,0))="","",INDEX('Disagg.1A_import-export'!L$7:L$13,MATCH($A52,'Disagg.1A_import-export'!$B$7:$B$13,0))),""))</f>
        <v/>
      </c>
      <c r="H52" s="1028" t="str">
        <f>IF(B52="","",IFERROR(IF(INDEX('Disagg.1A_import-export'!M$7:M$13,MATCH($A52,'Disagg.1A_import-export'!$B$7:$B$13,0))="","",INDEX('Disagg.1A_import-export'!M$7:M$13,MATCH($A52,'Disagg.1A_import-export'!$B$7:$B$13,0))),""))</f>
        <v/>
      </c>
      <c r="I52" s="1028" t="str">
        <f>IF(B52="","",IFERROR(IF(INDEX('Disagg.1A_import-export'!N$7:N$13,MATCH($A52,'Disagg.1A_import-export'!$B$7:$B$13,0))="","",INDEX('Disagg.1A_import-export'!N$7:N$13,MATCH($A52,'Disagg.1A_import-export'!$B$7:$B$13,0))),""))</f>
        <v/>
      </c>
      <c r="J52" s="1028" t="str">
        <f>IF(B52="","",IFERROR(IF(INDEX('Disagg.1A_import-export'!AC$7:AC$13,MATCH($A52,'Disagg.1A_import-export'!$B$7:$B$13,0))="","",INDEX('Disagg.1A_import-export'!AC$7:AC$13,MATCH($A52,'Disagg.1A_import-export'!$B$7:$B$13,0))),""))</f>
        <v/>
      </c>
      <c r="K52" s="1064"/>
      <c r="L52" s="1065"/>
      <c r="M52" s="1065"/>
      <c r="N52" s="1066"/>
      <c r="O52" s="1067"/>
      <c r="P52" s="1065"/>
      <c r="Q52" s="1065"/>
      <c r="R52" s="1066"/>
      <c r="S52" s="1067"/>
      <c r="T52" s="1065"/>
      <c r="U52" s="1068"/>
      <c r="V52" s="1070"/>
    </row>
    <row r="53" spans="1:22" ht="15.75" thickBot="1" x14ac:dyDescent="0.25">
      <c r="A53" s="648" t="str">
        <f>IFERROR(IF(INDEX(ImpactDisaglist,MATCH(0,INDEX(COUNTIF(A$10:A52,ImpactDisaglist),0,0),0))&lt;&gt;"",INDEX(ImpactDisaglist,MATCH(0,INDEX(COUNTIF(A$10:A52,ImpactDisaglist),0,0),0)),INDEX(OutcomeDisaglist,MATCH(0,INDEX(COUNTIF(A$10:A52,OutcomeDisaglist),0,0),0))),"")</f>
        <v/>
      </c>
      <c r="B53" s="1027" t="str">
        <f>IFERROR(INDEX('Disagg.1A_import-export'!D$7:D$200,MATCH($A53,'Disagg.1A_import-export'!$B$7:$B$200,0)),"")</f>
        <v/>
      </c>
      <c r="C53" s="1028" t="str">
        <f>IF(B53="","",IFERROR(INDEX('Disagg.1A_import-export'!E$7:E$13,MATCH($A53,'Disagg.1A_import-export'!$B$7:$B$13,0)),""))</f>
        <v/>
      </c>
      <c r="D53" s="1028" t="str">
        <f>IF(B53="","",IFERROR(IF(INDEX('Disagg.1A_import-export'!I$7:I$13,MATCH($A53,'Disagg.1A_import-export'!$B$7:$B$13,0))="","",INDEX('Disagg.1A_import-export'!I$7:I$13,MATCH($A53,'Disagg.1A_import-export'!$B$7:$B$13,0))),""))</f>
        <v/>
      </c>
      <c r="E53" s="1028" t="str">
        <f>IF(B53="","",IFERROR(IF(INDEX('Disagg.1A_import-export'!J$7:J$13,MATCH($A53,'Disagg.1A_import-export'!$B$7:$B$13,0))="","",INDEX('Disagg.1A_import-export'!J$7:J$13,MATCH($A53,'Disagg.1A_import-export'!$B$7:$B$13,0))),""))</f>
        <v/>
      </c>
      <c r="F53" s="1028" t="str">
        <f>IF(B53="","",IFERROR(IF(INDEX('Disagg.1A_import-export'!K$7:K$13,MATCH($A53,'Disagg.1A_import-export'!$B$7:$B$13,0))="","",INDEX('Disagg.1A_import-export'!K$7:K$13,MATCH($A53,'Disagg.1A_import-export'!$B$7:$B$13,0))),""))</f>
        <v/>
      </c>
      <c r="G53" s="1028" t="str">
        <f>IF(B53="","",IFERROR(IF(INDEX('Disagg.1A_import-export'!L$7:L$13,MATCH($A53,'Disagg.1A_import-export'!$B$7:$B$13,0))="","",INDEX('Disagg.1A_import-export'!L$7:L$13,MATCH($A53,'Disagg.1A_import-export'!$B$7:$B$13,0))),""))</f>
        <v/>
      </c>
      <c r="H53" s="1028" t="str">
        <f>IF(B53="","",IFERROR(IF(INDEX('Disagg.1A_import-export'!M$7:M$13,MATCH($A53,'Disagg.1A_import-export'!$B$7:$B$13,0))="","",INDEX('Disagg.1A_import-export'!M$7:M$13,MATCH($A53,'Disagg.1A_import-export'!$B$7:$B$13,0))),""))</f>
        <v/>
      </c>
      <c r="I53" s="1028" t="str">
        <f>IF(B53="","",IFERROR(IF(INDEX('Disagg.1A_import-export'!N$7:N$13,MATCH($A53,'Disagg.1A_import-export'!$B$7:$B$13,0))="","",INDEX('Disagg.1A_import-export'!N$7:N$13,MATCH($A53,'Disagg.1A_import-export'!$B$7:$B$13,0))),""))</f>
        <v/>
      </c>
      <c r="J53" s="1028" t="str">
        <f>IF(B53="","",IFERROR(IF(INDEX('Disagg.1A_import-export'!AC$7:AC$13,MATCH($A53,'Disagg.1A_import-export'!$B$7:$B$13,0))="","",INDEX('Disagg.1A_import-export'!AC$7:AC$13,MATCH($A53,'Disagg.1A_import-export'!$B$7:$B$13,0))),""))</f>
        <v/>
      </c>
      <c r="K53" s="1064"/>
      <c r="L53" s="1065"/>
      <c r="M53" s="1065"/>
      <c r="N53" s="1066"/>
      <c r="O53" s="1067"/>
      <c r="P53" s="1065"/>
      <c r="Q53" s="1065"/>
      <c r="R53" s="1066"/>
      <c r="S53" s="1067"/>
      <c r="T53" s="1065"/>
      <c r="U53" s="1068"/>
      <c r="V53" s="1070"/>
    </row>
    <row r="54" spans="1:22" ht="15.75" thickBot="1" x14ac:dyDescent="0.25">
      <c r="A54" s="648" t="str">
        <f>IFERROR(IF(INDEX(ImpactDisaglist,MATCH(0,INDEX(COUNTIF(A$10:A53,ImpactDisaglist),0,0),0))&lt;&gt;"",INDEX(ImpactDisaglist,MATCH(0,INDEX(COUNTIF(A$10:A53,ImpactDisaglist),0,0),0)),INDEX(OutcomeDisaglist,MATCH(0,INDEX(COUNTIF(A$10:A53,OutcomeDisaglist),0,0),0))),"")</f>
        <v/>
      </c>
      <c r="B54" s="1027" t="str">
        <f>IFERROR(INDEX('Disagg.1A_import-export'!D$7:D$200,MATCH($A54,'Disagg.1A_import-export'!$B$7:$B$200,0)),"")</f>
        <v/>
      </c>
      <c r="C54" s="1028" t="str">
        <f>IF(B54="","",IFERROR(INDEX('Disagg.1A_import-export'!E$7:E$13,MATCH($A54,'Disagg.1A_import-export'!$B$7:$B$13,0)),""))</f>
        <v/>
      </c>
      <c r="D54" s="1028" t="str">
        <f>IF(B54="","",IFERROR(IF(INDEX('Disagg.1A_import-export'!I$7:I$13,MATCH($A54,'Disagg.1A_import-export'!$B$7:$B$13,0))="","",INDEX('Disagg.1A_import-export'!I$7:I$13,MATCH($A54,'Disagg.1A_import-export'!$B$7:$B$13,0))),""))</f>
        <v/>
      </c>
      <c r="E54" s="1028" t="str">
        <f>IF(B54="","",IFERROR(IF(INDEX('Disagg.1A_import-export'!J$7:J$13,MATCH($A54,'Disagg.1A_import-export'!$B$7:$B$13,0))="","",INDEX('Disagg.1A_import-export'!J$7:J$13,MATCH($A54,'Disagg.1A_import-export'!$B$7:$B$13,0))),""))</f>
        <v/>
      </c>
      <c r="F54" s="1028" t="str">
        <f>IF(B54="","",IFERROR(IF(INDEX('Disagg.1A_import-export'!K$7:K$13,MATCH($A54,'Disagg.1A_import-export'!$B$7:$B$13,0))="","",INDEX('Disagg.1A_import-export'!K$7:K$13,MATCH($A54,'Disagg.1A_import-export'!$B$7:$B$13,0))),""))</f>
        <v/>
      </c>
      <c r="G54" s="1028" t="str">
        <f>IF(B54="","",IFERROR(IF(INDEX('Disagg.1A_import-export'!L$7:L$13,MATCH($A54,'Disagg.1A_import-export'!$B$7:$B$13,0))="","",INDEX('Disagg.1A_import-export'!L$7:L$13,MATCH($A54,'Disagg.1A_import-export'!$B$7:$B$13,0))),""))</f>
        <v/>
      </c>
      <c r="H54" s="1028" t="str">
        <f>IF(B54="","",IFERROR(IF(INDEX('Disagg.1A_import-export'!M$7:M$13,MATCH($A54,'Disagg.1A_import-export'!$B$7:$B$13,0))="","",INDEX('Disagg.1A_import-export'!M$7:M$13,MATCH($A54,'Disagg.1A_import-export'!$B$7:$B$13,0))),""))</f>
        <v/>
      </c>
      <c r="I54" s="1028" t="str">
        <f>IF(B54="","",IFERROR(IF(INDEX('Disagg.1A_import-export'!N$7:N$13,MATCH($A54,'Disagg.1A_import-export'!$B$7:$B$13,0))="","",INDEX('Disagg.1A_import-export'!N$7:N$13,MATCH($A54,'Disagg.1A_import-export'!$B$7:$B$13,0))),""))</f>
        <v/>
      </c>
      <c r="J54" s="1028" t="str">
        <f>IF(B54="","",IFERROR(IF(INDEX('Disagg.1A_import-export'!AC$7:AC$13,MATCH($A54,'Disagg.1A_import-export'!$B$7:$B$13,0))="","",INDEX('Disagg.1A_import-export'!AC$7:AC$13,MATCH($A54,'Disagg.1A_import-export'!$B$7:$B$13,0))),""))</f>
        <v/>
      </c>
      <c r="K54" s="1064"/>
      <c r="L54" s="1065"/>
      <c r="M54" s="1065"/>
      <c r="N54" s="1066"/>
      <c r="O54" s="1067"/>
      <c r="P54" s="1065"/>
      <c r="Q54" s="1065"/>
      <c r="R54" s="1066"/>
      <c r="S54" s="1067"/>
      <c r="T54" s="1065"/>
      <c r="U54" s="1068"/>
      <c r="V54" s="1070"/>
    </row>
    <row r="55" spans="1:22" ht="15.75" thickBot="1" x14ac:dyDescent="0.25">
      <c r="A55" s="648" t="str">
        <f>IFERROR(IF(INDEX(ImpactDisaglist,MATCH(0,INDEX(COUNTIF(A$10:A54,ImpactDisaglist),0,0),0))&lt;&gt;"",INDEX(ImpactDisaglist,MATCH(0,INDEX(COUNTIF(A$10:A54,ImpactDisaglist),0,0),0)),INDEX(OutcomeDisaglist,MATCH(0,INDEX(COUNTIF(A$10:A54,OutcomeDisaglist),0,0),0))),"")</f>
        <v/>
      </c>
      <c r="B55" s="1027" t="str">
        <f>IFERROR(INDEX('Disagg.1A_import-export'!D$7:D$200,MATCH($A55,'Disagg.1A_import-export'!$B$7:$B$200,0)),"")</f>
        <v/>
      </c>
      <c r="C55" s="1028" t="str">
        <f>IF(B55="","",IFERROR(INDEX('Disagg.1A_import-export'!E$7:E$13,MATCH($A55,'Disagg.1A_import-export'!$B$7:$B$13,0)),""))</f>
        <v/>
      </c>
      <c r="D55" s="1028" t="str">
        <f>IF(B55="","",IFERROR(IF(INDEX('Disagg.1A_import-export'!I$7:I$13,MATCH($A55,'Disagg.1A_import-export'!$B$7:$B$13,0))="","",INDEX('Disagg.1A_import-export'!I$7:I$13,MATCH($A55,'Disagg.1A_import-export'!$B$7:$B$13,0))),""))</f>
        <v/>
      </c>
      <c r="E55" s="1028" t="str">
        <f>IF(B55="","",IFERROR(IF(INDEX('Disagg.1A_import-export'!J$7:J$13,MATCH($A55,'Disagg.1A_import-export'!$B$7:$B$13,0))="","",INDEX('Disagg.1A_import-export'!J$7:J$13,MATCH($A55,'Disagg.1A_import-export'!$B$7:$B$13,0))),""))</f>
        <v/>
      </c>
      <c r="F55" s="1028" t="str">
        <f>IF(B55="","",IFERROR(IF(INDEX('Disagg.1A_import-export'!K$7:K$13,MATCH($A55,'Disagg.1A_import-export'!$B$7:$B$13,0))="","",INDEX('Disagg.1A_import-export'!K$7:K$13,MATCH($A55,'Disagg.1A_import-export'!$B$7:$B$13,0))),""))</f>
        <v/>
      </c>
      <c r="G55" s="1028" t="str">
        <f>IF(B55="","",IFERROR(IF(INDEX('Disagg.1A_import-export'!L$7:L$13,MATCH($A55,'Disagg.1A_import-export'!$B$7:$B$13,0))="","",INDEX('Disagg.1A_import-export'!L$7:L$13,MATCH($A55,'Disagg.1A_import-export'!$B$7:$B$13,0))),""))</f>
        <v/>
      </c>
      <c r="H55" s="1028" t="str">
        <f>IF(B55="","",IFERROR(IF(INDEX('Disagg.1A_import-export'!M$7:M$13,MATCH($A55,'Disagg.1A_import-export'!$B$7:$B$13,0))="","",INDEX('Disagg.1A_import-export'!M$7:M$13,MATCH($A55,'Disagg.1A_import-export'!$B$7:$B$13,0))),""))</f>
        <v/>
      </c>
      <c r="I55" s="1028" t="str">
        <f>IF(B55="","",IFERROR(IF(INDEX('Disagg.1A_import-export'!N$7:N$13,MATCH($A55,'Disagg.1A_import-export'!$B$7:$B$13,0))="","",INDEX('Disagg.1A_import-export'!N$7:N$13,MATCH($A55,'Disagg.1A_import-export'!$B$7:$B$13,0))),""))</f>
        <v/>
      </c>
      <c r="J55" s="1028" t="str">
        <f>IF(B55="","",IFERROR(IF(INDEX('Disagg.1A_import-export'!AC$7:AC$13,MATCH($A55,'Disagg.1A_import-export'!$B$7:$B$13,0))="","",INDEX('Disagg.1A_import-export'!AC$7:AC$13,MATCH($A55,'Disagg.1A_import-export'!$B$7:$B$13,0))),""))</f>
        <v/>
      </c>
      <c r="K55" s="1064"/>
      <c r="L55" s="1065"/>
      <c r="M55" s="1065"/>
      <c r="N55" s="1066"/>
      <c r="O55" s="1067"/>
      <c r="P55" s="1065"/>
      <c r="Q55" s="1065"/>
      <c r="R55" s="1066"/>
      <c r="S55" s="1067"/>
      <c r="T55" s="1065"/>
      <c r="U55" s="1068"/>
      <c r="V55" s="1070"/>
    </row>
    <row r="56" spans="1:22" ht="15.75" thickBot="1" x14ac:dyDescent="0.25">
      <c r="A56" s="648" t="str">
        <f>IFERROR(IF(INDEX(ImpactDisaglist,MATCH(0,INDEX(COUNTIF(A$10:A55,ImpactDisaglist),0,0),0))&lt;&gt;"",INDEX(ImpactDisaglist,MATCH(0,INDEX(COUNTIF(A$10:A55,ImpactDisaglist),0,0),0)),INDEX(OutcomeDisaglist,MATCH(0,INDEX(COUNTIF(A$10:A55,OutcomeDisaglist),0,0),0))),"")</f>
        <v/>
      </c>
      <c r="B56" s="1027" t="str">
        <f>IFERROR(INDEX('Disagg.1A_import-export'!D$7:D$200,MATCH($A56,'Disagg.1A_import-export'!$B$7:$B$200,0)),"")</f>
        <v/>
      </c>
      <c r="C56" s="1028" t="str">
        <f>IF(B56="","",IFERROR(INDEX('Disagg.1A_import-export'!E$7:E$13,MATCH($A56,'Disagg.1A_import-export'!$B$7:$B$13,0)),""))</f>
        <v/>
      </c>
      <c r="D56" s="1028" t="str">
        <f>IF(B56="","",IFERROR(IF(INDEX('Disagg.1A_import-export'!I$7:I$13,MATCH($A56,'Disagg.1A_import-export'!$B$7:$B$13,0))="","",INDEX('Disagg.1A_import-export'!I$7:I$13,MATCH($A56,'Disagg.1A_import-export'!$B$7:$B$13,0))),""))</f>
        <v/>
      </c>
      <c r="E56" s="1028" t="str">
        <f>IF(B56="","",IFERROR(IF(INDEX('Disagg.1A_import-export'!J$7:J$13,MATCH($A56,'Disagg.1A_import-export'!$B$7:$B$13,0))="","",INDEX('Disagg.1A_import-export'!J$7:J$13,MATCH($A56,'Disagg.1A_import-export'!$B$7:$B$13,0))),""))</f>
        <v/>
      </c>
      <c r="F56" s="1028" t="str">
        <f>IF(B56="","",IFERROR(IF(INDEX('Disagg.1A_import-export'!K$7:K$13,MATCH($A56,'Disagg.1A_import-export'!$B$7:$B$13,0))="","",INDEX('Disagg.1A_import-export'!K$7:K$13,MATCH($A56,'Disagg.1A_import-export'!$B$7:$B$13,0))),""))</f>
        <v/>
      </c>
      <c r="G56" s="1028" t="str">
        <f>IF(B56="","",IFERROR(IF(INDEX('Disagg.1A_import-export'!L$7:L$13,MATCH($A56,'Disagg.1A_import-export'!$B$7:$B$13,0))="","",INDEX('Disagg.1A_import-export'!L$7:L$13,MATCH($A56,'Disagg.1A_import-export'!$B$7:$B$13,0))),""))</f>
        <v/>
      </c>
      <c r="H56" s="1028" t="str">
        <f>IF(B56="","",IFERROR(IF(INDEX('Disagg.1A_import-export'!M$7:M$13,MATCH($A56,'Disagg.1A_import-export'!$B$7:$B$13,0))="","",INDEX('Disagg.1A_import-export'!M$7:M$13,MATCH($A56,'Disagg.1A_import-export'!$B$7:$B$13,0))),""))</f>
        <v/>
      </c>
      <c r="I56" s="1028" t="str">
        <f>IF(B56="","",IFERROR(IF(INDEX('Disagg.1A_import-export'!N$7:N$13,MATCH($A56,'Disagg.1A_import-export'!$B$7:$B$13,0))="","",INDEX('Disagg.1A_import-export'!N$7:N$13,MATCH($A56,'Disagg.1A_import-export'!$B$7:$B$13,0))),""))</f>
        <v/>
      </c>
      <c r="J56" s="1028" t="str">
        <f>IF(B56="","",IFERROR(IF(INDEX('Disagg.1A_import-export'!AC$7:AC$13,MATCH($A56,'Disagg.1A_import-export'!$B$7:$B$13,0))="","",INDEX('Disagg.1A_import-export'!AC$7:AC$13,MATCH($A56,'Disagg.1A_import-export'!$B$7:$B$13,0))),""))</f>
        <v/>
      </c>
      <c r="K56" s="1064"/>
      <c r="L56" s="1065"/>
      <c r="M56" s="1065"/>
      <c r="N56" s="1066"/>
      <c r="O56" s="1067"/>
      <c r="P56" s="1065"/>
      <c r="Q56" s="1065"/>
      <c r="R56" s="1066"/>
      <c r="S56" s="1067"/>
      <c r="T56" s="1065"/>
      <c r="U56" s="1068"/>
      <c r="V56" s="1070"/>
    </row>
    <row r="57" spans="1:22" ht="15.75" thickBot="1" x14ac:dyDescent="0.25">
      <c r="A57" s="648" t="str">
        <f>IFERROR(IF(INDEX(ImpactDisaglist,MATCH(0,INDEX(COUNTIF(A$10:A56,ImpactDisaglist),0,0),0))&lt;&gt;"",INDEX(ImpactDisaglist,MATCH(0,INDEX(COUNTIF(A$10:A56,ImpactDisaglist),0,0),0)),INDEX(OutcomeDisaglist,MATCH(0,INDEX(COUNTIF(A$10:A56,OutcomeDisaglist),0,0),0))),"")</f>
        <v/>
      </c>
      <c r="B57" s="1027" t="str">
        <f>IFERROR(INDEX('Disagg.1A_import-export'!D$7:D$200,MATCH($A57,'Disagg.1A_import-export'!$B$7:$B$200,0)),"")</f>
        <v/>
      </c>
      <c r="C57" s="1028" t="str">
        <f>IF(B57="","",IFERROR(INDEX('Disagg.1A_import-export'!E$7:E$13,MATCH($A57,'Disagg.1A_import-export'!$B$7:$B$13,0)),""))</f>
        <v/>
      </c>
      <c r="D57" s="1028" t="str">
        <f>IF(B57="","",IFERROR(IF(INDEX('Disagg.1A_import-export'!I$7:I$13,MATCH($A57,'Disagg.1A_import-export'!$B$7:$B$13,0))="","",INDEX('Disagg.1A_import-export'!I$7:I$13,MATCH($A57,'Disagg.1A_import-export'!$B$7:$B$13,0))),""))</f>
        <v/>
      </c>
      <c r="E57" s="1028" t="str">
        <f>IF(B57="","",IFERROR(IF(INDEX('Disagg.1A_import-export'!J$7:J$13,MATCH($A57,'Disagg.1A_import-export'!$B$7:$B$13,0))="","",INDEX('Disagg.1A_import-export'!J$7:J$13,MATCH($A57,'Disagg.1A_import-export'!$B$7:$B$13,0))),""))</f>
        <v/>
      </c>
      <c r="F57" s="1028" t="str">
        <f>IF(B57="","",IFERROR(IF(INDEX('Disagg.1A_import-export'!K$7:K$13,MATCH($A57,'Disagg.1A_import-export'!$B$7:$B$13,0))="","",INDEX('Disagg.1A_import-export'!K$7:K$13,MATCH($A57,'Disagg.1A_import-export'!$B$7:$B$13,0))),""))</f>
        <v/>
      </c>
      <c r="G57" s="1028" t="str">
        <f>IF(B57="","",IFERROR(IF(INDEX('Disagg.1A_import-export'!L$7:L$13,MATCH($A57,'Disagg.1A_import-export'!$B$7:$B$13,0))="","",INDEX('Disagg.1A_import-export'!L$7:L$13,MATCH($A57,'Disagg.1A_import-export'!$B$7:$B$13,0))),""))</f>
        <v/>
      </c>
      <c r="H57" s="1028" t="str">
        <f>IF(B57="","",IFERROR(IF(INDEX('Disagg.1A_import-export'!M$7:M$13,MATCH($A57,'Disagg.1A_import-export'!$B$7:$B$13,0))="","",INDEX('Disagg.1A_import-export'!M$7:M$13,MATCH($A57,'Disagg.1A_import-export'!$B$7:$B$13,0))),""))</f>
        <v/>
      </c>
      <c r="I57" s="1028" t="str">
        <f>IF(B57="","",IFERROR(IF(INDEX('Disagg.1A_import-export'!N$7:N$13,MATCH($A57,'Disagg.1A_import-export'!$B$7:$B$13,0))="","",INDEX('Disagg.1A_import-export'!N$7:N$13,MATCH($A57,'Disagg.1A_import-export'!$B$7:$B$13,0))),""))</f>
        <v/>
      </c>
      <c r="J57" s="1028" t="str">
        <f>IF(B57="","",IFERROR(IF(INDEX('Disagg.1A_import-export'!AC$7:AC$13,MATCH($A57,'Disagg.1A_import-export'!$B$7:$B$13,0))="","",INDEX('Disagg.1A_import-export'!AC$7:AC$13,MATCH($A57,'Disagg.1A_import-export'!$B$7:$B$13,0))),""))</f>
        <v/>
      </c>
      <c r="K57" s="1064"/>
      <c r="L57" s="1065"/>
      <c r="M57" s="1065"/>
      <c r="N57" s="1066"/>
      <c r="O57" s="1067"/>
      <c r="P57" s="1065"/>
      <c r="Q57" s="1065"/>
      <c r="R57" s="1066"/>
      <c r="S57" s="1067"/>
      <c r="T57" s="1065"/>
      <c r="U57" s="1068"/>
      <c r="V57" s="1070"/>
    </row>
    <row r="58" spans="1:22" ht="15.75" thickBot="1" x14ac:dyDescent="0.25">
      <c r="A58" s="648" t="str">
        <f>IFERROR(IF(INDEX(ImpactDisaglist,MATCH(0,INDEX(COUNTIF(A$10:A57,ImpactDisaglist),0,0),0))&lt;&gt;"",INDEX(ImpactDisaglist,MATCH(0,INDEX(COUNTIF(A$10:A57,ImpactDisaglist),0,0),0)),INDEX(OutcomeDisaglist,MATCH(0,INDEX(COUNTIF(A$10:A57,OutcomeDisaglist),0,0),0))),"")</f>
        <v/>
      </c>
      <c r="B58" s="1027" t="str">
        <f>IFERROR(INDEX('Disagg.1A_import-export'!D$7:D$200,MATCH($A58,'Disagg.1A_import-export'!$B$7:$B$200,0)),"")</f>
        <v/>
      </c>
      <c r="C58" s="1028" t="str">
        <f>IF(B58="","",IFERROR(INDEX('Disagg.1A_import-export'!E$7:E$13,MATCH($A58,'Disagg.1A_import-export'!$B$7:$B$13,0)),""))</f>
        <v/>
      </c>
      <c r="D58" s="1028" t="str">
        <f>IF(B58="","",IFERROR(IF(INDEX('Disagg.1A_import-export'!I$7:I$13,MATCH($A58,'Disagg.1A_import-export'!$B$7:$B$13,0))="","",INDEX('Disagg.1A_import-export'!I$7:I$13,MATCH($A58,'Disagg.1A_import-export'!$B$7:$B$13,0))),""))</f>
        <v/>
      </c>
      <c r="E58" s="1028" t="str">
        <f>IF(B58="","",IFERROR(IF(INDEX('Disagg.1A_import-export'!J$7:J$13,MATCH($A58,'Disagg.1A_import-export'!$B$7:$B$13,0))="","",INDEX('Disagg.1A_import-export'!J$7:J$13,MATCH($A58,'Disagg.1A_import-export'!$B$7:$B$13,0))),""))</f>
        <v/>
      </c>
      <c r="F58" s="1028" t="str">
        <f>IF(B58="","",IFERROR(IF(INDEX('Disagg.1A_import-export'!K$7:K$13,MATCH($A58,'Disagg.1A_import-export'!$B$7:$B$13,0))="","",INDEX('Disagg.1A_import-export'!K$7:K$13,MATCH($A58,'Disagg.1A_import-export'!$B$7:$B$13,0))),""))</f>
        <v/>
      </c>
      <c r="G58" s="1028" t="str">
        <f>IF(B58="","",IFERROR(IF(INDEX('Disagg.1A_import-export'!L$7:L$13,MATCH($A58,'Disagg.1A_import-export'!$B$7:$B$13,0))="","",INDEX('Disagg.1A_import-export'!L$7:L$13,MATCH($A58,'Disagg.1A_import-export'!$B$7:$B$13,0))),""))</f>
        <v/>
      </c>
      <c r="H58" s="1028" t="str">
        <f>IF(B58="","",IFERROR(IF(INDEX('Disagg.1A_import-export'!M$7:M$13,MATCH($A58,'Disagg.1A_import-export'!$B$7:$B$13,0))="","",INDEX('Disagg.1A_import-export'!M$7:M$13,MATCH($A58,'Disagg.1A_import-export'!$B$7:$B$13,0))),""))</f>
        <v/>
      </c>
      <c r="I58" s="1028" t="str">
        <f>IF(B58="","",IFERROR(IF(INDEX('Disagg.1A_import-export'!N$7:N$13,MATCH($A58,'Disagg.1A_import-export'!$B$7:$B$13,0))="","",INDEX('Disagg.1A_import-export'!N$7:N$13,MATCH($A58,'Disagg.1A_import-export'!$B$7:$B$13,0))),""))</f>
        <v/>
      </c>
      <c r="J58" s="1028" t="str">
        <f>IF(B58="","",IFERROR(IF(INDEX('Disagg.1A_import-export'!AC$7:AC$13,MATCH($A58,'Disagg.1A_import-export'!$B$7:$B$13,0))="","",INDEX('Disagg.1A_import-export'!AC$7:AC$13,MATCH($A58,'Disagg.1A_import-export'!$B$7:$B$13,0))),""))</f>
        <v/>
      </c>
      <c r="K58" s="1064"/>
      <c r="L58" s="1065"/>
      <c r="M58" s="1065"/>
      <c r="N58" s="1066"/>
      <c r="O58" s="1067"/>
      <c r="P58" s="1065"/>
      <c r="Q58" s="1065"/>
      <c r="R58" s="1066"/>
      <c r="S58" s="1067"/>
      <c r="T58" s="1065"/>
      <c r="U58" s="1068"/>
      <c r="V58" s="1070"/>
    </row>
    <row r="59" spans="1:22" ht="15.75" thickBot="1" x14ac:dyDescent="0.25">
      <c r="A59" s="648" t="str">
        <f>IFERROR(IF(INDEX(ImpactDisaglist,MATCH(0,INDEX(COUNTIF(A$10:A58,ImpactDisaglist),0,0),0))&lt;&gt;"",INDEX(ImpactDisaglist,MATCH(0,INDEX(COUNTIF(A$10:A58,ImpactDisaglist),0,0),0)),INDEX(OutcomeDisaglist,MATCH(0,INDEX(COUNTIF(A$10:A58,OutcomeDisaglist),0,0),0))),"")</f>
        <v/>
      </c>
      <c r="B59" s="1027" t="str">
        <f>IFERROR(INDEX('Disagg.1A_import-export'!D$7:D$200,MATCH($A59,'Disagg.1A_import-export'!$B$7:$B$200,0)),"")</f>
        <v/>
      </c>
      <c r="C59" s="1028" t="str">
        <f>IF(B59="","",IFERROR(INDEX('Disagg.1A_import-export'!E$7:E$13,MATCH($A59,'Disagg.1A_import-export'!$B$7:$B$13,0)),""))</f>
        <v/>
      </c>
      <c r="D59" s="1028" t="str">
        <f>IF(B59="","",IFERROR(IF(INDEX('Disagg.1A_import-export'!I$7:I$13,MATCH($A59,'Disagg.1A_import-export'!$B$7:$B$13,0))="","",INDEX('Disagg.1A_import-export'!I$7:I$13,MATCH($A59,'Disagg.1A_import-export'!$B$7:$B$13,0))),""))</f>
        <v/>
      </c>
      <c r="E59" s="1028" t="str">
        <f>IF(B59="","",IFERROR(IF(INDEX('Disagg.1A_import-export'!J$7:J$13,MATCH($A59,'Disagg.1A_import-export'!$B$7:$B$13,0))="","",INDEX('Disagg.1A_import-export'!J$7:J$13,MATCH($A59,'Disagg.1A_import-export'!$B$7:$B$13,0))),""))</f>
        <v/>
      </c>
      <c r="F59" s="1028" t="str">
        <f>IF(B59="","",IFERROR(IF(INDEX('Disagg.1A_import-export'!K$7:K$13,MATCH($A59,'Disagg.1A_import-export'!$B$7:$B$13,0))="","",INDEX('Disagg.1A_import-export'!K$7:K$13,MATCH($A59,'Disagg.1A_import-export'!$B$7:$B$13,0))),""))</f>
        <v/>
      </c>
      <c r="G59" s="1028" t="str">
        <f>IF(B59="","",IFERROR(IF(INDEX('Disagg.1A_import-export'!L$7:L$13,MATCH($A59,'Disagg.1A_import-export'!$B$7:$B$13,0))="","",INDEX('Disagg.1A_import-export'!L$7:L$13,MATCH($A59,'Disagg.1A_import-export'!$B$7:$B$13,0))),""))</f>
        <v/>
      </c>
      <c r="H59" s="1028" t="str">
        <f>IF(B59="","",IFERROR(IF(INDEX('Disagg.1A_import-export'!M$7:M$13,MATCH($A59,'Disagg.1A_import-export'!$B$7:$B$13,0))="","",INDEX('Disagg.1A_import-export'!M$7:M$13,MATCH($A59,'Disagg.1A_import-export'!$B$7:$B$13,0))),""))</f>
        <v/>
      </c>
      <c r="I59" s="1028" t="str">
        <f>IF(B59="","",IFERROR(IF(INDEX('Disagg.1A_import-export'!N$7:N$13,MATCH($A59,'Disagg.1A_import-export'!$B$7:$B$13,0))="","",INDEX('Disagg.1A_import-export'!N$7:N$13,MATCH($A59,'Disagg.1A_import-export'!$B$7:$B$13,0))),""))</f>
        <v/>
      </c>
      <c r="J59" s="1028" t="str">
        <f>IF(B59="","",IFERROR(IF(INDEX('Disagg.1A_import-export'!AC$7:AC$13,MATCH($A59,'Disagg.1A_import-export'!$B$7:$B$13,0))="","",INDEX('Disagg.1A_import-export'!AC$7:AC$13,MATCH($A59,'Disagg.1A_import-export'!$B$7:$B$13,0))),""))</f>
        <v/>
      </c>
      <c r="K59" s="1064"/>
      <c r="L59" s="1065"/>
      <c r="M59" s="1065"/>
      <c r="N59" s="1066"/>
      <c r="O59" s="1067"/>
      <c r="P59" s="1065"/>
      <c r="Q59" s="1065"/>
      <c r="R59" s="1066"/>
      <c r="S59" s="1067"/>
      <c r="T59" s="1065"/>
      <c r="U59" s="1068"/>
      <c r="V59" s="1070"/>
    </row>
    <row r="60" spans="1:22" ht="15.75" thickBot="1" x14ac:dyDescent="0.25">
      <c r="A60" s="648" t="str">
        <f>IFERROR(IF(INDEX(ImpactDisaglist,MATCH(0,INDEX(COUNTIF(A$10:A59,ImpactDisaglist),0,0),0))&lt;&gt;"",INDEX(ImpactDisaglist,MATCH(0,INDEX(COUNTIF(A$10:A59,ImpactDisaglist),0,0),0)),INDEX(OutcomeDisaglist,MATCH(0,INDEX(COUNTIF(A$10:A59,OutcomeDisaglist),0,0),0))),"")</f>
        <v/>
      </c>
      <c r="B60" s="1027" t="str">
        <f>IFERROR(INDEX('Disagg.1A_import-export'!D$7:D$200,MATCH($A60,'Disagg.1A_import-export'!$B$7:$B$200,0)),"")</f>
        <v/>
      </c>
      <c r="C60" s="1028" t="str">
        <f>IF(B60="","",IFERROR(INDEX('Disagg.1A_import-export'!E$7:E$13,MATCH($A60,'Disagg.1A_import-export'!$B$7:$B$13,0)),""))</f>
        <v/>
      </c>
      <c r="D60" s="1028" t="str">
        <f>IF(B60="","",IFERROR(IF(INDEX('Disagg.1A_import-export'!I$7:I$13,MATCH($A60,'Disagg.1A_import-export'!$B$7:$B$13,0))="","",INDEX('Disagg.1A_import-export'!I$7:I$13,MATCH($A60,'Disagg.1A_import-export'!$B$7:$B$13,0))),""))</f>
        <v/>
      </c>
      <c r="E60" s="1028" t="str">
        <f>IF(B60="","",IFERROR(IF(INDEX('Disagg.1A_import-export'!J$7:J$13,MATCH($A60,'Disagg.1A_import-export'!$B$7:$B$13,0))="","",INDEX('Disagg.1A_import-export'!J$7:J$13,MATCH($A60,'Disagg.1A_import-export'!$B$7:$B$13,0))),""))</f>
        <v/>
      </c>
      <c r="F60" s="1028" t="str">
        <f>IF(B60="","",IFERROR(IF(INDEX('Disagg.1A_import-export'!K$7:K$13,MATCH($A60,'Disagg.1A_import-export'!$B$7:$B$13,0))="","",INDEX('Disagg.1A_import-export'!K$7:K$13,MATCH($A60,'Disagg.1A_import-export'!$B$7:$B$13,0))),""))</f>
        <v/>
      </c>
      <c r="G60" s="1028" t="str">
        <f>IF(B60="","",IFERROR(IF(INDEX('Disagg.1A_import-export'!L$7:L$13,MATCH($A60,'Disagg.1A_import-export'!$B$7:$B$13,0))="","",INDEX('Disagg.1A_import-export'!L$7:L$13,MATCH($A60,'Disagg.1A_import-export'!$B$7:$B$13,0))),""))</f>
        <v/>
      </c>
      <c r="H60" s="1028" t="str">
        <f>IF(B60="","",IFERROR(IF(INDEX('Disagg.1A_import-export'!M$7:M$13,MATCH($A60,'Disagg.1A_import-export'!$B$7:$B$13,0))="","",INDEX('Disagg.1A_import-export'!M$7:M$13,MATCH($A60,'Disagg.1A_import-export'!$B$7:$B$13,0))),""))</f>
        <v/>
      </c>
      <c r="I60" s="1028" t="str">
        <f>IF(B60="","",IFERROR(IF(INDEX('Disagg.1A_import-export'!N$7:N$13,MATCH($A60,'Disagg.1A_import-export'!$B$7:$B$13,0))="","",INDEX('Disagg.1A_import-export'!N$7:N$13,MATCH($A60,'Disagg.1A_import-export'!$B$7:$B$13,0))),""))</f>
        <v/>
      </c>
      <c r="J60" s="1028" t="str">
        <f>IF(B60="","",IFERROR(IF(INDEX('Disagg.1A_import-export'!AC$7:AC$13,MATCH($A60,'Disagg.1A_import-export'!$B$7:$B$13,0))="","",INDEX('Disagg.1A_import-export'!AC$7:AC$13,MATCH($A60,'Disagg.1A_import-export'!$B$7:$B$13,0))),""))</f>
        <v/>
      </c>
      <c r="K60" s="1064"/>
      <c r="L60" s="1065"/>
      <c r="M60" s="1065"/>
      <c r="N60" s="1066"/>
      <c r="O60" s="1067"/>
      <c r="P60" s="1065"/>
      <c r="Q60" s="1065"/>
      <c r="R60" s="1066"/>
      <c r="S60" s="1067"/>
      <c r="T60" s="1065"/>
      <c r="U60" s="1068"/>
      <c r="V60" s="1070"/>
    </row>
    <row r="61" spans="1:22" ht="15.75" thickBot="1" x14ac:dyDescent="0.25">
      <c r="A61" s="648" t="str">
        <f>IFERROR(IF(INDEX(ImpactDisaglist,MATCH(0,INDEX(COUNTIF(A$10:A60,ImpactDisaglist),0,0),0))&lt;&gt;"",INDEX(ImpactDisaglist,MATCH(0,INDEX(COUNTIF(A$10:A60,ImpactDisaglist),0,0),0)),INDEX(OutcomeDisaglist,MATCH(0,INDEX(COUNTIF(A$10:A60,OutcomeDisaglist),0,0),0))),"")</f>
        <v/>
      </c>
      <c r="B61" s="1027" t="str">
        <f>IFERROR(INDEX('Disagg.1A_import-export'!D$7:D$200,MATCH($A61,'Disagg.1A_import-export'!$B$7:$B$200,0)),"")</f>
        <v/>
      </c>
      <c r="C61" s="1028" t="str">
        <f>IF(B61="","",IFERROR(INDEX('Disagg.1A_import-export'!E$7:E$13,MATCH($A61,'Disagg.1A_import-export'!$B$7:$B$13,0)),""))</f>
        <v/>
      </c>
      <c r="D61" s="1028" t="str">
        <f>IF(B61="","",IFERROR(IF(INDEX('Disagg.1A_import-export'!I$7:I$13,MATCH($A61,'Disagg.1A_import-export'!$B$7:$B$13,0))="","",INDEX('Disagg.1A_import-export'!I$7:I$13,MATCH($A61,'Disagg.1A_import-export'!$B$7:$B$13,0))),""))</f>
        <v/>
      </c>
      <c r="E61" s="1028" t="str">
        <f>IF(B61="","",IFERROR(IF(INDEX('Disagg.1A_import-export'!J$7:J$13,MATCH($A61,'Disagg.1A_import-export'!$B$7:$B$13,0))="","",INDEX('Disagg.1A_import-export'!J$7:J$13,MATCH($A61,'Disagg.1A_import-export'!$B$7:$B$13,0))),""))</f>
        <v/>
      </c>
      <c r="F61" s="1028" t="str">
        <f>IF(B61="","",IFERROR(IF(INDEX('Disagg.1A_import-export'!K$7:K$13,MATCH($A61,'Disagg.1A_import-export'!$B$7:$B$13,0))="","",INDEX('Disagg.1A_import-export'!K$7:K$13,MATCH($A61,'Disagg.1A_import-export'!$B$7:$B$13,0))),""))</f>
        <v/>
      </c>
      <c r="G61" s="1028" t="str">
        <f>IF(B61="","",IFERROR(IF(INDEX('Disagg.1A_import-export'!L$7:L$13,MATCH($A61,'Disagg.1A_import-export'!$B$7:$B$13,0))="","",INDEX('Disagg.1A_import-export'!L$7:L$13,MATCH($A61,'Disagg.1A_import-export'!$B$7:$B$13,0))),""))</f>
        <v/>
      </c>
      <c r="H61" s="1028" t="str">
        <f>IF(B61="","",IFERROR(IF(INDEX('Disagg.1A_import-export'!M$7:M$13,MATCH($A61,'Disagg.1A_import-export'!$B$7:$B$13,0))="","",INDEX('Disagg.1A_import-export'!M$7:M$13,MATCH($A61,'Disagg.1A_import-export'!$B$7:$B$13,0))),""))</f>
        <v/>
      </c>
      <c r="I61" s="1028" t="str">
        <f>IF(B61="","",IFERROR(IF(INDEX('Disagg.1A_import-export'!N$7:N$13,MATCH($A61,'Disagg.1A_import-export'!$B$7:$B$13,0))="","",INDEX('Disagg.1A_import-export'!N$7:N$13,MATCH($A61,'Disagg.1A_import-export'!$B$7:$B$13,0))),""))</f>
        <v/>
      </c>
      <c r="J61" s="1028" t="str">
        <f>IF(B61="","",IFERROR(IF(INDEX('Disagg.1A_import-export'!AC$7:AC$13,MATCH($A61,'Disagg.1A_import-export'!$B$7:$B$13,0))="","",INDEX('Disagg.1A_import-export'!AC$7:AC$13,MATCH($A61,'Disagg.1A_import-export'!$B$7:$B$13,0))),""))</f>
        <v/>
      </c>
      <c r="K61" s="1064"/>
      <c r="L61" s="1065"/>
      <c r="M61" s="1065"/>
      <c r="N61" s="1066"/>
      <c r="O61" s="1067"/>
      <c r="P61" s="1065"/>
      <c r="Q61" s="1065"/>
      <c r="R61" s="1066"/>
      <c r="S61" s="1067"/>
      <c r="T61" s="1065"/>
      <c r="U61" s="1068"/>
      <c r="V61" s="1070"/>
    </row>
    <row r="62" spans="1:22" ht="15.75" thickBot="1" x14ac:dyDescent="0.25">
      <c r="A62" s="648" t="str">
        <f>IFERROR(IF(INDEX(ImpactDisaglist,MATCH(0,INDEX(COUNTIF(A$10:A61,ImpactDisaglist),0,0),0))&lt;&gt;"",INDEX(ImpactDisaglist,MATCH(0,INDEX(COUNTIF(A$10:A61,ImpactDisaglist),0,0),0)),INDEX(OutcomeDisaglist,MATCH(0,INDEX(COUNTIF(A$10:A61,OutcomeDisaglist),0,0),0))),"")</f>
        <v/>
      </c>
      <c r="B62" s="1027" t="str">
        <f>IFERROR(INDEX('Disagg.1A_import-export'!D$7:D$200,MATCH($A62,'Disagg.1A_import-export'!$B$7:$B$200,0)),"")</f>
        <v/>
      </c>
      <c r="C62" s="1028" t="str">
        <f>IF(B62="","",IFERROR(INDEX('Disagg.1A_import-export'!E$7:E$13,MATCH($A62,'Disagg.1A_import-export'!$B$7:$B$13,0)),""))</f>
        <v/>
      </c>
      <c r="D62" s="1028" t="str">
        <f>IF(B62="","",IFERROR(IF(INDEX('Disagg.1A_import-export'!I$7:I$13,MATCH($A62,'Disagg.1A_import-export'!$B$7:$B$13,0))="","",INDEX('Disagg.1A_import-export'!I$7:I$13,MATCH($A62,'Disagg.1A_import-export'!$B$7:$B$13,0))),""))</f>
        <v/>
      </c>
      <c r="E62" s="1028" t="str">
        <f>IF(B62="","",IFERROR(IF(INDEX('Disagg.1A_import-export'!J$7:J$13,MATCH($A62,'Disagg.1A_import-export'!$B$7:$B$13,0))="","",INDEX('Disagg.1A_import-export'!J$7:J$13,MATCH($A62,'Disagg.1A_import-export'!$B$7:$B$13,0))),""))</f>
        <v/>
      </c>
      <c r="F62" s="1028" t="str">
        <f>IF(B62="","",IFERROR(IF(INDEX('Disagg.1A_import-export'!K$7:K$13,MATCH($A62,'Disagg.1A_import-export'!$B$7:$B$13,0))="","",INDEX('Disagg.1A_import-export'!K$7:K$13,MATCH($A62,'Disagg.1A_import-export'!$B$7:$B$13,0))),""))</f>
        <v/>
      </c>
      <c r="G62" s="1028" t="str">
        <f>IF(B62="","",IFERROR(IF(INDEX('Disagg.1A_import-export'!L$7:L$13,MATCH($A62,'Disagg.1A_import-export'!$B$7:$B$13,0))="","",INDEX('Disagg.1A_import-export'!L$7:L$13,MATCH($A62,'Disagg.1A_import-export'!$B$7:$B$13,0))),""))</f>
        <v/>
      </c>
      <c r="H62" s="1028" t="str">
        <f>IF(B62="","",IFERROR(IF(INDEX('Disagg.1A_import-export'!M$7:M$13,MATCH($A62,'Disagg.1A_import-export'!$B$7:$B$13,0))="","",INDEX('Disagg.1A_import-export'!M$7:M$13,MATCH($A62,'Disagg.1A_import-export'!$B$7:$B$13,0))),""))</f>
        <v/>
      </c>
      <c r="I62" s="1028" t="str">
        <f>IF(B62="","",IFERROR(IF(INDEX('Disagg.1A_import-export'!N$7:N$13,MATCH($A62,'Disagg.1A_import-export'!$B$7:$B$13,0))="","",INDEX('Disagg.1A_import-export'!N$7:N$13,MATCH($A62,'Disagg.1A_import-export'!$B$7:$B$13,0))),""))</f>
        <v/>
      </c>
      <c r="J62" s="1028" t="str">
        <f>IF(B62="","",IFERROR(IF(INDEX('Disagg.1A_import-export'!AC$7:AC$13,MATCH($A62,'Disagg.1A_import-export'!$B$7:$B$13,0))="","",INDEX('Disagg.1A_import-export'!AC$7:AC$13,MATCH($A62,'Disagg.1A_import-export'!$B$7:$B$13,0))),""))</f>
        <v/>
      </c>
      <c r="K62" s="1064"/>
      <c r="L62" s="1065"/>
      <c r="M62" s="1065"/>
      <c r="N62" s="1066"/>
      <c r="O62" s="1067"/>
      <c r="P62" s="1065"/>
      <c r="Q62" s="1065"/>
      <c r="R62" s="1066"/>
      <c r="S62" s="1067"/>
      <c r="T62" s="1065"/>
      <c r="U62" s="1068"/>
      <c r="V62" s="1070"/>
    </row>
    <row r="63" spans="1:22" ht="15.75" thickBot="1" x14ac:dyDescent="0.25">
      <c r="A63" s="648" t="str">
        <f>IFERROR(IF(INDEX(ImpactDisaglist,MATCH(0,INDEX(COUNTIF(A$10:A62,ImpactDisaglist),0,0),0))&lt;&gt;"",INDEX(ImpactDisaglist,MATCH(0,INDEX(COUNTIF(A$10:A62,ImpactDisaglist),0,0),0)),INDEX(OutcomeDisaglist,MATCH(0,INDEX(COUNTIF(A$10:A62,OutcomeDisaglist),0,0),0))),"")</f>
        <v/>
      </c>
      <c r="B63" s="1027" t="str">
        <f>IFERROR(INDEX('Disagg.1A_import-export'!D$7:D$200,MATCH($A63,'Disagg.1A_import-export'!$B$7:$B$200,0)),"")</f>
        <v/>
      </c>
      <c r="C63" s="1028" t="str">
        <f>IF(B63="","",IFERROR(INDEX('Disagg.1A_import-export'!E$7:E$13,MATCH($A63,'Disagg.1A_import-export'!$B$7:$B$13,0)),""))</f>
        <v/>
      </c>
      <c r="D63" s="1028" t="str">
        <f>IF(B63="","",IFERROR(IF(INDEX('Disagg.1A_import-export'!I$7:I$13,MATCH($A63,'Disagg.1A_import-export'!$B$7:$B$13,0))="","",INDEX('Disagg.1A_import-export'!I$7:I$13,MATCH($A63,'Disagg.1A_import-export'!$B$7:$B$13,0))),""))</f>
        <v/>
      </c>
      <c r="E63" s="1028" t="str">
        <f>IF(B63="","",IFERROR(IF(INDEX('Disagg.1A_import-export'!J$7:J$13,MATCH($A63,'Disagg.1A_import-export'!$B$7:$B$13,0))="","",INDEX('Disagg.1A_import-export'!J$7:J$13,MATCH($A63,'Disagg.1A_import-export'!$B$7:$B$13,0))),""))</f>
        <v/>
      </c>
      <c r="F63" s="1028" t="str">
        <f>IF(B63="","",IFERROR(IF(INDEX('Disagg.1A_import-export'!K$7:K$13,MATCH($A63,'Disagg.1A_import-export'!$B$7:$B$13,0))="","",INDEX('Disagg.1A_import-export'!K$7:K$13,MATCH($A63,'Disagg.1A_import-export'!$B$7:$B$13,0))),""))</f>
        <v/>
      </c>
      <c r="G63" s="1028" t="str">
        <f>IF(B63="","",IFERROR(IF(INDEX('Disagg.1A_import-export'!L$7:L$13,MATCH($A63,'Disagg.1A_import-export'!$B$7:$B$13,0))="","",INDEX('Disagg.1A_import-export'!L$7:L$13,MATCH($A63,'Disagg.1A_import-export'!$B$7:$B$13,0))),""))</f>
        <v/>
      </c>
      <c r="H63" s="1028" t="str">
        <f>IF(B63="","",IFERROR(IF(INDEX('Disagg.1A_import-export'!M$7:M$13,MATCH($A63,'Disagg.1A_import-export'!$B$7:$B$13,0))="","",INDEX('Disagg.1A_import-export'!M$7:M$13,MATCH($A63,'Disagg.1A_import-export'!$B$7:$B$13,0))),""))</f>
        <v/>
      </c>
      <c r="I63" s="1028" t="str">
        <f>IF(B63="","",IFERROR(IF(INDEX('Disagg.1A_import-export'!N$7:N$13,MATCH($A63,'Disagg.1A_import-export'!$B$7:$B$13,0))="","",INDEX('Disagg.1A_import-export'!N$7:N$13,MATCH($A63,'Disagg.1A_import-export'!$B$7:$B$13,0))),""))</f>
        <v/>
      </c>
      <c r="J63" s="1028" t="str">
        <f>IF(B63="","",IFERROR(IF(INDEX('Disagg.1A_import-export'!AC$7:AC$13,MATCH($A63,'Disagg.1A_import-export'!$B$7:$B$13,0))="","",INDEX('Disagg.1A_import-export'!AC$7:AC$13,MATCH($A63,'Disagg.1A_import-export'!$B$7:$B$13,0))),""))</f>
        <v/>
      </c>
      <c r="K63" s="1064"/>
      <c r="L63" s="1065"/>
      <c r="M63" s="1065"/>
      <c r="N63" s="1066"/>
      <c r="O63" s="1067"/>
      <c r="P63" s="1065"/>
      <c r="Q63" s="1065"/>
      <c r="R63" s="1066"/>
      <c r="S63" s="1067"/>
      <c r="T63" s="1065"/>
      <c r="U63" s="1068"/>
      <c r="V63" s="1070"/>
    </row>
    <row r="64" spans="1:22" ht="15.75" thickBot="1" x14ac:dyDescent="0.25">
      <c r="A64" s="648" t="str">
        <f>IFERROR(IF(INDEX(ImpactDisaglist,MATCH(0,INDEX(COUNTIF(A$10:A63,ImpactDisaglist),0,0),0))&lt;&gt;"",INDEX(ImpactDisaglist,MATCH(0,INDEX(COUNTIF(A$10:A63,ImpactDisaglist),0,0),0)),INDEX(OutcomeDisaglist,MATCH(0,INDEX(COUNTIF(A$10:A63,OutcomeDisaglist),0,0),0))),"")</f>
        <v/>
      </c>
      <c r="B64" s="1027" t="str">
        <f>IFERROR(INDEX('Disagg.1A_import-export'!D$7:D$200,MATCH($A64,'Disagg.1A_import-export'!$B$7:$B$200,0)),"")</f>
        <v/>
      </c>
      <c r="C64" s="1028" t="str">
        <f>IF(B64="","",IFERROR(INDEX('Disagg.1A_import-export'!E$7:E$13,MATCH($A64,'Disagg.1A_import-export'!$B$7:$B$13,0)),""))</f>
        <v/>
      </c>
      <c r="D64" s="1028" t="str">
        <f>IF(B64="","",IFERROR(IF(INDEX('Disagg.1A_import-export'!I$7:I$13,MATCH($A64,'Disagg.1A_import-export'!$B$7:$B$13,0))="","",INDEX('Disagg.1A_import-export'!I$7:I$13,MATCH($A64,'Disagg.1A_import-export'!$B$7:$B$13,0))),""))</f>
        <v/>
      </c>
      <c r="E64" s="1028" t="str">
        <f>IF(B64="","",IFERROR(IF(INDEX('Disagg.1A_import-export'!J$7:J$13,MATCH($A64,'Disagg.1A_import-export'!$B$7:$B$13,0))="","",INDEX('Disagg.1A_import-export'!J$7:J$13,MATCH($A64,'Disagg.1A_import-export'!$B$7:$B$13,0))),""))</f>
        <v/>
      </c>
      <c r="F64" s="1028" t="str">
        <f>IF(B64="","",IFERROR(IF(INDEX('Disagg.1A_import-export'!K$7:K$13,MATCH($A64,'Disagg.1A_import-export'!$B$7:$B$13,0))="","",INDEX('Disagg.1A_import-export'!K$7:K$13,MATCH($A64,'Disagg.1A_import-export'!$B$7:$B$13,0))),""))</f>
        <v/>
      </c>
      <c r="G64" s="1028" t="str">
        <f>IF(B64="","",IFERROR(IF(INDEX('Disagg.1A_import-export'!L$7:L$13,MATCH($A64,'Disagg.1A_import-export'!$B$7:$B$13,0))="","",INDEX('Disagg.1A_import-export'!L$7:L$13,MATCH($A64,'Disagg.1A_import-export'!$B$7:$B$13,0))),""))</f>
        <v/>
      </c>
      <c r="H64" s="1028" t="str">
        <f>IF(B64="","",IFERROR(IF(INDEX('Disagg.1A_import-export'!M$7:M$13,MATCH($A64,'Disagg.1A_import-export'!$B$7:$B$13,0))="","",INDEX('Disagg.1A_import-export'!M$7:M$13,MATCH($A64,'Disagg.1A_import-export'!$B$7:$B$13,0))),""))</f>
        <v/>
      </c>
      <c r="I64" s="1028" t="str">
        <f>IF(B64="","",IFERROR(IF(INDEX('Disagg.1A_import-export'!N$7:N$13,MATCH($A64,'Disagg.1A_import-export'!$B$7:$B$13,0))="","",INDEX('Disagg.1A_import-export'!N$7:N$13,MATCH($A64,'Disagg.1A_import-export'!$B$7:$B$13,0))),""))</f>
        <v/>
      </c>
      <c r="J64" s="1028" t="str">
        <f>IF(B64="","",IFERROR(IF(INDEX('Disagg.1A_import-export'!AC$7:AC$13,MATCH($A64,'Disagg.1A_import-export'!$B$7:$B$13,0))="","",INDEX('Disagg.1A_import-export'!AC$7:AC$13,MATCH($A64,'Disagg.1A_import-export'!$B$7:$B$13,0))),""))</f>
        <v/>
      </c>
      <c r="K64" s="1064"/>
      <c r="L64" s="1065"/>
      <c r="M64" s="1065"/>
      <c r="N64" s="1066"/>
      <c r="O64" s="1067"/>
      <c r="P64" s="1065"/>
      <c r="Q64" s="1065"/>
      <c r="R64" s="1066"/>
      <c r="S64" s="1067"/>
      <c r="T64" s="1065"/>
      <c r="U64" s="1068"/>
      <c r="V64" s="1070"/>
    </row>
    <row r="65" spans="1:22" ht="15.75" thickBot="1" x14ac:dyDescent="0.25">
      <c r="A65" s="648" t="str">
        <f>IFERROR(IF(INDEX(ImpactDisaglist,MATCH(0,INDEX(COUNTIF(A$10:A64,ImpactDisaglist),0,0),0))&lt;&gt;"",INDEX(ImpactDisaglist,MATCH(0,INDEX(COUNTIF(A$10:A64,ImpactDisaglist),0,0),0)),INDEX(OutcomeDisaglist,MATCH(0,INDEX(COUNTIF(A$10:A64,OutcomeDisaglist),0,0),0))),"")</f>
        <v/>
      </c>
      <c r="B65" s="1027" t="str">
        <f>IFERROR(INDEX('Disagg.1A_import-export'!D$7:D$200,MATCH($A65,'Disagg.1A_import-export'!$B$7:$B$200,0)),"")</f>
        <v/>
      </c>
      <c r="C65" s="1028" t="str">
        <f>IF(B65="","",IFERROR(INDEX('Disagg.1A_import-export'!E$7:E$13,MATCH($A65,'Disagg.1A_import-export'!$B$7:$B$13,0)),""))</f>
        <v/>
      </c>
      <c r="D65" s="1028" t="str">
        <f>IF(B65="","",IFERROR(IF(INDEX('Disagg.1A_import-export'!I$7:I$13,MATCH($A65,'Disagg.1A_import-export'!$B$7:$B$13,0))="","",INDEX('Disagg.1A_import-export'!I$7:I$13,MATCH($A65,'Disagg.1A_import-export'!$B$7:$B$13,0))),""))</f>
        <v/>
      </c>
      <c r="E65" s="1028" t="str">
        <f>IF(B65="","",IFERROR(IF(INDEX('Disagg.1A_import-export'!J$7:J$13,MATCH($A65,'Disagg.1A_import-export'!$B$7:$B$13,0))="","",INDEX('Disagg.1A_import-export'!J$7:J$13,MATCH($A65,'Disagg.1A_import-export'!$B$7:$B$13,0))),""))</f>
        <v/>
      </c>
      <c r="F65" s="1028" t="str">
        <f>IF(B65="","",IFERROR(IF(INDEX('Disagg.1A_import-export'!K$7:K$13,MATCH($A65,'Disagg.1A_import-export'!$B$7:$B$13,0))="","",INDEX('Disagg.1A_import-export'!K$7:K$13,MATCH($A65,'Disagg.1A_import-export'!$B$7:$B$13,0))),""))</f>
        <v/>
      </c>
      <c r="G65" s="1028" t="str">
        <f>IF(B65="","",IFERROR(IF(INDEX('Disagg.1A_import-export'!L$7:L$13,MATCH($A65,'Disagg.1A_import-export'!$B$7:$B$13,0))="","",INDEX('Disagg.1A_import-export'!L$7:L$13,MATCH($A65,'Disagg.1A_import-export'!$B$7:$B$13,0))),""))</f>
        <v/>
      </c>
      <c r="H65" s="1028" t="str">
        <f>IF(B65="","",IFERROR(IF(INDEX('Disagg.1A_import-export'!M$7:M$13,MATCH($A65,'Disagg.1A_import-export'!$B$7:$B$13,0))="","",INDEX('Disagg.1A_import-export'!M$7:M$13,MATCH($A65,'Disagg.1A_import-export'!$B$7:$B$13,0))),""))</f>
        <v/>
      </c>
      <c r="I65" s="1028" t="str">
        <f>IF(B65="","",IFERROR(IF(INDEX('Disagg.1A_import-export'!N$7:N$13,MATCH($A65,'Disagg.1A_import-export'!$B$7:$B$13,0))="","",INDEX('Disagg.1A_import-export'!N$7:N$13,MATCH($A65,'Disagg.1A_import-export'!$B$7:$B$13,0))),""))</f>
        <v/>
      </c>
      <c r="J65" s="1028" t="str">
        <f>IF(B65="","",IFERROR(IF(INDEX('Disagg.1A_import-export'!AC$7:AC$13,MATCH($A65,'Disagg.1A_import-export'!$B$7:$B$13,0))="","",INDEX('Disagg.1A_import-export'!AC$7:AC$13,MATCH($A65,'Disagg.1A_import-export'!$B$7:$B$13,0))),""))</f>
        <v/>
      </c>
      <c r="K65" s="1064"/>
      <c r="L65" s="1065"/>
      <c r="M65" s="1065"/>
      <c r="N65" s="1066"/>
      <c r="O65" s="1067"/>
      <c r="P65" s="1065"/>
      <c r="Q65" s="1065"/>
      <c r="R65" s="1066"/>
      <c r="S65" s="1067"/>
      <c r="T65" s="1065"/>
      <c r="U65" s="1068"/>
      <c r="V65" s="1070"/>
    </row>
    <row r="66" spans="1:22" ht="15.75" thickBot="1" x14ac:dyDescent="0.25">
      <c r="A66" s="648" t="str">
        <f>IFERROR(IF(INDEX(ImpactDisaglist,MATCH(0,INDEX(COUNTIF(A$10:A65,ImpactDisaglist),0,0),0))&lt;&gt;"",INDEX(ImpactDisaglist,MATCH(0,INDEX(COUNTIF(A$10:A65,ImpactDisaglist),0,0),0)),INDEX(OutcomeDisaglist,MATCH(0,INDEX(COUNTIF(A$10:A65,OutcomeDisaglist),0,0),0))),"")</f>
        <v/>
      </c>
      <c r="B66" s="1027" t="str">
        <f>IFERROR(INDEX('Disagg.1A_import-export'!D$7:D$200,MATCH($A66,'Disagg.1A_import-export'!$B$7:$B$200,0)),"")</f>
        <v/>
      </c>
      <c r="C66" s="1028" t="str">
        <f>IF(B66="","",IFERROR(INDEX('Disagg.1A_import-export'!E$7:E$13,MATCH($A66,'Disagg.1A_import-export'!$B$7:$B$13,0)),""))</f>
        <v/>
      </c>
      <c r="D66" s="1028" t="str">
        <f>IF(B66="","",IFERROR(IF(INDEX('Disagg.1A_import-export'!I$7:I$13,MATCH($A66,'Disagg.1A_import-export'!$B$7:$B$13,0))="","",INDEX('Disagg.1A_import-export'!I$7:I$13,MATCH($A66,'Disagg.1A_import-export'!$B$7:$B$13,0))),""))</f>
        <v/>
      </c>
      <c r="E66" s="1028" t="str">
        <f>IF(B66="","",IFERROR(IF(INDEX('Disagg.1A_import-export'!J$7:J$13,MATCH($A66,'Disagg.1A_import-export'!$B$7:$B$13,0))="","",INDEX('Disagg.1A_import-export'!J$7:J$13,MATCH($A66,'Disagg.1A_import-export'!$B$7:$B$13,0))),""))</f>
        <v/>
      </c>
      <c r="F66" s="1028" t="str">
        <f>IF(B66="","",IFERROR(IF(INDEX('Disagg.1A_import-export'!K$7:K$13,MATCH($A66,'Disagg.1A_import-export'!$B$7:$B$13,0))="","",INDEX('Disagg.1A_import-export'!K$7:K$13,MATCH($A66,'Disagg.1A_import-export'!$B$7:$B$13,0))),""))</f>
        <v/>
      </c>
      <c r="G66" s="1028" t="str">
        <f>IF(B66="","",IFERROR(IF(INDEX('Disagg.1A_import-export'!L$7:L$13,MATCH($A66,'Disagg.1A_import-export'!$B$7:$B$13,0))="","",INDEX('Disagg.1A_import-export'!L$7:L$13,MATCH($A66,'Disagg.1A_import-export'!$B$7:$B$13,0))),""))</f>
        <v/>
      </c>
      <c r="H66" s="1028" t="str">
        <f>IF(B66="","",IFERROR(IF(INDEX('Disagg.1A_import-export'!M$7:M$13,MATCH($A66,'Disagg.1A_import-export'!$B$7:$B$13,0))="","",INDEX('Disagg.1A_import-export'!M$7:M$13,MATCH($A66,'Disagg.1A_import-export'!$B$7:$B$13,0))),""))</f>
        <v/>
      </c>
      <c r="I66" s="1028" t="str">
        <f>IF(B66="","",IFERROR(IF(INDEX('Disagg.1A_import-export'!N$7:N$13,MATCH($A66,'Disagg.1A_import-export'!$B$7:$B$13,0))="","",INDEX('Disagg.1A_import-export'!N$7:N$13,MATCH($A66,'Disagg.1A_import-export'!$B$7:$B$13,0))),""))</f>
        <v/>
      </c>
      <c r="J66" s="1028" t="str">
        <f>IF(B66="","",IFERROR(IF(INDEX('Disagg.1A_import-export'!AC$7:AC$13,MATCH($A66,'Disagg.1A_import-export'!$B$7:$B$13,0))="","",INDEX('Disagg.1A_import-export'!AC$7:AC$13,MATCH($A66,'Disagg.1A_import-export'!$B$7:$B$13,0))),""))</f>
        <v/>
      </c>
      <c r="K66" s="1064"/>
      <c r="L66" s="1065"/>
      <c r="M66" s="1065"/>
      <c r="N66" s="1066"/>
      <c r="O66" s="1067"/>
      <c r="P66" s="1065"/>
      <c r="Q66" s="1065"/>
      <c r="R66" s="1066"/>
      <c r="S66" s="1067"/>
      <c r="T66" s="1065"/>
      <c r="U66" s="1068"/>
      <c r="V66" s="1070"/>
    </row>
    <row r="67" spans="1:22" ht="15.75" thickBot="1" x14ac:dyDescent="0.25">
      <c r="A67" s="648" t="str">
        <f>IFERROR(IF(INDEX(ImpactDisaglist,MATCH(0,INDEX(COUNTIF(A$10:A66,ImpactDisaglist),0,0),0))&lt;&gt;"",INDEX(ImpactDisaglist,MATCH(0,INDEX(COUNTIF(A$10:A66,ImpactDisaglist),0,0),0)),INDEX(OutcomeDisaglist,MATCH(0,INDEX(COUNTIF(A$10:A66,OutcomeDisaglist),0,0),0))),"")</f>
        <v/>
      </c>
      <c r="B67" s="1027" t="str">
        <f>IFERROR(INDEX('Disagg.1A_import-export'!D$7:D$200,MATCH($A67,'Disagg.1A_import-export'!$B$7:$B$200,0)),"")</f>
        <v/>
      </c>
      <c r="C67" s="1028" t="str">
        <f>IF(B67="","",IFERROR(INDEX('Disagg.1A_import-export'!E$7:E$13,MATCH($A67,'Disagg.1A_import-export'!$B$7:$B$13,0)),""))</f>
        <v/>
      </c>
      <c r="D67" s="1028" t="str">
        <f>IF(B67="","",IFERROR(IF(INDEX('Disagg.1A_import-export'!I$7:I$13,MATCH($A67,'Disagg.1A_import-export'!$B$7:$B$13,0))="","",INDEX('Disagg.1A_import-export'!I$7:I$13,MATCH($A67,'Disagg.1A_import-export'!$B$7:$B$13,0))),""))</f>
        <v/>
      </c>
      <c r="E67" s="1028" t="str">
        <f>IF(B67="","",IFERROR(IF(INDEX('Disagg.1A_import-export'!J$7:J$13,MATCH($A67,'Disagg.1A_import-export'!$B$7:$B$13,0))="","",INDEX('Disagg.1A_import-export'!J$7:J$13,MATCH($A67,'Disagg.1A_import-export'!$B$7:$B$13,0))),""))</f>
        <v/>
      </c>
      <c r="F67" s="1028" t="str">
        <f>IF(B67="","",IFERROR(IF(INDEX('Disagg.1A_import-export'!K$7:K$13,MATCH($A67,'Disagg.1A_import-export'!$B$7:$B$13,0))="","",INDEX('Disagg.1A_import-export'!K$7:K$13,MATCH($A67,'Disagg.1A_import-export'!$B$7:$B$13,0))),""))</f>
        <v/>
      </c>
      <c r="G67" s="1028" t="str">
        <f>IF(B67="","",IFERROR(IF(INDEX('Disagg.1A_import-export'!L$7:L$13,MATCH($A67,'Disagg.1A_import-export'!$B$7:$B$13,0))="","",INDEX('Disagg.1A_import-export'!L$7:L$13,MATCH($A67,'Disagg.1A_import-export'!$B$7:$B$13,0))),""))</f>
        <v/>
      </c>
      <c r="H67" s="1028" t="str">
        <f>IF(B67="","",IFERROR(IF(INDEX('Disagg.1A_import-export'!M$7:M$13,MATCH($A67,'Disagg.1A_import-export'!$B$7:$B$13,0))="","",INDEX('Disagg.1A_import-export'!M$7:M$13,MATCH($A67,'Disagg.1A_import-export'!$B$7:$B$13,0))),""))</f>
        <v/>
      </c>
      <c r="I67" s="1028" t="str">
        <f>IF(B67="","",IFERROR(IF(INDEX('Disagg.1A_import-export'!N$7:N$13,MATCH($A67,'Disagg.1A_import-export'!$B$7:$B$13,0))="","",INDEX('Disagg.1A_import-export'!N$7:N$13,MATCH($A67,'Disagg.1A_import-export'!$B$7:$B$13,0))),""))</f>
        <v/>
      </c>
      <c r="J67" s="1028" t="str">
        <f>IF(B67="","",IFERROR(IF(INDEX('Disagg.1A_import-export'!AC$7:AC$13,MATCH($A67,'Disagg.1A_import-export'!$B$7:$B$13,0))="","",INDEX('Disagg.1A_import-export'!AC$7:AC$13,MATCH($A67,'Disagg.1A_import-export'!$B$7:$B$13,0))),""))</f>
        <v/>
      </c>
      <c r="K67" s="1064"/>
      <c r="L67" s="1065"/>
      <c r="M67" s="1065"/>
      <c r="N67" s="1066"/>
      <c r="O67" s="1067"/>
      <c r="P67" s="1065"/>
      <c r="Q67" s="1065"/>
      <c r="R67" s="1066"/>
      <c r="S67" s="1067"/>
      <c r="T67" s="1065"/>
      <c r="U67" s="1068"/>
      <c r="V67" s="1070"/>
    </row>
    <row r="68" spans="1:22" ht="15.75" thickBot="1" x14ac:dyDescent="0.25">
      <c r="A68" s="648" t="str">
        <f>IFERROR(IF(INDEX(ImpactDisaglist,MATCH(0,INDEX(COUNTIF(A$10:A67,ImpactDisaglist),0,0),0))&lt;&gt;"",INDEX(ImpactDisaglist,MATCH(0,INDEX(COUNTIF(A$10:A67,ImpactDisaglist),0,0),0)),INDEX(OutcomeDisaglist,MATCH(0,INDEX(COUNTIF(A$10:A67,OutcomeDisaglist),0,0),0))),"")</f>
        <v/>
      </c>
      <c r="B68" s="1027" t="str">
        <f>IFERROR(INDEX('Disagg.1A_import-export'!D$7:D$200,MATCH($A68,'Disagg.1A_import-export'!$B$7:$B$200,0)),"")</f>
        <v/>
      </c>
      <c r="C68" s="1028" t="str">
        <f>IF(B68="","",IFERROR(INDEX('Disagg.1A_import-export'!E$7:E$13,MATCH($A68,'Disagg.1A_import-export'!$B$7:$B$13,0)),""))</f>
        <v/>
      </c>
      <c r="D68" s="1028" t="str">
        <f>IF(B68="","",IFERROR(IF(INDEX('Disagg.1A_import-export'!I$7:I$13,MATCH($A68,'Disagg.1A_import-export'!$B$7:$B$13,0))="","",INDEX('Disagg.1A_import-export'!I$7:I$13,MATCH($A68,'Disagg.1A_import-export'!$B$7:$B$13,0))),""))</f>
        <v/>
      </c>
      <c r="E68" s="1028" t="str">
        <f>IF(B68="","",IFERROR(IF(INDEX('Disagg.1A_import-export'!J$7:J$13,MATCH($A68,'Disagg.1A_import-export'!$B$7:$B$13,0))="","",INDEX('Disagg.1A_import-export'!J$7:J$13,MATCH($A68,'Disagg.1A_import-export'!$B$7:$B$13,0))),""))</f>
        <v/>
      </c>
      <c r="F68" s="1028" t="str">
        <f>IF(B68="","",IFERROR(IF(INDEX('Disagg.1A_import-export'!K$7:K$13,MATCH($A68,'Disagg.1A_import-export'!$B$7:$B$13,0))="","",INDEX('Disagg.1A_import-export'!K$7:K$13,MATCH($A68,'Disagg.1A_import-export'!$B$7:$B$13,0))),""))</f>
        <v/>
      </c>
      <c r="G68" s="1028" t="str">
        <f>IF(B68="","",IFERROR(IF(INDEX('Disagg.1A_import-export'!L$7:L$13,MATCH($A68,'Disagg.1A_import-export'!$B$7:$B$13,0))="","",INDEX('Disagg.1A_import-export'!L$7:L$13,MATCH($A68,'Disagg.1A_import-export'!$B$7:$B$13,0))),""))</f>
        <v/>
      </c>
      <c r="H68" s="1028" t="str">
        <f>IF(B68="","",IFERROR(IF(INDEX('Disagg.1A_import-export'!M$7:M$13,MATCH($A68,'Disagg.1A_import-export'!$B$7:$B$13,0))="","",INDEX('Disagg.1A_import-export'!M$7:M$13,MATCH($A68,'Disagg.1A_import-export'!$B$7:$B$13,0))),""))</f>
        <v/>
      </c>
      <c r="I68" s="1028" t="str">
        <f>IF(B68="","",IFERROR(IF(INDEX('Disagg.1A_import-export'!N$7:N$13,MATCH($A68,'Disagg.1A_import-export'!$B$7:$B$13,0))="","",INDEX('Disagg.1A_import-export'!N$7:N$13,MATCH($A68,'Disagg.1A_import-export'!$B$7:$B$13,0))),""))</f>
        <v/>
      </c>
      <c r="J68" s="1028" t="str">
        <f>IF(B68="","",IFERROR(IF(INDEX('Disagg.1A_import-export'!AC$7:AC$13,MATCH($A68,'Disagg.1A_import-export'!$B$7:$B$13,0))="","",INDEX('Disagg.1A_import-export'!AC$7:AC$13,MATCH($A68,'Disagg.1A_import-export'!$B$7:$B$13,0))),""))</f>
        <v/>
      </c>
      <c r="K68" s="1064"/>
      <c r="L68" s="1065"/>
      <c r="M68" s="1065"/>
      <c r="N68" s="1066"/>
      <c r="O68" s="1067"/>
      <c r="P68" s="1065"/>
      <c r="Q68" s="1065"/>
      <c r="R68" s="1066"/>
      <c r="S68" s="1067"/>
      <c r="T68" s="1065"/>
      <c r="U68" s="1068"/>
      <c r="V68" s="1070"/>
    </row>
    <row r="69" spans="1:22" ht="15.75" thickBot="1" x14ac:dyDescent="0.25">
      <c r="A69" s="648" t="str">
        <f>IFERROR(IF(INDEX(ImpactDisaglist,MATCH(0,INDEX(COUNTIF(A$10:A68,ImpactDisaglist),0,0),0))&lt;&gt;"",INDEX(ImpactDisaglist,MATCH(0,INDEX(COUNTIF(A$10:A68,ImpactDisaglist),0,0),0)),INDEX(OutcomeDisaglist,MATCH(0,INDEX(COUNTIF(A$10:A68,OutcomeDisaglist),0,0),0))),"")</f>
        <v/>
      </c>
      <c r="B69" s="1027" t="str">
        <f>IFERROR(INDEX('Disagg.1A_import-export'!D$7:D$200,MATCH($A69,'Disagg.1A_import-export'!$B$7:$B$200,0)),"")</f>
        <v/>
      </c>
      <c r="C69" s="1028" t="str">
        <f>IF(B69="","",IFERROR(INDEX('Disagg.1A_import-export'!E$7:E$13,MATCH($A69,'Disagg.1A_import-export'!$B$7:$B$13,0)),""))</f>
        <v/>
      </c>
      <c r="D69" s="1028" t="str">
        <f>IF(B69="","",IFERROR(IF(INDEX('Disagg.1A_import-export'!I$7:I$13,MATCH($A69,'Disagg.1A_import-export'!$B$7:$B$13,0))="","",INDEX('Disagg.1A_import-export'!I$7:I$13,MATCH($A69,'Disagg.1A_import-export'!$B$7:$B$13,0))),""))</f>
        <v/>
      </c>
      <c r="E69" s="1028" t="str">
        <f>IF(B69="","",IFERROR(IF(INDEX('Disagg.1A_import-export'!J$7:J$13,MATCH($A69,'Disagg.1A_import-export'!$B$7:$B$13,0))="","",INDEX('Disagg.1A_import-export'!J$7:J$13,MATCH($A69,'Disagg.1A_import-export'!$B$7:$B$13,0))),""))</f>
        <v/>
      </c>
      <c r="F69" s="1028" t="str">
        <f>IF(B69="","",IFERROR(IF(INDEX('Disagg.1A_import-export'!K$7:K$13,MATCH($A69,'Disagg.1A_import-export'!$B$7:$B$13,0))="","",INDEX('Disagg.1A_import-export'!K$7:K$13,MATCH($A69,'Disagg.1A_import-export'!$B$7:$B$13,0))),""))</f>
        <v/>
      </c>
      <c r="G69" s="1028" t="str">
        <f>IF(B69="","",IFERROR(IF(INDEX('Disagg.1A_import-export'!L$7:L$13,MATCH($A69,'Disagg.1A_import-export'!$B$7:$B$13,0))="","",INDEX('Disagg.1A_import-export'!L$7:L$13,MATCH($A69,'Disagg.1A_import-export'!$B$7:$B$13,0))),""))</f>
        <v/>
      </c>
      <c r="H69" s="1028" t="str">
        <f>IF(B69="","",IFERROR(IF(INDEX('Disagg.1A_import-export'!M$7:M$13,MATCH($A69,'Disagg.1A_import-export'!$B$7:$B$13,0))="","",INDEX('Disagg.1A_import-export'!M$7:M$13,MATCH($A69,'Disagg.1A_import-export'!$B$7:$B$13,0))),""))</f>
        <v/>
      </c>
      <c r="I69" s="1028" t="str">
        <f>IF(B69="","",IFERROR(IF(INDEX('Disagg.1A_import-export'!N$7:N$13,MATCH($A69,'Disagg.1A_import-export'!$B$7:$B$13,0))="","",INDEX('Disagg.1A_import-export'!N$7:N$13,MATCH($A69,'Disagg.1A_import-export'!$B$7:$B$13,0))),""))</f>
        <v/>
      </c>
      <c r="J69" s="1028" t="str">
        <f>IF(B69="","",IFERROR(IF(INDEX('Disagg.1A_import-export'!AC$7:AC$13,MATCH($A69,'Disagg.1A_import-export'!$B$7:$B$13,0))="","",INDEX('Disagg.1A_import-export'!AC$7:AC$13,MATCH($A69,'Disagg.1A_import-export'!$B$7:$B$13,0))),""))</f>
        <v/>
      </c>
      <c r="K69" s="1064"/>
      <c r="L69" s="1065"/>
      <c r="M69" s="1065"/>
      <c r="N69" s="1066"/>
      <c r="O69" s="1067"/>
      <c r="P69" s="1065"/>
      <c r="Q69" s="1065"/>
      <c r="R69" s="1066"/>
      <c r="S69" s="1067"/>
      <c r="T69" s="1065"/>
      <c r="U69" s="1068"/>
      <c r="V69" s="1070"/>
    </row>
    <row r="70" spans="1:22" ht="15.75" thickBot="1" x14ac:dyDescent="0.25">
      <c r="A70" s="648" t="str">
        <f>IFERROR(IF(INDEX(ImpactDisaglist,MATCH(0,INDEX(COUNTIF(A$10:A69,ImpactDisaglist),0,0),0))&lt;&gt;"",INDEX(ImpactDisaglist,MATCH(0,INDEX(COUNTIF(A$10:A69,ImpactDisaglist),0,0),0)),INDEX(OutcomeDisaglist,MATCH(0,INDEX(COUNTIF(A$10:A69,OutcomeDisaglist),0,0),0))),"")</f>
        <v/>
      </c>
      <c r="B70" s="1027" t="str">
        <f>IFERROR(INDEX('Disagg.1A_import-export'!D$7:D$200,MATCH($A70,'Disagg.1A_import-export'!$B$7:$B$200,0)),"")</f>
        <v/>
      </c>
      <c r="C70" s="1028" t="str">
        <f>IF(B70="","",IFERROR(INDEX('Disagg.1A_import-export'!E$7:E$13,MATCH($A70,'Disagg.1A_import-export'!$B$7:$B$13,0)),""))</f>
        <v/>
      </c>
      <c r="D70" s="1028" t="str">
        <f>IF(B70="","",IFERROR(IF(INDEX('Disagg.1A_import-export'!I$7:I$13,MATCH($A70,'Disagg.1A_import-export'!$B$7:$B$13,0))="","",INDEX('Disagg.1A_import-export'!I$7:I$13,MATCH($A70,'Disagg.1A_import-export'!$B$7:$B$13,0))),""))</f>
        <v/>
      </c>
      <c r="E70" s="1028" t="str">
        <f>IF(B70="","",IFERROR(IF(INDEX('Disagg.1A_import-export'!J$7:J$13,MATCH($A70,'Disagg.1A_import-export'!$B$7:$B$13,0))="","",INDEX('Disagg.1A_import-export'!J$7:J$13,MATCH($A70,'Disagg.1A_import-export'!$B$7:$B$13,0))),""))</f>
        <v/>
      </c>
      <c r="F70" s="1028" t="str">
        <f>IF(B70="","",IFERROR(IF(INDEX('Disagg.1A_import-export'!K$7:K$13,MATCH($A70,'Disagg.1A_import-export'!$B$7:$B$13,0))="","",INDEX('Disagg.1A_import-export'!K$7:K$13,MATCH($A70,'Disagg.1A_import-export'!$B$7:$B$13,0))),""))</f>
        <v/>
      </c>
      <c r="G70" s="1028" t="str">
        <f>IF(B70="","",IFERROR(IF(INDEX('Disagg.1A_import-export'!L$7:L$13,MATCH($A70,'Disagg.1A_import-export'!$B$7:$B$13,0))="","",INDEX('Disagg.1A_import-export'!L$7:L$13,MATCH($A70,'Disagg.1A_import-export'!$B$7:$B$13,0))),""))</f>
        <v/>
      </c>
      <c r="H70" s="1028" t="str">
        <f>IF(B70="","",IFERROR(IF(INDEX('Disagg.1A_import-export'!M$7:M$13,MATCH($A70,'Disagg.1A_import-export'!$B$7:$B$13,0))="","",INDEX('Disagg.1A_import-export'!M$7:M$13,MATCH($A70,'Disagg.1A_import-export'!$B$7:$B$13,0))),""))</f>
        <v/>
      </c>
      <c r="I70" s="1028" t="str">
        <f>IF(B70="","",IFERROR(IF(INDEX('Disagg.1A_import-export'!N$7:N$13,MATCH($A70,'Disagg.1A_import-export'!$B$7:$B$13,0))="","",INDEX('Disagg.1A_import-export'!N$7:N$13,MATCH($A70,'Disagg.1A_import-export'!$B$7:$B$13,0))),""))</f>
        <v/>
      </c>
      <c r="J70" s="1028" t="str">
        <f>IF(B70="","",IFERROR(IF(INDEX('Disagg.1A_import-export'!AC$7:AC$13,MATCH($A70,'Disagg.1A_import-export'!$B$7:$B$13,0))="","",INDEX('Disagg.1A_import-export'!AC$7:AC$13,MATCH($A70,'Disagg.1A_import-export'!$B$7:$B$13,0))),""))</f>
        <v/>
      </c>
      <c r="K70" s="1064"/>
      <c r="L70" s="1065"/>
      <c r="M70" s="1065"/>
      <c r="N70" s="1066"/>
      <c r="O70" s="1067"/>
      <c r="P70" s="1065"/>
      <c r="Q70" s="1065"/>
      <c r="R70" s="1066"/>
      <c r="S70" s="1067"/>
      <c r="T70" s="1065"/>
      <c r="U70" s="1068"/>
      <c r="V70" s="1070"/>
    </row>
    <row r="71" spans="1:22" ht="15.75" thickBot="1" x14ac:dyDescent="0.25">
      <c r="A71" s="648" t="str">
        <f>IFERROR(IF(INDEX(ImpactDisaglist,MATCH(0,INDEX(COUNTIF(A$10:A70,ImpactDisaglist),0,0),0))&lt;&gt;"",INDEX(ImpactDisaglist,MATCH(0,INDEX(COUNTIF(A$10:A70,ImpactDisaglist),0,0),0)),INDEX(OutcomeDisaglist,MATCH(0,INDEX(COUNTIF(A$10:A70,OutcomeDisaglist),0,0),0))),"")</f>
        <v/>
      </c>
      <c r="B71" s="1027" t="str">
        <f>IFERROR(INDEX('Disagg.1A_import-export'!D$7:D$200,MATCH($A71,'Disagg.1A_import-export'!$B$7:$B$200,0)),"")</f>
        <v/>
      </c>
      <c r="C71" s="1028" t="str">
        <f>IF(B71="","",IFERROR(INDEX('Disagg.1A_import-export'!E$7:E$13,MATCH($A71,'Disagg.1A_import-export'!$B$7:$B$13,0)),""))</f>
        <v/>
      </c>
      <c r="D71" s="1028" t="str">
        <f>IF(B71="","",IFERROR(IF(INDEX('Disagg.1A_import-export'!I$7:I$13,MATCH($A71,'Disagg.1A_import-export'!$B$7:$B$13,0))="","",INDEX('Disagg.1A_import-export'!I$7:I$13,MATCH($A71,'Disagg.1A_import-export'!$B$7:$B$13,0))),""))</f>
        <v/>
      </c>
      <c r="E71" s="1028" t="str">
        <f>IF(B71="","",IFERROR(IF(INDEX('Disagg.1A_import-export'!J$7:J$13,MATCH($A71,'Disagg.1A_import-export'!$B$7:$B$13,0))="","",INDEX('Disagg.1A_import-export'!J$7:J$13,MATCH($A71,'Disagg.1A_import-export'!$B$7:$B$13,0))),""))</f>
        <v/>
      </c>
      <c r="F71" s="1028" t="str">
        <f>IF(B71="","",IFERROR(IF(INDEX('Disagg.1A_import-export'!K$7:K$13,MATCH($A71,'Disagg.1A_import-export'!$B$7:$B$13,0))="","",INDEX('Disagg.1A_import-export'!K$7:K$13,MATCH($A71,'Disagg.1A_import-export'!$B$7:$B$13,0))),""))</f>
        <v/>
      </c>
      <c r="G71" s="1028" t="str">
        <f>IF(B71="","",IFERROR(IF(INDEX('Disagg.1A_import-export'!L$7:L$13,MATCH($A71,'Disagg.1A_import-export'!$B$7:$B$13,0))="","",INDEX('Disagg.1A_import-export'!L$7:L$13,MATCH($A71,'Disagg.1A_import-export'!$B$7:$B$13,0))),""))</f>
        <v/>
      </c>
      <c r="H71" s="1028" t="str">
        <f>IF(B71="","",IFERROR(IF(INDEX('Disagg.1A_import-export'!M$7:M$13,MATCH($A71,'Disagg.1A_import-export'!$B$7:$B$13,0))="","",INDEX('Disagg.1A_import-export'!M$7:M$13,MATCH($A71,'Disagg.1A_import-export'!$B$7:$B$13,0))),""))</f>
        <v/>
      </c>
      <c r="I71" s="1028" t="str">
        <f>IF(B71="","",IFERROR(IF(INDEX('Disagg.1A_import-export'!N$7:N$13,MATCH($A71,'Disagg.1A_import-export'!$B$7:$B$13,0))="","",INDEX('Disagg.1A_import-export'!N$7:N$13,MATCH($A71,'Disagg.1A_import-export'!$B$7:$B$13,0))),""))</f>
        <v/>
      </c>
      <c r="J71" s="1028" t="str">
        <f>IF(B71="","",IFERROR(IF(INDEX('Disagg.1A_import-export'!AC$7:AC$13,MATCH($A71,'Disagg.1A_import-export'!$B$7:$B$13,0))="","",INDEX('Disagg.1A_import-export'!AC$7:AC$13,MATCH($A71,'Disagg.1A_import-export'!$B$7:$B$13,0))),""))</f>
        <v/>
      </c>
      <c r="K71" s="1064"/>
      <c r="L71" s="1065"/>
      <c r="M71" s="1065"/>
      <c r="N71" s="1066"/>
      <c r="O71" s="1067"/>
      <c r="P71" s="1065"/>
      <c r="Q71" s="1065"/>
      <c r="R71" s="1066"/>
      <c r="S71" s="1067"/>
      <c r="T71" s="1065"/>
      <c r="U71" s="1068"/>
      <c r="V71" s="1070"/>
    </row>
    <row r="72" spans="1:22" ht="15.75" thickBot="1" x14ac:dyDescent="0.25">
      <c r="A72" s="648" t="str">
        <f>IFERROR(IF(INDEX(ImpactDisaglist,MATCH(0,INDEX(COUNTIF(A$10:A71,ImpactDisaglist),0,0),0))&lt;&gt;"",INDEX(ImpactDisaglist,MATCH(0,INDEX(COUNTIF(A$10:A71,ImpactDisaglist),0,0),0)),INDEX(OutcomeDisaglist,MATCH(0,INDEX(COUNTIF(A$10:A71,OutcomeDisaglist),0,0),0))),"")</f>
        <v/>
      </c>
      <c r="B72" s="1027" t="str">
        <f>IFERROR(INDEX('Disagg.1A_import-export'!D$7:D$200,MATCH($A72,'Disagg.1A_import-export'!$B$7:$B$200,0)),"")</f>
        <v/>
      </c>
      <c r="C72" s="1028" t="str">
        <f>IF(B72="","",IFERROR(INDEX('Disagg.1A_import-export'!E$7:E$13,MATCH($A72,'Disagg.1A_import-export'!$B$7:$B$13,0)),""))</f>
        <v/>
      </c>
      <c r="D72" s="1028" t="str">
        <f>IF(B72="","",IFERROR(IF(INDEX('Disagg.1A_import-export'!I$7:I$13,MATCH($A72,'Disagg.1A_import-export'!$B$7:$B$13,0))="","",INDEX('Disagg.1A_import-export'!I$7:I$13,MATCH($A72,'Disagg.1A_import-export'!$B$7:$B$13,0))),""))</f>
        <v/>
      </c>
      <c r="E72" s="1028" t="str">
        <f>IF(B72="","",IFERROR(IF(INDEX('Disagg.1A_import-export'!J$7:J$13,MATCH($A72,'Disagg.1A_import-export'!$B$7:$B$13,0))="","",INDEX('Disagg.1A_import-export'!J$7:J$13,MATCH($A72,'Disagg.1A_import-export'!$B$7:$B$13,0))),""))</f>
        <v/>
      </c>
      <c r="F72" s="1028" t="str">
        <f>IF(B72="","",IFERROR(IF(INDEX('Disagg.1A_import-export'!K$7:K$13,MATCH($A72,'Disagg.1A_import-export'!$B$7:$B$13,0))="","",INDEX('Disagg.1A_import-export'!K$7:K$13,MATCH($A72,'Disagg.1A_import-export'!$B$7:$B$13,0))),""))</f>
        <v/>
      </c>
      <c r="G72" s="1028" t="str">
        <f>IF(B72="","",IFERROR(IF(INDEX('Disagg.1A_import-export'!L$7:L$13,MATCH($A72,'Disagg.1A_import-export'!$B$7:$B$13,0))="","",INDEX('Disagg.1A_import-export'!L$7:L$13,MATCH($A72,'Disagg.1A_import-export'!$B$7:$B$13,0))),""))</f>
        <v/>
      </c>
      <c r="H72" s="1028" t="str">
        <f>IF(B72="","",IFERROR(IF(INDEX('Disagg.1A_import-export'!M$7:M$13,MATCH($A72,'Disagg.1A_import-export'!$B$7:$B$13,0))="","",INDEX('Disagg.1A_import-export'!M$7:M$13,MATCH($A72,'Disagg.1A_import-export'!$B$7:$B$13,0))),""))</f>
        <v/>
      </c>
      <c r="I72" s="1028" t="str">
        <f>IF(B72="","",IFERROR(IF(INDEX('Disagg.1A_import-export'!N$7:N$13,MATCH($A72,'Disagg.1A_import-export'!$B$7:$B$13,0))="","",INDEX('Disagg.1A_import-export'!N$7:N$13,MATCH($A72,'Disagg.1A_import-export'!$B$7:$B$13,0))),""))</f>
        <v/>
      </c>
      <c r="J72" s="1028" t="str">
        <f>IF(B72="","",IFERROR(IF(INDEX('Disagg.1A_import-export'!AC$7:AC$13,MATCH($A72,'Disagg.1A_import-export'!$B$7:$B$13,0))="","",INDEX('Disagg.1A_import-export'!AC$7:AC$13,MATCH($A72,'Disagg.1A_import-export'!$B$7:$B$13,0))),""))</f>
        <v/>
      </c>
      <c r="K72" s="1064"/>
      <c r="L72" s="1065"/>
      <c r="M72" s="1065"/>
      <c r="N72" s="1066"/>
      <c r="O72" s="1067"/>
      <c r="P72" s="1065"/>
      <c r="Q72" s="1065"/>
      <c r="R72" s="1066"/>
      <c r="S72" s="1067"/>
      <c r="T72" s="1065"/>
      <c r="U72" s="1068"/>
      <c r="V72" s="1070"/>
    </row>
    <row r="73" spans="1:22" ht="15.75" thickBot="1" x14ac:dyDescent="0.25">
      <c r="A73" s="648" t="str">
        <f>IFERROR(IF(INDEX(ImpactDisaglist,MATCH(0,INDEX(COUNTIF(A$10:A72,ImpactDisaglist),0,0),0))&lt;&gt;"",INDEX(ImpactDisaglist,MATCH(0,INDEX(COUNTIF(A$10:A72,ImpactDisaglist),0,0),0)),INDEX(OutcomeDisaglist,MATCH(0,INDEX(COUNTIF(A$10:A72,OutcomeDisaglist),0,0),0))),"")</f>
        <v/>
      </c>
      <c r="B73" s="1027" t="str">
        <f>IFERROR(INDEX('Disagg.1A_import-export'!D$7:D$200,MATCH($A73,'Disagg.1A_import-export'!$B$7:$B$200,0)),"")</f>
        <v/>
      </c>
      <c r="C73" s="1028" t="str">
        <f>IF(B73="","",IFERROR(INDEX('Disagg.1A_import-export'!E$7:E$13,MATCH($A73,'Disagg.1A_import-export'!$B$7:$B$13,0)),""))</f>
        <v/>
      </c>
      <c r="D73" s="1028" t="str">
        <f>IF(B73="","",IFERROR(IF(INDEX('Disagg.1A_import-export'!I$7:I$13,MATCH($A73,'Disagg.1A_import-export'!$B$7:$B$13,0))="","",INDEX('Disagg.1A_import-export'!I$7:I$13,MATCH($A73,'Disagg.1A_import-export'!$B$7:$B$13,0))),""))</f>
        <v/>
      </c>
      <c r="E73" s="1028" t="str">
        <f>IF(B73="","",IFERROR(IF(INDEX('Disagg.1A_import-export'!J$7:J$13,MATCH($A73,'Disagg.1A_import-export'!$B$7:$B$13,0))="","",INDEX('Disagg.1A_import-export'!J$7:J$13,MATCH($A73,'Disagg.1A_import-export'!$B$7:$B$13,0))),""))</f>
        <v/>
      </c>
      <c r="F73" s="1028" t="str">
        <f>IF(B73="","",IFERROR(IF(INDEX('Disagg.1A_import-export'!K$7:K$13,MATCH($A73,'Disagg.1A_import-export'!$B$7:$B$13,0))="","",INDEX('Disagg.1A_import-export'!K$7:K$13,MATCH($A73,'Disagg.1A_import-export'!$B$7:$B$13,0))),""))</f>
        <v/>
      </c>
      <c r="G73" s="1028" t="str">
        <f>IF(B73="","",IFERROR(IF(INDEX('Disagg.1A_import-export'!L$7:L$13,MATCH($A73,'Disagg.1A_import-export'!$B$7:$B$13,0))="","",INDEX('Disagg.1A_import-export'!L$7:L$13,MATCH($A73,'Disagg.1A_import-export'!$B$7:$B$13,0))),""))</f>
        <v/>
      </c>
      <c r="H73" s="1028" t="str">
        <f>IF(B73="","",IFERROR(IF(INDEX('Disagg.1A_import-export'!M$7:M$13,MATCH($A73,'Disagg.1A_import-export'!$B$7:$B$13,0))="","",INDEX('Disagg.1A_import-export'!M$7:M$13,MATCH($A73,'Disagg.1A_import-export'!$B$7:$B$13,0))),""))</f>
        <v/>
      </c>
      <c r="I73" s="1028" t="str">
        <f>IF(B73="","",IFERROR(IF(INDEX('Disagg.1A_import-export'!N$7:N$13,MATCH($A73,'Disagg.1A_import-export'!$B$7:$B$13,0))="","",INDEX('Disagg.1A_import-export'!N$7:N$13,MATCH($A73,'Disagg.1A_import-export'!$B$7:$B$13,0))),""))</f>
        <v/>
      </c>
      <c r="J73" s="1028" t="str">
        <f>IF(B73="","",IFERROR(IF(INDEX('Disagg.1A_import-export'!AC$7:AC$13,MATCH($A73,'Disagg.1A_import-export'!$B$7:$B$13,0))="","",INDEX('Disagg.1A_import-export'!AC$7:AC$13,MATCH($A73,'Disagg.1A_import-export'!$B$7:$B$13,0))),""))</f>
        <v/>
      </c>
      <c r="K73" s="1064"/>
      <c r="L73" s="1065"/>
      <c r="M73" s="1065"/>
      <c r="N73" s="1066"/>
      <c r="O73" s="1067"/>
      <c r="P73" s="1065"/>
      <c r="Q73" s="1065"/>
      <c r="R73" s="1066"/>
      <c r="S73" s="1067"/>
      <c r="T73" s="1065"/>
      <c r="U73" s="1068"/>
      <c r="V73" s="1070"/>
    </row>
    <row r="74" spans="1:22" ht="15.75" thickBot="1" x14ac:dyDescent="0.25">
      <c r="A74" s="648" t="str">
        <f>IFERROR(IF(INDEX(ImpactDisaglist,MATCH(0,INDEX(COUNTIF(A$10:A73,ImpactDisaglist),0,0),0))&lt;&gt;"",INDEX(ImpactDisaglist,MATCH(0,INDEX(COUNTIF(A$10:A73,ImpactDisaglist),0,0),0)),INDEX(OutcomeDisaglist,MATCH(0,INDEX(COUNTIF(A$10:A73,OutcomeDisaglist),0,0),0))),"")</f>
        <v/>
      </c>
      <c r="B74" s="1027" t="str">
        <f>IFERROR(INDEX('Disagg.1A_import-export'!D$7:D$200,MATCH($A74,'Disagg.1A_import-export'!$B$7:$B$200,0)),"")</f>
        <v/>
      </c>
      <c r="C74" s="1028" t="str">
        <f>IF(B74="","",IFERROR(INDEX('Disagg.1A_import-export'!E$7:E$13,MATCH($A74,'Disagg.1A_import-export'!$B$7:$B$13,0)),""))</f>
        <v/>
      </c>
      <c r="D74" s="1028" t="str">
        <f>IF(B74="","",IFERROR(IF(INDEX('Disagg.1A_import-export'!I$7:I$13,MATCH($A74,'Disagg.1A_import-export'!$B$7:$B$13,0))="","",INDEX('Disagg.1A_import-export'!I$7:I$13,MATCH($A74,'Disagg.1A_import-export'!$B$7:$B$13,0))),""))</f>
        <v/>
      </c>
      <c r="E74" s="1028" t="str">
        <f>IF(B74="","",IFERROR(IF(INDEX('Disagg.1A_import-export'!J$7:J$13,MATCH($A74,'Disagg.1A_import-export'!$B$7:$B$13,0))="","",INDEX('Disagg.1A_import-export'!J$7:J$13,MATCH($A74,'Disagg.1A_import-export'!$B$7:$B$13,0))),""))</f>
        <v/>
      </c>
      <c r="F74" s="1028" t="str">
        <f>IF(B74="","",IFERROR(IF(INDEX('Disagg.1A_import-export'!K$7:K$13,MATCH($A74,'Disagg.1A_import-export'!$B$7:$B$13,0))="","",INDEX('Disagg.1A_import-export'!K$7:K$13,MATCH($A74,'Disagg.1A_import-export'!$B$7:$B$13,0))),""))</f>
        <v/>
      </c>
      <c r="G74" s="1028" t="str">
        <f>IF(B74="","",IFERROR(IF(INDEX('Disagg.1A_import-export'!L$7:L$13,MATCH($A74,'Disagg.1A_import-export'!$B$7:$B$13,0))="","",INDEX('Disagg.1A_import-export'!L$7:L$13,MATCH($A74,'Disagg.1A_import-export'!$B$7:$B$13,0))),""))</f>
        <v/>
      </c>
      <c r="H74" s="1028" t="str">
        <f>IF(B74="","",IFERROR(IF(INDEX('Disagg.1A_import-export'!M$7:M$13,MATCH($A74,'Disagg.1A_import-export'!$B$7:$B$13,0))="","",INDEX('Disagg.1A_import-export'!M$7:M$13,MATCH($A74,'Disagg.1A_import-export'!$B$7:$B$13,0))),""))</f>
        <v/>
      </c>
      <c r="I74" s="1028" t="str">
        <f>IF(B74="","",IFERROR(IF(INDEX('Disagg.1A_import-export'!N$7:N$13,MATCH($A74,'Disagg.1A_import-export'!$B$7:$B$13,0))="","",INDEX('Disagg.1A_import-export'!N$7:N$13,MATCH($A74,'Disagg.1A_import-export'!$B$7:$B$13,0))),""))</f>
        <v/>
      </c>
      <c r="J74" s="1028" t="str">
        <f>IF(B74="","",IFERROR(IF(INDEX('Disagg.1A_import-export'!AC$7:AC$13,MATCH($A74,'Disagg.1A_import-export'!$B$7:$B$13,0))="","",INDEX('Disagg.1A_import-export'!AC$7:AC$13,MATCH($A74,'Disagg.1A_import-export'!$B$7:$B$13,0))),""))</f>
        <v/>
      </c>
      <c r="K74" s="1064"/>
      <c r="L74" s="1065"/>
      <c r="M74" s="1065"/>
      <c r="N74" s="1066"/>
      <c r="O74" s="1067"/>
      <c r="P74" s="1065"/>
      <c r="Q74" s="1065"/>
      <c r="R74" s="1066"/>
      <c r="S74" s="1067"/>
      <c r="T74" s="1065"/>
      <c r="U74" s="1068"/>
      <c r="V74" s="1070"/>
    </row>
    <row r="75" spans="1:22" ht="15.75" thickBot="1" x14ac:dyDescent="0.25">
      <c r="A75" s="648" t="str">
        <f>IFERROR(IF(INDEX(ImpactDisaglist,MATCH(0,INDEX(COUNTIF(A$10:A74,ImpactDisaglist),0,0),0))&lt;&gt;"",INDEX(ImpactDisaglist,MATCH(0,INDEX(COUNTIF(A$10:A74,ImpactDisaglist),0,0),0)),INDEX(OutcomeDisaglist,MATCH(0,INDEX(COUNTIF(A$10:A74,OutcomeDisaglist),0,0),0))),"")</f>
        <v/>
      </c>
      <c r="B75" s="1027" t="str">
        <f>IFERROR(INDEX('Disagg.1A_import-export'!D$7:D$200,MATCH($A75,'Disagg.1A_import-export'!$B$7:$B$200,0)),"")</f>
        <v/>
      </c>
      <c r="C75" s="1028" t="str">
        <f>IF(B75="","",IFERROR(INDEX('Disagg.1A_import-export'!E$7:E$13,MATCH($A75,'Disagg.1A_import-export'!$B$7:$B$13,0)),""))</f>
        <v/>
      </c>
      <c r="D75" s="1028" t="str">
        <f>IF(B75="","",IFERROR(IF(INDEX('Disagg.1A_import-export'!I$7:I$13,MATCH($A75,'Disagg.1A_import-export'!$B$7:$B$13,0))="","",INDEX('Disagg.1A_import-export'!I$7:I$13,MATCH($A75,'Disagg.1A_import-export'!$B$7:$B$13,0))),""))</f>
        <v/>
      </c>
      <c r="E75" s="1028" t="str">
        <f>IF(B75="","",IFERROR(IF(INDEX('Disagg.1A_import-export'!J$7:J$13,MATCH($A75,'Disagg.1A_import-export'!$B$7:$B$13,0))="","",INDEX('Disagg.1A_import-export'!J$7:J$13,MATCH($A75,'Disagg.1A_import-export'!$B$7:$B$13,0))),""))</f>
        <v/>
      </c>
      <c r="F75" s="1028" t="str">
        <f>IF(B75="","",IFERROR(IF(INDEX('Disagg.1A_import-export'!K$7:K$13,MATCH($A75,'Disagg.1A_import-export'!$B$7:$B$13,0))="","",INDEX('Disagg.1A_import-export'!K$7:K$13,MATCH($A75,'Disagg.1A_import-export'!$B$7:$B$13,0))),""))</f>
        <v/>
      </c>
      <c r="G75" s="1028" t="str">
        <f>IF(B75="","",IFERROR(IF(INDEX('Disagg.1A_import-export'!L$7:L$13,MATCH($A75,'Disagg.1A_import-export'!$B$7:$B$13,0))="","",INDEX('Disagg.1A_import-export'!L$7:L$13,MATCH($A75,'Disagg.1A_import-export'!$B$7:$B$13,0))),""))</f>
        <v/>
      </c>
      <c r="H75" s="1028" t="str">
        <f>IF(B75="","",IFERROR(IF(INDEX('Disagg.1A_import-export'!M$7:M$13,MATCH($A75,'Disagg.1A_import-export'!$B$7:$B$13,0))="","",INDEX('Disagg.1A_import-export'!M$7:M$13,MATCH($A75,'Disagg.1A_import-export'!$B$7:$B$13,0))),""))</f>
        <v/>
      </c>
      <c r="I75" s="1028" t="str">
        <f>IF(B75="","",IFERROR(IF(INDEX('Disagg.1A_import-export'!N$7:N$13,MATCH($A75,'Disagg.1A_import-export'!$B$7:$B$13,0))="","",INDEX('Disagg.1A_import-export'!N$7:N$13,MATCH($A75,'Disagg.1A_import-export'!$B$7:$B$13,0))),""))</f>
        <v/>
      </c>
      <c r="J75" s="1028" t="str">
        <f>IF(B75="","",IFERROR(IF(INDEX('Disagg.1A_import-export'!AC$7:AC$13,MATCH($A75,'Disagg.1A_import-export'!$B$7:$B$13,0))="","",INDEX('Disagg.1A_import-export'!AC$7:AC$13,MATCH($A75,'Disagg.1A_import-export'!$B$7:$B$13,0))),""))</f>
        <v/>
      </c>
      <c r="K75" s="1064"/>
      <c r="L75" s="1065"/>
      <c r="M75" s="1065"/>
      <c r="N75" s="1066"/>
      <c r="O75" s="1067"/>
      <c r="P75" s="1065"/>
      <c r="Q75" s="1065"/>
      <c r="R75" s="1066"/>
      <c r="S75" s="1067"/>
      <c r="T75" s="1065"/>
      <c r="U75" s="1068"/>
      <c r="V75" s="1070"/>
    </row>
    <row r="76" spans="1:22" ht="15.75" thickBot="1" x14ac:dyDescent="0.25">
      <c r="A76" s="648" t="str">
        <f>IFERROR(IF(INDEX(ImpactDisaglist,MATCH(0,INDEX(COUNTIF(A$10:A75,ImpactDisaglist),0,0),0))&lt;&gt;"",INDEX(ImpactDisaglist,MATCH(0,INDEX(COUNTIF(A$10:A75,ImpactDisaglist),0,0),0)),INDEX(OutcomeDisaglist,MATCH(0,INDEX(COUNTIF(A$10:A75,OutcomeDisaglist),0,0),0))),"")</f>
        <v/>
      </c>
      <c r="B76" s="1027" t="str">
        <f>IFERROR(INDEX('Disagg.1A_import-export'!D$7:D$200,MATCH($A76,'Disagg.1A_import-export'!$B$7:$B$200,0)),"")</f>
        <v/>
      </c>
      <c r="C76" s="1028" t="str">
        <f>IF(B76="","",IFERROR(INDEX('Disagg.1A_import-export'!E$7:E$13,MATCH($A76,'Disagg.1A_import-export'!$B$7:$B$13,0)),""))</f>
        <v/>
      </c>
      <c r="D76" s="1028" t="str">
        <f>IF(B76="","",IFERROR(IF(INDEX('Disagg.1A_import-export'!I$7:I$13,MATCH($A76,'Disagg.1A_import-export'!$B$7:$B$13,0))="","",INDEX('Disagg.1A_import-export'!I$7:I$13,MATCH($A76,'Disagg.1A_import-export'!$B$7:$B$13,0))),""))</f>
        <v/>
      </c>
      <c r="E76" s="1028" t="str">
        <f>IF(B76="","",IFERROR(IF(INDEX('Disagg.1A_import-export'!J$7:J$13,MATCH($A76,'Disagg.1A_import-export'!$B$7:$B$13,0))="","",INDEX('Disagg.1A_import-export'!J$7:J$13,MATCH($A76,'Disagg.1A_import-export'!$B$7:$B$13,0))),""))</f>
        <v/>
      </c>
      <c r="F76" s="1028" t="str">
        <f>IF(B76="","",IFERROR(IF(INDEX('Disagg.1A_import-export'!K$7:K$13,MATCH($A76,'Disagg.1A_import-export'!$B$7:$B$13,0))="","",INDEX('Disagg.1A_import-export'!K$7:K$13,MATCH($A76,'Disagg.1A_import-export'!$B$7:$B$13,0))),""))</f>
        <v/>
      </c>
      <c r="G76" s="1028" t="str">
        <f>IF(B76="","",IFERROR(IF(INDEX('Disagg.1A_import-export'!L$7:L$13,MATCH($A76,'Disagg.1A_import-export'!$B$7:$B$13,0))="","",INDEX('Disagg.1A_import-export'!L$7:L$13,MATCH($A76,'Disagg.1A_import-export'!$B$7:$B$13,0))),""))</f>
        <v/>
      </c>
      <c r="H76" s="1028" t="str">
        <f>IF(B76="","",IFERROR(IF(INDEX('Disagg.1A_import-export'!M$7:M$13,MATCH($A76,'Disagg.1A_import-export'!$B$7:$B$13,0))="","",INDEX('Disagg.1A_import-export'!M$7:M$13,MATCH($A76,'Disagg.1A_import-export'!$B$7:$B$13,0))),""))</f>
        <v/>
      </c>
      <c r="I76" s="1028" t="str">
        <f>IF(B76="","",IFERROR(IF(INDEX('Disagg.1A_import-export'!N$7:N$13,MATCH($A76,'Disagg.1A_import-export'!$B$7:$B$13,0))="","",INDEX('Disagg.1A_import-export'!N$7:N$13,MATCH($A76,'Disagg.1A_import-export'!$B$7:$B$13,0))),""))</f>
        <v/>
      </c>
      <c r="J76" s="1028" t="str">
        <f>IF(B76="","",IFERROR(IF(INDEX('Disagg.1A_import-export'!AC$7:AC$13,MATCH($A76,'Disagg.1A_import-export'!$B$7:$B$13,0))="","",INDEX('Disagg.1A_import-export'!AC$7:AC$13,MATCH($A76,'Disagg.1A_import-export'!$B$7:$B$13,0))),""))</f>
        <v/>
      </c>
      <c r="K76" s="1064"/>
      <c r="L76" s="1065"/>
      <c r="M76" s="1065"/>
      <c r="N76" s="1066"/>
      <c r="O76" s="1067"/>
      <c r="P76" s="1065"/>
      <c r="Q76" s="1065"/>
      <c r="R76" s="1066"/>
      <c r="S76" s="1067"/>
      <c r="T76" s="1065"/>
      <c r="U76" s="1068"/>
      <c r="V76" s="1070"/>
    </row>
    <row r="77" spans="1:22" ht="15.75" thickBot="1" x14ac:dyDescent="0.25">
      <c r="A77" s="648" t="str">
        <f>IFERROR(IF(INDEX(ImpactDisaglist,MATCH(0,INDEX(COUNTIF(A$10:A76,ImpactDisaglist),0,0),0))&lt;&gt;"",INDEX(ImpactDisaglist,MATCH(0,INDEX(COUNTIF(A$10:A76,ImpactDisaglist),0,0),0)),INDEX(OutcomeDisaglist,MATCH(0,INDEX(COUNTIF(A$10:A76,OutcomeDisaglist),0,0),0))),"")</f>
        <v/>
      </c>
      <c r="B77" s="1027" t="str">
        <f>IFERROR(INDEX('Disagg.1A_import-export'!D$7:D$200,MATCH($A77,'Disagg.1A_import-export'!$B$7:$B$200,0)),"")</f>
        <v/>
      </c>
      <c r="C77" s="1028" t="str">
        <f>IF(B77="","",IFERROR(INDEX('Disagg.1A_import-export'!E$7:E$13,MATCH($A77,'Disagg.1A_import-export'!$B$7:$B$13,0)),""))</f>
        <v/>
      </c>
      <c r="D77" s="1028" t="str">
        <f>IF(B77="","",IFERROR(IF(INDEX('Disagg.1A_import-export'!I$7:I$13,MATCH($A77,'Disagg.1A_import-export'!$B$7:$B$13,0))="","",INDEX('Disagg.1A_import-export'!I$7:I$13,MATCH($A77,'Disagg.1A_import-export'!$B$7:$B$13,0))),""))</f>
        <v/>
      </c>
      <c r="E77" s="1028" t="str">
        <f>IF(B77="","",IFERROR(IF(INDEX('Disagg.1A_import-export'!J$7:J$13,MATCH($A77,'Disagg.1A_import-export'!$B$7:$B$13,0))="","",INDEX('Disagg.1A_import-export'!J$7:J$13,MATCH($A77,'Disagg.1A_import-export'!$B$7:$B$13,0))),""))</f>
        <v/>
      </c>
      <c r="F77" s="1028" t="str">
        <f>IF(B77="","",IFERROR(IF(INDEX('Disagg.1A_import-export'!K$7:K$13,MATCH($A77,'Disagg.1A_import-export'!$B$7:$B$13,0))="","",INDEX('Disagg.1A_import-export'!K$7:K$13,MATCH($A77,'Disagg.1A_import-export'!$B$7:$B$13,0))),""))</f>
        <v/>
      </c>
      <c r="G77" s="1028" t="str">
        <f>IF(B77="","",IFERROR(IF(INDEX('Disagg.1A_import-export'!L$7:L$13,MATCH($A77,'Disagg.1A_import-export'!$B$7:$B$13,0))="","",INDEX('Disagg.1A_import-export'!L$7:L$13,MATCH($A77,'Disagg.1A_import-export'!$B$7:$B$13,0))),""))</f>
        <v/>
      </c>
      <c r="H77" s="1028" t="str">
        <f>IF(B77="","",IFERROR(IF(INDEX('Disagg.1A_import-export'!M$7:M$13,MATCH($A77,'Disagg.1A_import-export'!$B$7:$B$13,0))="","",INDEX('Disagg.1A_import-export'!M$7:M$13,MATCH($A77,'Disagg.1A_import-export'!$B$7:$B$13,0))),""))</f>
        <v/>
      </c>
      <c r="I77" s="1028" t="str">
        <f>IF(B77="","",IFERROR(IF(INDEX('Disagg.1A_import-export'!N$7:N$13,MATCH($A77,'Disagg.1A_import-export'!$B$7:$B$13,0))="","",INDEX('Disagg.1A_import-export'!N$7:N$13,MATCH($A77,'Disagg.1A_import-export'!$B$7:$B$13,0))),""))</f>
        <v/>
      </c>
      <c r="J77" s="1028" t="str">
        <f>IF(B77="","",IFERROR(IF(INDEX('Disagg.1A_import-export'!AC$7:AC$13,MATCH($A77,'Disagg.1A_import-export'!$B$7:$B$13,0))="","",INDEX('Disagg.1A_import-export'!AC$7:AC$13,MATCH($A77,'Disagg.1A_import-export'!$B$7:$B$13,0))),""))</f>
        <v/>
      </c>
      <c r="K77" s="1064"/>
      <c r="L77" s="1065"/>
      <c r="M77" s="1065"/>
      <c r="N77" s="1066"/>
      <c r="O77" s="1067"/>
      <c r="P77" s="1065"/>
      <c r="Q77" s="1065"/>
      <c r="R77" s="1066"/>
      <c r="S77" s="1067"/>
      <c r="T77" s="1065"/>
      <c r="U77" s="1068"/>
      <c r="V77" s="1070"/>
    </row>
    <row r="78" spans="1:22" ht="15.75" thickBot="1" x14ac:dyDescent="0.25">
      <c r="A78" s="648" t="str">
        <f>IFERROR(IF(INDEX(ImpactDisaglist,MATCH(0,INDEX(COUNTIF(A$10:A77,ImpactDisaglist),0,0),0))&lt;&gt;"",INDEX(ImpactDisaglist,MATCH(0,INDEX(COUNTIF(A$10:A77,ImpactDisaglist),0,0),0)),INDEX(OutcomeDisaglist,MATCH(0,INDEX(COUNTIF(A$10:A77,OutcomeDisaglist),0,0),0))),"")</f>
        <v/>
      </c>
      <c r="B78" s="1027" t="str">
        <f>IFERROR(INDEX('Disagg.1A_import-export'!D$7:D$200,MATCH($A78,'Disagg.1A_import-export'!$B$7:$B$200,0)),"")</f>
        <v/>
      </c>
      <c r="C78" s="1028" t="str">
        <f>IF(B78="","",IFERROR(INDEX('Disagg.1A_import-export'!E$7:E$13,MATCH($A78,'Disagg.1A_import-export'!$B$7:$B$13,0)),""))</f>
        <v/>
      </c>
      <c r="D78" s="1028" t="str">
        <f>IF(B78="","",IFERROR(IF(INDEX('Disagg.1A_import-export'!I$7:I$13,MATCH($A78,'Disagg.1A_import-export'!$B$7:$B$13,0))="","",INDEX('Disagg.1A_import-export'!I$7:I$13,MATCH($A78,'Disagg.1A_import-export'!$B$7:$B$13,0))),""))</f>
        <v/>
      </c>
      <c r="E78" s="1028" t="str">
        <f>IF(B78="","",IFERROR(IF(INDEX('Disagg.1A_import-export'!J$7:J$13,MATCH($A78,'Disagg.1A_import-export'!$B$7:$B$13,0))="","",INDEX('Disagg.1A_import-export'!J$7:J$13,MATCH($A78,'Disagg.1A_import-export'!$B$7:$B$13,0))),""))</f>
        <v/>
      </c>
      <c r="F78" s="1028" t="str">
        <f>IF(B78="","",IFERROR(IF(INDEX('Disagg.1A_import-export'!K$7:K$13,MATCH($A78,'Disagg.1A_import-export'!$B$7:$B$13,0))="","",INDEX('Disagg.1A_import-export'!K$7:K$13,MATCH($A78,'Disagg.1A_import-export'!$B$7:$B$13,0))),""))</f>
        <v/>
      </c>
      <c r="G78" s="1028" t="str">
        <f>IF(B78="","",IFERROR(IF(INDEX('Disagg.1A_import-export'!L$7:L$13,MATCH($A78,'Disagg.1A_import-export'!$B$7:$B$13,0))="","",INDEX('Disagg.1A_import-export'!L$7:L$13,MATCH($A78,'Disagg.1A_import-export'!$B$7:$B$13,0))),""))</f>
        <v/>
      </c>
      <c r="H78" s="1028" t="str">
        <f>IF(B78="","",IFERROR(IF(INDEX('Disagg.1A_import-export'!M$7:M$13,MATCH($A78,'Disagg.1A_import-export'!$B$7:$B$13,0))="","",INDEX('Disagg.1A_import-export'!M$7:M$13,MATCH($A78,'Disagg.1A_import-export'!$B$7:$B$13,0))),""))</f>
        <v/>
      </c>
      <c r="I78" s="1028" t="str">
        <f>IF(B78="","",IFERROR(IF(INDEX('Disagg.1A_import-export'!N$7:N$13,MATCH($A78,'Disagg.1A_import-export'!$B$7:$B$13,0))="","",INDEX('Disagg.1A_import-export'!N$7:N$13,MATCH($A78,'Disagg.1A_import-export'!$B$7:$B$13,0))),""))</f>
        <v/>
      </c>
      <c r="J78" s="1028" t="str">
        <f>IF(B78="","",IFERROR(IF(INDEX('Disagg.1A_import-export'!AC$7:AC$13,MATCH($A78,'Disagg.1A_import-export'!$B$7:$B$13,0))="","",INDEX('Disagg.1A_import-export'!AC$7:AC$13,MATCH($A78,'Disagg.1A_import-export'!$B$7:$B$13,0))),""))</f>
        <v/>
      </c>
      <c r="K78" s="1064"/>
      <c r="L78" s="1065"/>
      <c r="M78" s="1065"/>
      <c r="N78" s="1066"/>
      <c r="O78" s="1067"/>
      <c r="P78" s="1065"/>
      <c r="Q78" s="1065"/>
      <c r="R78" s="1066"/>
      <c r="S78" s="1067"/>
      <c r="T78" s="1065"/>
      <c r="U78" s="1068"/>
      <c r="V78" s="1070"/>
    </row>
    <row r="79" spans="1:22" ht="15.75" thickBot="1" x14ac:dyDescent="0.25">
      <c r="A79" s="648" t="str">
        <f>IFERROR(IF(INDEX(ImpactDisaglist,MATCH(0,INDEX(COUNTIF(A$10:A78,ImpactDisaglist),0,0),0))&lt;&gt;"",INDEX(ImpactDisaglist,MATCH(0,INDEX(COUNTIF(A$10:A78,ImpactDisaglist),0,0),0)),INDEX(OutcomeDisaglist,MATCH(0,INDEX(COUNTIF(A$10:A78,OutcomeDisaglist),0,0),0))),"")</f>
        <v/>
      </c>
      <c r="B79" s="1027" t="str">
        <f>IFERROR(INDEX('Disagg.1A_import-export'!D$7:D$200,MATCH($A79,'Disagg.1A_import-export'!$B$7:$B$200,0)),"")</f>
        <v/>
      </c>
      <c r="C79" s="1028" t="str">
        <f>IF(B79="","",IFERROR(INDEX('Disagg.1A_import-export'!E$7:E$13,MATCH($A79,'Disagg.1A_import-export'!$B$7:$B$13,0)),""))</f>
        <v/>
      </c>
      <c r="D79" s="1028" t="str">
        <f>IF(B79="","",IFERROR(IF(INDEX('Disagg.1A_import-export'!I$7:I$13,MATCH($A79,'Disagg.1A_import-export'!$B$7:$B$13,0))="","",INDEX('Disagg.1A_import-export'!I$7:I$13,MATCH($A79,'Disagg.1A_import-export'!$B$7:$B$13,0))),""))</f>
        <v/>
      </c>
      <c r="E79" s="1028" t="str">
        <f>IF(B79="","",IFERROR(IF(INDEX('Disagg.1A_import-export'!J$7:J$13,MATCH($A79,'Disagg.1A_import-export'!$B$7:$B$13,0))="","",INDEX('Disagg.1A_import-export'!J$7:J$13,MATCH($A79,'Disagg.1A_import-export'!$B$7:$B$13,0))),""))</f>
        <v/>
      </c>
      <c r="F79" s="1028" t="str">
        <f>IF(B79="","",IFERROR(IF(INDEX('Disagg.1A_import-export'!K$7:K$13,MATCH($A79,'Disagg.1A_import-export'!$B$7:$B$13,0))="","",INDEX('Disagg.1A_import-export'!K$7:K$13,MATCH($A79,'Disagg.1A_import-export'!$B$7:$B$13,0))),""))</f>
        <v/>
      </c>
      <c r="G79" s="1028" t="str">
        <f>IF(B79="","",IFERROR(IF(INDEX('Disagg.1A_import-export'!L$7:L$13,MATCH($A79,'Disagg.1A_import-export'!$B$7:$B$13,0))="","",INDEX('Disagg.1A_import-export'!L$7:L$13,MATCH($A79,'Disagg.1A_import-export'!$B$7:$B$13,0))),""))</f>
        <v/>
      </c>
      <c r="H79" s="1028" t="str">
        <f>IF(B79="","",IFERROR(IF(INDEX('Disagg.1A_import-export'!M$7:M$13,MATCH($A79,'Disagg.1A_import-export'!$B$7:$B$13,0))="","",INDEX('Disagg.1A_import-export'!M$7:M$13,MATCH($A79,'Disagg.1A_import-export'!$B$7:$B$13,0))),""))</f>
        <v/>
      </c>
      <c r="I79" s="1028" t="str">
        <f>IF(B79="","",IFERROR(IF(INDEX('Disagg.1A_import-export'!N$7:N$13,MATCH($A79,'Disagg.1A_import-export'!$B$7:$B$13,0))="","",INDEX('Disagg.1A_import-export'!N$7:N$13,MATCH($A79,'Disagg.1A_import-export'!$B$7:$B$13,0))),""))</f>
        <v/>
      </c>
      <c r="J79" s="1028" t="str">
        <f>IF(B79="","",IFERROR(IF(INDEX('Disagg.1A_import-export'!AC$7:AC$13,MATCH($A79,'Disagg.1A_import-export'!$B$7:$B$13,0))="","",INDEX('Disagg.1A_import-export'!AC$7:AC$13,MATCH($A79,'Disagg.1A_import-export'!$B$7:$B$13,0))),""))</f>
        <v/>
      </c>
      <c r="K79" s="1064"/>
      <c r="L79" s="1065"/>
      <c r="M79" s="1065"/>
      <c r="N79" s="1066"/>
      <c r="O79" s="1067"/>
      <c r="P79" s="1065"/>
      <c r="Q79" s="1065"/>
      <c r="R79" s="1066"/>
      <c r="S79" s="1067"/>
      <c r="T79" s="1065"/>
      <c r="U79" s="1068"/>
      <c r="V79" s="1070"/>
    </row>
    <row r="80" spans="1:22" ht="15.75" thickBot="1" x14ac:dyDescent="0.25">
      <c r="A80" s="648" t="str">
        <f>IFERROR(IF(INDEX(ImpactDisaglist,MATCH(0,INDEX(COUNTIF(A$10:A79,ImpactDisaglist),0,0),0))&lt;&gt;"",INDEX(ImpactDisaglist,MATCH(0,INDEX(COUNTIF(A$10:A79,ImpactDisaglist),0,0),0)),INDEX(OutcomeDisaglist,MATCH(0,INDEX(COUNTIF(A$10:A79,OutcomeDisaglist),0,0),0))),"")</f>
        <v/>
      </c>
      <c r="B80" s="1027" t="str">
        <f>IFERROR(INDEX('Disagg.1A_import-export'!D$7:D$200,MATCH($A80,'Disagg.1A_import-export'!$B$7:$B$200,0)),"")</f>
        <v/>
      </c>
      <c r="C80" s="1028" t="str">
        <f>IF(B80="","",IFERROR(INDEX('Disagg.1A_import-export'!E$7:E$13,MATCH($A80,'Disagg.1A_import-export'!$B$7:$B$13,0)),""))</f>
        <v/>
      </c>
      <c r="D80" s="1028" t="str">
        <f>IF(B80="","",IFERROR(IF(INDEX('Disagg.1A_import-export'!I$7:I$13,MATCH($A80,'Disagg.1A_import-export'!$B$7:$B$13,0))="","",INDEX('Disagg.1A_import-export'!I$7:I$13,MATCH($A80,'Disagg.1A_import-export'!$B$7:$B$13,0))),""))</f>
        <v/>
      </c>
      <c r="E80" s="1028" t="str">
        <f>IF(B80="","",IFERROR(IF(INDEX('Disagg.1A_import-export'!J$7:J$13,MATCH($A80,'Disagg.1A_import-export'!$B$7:$B$13,0))="","",INDEX('Disagg.1A_import-export'!J$7:J$13,MATCH($A80,'Disagg.1A_import-export'!$B$7:$B$13,0))),""))</f>
        <v/>
      </c>
      <c r="F80" s="1028" t="str">
        <f>IF(B80="","",IFERROR(IF(INDEX('Disagg.1A_import-export'!K$7:K$13,MATCH($A80,'Disagg.1A_import-export'!$B$7:$B$13,0))="","",INDEX('Disagg.1A_import-export'!K$7:K$13,MATCH($A80,'Disagg.1A_import-export'!$B$7:$B$13,0))),""))</f>
        <v/>
      </c>
      <c r="G80" s="1028" t="str">
        <f>IF(B80="","",IFERROR(IF(INDEX('Disagg.1A_import-export'!L$7:L$13,MATCH($A80,'Disagg.1A_import-export'!$B$7:$B$13,0))="","",INDEX('Disagg.1A_import-export'!L$7:L$13,MATCH($A80,'Disagg.1A_import-export'!$B$7:$B$13,0))),""))</f>
        <v/>
      </c>
      <c r="H80" s="1028" t="str">
        <f>IF(B80="","",IFERROR(IF(INDEX('Disagg.1A_import-export'!M$7:M$13,MATCH($A80,'Disagg.1A_import-export'!$B$7:$B$13,0))="","",INDEX('Disagg.1A_import-export'!M$7:M$13,MATCH($A80,'Disagg.1A_import-export'!$B$7:$B$13,0))),""))</f>
        <v/>
      </c>
      <c r="I80" s="1028" t="str">
        <f>IF(B80="","",IFERROR(IF(INDEX('Disagg.1A_import-export'!N$7:N$13,MATCH($A80,'Disagg.1A_import-export'!$B$7:$B$13,0))="","",INDEX('Disagg.1A_import-export'!N$7:N$13,MATCH($A80,'Disagg.1A_import-export'!$B$7:$B$13,0))),""))</f>
        <v/>
      </c>
      <c r="J80" s="1028" t="str">
        <f>IF(B80="","",IFERROR(IF(INDEX('Disagg.1A_import-export'!AC$7:AC$13,MATCH($A80,'Disagg.1A_import-export'!$B$7:$B$13,0))="","",INDEX('Disagg.1A_import-export'!AC$7:AC$13,MATCH($A80,'Disagg.1A_import-export'!$B$7:$B$13,0))),""))</f>
        <v/>
      </c>
      <c r="K80" s="1064"/>
      <c r="L80" s="1065"/>
      <c r="M80" s="1065"/>
      <c r="N80" s="1066"/>
      <c r="O80" s="1067"/>
      <c r="P80" s="1065"/>
      <c r="Q80" s="1065"/>
      <c r="R80" s="1066"/>
      <c r="S80" s="1067"/>
      <c r="T80" s="1065"/>
      <c r="U80" s="1068"/>
      <c r="V80" s="1070"/>
    </row>
    <row r="81" spans="1:22" ht="15.75" thickBot="1" x14ac:dyDescent="0.25">
      <c r="A81" s="648" t="str">
        <f>IFERROR(IF(INDEX(ImpactDisaglist,MATCH(0,INDEX(COUNTIF(A$10:A80,ImpactDisaglist),0,0),0))&lt;&gt;"",INDEX(ImpactDisaglist,MATCH(0,INDEX(COUNTIF(A$10:A80,ImpactDisaglist),0,0),0)),INDEX(OutcomeDisaglist,MATCH(0,INDEX(COUNTIF(A$10:A80,OutcomeDisaglist),0,0),0))),"")</f>
        <v/>
      </c>
      <c r="B81" s="1027" t="str">
        <f>IFERROR(INDEX('Disagg.1A_import-export'!D$7:D$200,MATCH($A81,'Disagg.1A_import-export'!$B$7:$B$200,0)),"")</f>
        <v/>
      </c>
      <c r="C81" s="1028" t="str">
        <f>IF(B81="","",IFERROR(INDEX('Disagg.1A_import-export'!E$7:E$13,MATCH($A81,'Disagg.1A_import-export'!$B$7:$B$13,0)),""))</f>
        <v/>
      </c>
      <c r="D81" s="1028" t="str">
        <f>IF(B81="","",IFERROR(IF(INDEX('Disagg.1A_import-export'!I$7:I$13,MATCH($A81,'Disagg.1A_import-export'!$B$7:$B$13,0))="","",INDEX('Disagg.1A_import-export'!I$7:I$13,MATCH($A81,'Disagg.1A_import-export'!$B$7:$B$13,0))),""))</f>
        <v/>
      </c>
      <c r="E81" s="1028" t="str">
        <f>IF(B81="","",IFERROR(IF(INDEX('Disagg.1A_import-export'!J$7:J$13,MATCH($A81,'Disagg.1A_import-export'!$B$7:$B$13,0))="","",INDEX('Disagg.1A_import-export'!J$7:J$13,MATCH($A81,'Disagg.1A_import-export'!$B$7:$B$13,0))),""))</f>
        <v/>
      </c>
      <c r="F81" s="1028" t="str">
        <f>IF(B81="","",IFERROR(IF(INDEX('Disagg.1A_import-export'!K$7:K$13,MATCH($A81,'Disagg.1A_import-export'!$B$7:$B$13,0))="","",INDEX('Disagg.1A_import-export'!K$7:K$13,MATCH($A81,'Disagg.1A_import-export'!$B$7:$B$13,0))),""))</f>
        <v/>
      </c>
      <c r="G81" s="1028" t="str">
        <f>IF(B81="","",IFERROR(IF(INDEX('Disagg.1A_import-export'!L$7:L$13,MATCH($A81,'Disagg.1A_import-export'!$B$7:$B$13,0))="","",INDEX('Disagg.1A_import-export'!L$7:L$13,MATCH($A81,'Disagg.1A_import-export'!$B$7:$B$13,0))),""))</f>
        <v/>
      </c>
      <c r="H81" s="1028" t="str">
        <f>IF(B81="","",IFERROR(IF(INDEX('Disagg.1A_import-export'!M$7:M$13,MATCH($A81,'Disagg.1A_import-export'!$B$7:$B$13,0))="","",INDEX('Disagg.1A_import-export'!M$7:M$13,MATCH($A81,'Disagg.1A_import-export'!$B$7:$B$13,0))),""))</f>
        <v/>
      </c>
      <c r="I81" s="1028" t="str">
        <f>IF(B81="","",IFERROR(IF(INDEX('Disagg.1A_import-export'!N$7:N$13,MATCH($A81,'Disagg.1A_import-export'!$B$7:$B$13,0))="","",INDEX('Disagg.1A_import-export'!N$7:N$13,MATCH($A81,'Disagg.1A_import-export'!$B$7:$B$13,0))),""))</f>
        <v/>
      </c>
      <c r="J81" s="1028" t="str">
        <f>IF(B81="","",IFERROR(IF(INDEX('Disagg.1A_import-export'!AC$7:AC$13,MATCH($A81,'Disagg.1A_import-export'!$B$7:$B$13,0))="","",INDEX('Disagg.1A_import-export'!AC$7:AC$13,MATCH($A81,'Disagg.1A_import-export'!$B$7:$B$13,0))),""))</f>
        <v/>
      </c>
      <c r="K81" s="1064"/>
      <c r="L81" s="1065"/>
      <c r="M81" s="1065"/>
      <c r="N81" s="1066"/>
      <c r="O81" s="1067"/>
      <c r="P81" s="1065"/>
      <c r="Q81" s="1065"/>
      <c r="R81" s="1066"/>
      <c r="S81" s="1067"/>
      <c r="T81" s="1065"/>
      <c r="U81" s="1068"/>
      <c r="V81" s="1070"/>
    </row>
    <row r="82" spans="1:22" ht="15.75" thickBot="1" x14ac:dyDescent="0.25">
      <c r="A82" s="648" t="str">
        <f>IFERROR(IF(INDEX(ImpactDisaglist,MATCH(0,INDEX(COUNTIF(A$10:A81,ImpactDisaglist),0,0),0))&lt;&gt;"",INDEX(ImpactDisaglist,MATCH(0,INDEX(COUNTIF(A$10:A81,ImpactDisaglist),0,0),0)),INDEX(OutcomeDisaglist,MATCH(0,INDEX(COUNTIF(A$10:A81,OutcomeDisaglist),0,0),0))),"")</f>
        <v/>
      </c>
      <c r="B82" s="1027" t="str">
        <f>IFERROR(INDEX('Disagg.1A_import-export'!D$7:D$200,MATCH($A82,'Disagg.1A_import-export'!$B$7:$B$200,0)),"")</f>
        <v/>
      </c>
      <c r="C82" s="1028" t="str">
        <f>IF(B82="","",IFERROR(INDEX('Disagg.1A_import-export'!E$7:E$13,MATCH($A82,'Disagg.1A_import-export'!$B$7:$B$13,0)),""))</f>
        <v/>
      </c>
      <c r="D82" s="1028" t="str">
        <f>IF(B82="","",IFERROR(IF(INDEX('Disagg.1A_import-export'!I$7:I$13,MATCH($A82,'Disagg.1A_import-export'!$B$7:$B$13,0))="","",INDEX('Disagg.1A_import-export'!I$7:I$13,MATCH($A82,'Disagg.1A_import-export'!$B$7:$B$13,0))),""))</f>
        <v/>
      </c>
      <c r="E82" s="1028" t="str">
        <f>IF(B82="","",IFERROR(IF(INDEX('Disagg.1A_import-export'!J$7:J$13,MATCH($A82,'Disagg.1A_import-export'!$B$7:$B$13,0))="","",INDEX('Disagg.1A_import-export'!J$7:J$13,MATCH($A82,'Disagg.1A_import-export'!$B$7:$B$13,0))),""))</f>
        <v/>
      </c>
      <c r="F82" s="1028" t="str">
        <f>IF(B82="","",IFERROR(IF(INDEX('Disagg.1A_import-export'!K$7:K$13,MATCH($A82,'Disagg.1A_import-export'!$B$7:$B$13,0))="","",INDEX('Disagg.1A_import-export'!K$7:K$13,MATCH($A82,'Disagg.1A_import-export'!$B$7:$B$13,0))),""))</f>
        <v/>
      </c>
      <c r="G82" s="1028" t="str">
        <f>IF(B82="","",IFERROR(IF(INDEX('Disagg.1A_import-export'!L$7:L$13,MATCH($A82,'Disagg.1A_import-export'!$B$7:$B$13,0))="","",INDEX('Disagg.1A_import-export'!L$7:L$13,MATCH($A82,'Disagg.1A_import-export'!$B$7:$B$13,0))),""))</f>
        <v/>
      </c>
      <c r="H82" s="1028" t="str">
        <f>IF(B82="","",IFERROR(IF(INDEX('Disagg.1A_import-export'!M$7:M$13,MATCH($A82,'Disagg.1A_import-export'!$B$7:$B$13,0))="","",INDEX('Disagg.1A_import-export'!M$7:M$13,MATCH($A82,'Disagg.1A_import-export'!$B$7:$B$13,0))),""))</f>
        <v/>
      </c>
      <c r="I82" s="1028" t="str">
        <f>IF(B82="","",IFERROR(IF(INDEX('Disagg.1A_import-export'!N$7:N$13,MATCH($A82,'Disagg.1A_import-export'!$B$7:$B$13,0))="","",INDEX('Disagg.1A_import-export'!N$7:N$13,MATCH($A82,'Disagg.1A_import-export'!$B$7:$B$13,0))),""))</f>
        <v/>
      </c>
      <c r="J82" s="1028" t="str">
        <f>IF(B82="","",IFERROR(IF(INDEX('Disagg.1A_import-export'!AC$7:AC$13,MATCH($A82,'Disagg.1A_import-export'!$B$7:$B$13,0))="","",INDEX('Disagg.1A_import-export'!AC$7:AC$13,MATCH($A82,'Disagg.1A_import-export'!$B$7:$B$13,0))),""))</f>
        <v/>
      </c>
      <c r="K82" s="1064"/>
      <c r="L82" s="1065"/>
      <c r="M82" s="1065"/>
      <c r="N82" s="1066"/>
      <c r="O82" s="1067"/>
      <c r="P82" s="1065"/>
      <c r="Q82" s="1065"/>
      <c r="R82" s="1066"/>
      <c r="S82" s="1067"/>
      <c r="T82" s="1065"/>
      <c r="U82" s="1068"/>
      <c r="V82" s="1070"/>
    </row>
    <row r="83" spans="1:22" ht="15.75" thickBot="1" x14ac:dyDescent="0.25">
      <c r="A83" s="648" t="str">
        <f>IFERROR(IF(INDEX(ImpactDisaglist,MATCH(0,INDEX(COUNTIF(A$10:A82,ImpactDisaglist),0,0),0))&lt;&gt;"",INDEX(ImpactDisaglist,MATCH(0,INDEX(COUNTIF(A$10:A82,ImpactDisaglist),0,0),0)),INDEX(OutcomeDisaglist,MATCH(0,INDEX(COUNTIF(A$10:A82,OutcomeDisaglist),0,0),0))),"")</f>
        <v/>
      </c>
      <c r="B83" s="1027" t="str">
        <f>IFERROR(INDEX('Disagg.1A_import-export'!D$7:D$200,MATCH($A83,'Disagg.1A_import-export'!$B$7:$B$200,0)),"")</f>
        <v/>
      </c>
      <c r="C83" s="1028" t="str">
        <f>IF(B83="","",IFERROR(INDEX('Disagg.1A_import-export'!E$7:E$13,MATCH($A83,'Disagg.1A_import-export'!$B$7:$B$13,0)),""))</f>
        <v/>
      </c>
      <c r="D83" s="1028" t="str">
        <f>IF(B83="","",IFERROR(IF(INDEX('Disagg.1A_import-export'!I$7:I$13,MATCH($A83,'Disagg.1A_import-export'!$B$7:$B$13,0))="","",INDEX('Disagg.1A_import-export'!I$7:I$13,MATCH($A83,'Disagg.1A_import-export'!$B$7:$B$13,0))),""))</f>
        <v/>
      </c>
      <c r="E83" s="1028" t="str">
        <f>IF(B83="","",IFERROR(IF(INDEX('Disagg.1A_import-export'!J$7:J$13,MATCH($A83,'Disagg.1A_import-export'!$B$7:$B$13,0))="","",INDEX('Disagg.1A_import-export'!J$7:J$13,MATCH($A83,'Disagg.1A_import-export'!$B$7:$B$13,0))),""))</f>
        <v/>
      </c>
      <c r="F83" s="1028" t="str">
        <f>IF(B83="","",IFERROR(IF(INDEX('Disagg.1A_import-export'!K$7:K$13,MATCH($A83,'Disagg.1A_import-export'!$B$7:$B$13,0))="","",INDEX('Disagg.1A_import-export'!K$7:K$13,MATCH($A83,'Disagg.1A_import-export'!$B$7:$B$13,0))),""))</f>
        <v/>
      </c>
      <c r="G83" s="1028" t="str">
        <f>IF(B83="","",IFERROR(IF(INDEX('Disagg.1A_import-export'!L$7:L$13,MATCH($A83,'Disagg.1A_import-export'!$B$7:$B$13,0))="","",INDEX('Disagg.1A_import-export'!L$7:L$13,MATCH($A83,'Disagg.1A_import-export'!$B$7:$B$13,0))),""))</f>
        <v/>
      </c>
      <c r="H83" s="1028" t="str">
        <f>IF(B83="","",IFERROR(IF(INDEX('Disagg.1A_import-export'!M$7:M$13,MATCH($A83,'Disagg.1A_import-export'!$B$7:$B$13,0))="","",INDEX('Disagg.1A_import-export'!M$7:M$13,MATCH($A83,'Disagg.1A_import-export'!$B$7:$B$13,0))),""))</f>
        <v/>
      </c>
      <c r="I83" s="1028" t="str">
        <f>IF(B83="","",IFERROR(IF(INDEX('Disagg.1A_import-export'!N$7:N$13,MATCH($A83,'Disagg.1A_import-export'!$B$7:$B$13,0))="","",INDEX('Disagg.1A_import-export'!N$7:N$13,MATCH($A83,'Disagg.1A_import-export'!$B$7:$B$13,0))),""))</f>
        <v/>
      </c>
      <c r="J83" s="1028" t="str">
        <f>IF(B83="","",IFERROR(IF(INDEX('Disagg.1A_import-export'!AC$7:AC$13,MATCH($A83,'Disagg.1A_import-export'!$B$7:$B$13,0))="","",INDEX('Disagg.1A_import-export'!AC$7:AC$13,MATCH($A83,'Disagg.1A_import-export'!$B$7:$B$13,0))),""))</f>
        <v/>
      </c>
      <c r="K83" s="1064"/>
      <c r="L83" s="1065"/>
      <c r="M83" s="1065"/>
      <c r="N83" s="1066"/>
      <c r="O83" s="1067"/>
      <c r="P83" s="1065"/>
      <c r="Q83" s="1065"/>
      <c r="R83" s="1066"/>
      <c r="S83" s="1067"/>
      <c r="T83" s="1065"/>
      <c r="U83" s="1068"/>
      <c r="V83" s="1070"/>
    </row>
    <row r="84" spans="1:22" ht="15.75" thickBot="1" x14ac:dyDescent="0.25">
      <c r="A84" s="648" t="str">
        <f>IFERROR(IF(INDEX(ImpactDisaglist,MATCH(0,INDEX(COUNTIF(A$10:A83,ImpactDisaglist),0,0),0))&lt;&gt;"",INDEX(ImpactDisaglist,MATCH(0,INDEX(COUNTIF(A$10:A83,ImpactDisaglist),0,0),0)),INDEX(OutcomeDisaglist,MATCH(0,INDEX(COUNTIF(A$10:A83,OutcomeDisaglist),0,0),0))),"")</f>
        <v/>
      </c>
      <c r="B84" s="1027" t="str">
        <f>IFERROR(INDEX('Disagg.1A_import-export'!D$7:D$200,MATCH($A84,'Disagg.1A_import-export'!$B$7:$B$200,0)),"")</f>
        <v/>
      </c>
      <c r="C84" s="1028" t="str">
        <f>IF(B84="","",IFERROR(INDEX('Disagg.1A_import-export'!E$7:E$13,MATCH($A84,'Disagg.1A_import-export'!$B$7:$B$13,0)),""))</f>
        <v/>
      </c>
      <c r="D84" s="1028" t="str">
        <f>IF(B84="","",IFERROR(IF(INDEX('Disagg.1A_import-export'!I$7:I$13,MATCH($A84,'Disagg.1A_import-export'!$B$7:$B$13,0))="","",INDEX('Disagg.1A_import-export'!I$7:I$13,MATCH($A84,'Disagg.1A_import-export'!$B$7:$B$13,0))),""))</f>
        <v/>
      </c>
      <c r="E84" s="1028" t="str">
        <f>IF(B84="","",IFERROR(IF(INDEX('Disagg.1A_import-export'!J$7:J$13,MATCH($A84,'Disagg.1A_import-export'!$B$7:$B$13,0))="","",INDEX('Disagg.1A_import-export'!J$7:J$13,MATCH($A84,'Disagg.1A_import-export'!$B$7:$B$13,0))),""))</f>
        <v/>
      </c>
      <c r="F84" s="1028" t="str">
        <f>IF(B84="","",IFERROR(IF(INDEX('Disagg.1A_import-export'!K$7:K$13,MATCH($A84,'Disagg.1A_import-export'!$B$7:$B$13,0))="","",INDEX('Disagg.1A_import-export'!K$7:K$13,MATCH($A84,'Disagg.1A_import-export'!$B$7:$B$13,0))),""))</f>
        <v/>
      </c>
      <c r="G84" s="1028" t="str">
        <f>IF(B84="","",IFERROR(IF(INDEX('Disagg.1A_import-export'!L$7:L$13,MATCH($A84,'Disagg.1A_import-export'!$B$7:$B$13,0))="","",INDEX('Disagg.1A_import-export'!L$7:L$13,MATCH($A84,'Disagg.1A_import-export'!$B$7:$B$13,0))),""))</f>
        <v/>
      </c>
      <c r="H84" s="1028" t="str">
        <f>IF(B84="","",IFERROR(IF(INDEX('Disagg.1A_import-export'!M$7:M$13,MATCH($A84,'Disagg.1A_import-export'!$B$7:$B$13,0))="","",INDEX('Disagg.1A_import-export'!M$7:M$13,MATCH($A84,'Disagg.1A_import-export'!$B$7:$B$13,0))),""))</f>
        <v/>
      </c>
      <c r="I84" s="1028" t="str">
        <f>IF(B84="","",IFERROR(IF(INDEX('Disagg.1A_import-export'!N$7:N$13,MATCH($A84,'Disagg.1A_import-export'!$B$7:$B$13,0))="","",INDEX('Disagg.1A_import-export'!N$7:N$13,MATCH($A84,'Disagg.1A_import-export'!$B$7:$B$13,0))),""))</f>
        <v/>
      </c>
      <c r="J84" s="1028" t="str">
        <f>IF(B84="","",IFERROR(IF(INDEX('Disagg.1A_import-export'!AC$7:AC$13,MATCH($A84,'Disagg.1A_import-export'!$B$7:$B$13,0))="","",INDEX('Disagg.1A_import-export'!AC$7:AC$13,MATCH($A84,'Disagg.1A_import-export'!$B$7:$B$13,0))),""))</f>
        <v/>
      </c>
      <c r="K84" s="1064"/>
      <c r="L84" s="1065"/>
      <c r="M84" s="1065"/>
      <c r="N84" s="1066"/>
      <c r="O84" s="1067"/>
      <c r="P84" s="1065"/>
      <c r="Q84" s="1065"/>
      <c r="R84" s="1066"/>
      <c r="S84" s="1067"/>
      <c r="T84" s="1065"/>
      <c r="U84" s="1068"/>
      <c r="V84" s="1070"/>
    </row>
    <row r="85" spans="1:22" ht="15.75" thickBot="1" x14ac:dyDescent="0.25">
      <c r="A85" s="648" t="str">
        <f>IFERROR(IF(INDEX(ImpactDisaglist,MATCH(0,INDEX(COUNTIF(A$10:A84,ImpactDisaglist),0,0),0))&lt;&gt;"",INDEX(ImpactDisaglist,MATCH(0,INDEX(COUNTIF(A$10:A84,ImpactDisaglist),0,0),0)),INDEX(OutcomeDisaglist,MATCH(0,INDEX(COUNTIF(A$10:A84,OutcomeDisaglist),0,0),0))),"")</f>
        <v/>
      </c>
      <c r="B85" s="1027" t="str">
        <f>IFERROR(INDEX('Disagg.1A_import-export'!D$7:D$200,MATCH($A85,'Disagg.1A_import-export'!$B$7:$B$200,0)),"")</f>
        <v/>
      </c>
      <c r="C85" s="1028" t="str">
        <f>IF(B85="","",IFERROR(INDEX('Disagg.1A_import-export'!E$7:E$13,MATCH($A85,'Disagg.1A_import-export'!$B$7:$B$13,0)),""))</f>
        <v/>
      </c>
      <c r="D85" s="1028" t="str">
        <f>IF(B85="","",IFERROR(IF(INDEX('Disagg.1A_import-export'!I$7:I$13,MATCH($A85,'Disagg.1A_import-export'!$B$7:$B$13,0))="","",INDEX('Disagg.1A_import-export'!I$7:I$13,MATCH($A85,'Disagg.1A_import-export'!$B$7:$B$13,0))),""))</f>
        <v/>
      </c>
      <c r="E85" s="1028" t="str">
        <f>IF(B85="","",IFERROR(IF(INDEX('Disagg.1A_import-export'!J$7:J$13,MATCH($A85,'Disagg.1A_import-export'!$B$7:$B$13,0))="","",INDEX('Disagg.1A_import-export'!J$7:J$13,MATCH($A85,'Disagg.1A_import-export'!$B$7:$B$13,0))),""))</f>
        <v/>
      </c>
      <c r="F85" s="1028" t="str">
        <f>IF(B85="","",IFERROR(IF(INDEX('Disagg.1A_import-export'!K$7:K$13,MATCH($A85,'Disagg.1A_import-export'!$B$7:$B$13,0))="","",INDEX('Disagg.1A_import-export'!K$7:K$13,MATCH($A85,'Disagg.1A_import-export'!$B$7:$B$13,0))),""))</f>
        <v/>
      </c>
      <c r="G85" s="1028" t="str">
        <f>IF(B85="","",IFERROR(IF(INDEX('Disagg.1A_import-export'!L$7:L$13,MATCH($A85,'Disagg.1A_import-export'!$B$7:$B$13,0))="","",INDEX('Disagg.1A_import-export'!L$7:L$13,MATCH($A85,'Disagg.1A_import-export'!$B$7:$B$13,0))),""))</f>
        <v/>
      </c>
      <c r="H85" s="1028" t="str">
        <f>IF(B85="","",IFERROR(IF(INDEX('Disagg.1A_import-export'!M$7:M$13,MATCH($A85,'Disagg.1A_import-export'!$B$7:$B$13,0))="","",INDEX('Disagg.1A_import-export'!M$7:M$13,MATCH($A85,'Disagg.1A_import-export'!$B$7:$B$13,0))),""))</f>
        <v/>
      </c>
      <c r="I85" s="1028" t="str">
        <f>IF(B85="","",IFERROR(IF(INDEX('Disagg.1A_import-export'!N$7:N$13,MATCH($A85,'Disagg.1A_import-export'!$B$7:$B$13,0))="","",INDEX('Disagg.1A_import-export'!N$7:N$13,MATCH($A85,'Disagg.1A_import-export'!$B$7:$B$13,0))),""))</f>
        <v/>
      </c>
      <c r="J85" s="1028" t="str">
        <f>IF(B85="","",IFERROR(IF(INDEX('Disagg.1A_import-export'!AC$7:AC$13,MATCH($A85,'Disagg.1A_import-export'!$B$7:$B$13,0))="","",INDEX('Disagg.1A_import-export'!AC$7:AC$13,MATCH($A85,'Disagg.1A_import-export'!$B$7:$B$13,0))),""))</f>
        <v/>
      </c>
      <c r="K85" s="1064"/>
      <c r="L85" s="1065"/>
      <c r="M85" s="1065"/>
      <c r="N85" s="1066"/>
      <c r="O85" s="1067"/>
      <c r="P85" s="1065"/>
      <c r="Q85" s="1065"/>
      <c r="R85" s="1066"/>
      <c r="S85" s="1067"/>
      <c r="T85" s="1065"/>
      <c r="U85" s="1068"/>
      <c r="V85" s="1070"/>
    </row>
    <row r="86" spans="1:22" ht="15.75" thickBot="1" x14ac:dyDescent="0.25">
      <c r="A86" s="648" t="str">
        <f>IFERROR(IF(INDEX(ImpactDisaglist,MATCH(0,INDEX(COUNTIF(A$10:A85,ImpactDisaglist),0,0),0))&lt;&gt;"",INDEX(ImpactDisaglist,MATCH(0,INDEX(COUNTIF(A$10:A85,ImpactDisaglist),0,0),0)),INDEX(OutcomeDisaglist,MATCH(0,INDEX(COUNTIF(A$10:A85,OutcomeDisaglist),0,0),0))),"")</f>
        <v/>
      </c>
      <c r="B86" s="1027" t="str">
        <f>IFERROR(INDEX('Disagg.1A_import-export'!D$7:D$200,MATCH($A86,'Disagg.1A_import-export'!$B$7:$B$200,0)),"")</f>
        <v/>
      </c>
      <c r="C86" s="1028" t="str">
        <f>IF(B86="","",IFERROR(INDEX('Disagg.1A_import-export'!E$7:E$13,MATCH($A86,'Disagg.1A_import-export'!$B$7:$B$13,0)),""))</f>
        <v/>
      </c>
      <c r="D86" s="1028" t="str">
        <f>IF(B86="","",IFERROR(IF(INDEX('Disagg.1A_import-export'!I$7:I$13,MATCH($A86,'Disagg.1A_import-export'!$B$7:$B$13,0))="","",INDEX('Disagg.1A_import-export'!I$7:I$13,MATCH($A86,'Disagg.1A_import-export'!$B$7:$B$13,0))),""))</f>
        <v/>
      </c>
      <c r="E86" s="1028" t="str">
        <f>IF(B86="","",IFERROR(IF(INDEX('Disagg.1A_import-export'!J$7:J$13,MATCH($A86,'Disagg.1A_import-export'!$B$7:$B$13,0))="","",INDEX('Disagg.1A_import-export'!J$7:J$13,MATCH($A86,'Disagg.1A_import-export'!$B$7:$B$13,0))),""))</f>
        <v/>
      </c>
      <c r="F86" s="1028" t="str">
        <f>IF(B86="","",IFERROR(IF(INDEX('Disagg.1A_import-export'!K$7:K$13,MATCH($A86,'Disagg.1A_import-export'!$B$7:$B$13,0))="","",INDEX('Disagg.1A_import-export'!K$7:K$13,MATCH($A86,'Disagg.1A_import-export'!$B$7:$B$13,0))),""))</f>
        <v/>
      </c>
      <c r="G86" s="1028" t="str">
        <f>IF(B86="","",IFERROR(IF(INDEX('Disagg.1A_import-export'!L$7:L$13,MATCH($A86,'Disagg.1A_import-export'!$B$7:$B$13,0))="","",INDEX('Disagg.1A_import-export'!L$7:L$13,MATCH($A86,'Disagg.1A_import-export'!$B$7:$B$13,0))),""))</f>
        <v/>
      </c>
      <c r="H86" s="1028" t="str">
        <f>IF(B86="","",IFERROR(IF(INDEX('Disagg.1A_import-export'!M$7:M$13,MATCH($A86,'Disagg.1A_import-export'!$B$7:$B$13,0))="","",INDEX('Disagg.1A_import-export'!M$7:M$13,MATCH($A86,'Disagg.1A_import-export'!$B$7:$B$13,0))),""))</f>
        <v/>
      </c>
      <c r="I86" s="1028" t="str">
        <f>IF(B86="","",IFERROR(IF(INDEX('Disagg.1A_import-export'!N$7:N$13,MATCH($A86,'Disagg.1A_import-export'!$B$7:$B$13,0))="","",INDEX('Disagg.1A_import-export'!N$7:N$13,MATCH($A86,'Disagg.1A_import-export'!$B$7:$B$13,0))),""))</f>
        <v/>
      </c>
      <c r="J86" s="1028" t="str">
        <f>IF(B86="","",IFERROR(IF(INDEX('Disagg.1A_import-export'!AC$7:AC$13,MATCH($A86,'Disagg.1A_import-export'!$B$7:$B$13,0))="","",INDEX('Disagg.1A_import-export'!AC$7:AC$13,MATCH($A86,'Disagg.1A_import-export'!$B$7:$B$13,0))),""))</f>
        <v/>
      </c>
      <c r="K86" s="1064"/>
      <c r="L86" s="1065"/>
      <c r="M86" s="1065"/>
      <c r="N86" s="1066"/>
      <c r="O86" s="1067"/>
      <c r="P86" s="1065"/>
      <c r="Q86" s="1065"/>
      <c r="R86" s="1066"/>
      <c r="S86" s="1067"/>
      <c r="T86" s="1065"/>
      <c r="U86" s="1068"/>
      <c r="V86" s="1070"/>
    </row>
    <row r="87" spans="1:22" ht="15.75" thickBot="1" x14ac:dyDescent="0.25">
      <c r="A87" s="648" t="str">
        <f>IFERROR(IF(INDEX(ImpactDisaglist,MATCH(0,INDEX(COUNTIF(A$10:A86,ImpactDisaglist),0,0),0))&lt;&gt;"",INDEX(ImpactDisaglist,MATCH(0,INDEX(COUNTIF(A$10:A86,ImpactDisaglist),0,0),0)),INDEX(OutcomeDisaglist,MATCH(0,INDEX(COUNTIF(A$10:A86,OutcomeDisaglist),0,0),0))),"")</f>
        <v/>
      </c>
      <c r="B87" s="1027" t="str">
        <f>IFERROR(INDEX('Disagg.1A_import-export'!D$7:D$200,MATCH($A87,'Disagg.1A_import-export'!$B$7:$B$200,0)),"")</f>
        <v/>
      </c>
      <c r="C87" s="1028" t="str">
        <f>IF(B87="","",IFERROR(INDEX('Disagg.1A_import-export'!E$7:E$13,MATCH($A87,'Disagg.1A_import-export'!$B$7:$B$13,0)),""))</f>
        <v/>
      </c>
      <c r="D87" s="1028" t="str">
        <f>IF(B87="","",IFERROR(IF(INDEX('Disagg.1A_import-export'!I$7:I$13,MATCH($A87,'Disagg.1A_import-export'!$B$7:$B$13,0))="","",INDEX('Disagg.1A_import-export'!I$7:I$13,MATCH($A87,'Disagg.1A_import-export'!$B$7:$B$13,0))),""))</f>
        <v/>
      </c>
      <c r="E87" s="1028" t="str">
        <f>IF(B87="","",IFERROR(IF(INDEX('Disagg.1A_import-export'!J$7:J$13,MATCH($A87,'Disagg.1A_import-export'!$B$7:$B$13,0))="","",INDEX('Disagg.1A_import-export'!J$7:J$13,MATCH($A87,'Disagg.1A_import-export'!$B$7:$B$13,0))),""))</f>
        <v/>
      </c>
      <c r="F87" s="1028" t="str">
        <f>IF(B87="","",IFERROR(IF(INDEX('Disagg.1A_import-export'!K$7:K$13,MATCH($A87,'Disagg.1A_import-export'!$B$7:$B$13,0))="","",INDEX('Disagg.1A_import-export'!K$7:K$13,MATCH($A87,'Disagg.1A_import-export'!$B$7:$B$13,0))),""))</f>
        <v/>
      </c>
      <c r="G87" s="1028" t="str">
        <f>IF(B87="","",IFERROR(IF(INDEX('Disagg.1A_import-export'!L$7:L$13,MATCH($A87,'Disagg.1A_import-export'!$B$7:$B$13,0))="","",INDEX('Disagg.1A_import-export'!L$7:L$13,MATCH($A87,'Disagg.1A_import-export'!$B$7:$B$13,0))),""))</f>
        <v/>
      </c>
      <c r="H87" s="1028" t="str">
        <f>IF(B87="","",IFERROR(IF(INDEX('Disagg.1A_import-export'!M$7:M$13,MATCH($A87,'Disagg.1A_import-export'!$B$7:$B$13,0))="","",INDEX('Disagg.1A_import-export'!M$7:M$13,MATCH($A87,'Disagg.1A_import-export'!$B$7:$B$13,0))),""))</f>
        <v/>
      </c>
      <c r="I87" s="1028" t="str">
        <f>IF(B87="","",IFERROR(IF(INDEX('Disagg.1A_import-export'!N$7:N$13,MATCH($A87,'Disagg.1A_import-export'!$B$7:$B$13,0))="","",INDEX('Disagg.1A_import-export'!N$7:N$13,MATCH($A87,'Disagg.1A_import-export'!$B$7:$B$13,0))),""))</f>
        <v/>
      </c>
      <c r="J87" s="1028" t="str">
        <f>IF(B87="","",IFERROR(IF(INDEX('Disagg.1A_import-export'!AC$7:AC$13,MATCH($A87,'Disagg.1A_import-export'!$B$7:$B$13,0))="","",INDEX('Disagg.1A_import-export'!AC$7:AC$13,MATCH($A87,'Disagg.1A_import-export'!$B$7:$B$13,0))),""))</f>
        <v/>
      </c>
      <c r="K87" s="1064"/>
      <c r="L87" s="1065"/>
      <c r="M87" s="1065"/>
      <c r="N87" s="1066"/>
      <c r="O87" s="1067"/>
      <c r="P87" s="1065"/>
      <c r="Q87" s="1065"/>
      <c r="R87" s="1066"/>
      <c r="S87" s="1067"/>
      <c r="T87" s="1065"/>
      <c r="U87" s="1068"/>
      <c r="V87" s="1070"/>
    </row>
    <row r="88" spans="1:22" ht="15.75" thickBot="1" x14ac:dyDescent="0.25">
      <c r="A88" s="648" t="str">
        <f>IFERROR(IF(INDEX(ImpactDisaglist,MATCH(0,INDEX(COUNTIF(A$10:A87,ImpactDisaglist),0,0),0))&lt;&gt;"",INDEX(ImpactDisaglist,MATCH(0,INDEX(COUNTIF(A$10:A87,ImpactDisaglist),0,0),0)),INDEX(OutcomeDisaglist,MATCH(0,INDEX(COUNTIF(A$10:A87,OutcomeDisaglist),0,0),0))),"")</f>
        <v/>
      </c>
      <c r="B88" s="1027" t="str">
        <f>IFERROR(INDEX('Disagg.1A_import-export'!D$7:D$200,MATCH($A88,'Disagg.1A_import-export'!$B$7:$B$200,0)),"")</f>
        <v/>
      </c>
      <c r="C88" s="1028" t="str">
        <f>IF(B88="","",IFERROR(INDEX('Disagg.1A_import-export'!E$7:E$13,MATCH($A88,'Disagg.1A_import-export'!$B$7:$B$13,0)),""))</f>
        <v/>
      </c>
      <c r="D88" s="1028" t="str">
        <f>IF(B88="","",IFERROR(IF(INDEX('Disagg.1A_import-export'!I$7:I$13,MATCH($A88,'Disagg.1A_import-export'!$B$7:$B$13,0))="","",INDEX('Disagg.1A_import-export'!I$7:I$13,MATCH($A88,'Disagg.1A_import-export'!$B$7:$B$13,0))),""))</f>
        <v/>
      </c>
      <c r="E88" s="1028" t="str">
        <f>IF(B88="","",IFERROR(IF(INDEX('Disagg.1A_import-export'!J$7:J$13,MATCH($A88,'Disagg.1A_import-export'!$B$7:$B$13,0))="","",INDEX('Disagg.1A_import-export'!J$7:J$13,MATCH($A88,'Disagg.1A_import-export'!$B$7:$B$13,0))),""))</f>
        <v/>
      </c>
      <c r="F88" s="1028" t="str">
        <f>IF(B88="","",IFERROR(IF(INDEX('Disagg.1A_import-export'!K$7:K$13,MATCH($A88,'Disagg.1A_import-export'!$B$7:$B$13,0))="","",INDEX('Disagg.1A_import-export'!K$7:K$13,MATCH($A88,'Disagg.1A_import-export'!$B$7:$B$13,0))),""))</f>
        <v/>
      </c>
      <c r="G88" s="1028" t="str">
        <f>IF(B88="","",IFERROR(IF(INDEX('Disagg.1A_import-export'!L$7:L$13,MATCH($A88,'Disagg.1A_import-export'!$B$7:$B$13,0))="","",INDEX('Disagg.1A_import-export'!L$7:L$13,MATCH($A88,'Disagg.1A_import-export'!$B$7:$B$13,0))),""))</f>
        <v/>
      </c>
      <c r="H88" s="1028" t="str">
        <f>IF(B88="","",IFERROR(IF(INDEX('Disagg.1A_import-export'!M$7:M$13,MATCH($A88,'Disagg.1A_import-export'!$B$7:$B$13,0))="","",INDEX('Disagg.1A_import-export'!M$7:M$13,MATCH($A88,'Disagg.1A_import-export'!$B$7:$B$13,0))),""))</f>
        <v/>
      </c>
      <c r="I88" s="1028" t="str">
        <f>IF(B88="","",IFERROR(IF(INDEX('Disagg.1A_import-export'!N$7:N$13,MATCH($A88,'Disagg.1A_import-export'!$B$7:$B$13,0))="","",INDEX('Disagg.1A_import-export'!N$7:N$13,MATCH($A88,'Disagg.1A_import-export'!$B$7:$B$13,0))),""))</f>
        <v/>
      </c>
      <c r="J88" s="1028" t="str">
        <f>IF(B88="","",IFERROR(IF(INDEX('Disagg.1A_import-export'!AC$7:AC$13,MATCH($A88,'Disagg.1A_import-export'!$B$7:$B$13,0))="","",INDEX('Disagg.1A_import-export'!AC$7:AC$13,MATCH($A88,'Disagg.1A_import-export'!$B$7:$B$13,0))),""))</f>
        <v/>
      </c>
      <c r="K88" s="1064"/>
      <c r="L88" s="1065"/>
      <c r="M88" s="1065"/>
      <c r="N88" s="1066"/>
      <c r="O88" s="1067"/>
      <c r="P88" s="1065"/>
      <c r="Q88" s="1065"/>
      <c r="R88" s="1066"/>
      <c r="S88" s="1067"/>
      <c r="T88" s="1065"/>
      <c r="U88" s="1068"/>
      <c r="V88" s="1070"/>
    </row>
    <row r="89" spans="1:22" ht="15.75" thickBot="1" x14ac:dyDescent="0.25">
      <c r="A89" s="648" t="str">
        <f>IFERROR(IF(INDEX(ImpactDisaglist,MATCH(0,INDEX(COUNTIF(A$10:A88,ImpactDisaglist),0,0),0))&lt;&gt;"",INDEX(ImpactDisaglist,MATCH(0,INDEX(COUNTIF(A$10:A88,ImpactDisaglist),0,0),0)),INDEX(OutcomeDisaglist,MATCH(0,INDEX(COUNTIF(A$10:A88,OutcomeDisaglist),0,0),0))),"")</f>
        <v/>
      </c>
      <c r="B89" s="1027" t="str">
        <f>IFERROR(INDEX('Disagg.1A_import-export'!D$7:D$200,MATCH($A89,'Disagg.1A_import-export'!$B$7:$B$200,0)),"")</f>
        <v/>
      </c>
      <c r="C89" s="1028" t="str">
        <f>IF(B89="","",IFERROR(INDEX('Disagg.1A_import-export'!E$7:E$13,MATCH($A89,'Disagg.1A_import-export'!$B$7:$B$13,0)),""))</f>
        <v/>
      </c>
      <c r="D89" s="1028" t="str">
        <f>IF(B89="","",IFERROR(IF(INDEX('Disagg.1A_import-export'!I$7:I$13,MATCH($A89,'Disagg.1A_import-export'!$B$7:$B$13,0))="","",INDEX('Disagg.1A_import-export'!I$7:I$13,MATCH($A89,'Disagg.1A_import-export'!$B$7:$B$13,0))),""))</f>
        <v/>
      </c>
      <c r="E89" s="1028" t="str">
        <f>IF(B89="","",IFERROR(IF(INDEX('Disagg.1A_import-export'!J$7:J$13,MATCH($A89,'Disagg.1A_import-export'!$B$7:$B$13,0))="","",INDEX('Disagg.1A_import-export'!J$7:J$13,MATCH($A89,'Disagg.1A_import-export'!$B$7:$B$13,0))),""))</f>
        <v/>
      </c>
      <c r="F89" s="1028" t="str">
        <f>IF(B89="","",IFERROR(IF(INDEX('Disagg.1A_import-export'!K$7:K$13,MATCH($A89,'Disagg.1A_import-export'!$B$7:$B$13,0))="","",INDEX('Disagg.1A_import-export'!K$7:K$13,MATCH($A89,'Disagg.1A_import-export'!$B$7:$B$13,0))),""))</f>
        <v/>
      </c>
      <c r="G89" s="1028" t="str">
        <f>IF(B89="","",IFERROR(IF(INDEX('Disagg.1A_import-export'!L$7:L$13,MATCH($A89,'Disagg.1A_import-export'!$B$7:$B$13,0))="","",INDEX('Disagg.1A_import-export'!L$7:L$13,MATCH($A89,'Disagg.1A_import-export'!$B$7:$B$13,0))),""))</f>
        <v/>
      </c>
      <c r="H89" s="1028" t="str">
        <f>IF(B89="","",IFERROR(IF(INDEX('Disagg.1A_import-export'!M$7:M$13,MATCH($A89,'Disagg.1A_import-export'!$B$7:$B$13,0))="","",INDEX('Disagg.1A_import-export'!M$7:M$13,MATCH($A89,'Disagg.1A_import-export'!$B$7:$B$13,0))),""))</f>
        <v/>
      </c>
      <c r="I89" s="1028" t="str">
        <f>IF(B89="","",IFERROR(IF(INDEX('Disagg.1A_import-export'!N$7:N$13,MATCH($A89,'Disagg.1A_import-export'!$B$7:$B$13,0))="","",INDEX('Disagg.1A_import-export'!N$7:N$13,MATCH($A89,'Disagg.1A_import-export'!$B$7:$B$13,0))),""))</f>
        <v/>
      </c>
      <c r="J89" s="1028" t="str">
        <f>IF(B89="","",IFERROR(IF(INDEX('Disagg.1A_import-export'!AC$7:AC$13,MATCH($A89,'Disagg.1A_import-export'!$B$7:$B$13,0))="","",INDEX('Disagg.1A_import-export'!AC$7:AC$13,MATCH($A89,'Disagg.1A_import-export'!$B$7:$B$13,0))),""))</f>
        <v/>
      </c>
      <c r="K89" s="1064"/>
      <c r="L89" s="1065"/>
      <c r="M89" s="1065"/>
      <c r="N89" s="1066"/>
      <c r="O89" s="1067"/>
      <c r="P89" s="1065"/>
      <c r="Q89" s="1065"/>
      <c r="R89" s="1066"/>
      <c r="S89" s="1067"/>
      <c r="T89" s="1065"/>
      <c r="U89" s="1068"/>
      <c r="V89" s="1070"/>
    </row>
    <row r="90" spans="1:22" ht="15.75" thickBot="1" x14ac:dyDescent="0.25">
      <c r="A90" s="648" t="str">
        <f>IFERROR(IF(INDEX(ImpactDisaglist,MATCH(0,INDEX(COUNTIF(A$10:A89,ImpactDisaglist),0,0),0))&lt;&gt;"",INDEX(ImpactDisaglist,MATCH(0,INDEX(COUNTIF(A$10:A89,ImpactDisaglist),0,0),0)),INDEX(OutcomeDisaglist,MATCH(0,INDEX(COUNTIF(A$10:A89,OutcomeDisaglist),0,0),0))),"")</f>
        <v/>
      </c>
      <c r="B90" s="1027" t="str">
        <f>IFERROR(INDEX('Disagg.1A_import-export'!D$7:D$200,MATCH($A90,'Disagg.1A_import-export'!$B$7:$B$200,0)),"")</f>
        <v/>
      </c>
      <c r="C90" s="1028" t="str">
        <f>IF(B90="","",IFERROR(INDEX('Disagg.1A_import-export'!E$7:E$13,MATCH($A90,'Disagg.1A_import-export'!$B$7:$B$13,0)),""))</f>
        <v/>
      </c>
      <c r="D90" s="1028" t="str">
        <f>IF(B90="","",IFERROR(IF(INDEX('Disagg.1A_import-export'!I$7:I$13,MATCH($A90,'Disagg.1A_import-export'!$B$7:$B$13,0))="","",INDEX('Disagg.1A_import-export'!I$7:I$13,MATCH($A90,'Disagg.1A_import-export'!$B$7:$B$13,0))),""))</f>
        <v/>
      </c>
      <c r="E90" s="1028" t="str">
        <f>IF(B90="","",IFERROR(IF(INDEX('Disagg.1A_import-export'!J$7:J$13,MATCH($A90,'Disagg.1A_import-export'!$B$7:$B$13,0))="","",INDEX('Disagg.1A_import-export'!J$7:J$13,MATCH($A90,'Disagg.1A_import-export'!$B$7:$B$13,0))),""))</f>
        <v/>
      </c>
      <c r="F90" s="1028" t="str">
        <f>IF(B90="","",IFERROR(IF(INDEX('Disagg.1A_import-export'!K$7:K$13,MATCH($A90,'Disagg.1A_import-export'!$B$7:$B$13,0))="","",INDEX('Disagg.1A_import-export'!K$7:K$13,MATCH($A90,'Disagg.1A_import-export'!$B$7:$B$13,0))),""))</f>
        <v/>
      </c>
      <c r="G90" s="1028" t="str">
        <f>IF(B90="","",IFERROR(IF(INDEX('Disagg.1A_import-export'!L$7:L$13,MATCH($A90,'Disagg.1A_import-export'!$B$7:$B$13,0))="","",INDEX('Disagg.1A_import-export'!L$7:L$13,MATCH($A90,'Disagg.1A_import-export'!$B$7:$B$13,0))),""))</f>
        <v/>
      </c>
      <c r="H90" s="1028" t="str">
        <f>IF(B90="","",IFERROR(IF(INDEX('Disagg.1A_import-export'!M$7:M$13,MATCH($A90,'Disagg.1A_import-export'!$B$7:$B$13,0))="","",INDEX('Disagg.1A_import-export'!M$7:M$13,MATCH($A90,'Disagg.1A_import-export'!$B$7:$B$13,0))),""))</f>
        <v/>
      </c>
      <c r="I90" s="1028" t="str">
        <f>IF(B90="","",IFERROR(IF(INDEX('Disagg.1A_import-export'!N$7:N$13,MATCH($A90,'Disagg.1A_import-export'!$B$7:$B$13,0))="","",INDEX('Disagg.1A_import-export'!N$7:N$13,MATCH($A90,'Disagg.1A_import-export'!$B$7:$B$13,0))),""))</f>
        <v/>
      </c>
      <c r="J90" s="1028" t="str">
        <f>IF(B90="","",IFERROR(IF(INDEX('Disagg.1A_import-export'!AC$7:AC$13,MATCH($A90,'Disagg.1A_import-export'!$B$7:$B$13,0))="","",INDEX('Disagg.1A_import-export'!AC$7:AC$13,MATCH($A90,'Disagg.1A_import-export'!$B$7:$B$13,0))),""))</f>
        <v/>
      </c>
      <c r="K90" s="1064"/>
      <c r="L90" s="1065"/>
      <c r="M90" s="1065"/>
      <c r="N90" s="1066"/>
      <c r="O90" s="1067"/>
      <c r="P90" s="1065"/>
      <c r="Q90" s="1065"/>
      <c r="R90" s="1066"/>
      <c r="S90" s="1067"/>
      <c r="T90" s="1065"/>
      <c r="U90" s="1068"/>
      <c r="V90" s="1070"/>
    </row>
    <row r="91" spans="1:22" ht="15.75" thickBot="1" x14ac:dyDescent="0.25">
      <c r="A91" s="648" t="str">
        <f>IFERROR(IF(INDEX(ImpactDisaglist,MATCH(0,INDEX(COUNTIF(A$10:A90,ImpactDisaglist),0,0),0))&lt;&gt;"",INDEX(ImpactDisaglist,MATCH(0,INDEX(COUNTIF(A$10:A90,ImpactDisaglist),0,0),0)),INDEX(OutcomeDisaglist,MATCH(0,INDEX(COUNTIF(A$10:A90,OutcomeDisaglist),0,0),0))),"")</f>
        <v/>
      </c>
      <c r="B91" s="1027" t="str">
        <f>IFERROR(INDEX('Disagg.1A_import-export'!D$7:D$200,MATCH($A91,'Disagg.1A_import-export'!$B$7:$B$200,0)),"")</f>
        <v/>
      </c>
      <c r="C91" s="1028" t="str">
        <f>IF(B91="","",IFERROR(INDEX('Disagg.1A_import-export'!E$7:E$13,MATCH($A91,'Disagg.1A_import-export'!$B$7:$B$13,0)),""))</f>
        <v/>
      </c>
      <c r="D91" s="1028" t="str">
        <f>IF(B91="","",IFERROR(IF(INDEX('Disagg.1A_import-export'!I$7:I$13,MATCH($A91,'Disagg.1A_import-export'!$B$7:$B$13,0))="","",INDEX('Disagg.1A_import-export'!I$7:I$13,MATCH($A91,'Disagg.1A_import-export'!$B$7:$B$13,0))),""))</f>
        <v/>
      </c>
      <c r="E91" s="1028" t="str">
        <f>IF(B91="","",IFERROR(IF(INDEX('Disagg.1A_import-export'!J$7:J$13,MATCH($A91,'Disagg.1A_import-export'!$B$7:$B$13,0))="","",INDEX('Disagg.1A_import-export'!J$7:J$13,MATCH($A91,'Disagg.1A_import-export'!$B$7:$B$13,0))),""))</f>
        <v/>
      </c>
      <c r="F91" s="1028" t="str">
        <f>IF(B91="","",IFERROR(IF(INDEX('Disagg.1A_import-export'!K$7:K$13,MATCH($A91,'Disagg.1A_import-export'!$B$7:$B$13,0))="","",INDEX('Disagg.1A_import-export'!K$7:K$13,MATCH($A91,'Disagg.1A_import-export'!$B$7:$B$13,0))),""))</f>
        <v/>
      </c>
      <c r="G91" s="1028" t="str">
        <f>IF(B91="","",IFERROR(IF(INDEX('Disagg.1A_import-export'!L$7:L$13,MATCH($A91,'Disagg.1A_import-export'!$B$7:$B$13,0))="","",INDEX('Disagg.1A_import-export'!L$7:L$13,MATCH($A91,'Disagg.1A_import-export'!$B$7:$B$13,0))),""))</f>
        <v/>
      </c>
      <c r="H91" s="1028" t="str">
        <f>IF(B91="","",IFERROR(IF(INDEX('Disagg.1A_import-export'!M$7:M$13,MATCH($A91,'Disagg.1A_import-export'!$B$7:$B$13,0))="","",INDEX('Disagg.1A_import-export'!M$7:M$13,MATCH($A91,'Disagg.1A_import-export'!$B$7:$B$13,0))),""))</f>
        <v/>
      </c>
      <c r="I91" s="1028" t="str">
        <f>IF(B91="","",IFERROR(IF(INDEX('Disagg.1A_import-export'!N$7:N$13,MATCH($A91,'Disagg.1A_import-export'!$B$7:$B$13,0))="","",INDEX('Disagg.1A_import-export'!N$7:N$13,MATCH($A91,'Disagg.1A_import-export'!$B$7:$B$13,0))),""))</f>
        <v/>
      </c>
      <c r="J91" s="1028" t="str">
        <f>IF(B91="","",IFERROR(IF(INDEX('Disagg.1A_import-export'!AC$7:AC$13,MATCH($A91,'Disagg.1A_import-export'!$B$7:$B$13,0))="","",INDEX('Disagg.1A_import-export'!AC$7:AC$13,MATCH($A91,'Disagg.1A_import-export'!$B$7:$B$13,0))),""))</f>
        <v/>
      </c>
      <c r="K91" s="1064"/>
      <c r="L91" s="1065"/>
      <c r="M91" s="1065"/>
      <c r="N91" s="1066"/>
      <c r="O91" s="1067"/>
      <c r="P91" s="1065"/>
      <c r="Q91" s="1065"/>
      <c r="R91" s="1066"/>
      <c r="S91" s="1067"/>
      <c r="T91" s="1065"/>
      <c r="U91" s="1068"/>
      <c r="V91" s="1070"/>
    </row>
    <row r="92" spans="1:22" ht="15.75" thickBot="1" x14ac:dyDescent="0.25">
      <c r="A92" s="648" t="str">
        <f>IFERROR(IF(INDEX(ImpactDisaglist,MATCH(0,INDEX(COUNTIF(A$10:A91,ImpactDisaglist),0,0),0))&lt;&gt;"",INDEX(ImpactDisaglist,MATCH(0,INDEX(COUNTIF(A$10:A91,ImpactDisaglist),0,0),0)),INDEX(OutcomeDisaglist,MATCH(0,INDEX(COUNTIF(A$10:A91,OutcomeDisaglist),0,0),0))),"")</f>
        <v/>
      </c>
      <c r="B92" s="1027" t="str">
        <f>IFERROR(INDEX('Disagg.1A_import-export'!D$7:D$200,MATCH($A92,'Disagg.1A_import-export'!$B$7:$B$200,0)),"")</f>
        <v/>
      </c>
      <c r="C92" s="1028" t="str">
        <f>IF(B92="","",IFERROR(INDEX('Disagg.1A_import-export'!E$7:E$13,MATCH($A92,'Disagg.1A_import-export'!$B$7:$B$13,0)),""))</f>
        <v/>
      </c>
      <c r="D92" s="1028" t="str">
        <f>IF(B92="","",IFERROR(IF(INDEX('Disagg.1A_import-export'!I$7:I$13,MATCH($A92,'Disagg.1A_import-export'!$B$7:$B$13,0))="","",INDEX('Disagg.1A_import-export'!I$7:I$13,MATCH($A92,'Disagg.1A_import-export'!$B$7:$B$13,0))),""))</f>
        <v/>
      </c>
      <c r="E92" s="1028" t="str">
        <f>IF(B92="","",IFERROR(IF(INDEX('Disagg.1A_import-export'!J$7:J$13,MATCH($A92,'Disagg.1A_import-export'!$B$7:$B$13,0))="","",INDEX('Disagg.1A_import-export'!J$7:J$13,MATCH($A92,'Disagg.1A_import-export'!$B$7:$B$13,0))),""))</f>
        <v/>
      </c>
      <c r="F92" s="1028" t="str">
        <f>IF(B92="","",IFERROR(IF(INDEX('Disagg.1A_import-export'!K$7:K$13,MATCH($A92,'Disagg.1A_import-export'!$B$7:$B$13,0))="","",INDEX('Disagg.1A_import-export'!K$7:K$13,MATCH($A92,'Disagg.1A_import-export'!$B$7:$B$13,0))),""))</f>
        <v/>
      </c>
      <c r="G92" s="1028" t="str">
        <f>IF(B92="","",IFERROR(IF(INDEX('Disagg.1A_import-export'!L$7:L$13,MATCH($A92,'Disagg.1A_import-export'!$B$7:$B$13,0))="","",INDEX('Disagg.1A_import-export'!L$7:L$13,MATCH($A92,'Disagg.1A_import-export'!$B$7:$B$13,0))),""))</f>
        <v/>
      </c>
      <c r="H92" s="1028" t="str">
        <f>IF(B92="","",IFERROR(IF(INDEX('Disagg.1A_import-export'!M$7:M$13,MATCH($A92,'Disagg.1A_import-export'!$B$7:$B$13,0))="","",INDEX('Disagg.1A_import-export'!M$7:M$13,MATCH($A92,'Disagg.1A_import-export'!$B$7:$B$13,0))),""))</f>
        <v/>
      </c>
      <c r="I92" s="1028" t="str">
        <f>IF(B92="","",IFERROR(IF(INDEX('Disagg.1A_import-export'!N$7:N$13,MATCH($A92,'Disagg.1A_import-export'!$B$7:$B$13,0))="","",INDEX('Disagg.1A_import-export'!N$7:N$13,MATCH($A92,'Disagg.1A_import-export'!$B$7:$B$13,0))),""))</f>
        <v/>
      </c>
      <c r="J92" s="1028" t="str">
        <f>IF(B92="","",IFERROR(IF(INDEX('Disagg.1A_import-export'!AC$7:AC$13,MATCH($A92,'Disagg.1A_import-export'!$B$7:$B$13,0))="","",INDEX('Disagg.1A_import-export'!AC$7:AC$13,MATCH($A92,'Disagg.1A_import-export'!$B$7:$B$13,0))),""))</f>
        <v/>
      </c>
      <c r="K92" s="1064"/>
      <c r="L92" s="1065"/>
      <c r="M92" s="1065"/>
      <c r="N92" s="1066"/>
      <c r="O92" s="1067"/>
      <c r="P92" s="1065"/>
      <c r="Q92" s="1065"/>
      <c r="R92" s="1066"/>
      <c r="S92" s="1067"/>
      <c r="T92" s="1065"/>
      <c r="U92" s="1068"/>
      <c r="V92" s="1070"/>
    </row>
    <row r="93" spans="1:22" ht="15.75" thickBot="1" x14ac:dyDescent="0.25">
      <c r="A93" s="648" t="str">
        <f>IFERROR(IF(INDEX(ImpactDisaglist,MATCH(0,INDEX(COUNTIF(A$10:A92,ImpactDisaglist),0,0),0))&lt;&gt;"",INDEX(ImpactDisaglist,MATCH(0,INDEX(COUNTIF(A$10:A92,ImpactDisaglist),0,0),0)),INDEX(OutcomeDisaglist,MATCH(0,INDEX(COUNTIF(A$10:A92,OutcomeDisaglist),0,0),0))),"")</f>
        <v/>
      </c>
      <c r="B93" s="1027" t="str">
        <f>IFERROR(INDEX('Disagg.1A_import-export'!D$7:D$200,MATCH($A93,'Disagg.1A_import-export'!$B$7:$B$200,0)),"")</f>
        <v/>
      </c>
      <c r="C93" s="1028" t="str">
        <f>IF(B93="","",IFERROR(INDEX('Disagg.1A_import-export'!E$7:E$13,MATCH($A93,'Disagg.1A_import-export'!$B$7:$B$13,0)),""))</f>
        <v/>
      </c>
      <c r="D93" s="1028" t="str">
        <f>IF(B93="","",IFERROR(IF(INDEX('Disagg.1A_import-export'!I$7:I$13,MATCH($A93,'Disagg.1A_import-export'!$B$7:$B$13,0))="","",INDEX('Disagg.1A_import-export'!I$7:I$13,MATCH($A93,'Disagg.1A_import-export'!$B$7:$B$13,0))),""))</f>
        <v/>
      </c>
      <c r="E93" s="1028" t="str">
        <f>IF(B93="","",IFERROR(IF(INDEX('Disagg.1A_import-export'!J$7:J$13,MATCH($A93,'Disagg.1A_import-export'!$B$7:$B$13,0))="","",INDEX('Disagg.1A_import-export'!J$7:J$13,MATCH($A93,'Disagg.1A_import-export'!$B$7:$B$13,0))),""))</f>
        <v/>
      </c>
      <c r="F93" s="1028" t="str">
        <f>IF(B93="","",IFERROR(IF(INDEX('Disagg.1A_import-export'!K$7:K$13,MATCH($A93,'Disagg.1A_import-export'!$B$7:$B$13,0))="","",INDEX('Disagg.1A_import-export'!K$7:K$13,MATCH($A93,'Disagg.1A_import-export'!$B$7:$B$13,0))),""))</f>
        <v/>
      </c>
      <c r="G93" s="1028" t="str">
        <f>IF(B93="","",IFERROR(IF(INDEX('Disagg.1A_import-export'!L$7:L$13,MATCH($A93,'Disagg.1A_import-export'!$B$7:$B$13,0))="","",INDEX('Disagg.1A_import-export'!L$7:L$13,MATCH($A93,'Disagg.1A_import-export'!$B$7:$B$13,0))),""))</f>
        <v/>
      </c>
      <c r="H93" s="1028" t="str">
        <f>IF(B93="","",IFERROR(IF(INDEX('Disagg.1A_import-export'!M$7:M$13,MATCH($A93,'Disagg.1A_import-export'!$B$7:$B$13,0))="","",INDEX('Disagg.1A_import-export'!M$7:M$13,MATCH($A93,'Disagg.1A_import-export'!$B$7:$B$13,0))),""))</f>
        <v/>
      </c>
      <c r="I93" s="1028" t="str">
        <f>IF(B93="","",IFERROR(IF(INDEX('Disagg.1A_import-export'!N$7:N$13,MATCH($A93,'Disagg.1A_import-export'!$B$7:$B$13,0))="","",INDEX('Disagg.1A_import-export'!N$7:N$13,MATCH($A93,'Disagg.1A_import-export'!$B$7:$B$13,0))),""))</f>
        <v/>
      </c>
      <c r="J93" s="1028" t="str">
        <f>IF(B93="","",IFERROR(IF(INDEX('Disagg.1A_import-export'!AC$7:AC$13,MATCH($A93,'Disagg.1A_import-export'!$B$7:$B$13,0))="","",INDEX('Disagg.1A_import-export'!AC$7:AC$13,MATCH($A93,'Disagg.1A_import-export'!$B$7:$B$13,0))),""))</f>
        <v/>
      </c>
      <c r="K93" s="1064"/>
      <c r="L93" s="1065"/>
      <c r="M93" s="1065"/>
      <c r="N93" s="1066"/>
      <c r="O93" s="1067"/>
      <c r="P93" s="1065"/>
      <c r="Q93" s="1065"/>
      <c r="R93" s="1066"/>
      <c r="S93" s="1067"/>
      <c r="T93" s="1065"/>
      <c r="U93" s="1068"/>
      <c r="V93" s="1070"/>
    </row>
    <row r="94" spans="1:22" ht="15.75" thickBot="1" x14ac:dyDescent="0.25">
      <c r="A94" s="648" t="str">
        <f>IFERROR(IF(INDEX(ImpactDisaglist,MATCH(0,INDEX(COUNTIF(A$10:A93,ImpactDisaglist),0,0),0))&lt;&gt;"",INDEX(ImpactDisaglist,MATCH(0,INDEX(COUNTIF(A$10:A93,ImpactDisaglist),0,0),0)),INDEX(OutcomeDisaglist,MATCH(0,INDEX(COUNTIF(A$10:A93,OutcomeDisaglist),0,0),0))),"")</f>
        <v/>
      </c>
      <c r="B94" s="1027" t="str">
        <f>IFERROR(INDEX('Disagg.1A_import-export'!D$7:D$200,MATCH($A94,'Disagg.1A_import-export'!$B$7:$B$200,0)),"")</f>
        <v/>
      </c>
      <c r="C94" s="1028" t="str">
        <f>IF(B94="","",IFERROR(INDEX('Disagg.1A_import-export'!E$7:E$13,MATCH($A94,'Disagg.1A_import-export'!$B$7:$B$13,0)),""))</f>
        <v/>
      </c>
      <c r="D94" s="1028" t="str">
        <f>IF(B94="","",IFERROR(IF(INDEX('Disagg.1A_import-export'!I$7:I$13,MATCH($A94,'Disagg.1A_import-export'!$B$7:$B$13,0))="","",INDEX('Disagg.1A_import-export'!I$7:I$13,MATCH($A94,'Disagg.1A_import-export'!$B$7:$B$13,0))),""))</f>
        <v/>
      </c>
      <c r="E94" s="1028" t="str">
        <f>IF(B94="","",IFERROR(IF(INDEX('Disagg.1A_import-export'!J$7:J$13,MATCH($A94,'Disagg.1A_import-export'!$B$7:$B$13,0))="","",INDEX('Disagg.1A_import-export'!J$7:J$13,MATCH($A94,'Disagg.1A_import-export'!$B$7:$B$13,0))),""))</f>
        <v/>
      </c>
      <c r="F94" s="1028" t="str">
        <f>IF(B94="","",IFERROR(IF(INDEX('Disagg.1A_import-export'!K$7:K$13,MATCH($A94,'Disagg.1A_import-export'!$B$7:$B$13,0))="","",INDEX('Disagg.1A_import-export'!K$7:K$13,MATCH($A94,'Disagg.1A_import-export'!$B$7:$B$13,0))),""))</f>
        <v/>
      </c>
      <c r="G94" s="1028" t="str">
        <f>IF(B94="","",IFERROR(IF(INDEX('Disagg.1A_import-export'!L$7:L$13,MATCH($A94,'Disagg.1A_import-export'!$B$7:$B$13,0))="","",INDEX('Disagg.1A_import-export'!L$7:L$13,MATCH($A94,'Disagg.1A_import-export'!$B$7:$B$13,0))),""))</f>
        <v/>
      </c>
      <c r="H94" s="1028" t="str">
        <f>IF(B94="","",IFERROR(IF(INDEX('Disagg.1A_import-export'!M$7:M$13,MATCH($A94,'Disagg.1A_import-export'!$B$7:$B$13,0))="","",INDEX('Disagg.1A_import-export'!M$7:M$13,MATCH($A94,'Disagg.1A_import-export'!$B$7:$B$13,0))),""))</f>
        <v/>
      </c>
      <c r="I94" s="1028" t="str">
        <f>IF(B94="","",IFERROR(IF(INDEX('Disagg.1A_import-export'!N$7:N$13,MATCH($A94,'Disagg.1A_import-export'!$B$7:$B$13,0))="","",INDEX('Disagg.1A_import-export'!N$7:N$13,MATCH($A94,'Disagg.1A_import-export'!$B$7:$B$13,0))),""))</f>
        <v/>
      </c>
      <c r="J94" s="1028" t="str">
        <f>IF(B94="","",IFERROR(IF(INDEX('Disagg.1A_import-export'!AC$7:AC$13,MATCH($A94,'Disagg.1A_import-export'!$B$7:$B$13,0))="","",INDEX('Disagg.1A_import-export'!AC$7:AC$13,MATCH($A94,'Disagg.1A_import-export'!$B$7:$B$13,0))),""))</f>
        <v/>
      </c>
      <c r="K94" s="1064"/>
      <c r="L94" s="1065"/>
      <c r="M94" s="1065"/>
      <c r="N94" s="1066"/>
      <c r="O94" s="1067"/>
      <c r="P94" s="1065"/>
      <c r="Q94" s="1065"/>
      <c r="R94" s="1066"/>
      <c r="S94" s="1067"/>
      <c r="T94" s="1065"/>
      <c r="U94" s="1068"/>
      <c r="V94" s="1070"/>
    </row>
    <row r="95" spans="1:22" ht="15.75" thickBot="1" x14ac:dyDescent="0.25">
      <c r="A95" s="648" t="str">
        <f>IFERROR(IF(INDEX(ImpactDisaglist,MATCH(0,INDEX(COUNTIF(A$10:A94,ImpactDisaglist),0,0),0))&lt;&gt;"",INDEX(ImpactDisaglist,MATCH(0,INDEX(COUNTIF(A$10:A94,ImpactDisaglist),0,0),0)),INDEX(OutcomeDisaglist,MATCH(0,INDEX(COUNTIF(A$10:A94,OutcomeDisaglist),0,0),0))),"")</f>
        <v/>
      </c>
      <c r="B95" s="1027" t="str">
        <f>IFERROR(INDEX('Disagg.1A_import-export'!D$7:D$200,MATCH($A95,'Disagg.1A_import-export'!$B$7:$B$200,0)),"")</f>
        <v/>
      </c>
      <c r="C95" s="1028" t="str">
        <f>IF(B95="","",IFERROR(INDEX('Disagg.1A_import-export'!E$7:E$13,MATCH($A95,'Disagg.1A_import-export'!$B$7:$B$13,0)),""))</f>
        <v/>
      </c>
      <c r="D95" s="1028" t="str">
        <f>IF(B95="","",IFERROR(IF(INDEX('Disagg.1A_import-export'!I$7:I$13,MATCH($A95,'Disagg.1A_import-export'!$B$7:$B$13,0))="","",INDEX('Disagg.1A_import-export'!I$7:I$13,MATCH($A95,'Disagg.1A_import-export'!$B$7:$B$13,0))),""))</f>
        <v/>
      </c>
      <c r="E95" s="1028" t="str">
        <f>IF(B95="","",IFERROR(IF(INDEX('Disagg.1A_import-export'!J$7:J$13,MATCH($A95,'Disagg.1A_import-export'!$B$7:$B$13,0))="","",INDEX('Disagg.1A_import-export'!J$7:J$13,MATCH($A95,'Disagg.1A_import-export'!$B$7:$B$13,0))),""))</f>
        <v/>
      </c>
      <c r="F95" s="1028" t="str">
        <f>IF(B95="","",IFERROR(IF(INDEX('Disagg.1A_import-export'!K$7:K$13,MATCH($A95,'Disagg.1A_import-export'!$B$7:$B$13,0))="","",INDEX('Disagg.1A_import-export'!K$7:K$13,MATCH($A95,'Disagg.1A_import-export'!$B$7:$B$13,0))),""))</f>
        <v/>
      </c>
      <c r="G95" s="1028" t="str">
        <f>IF(B95="","",IFERROR(IF(INDEX('Disagg.1A_import-export'!L$7:L$13,MATCH($A95,'Disagg.1A_import-export'!$B$7:$B$13,0))="","",INDEX('Disagg.1A_import-export'!L$7:L$13,MATCH($A95,'Disagg.1A_import-export'!$B$7:$B$13,0))),""))</f>
        <v/>
      </c>
      <c r="H95" s="1028" t="str">
        <f>IF(B95="","",IFERROR(IF(INDEX('Disagg.1A_import-export'!M$7:M$13,MATCH($A95,'Disagg.1A_import-export'!$B$7:$B$13,0))="","",INDEX('Disagg.1A_import-export'!M$7:M$13,MATCH($A95,'Disagg.1A_import-export'!$B$7:$B$13,0))),""))</f>
        <v/>
      </c>
      <c r="I95" s="1028" t="str">
        <f>IF(B95="","",IFERROR(IF(INDEX('Disagg.1A_import-export'!N$7:N$13,MATCH($A95,'Disagg.1A_import-export'!$B$7:$B$13,0))="","",INDEX('Disagg.1A_import-export'!N$7:N$13,MATCH($A95,'Disagg.1A_import-export'!$B$7:$B$13,0))),""))</f>
        <v/>
      </c>
      <c r="J95" s="1028" t="str">
        <f>IF(B95="","",IFERROR(IF(INDEX('Disagg.1A_import-export'!AC$7:AC$13,MATCH($A95,'Disagg.1A_import-export'!$B$7:$B$13,0))="","",INDEX('Disagg.1A_import-export'!AC$7:AC$13,MATCH($A95,'Disagg.1A_import-export'!$B$7:$B$13,0))),""))</f>
        <v/>
      </c>
      <c r="K95" s="1064"/>
      <c r="L95" s="1065"/>
      <c r="M95" s="1065"/>
      <c r="N95" s="1066"/>
      <c r="O95" s="1067"/>
      <c r="P95" s="1065"/>
      <c r="Q95" s="1065"/>
      <c r="R95" s="1066"/>
      <c r="S95" s="1067"/>
      <c r="T95" s="1065"/>
      <c r="U95" s="1068"/>
      <c r="V95" s="1070"/>
    </row>
    <row r="96" spans="1:22" ht="15.75" thickBot="1" x14ac:dyDescent="0.25">
      <c r="A96" s="648" t="str">
        <f>IFERROR(IF(INDEX(ImpactDisaglist,MATCH(0,INDEX(COUNTIF(A$10:A95,ImpactDisaglist),0,0),0))&lt;&gt;"",INDEX(ImpactDisaglist,MATCH(0,INDEX(COUNTIF(A$10:A95,ImpactDisaglist),0,0),0)),INDEX(OutcomeDisaglist,MATCH(0,INDEX(COUNTIF(A$10:A95,OutcomeDisaglist),0,0),0))),"")</f>
        <v/>
      </c>
      <c r="B96" s="1027" t="str">
        <f>IFERROR(INDEX('Disagg.1A_import-export'!D$7:D$200,MATCH($A96,'Disagg.1A_import-export'!$B$7:$B$200,0)),"")</f>
        <v/>
      </c>
      <c r="C96" s="1028" t="str">
        <f>IF(B96="","",IFERROR(INDEX('Disagg.1A_import-export'!E$7:E$13,MATCH($A96,'Disagg.1A_import-export'!$B$7:$B$13,0)),""))</f>
        <v/>
      </c>
      <c r="D96" s="1028" t="str">
        <f>IF(B96="","",IFERROR(IF(INDEX('Disagg.1A_import-export'!I$7:I$13,MATCH($A96,'Disagg.1A_import-export'!$B$7:$B$13,0))="","",INDEX('Disagg.1A_import-export'!I$7:I$13,MATCH($A96,'Disagg.1A_import-export'!$B$7:$B$13,0))),""))</f>
        <v/>
      </c>
      <c r="E96" s="1028" t="str">
        <f>IF(B96="","",IFERROR(IF(INDEX('Disagg.1A_import-export'!J$7:J$13,MATCH($A96,'Disagg.1A_import-export'!$B$7:$B$13,0))="","",INDEX('Disagg.1A_import-export'!J$7:J$13,MATCH($A96,'Disagg.1A_import-export'!$B$7:$B$13,0))),""))</f>
        <v/>
      </c>
      <c r="F96" s="1028" t="str">
        <f>IF(B96="","",IFERROR(IF(INDEX('Disagg.1A_import-export'!K$7:K$13,MATCH($A96,'Disagg.1A_import-export'!$B$7:$B$13,0))="","",INDEX('Disagg.1A_import-export'!K$7:K$13,MATCH($A96,'Disagg.1A_import-export'!$B$7:$B$13,0))),""))</f>
        <v/>
      </c>
      <c r="G96" s="1028" t="str">
        <f>IF(B96="","",IFERROR(IF(INDEX('Disagg.1A_import-export'!L$7:L$13,MATCH($A96,'Disagg.1A_import-export'!$B$7:$B$13,0))="","",INDEX('Disagg.1A_import-export'!L$7:L$13,MATCH($A96,'Disagg.1A_import-export'!$B$7:$B$13,0))),""))</f>
        <v/>
      </c>
      <c r="H96" s="1028" t="str">
        <f>IF(B96="","",IFERROR(IF(INDEX('Disagg.1A_import-export'!M$7:M$13,MATCH($A96,'Disagg.1A_import-export'!$B$7:$B$13,0))="","",INDEX('Disagg.1A_import-export'!M$7:M$13,MATCH($A96,'Disagg.1A_import-export'!$B$7:$B$13,0))),""))</f>
        <v/>
      </c>
      <c r="I96" s="1028" t="str">
        <f>IF(B96="","",IFERROR(IF(INDEX('Disagg.1A_import-export'!N$7:N$13,MATCH($A96,'Disagg.1A_import-export'!$B$7:$B$13,0))="","",INDEX('Disagg.1A_import-export'!N$7:N$13,MATCH($A96,'Disagg.1A_import-export'!$B$7:$B$13,0))),""))</f>
        <v/>
      </c>
      <c r="J96" s="1028" t="str">
        <f>IF(B96="","",IFERROR(IF(INDEX('Disagg.1A_import-export'!AC$7:AC$13,MATCH($A96,'Disagg.1A_import-export'!$B$7:$B$13,0))="","",INDEX('Disagg.1A_import-export'!AC$7:AC$13,MATCH($A96,'Disagg.1A_import-export'!$B$7:$B$13,0))),""))</f>
        <v/>
      </c>
      <c r="K96" s="1064"/>
      <c r="L96" s="1065"/>
      <c r="M96" s="1065"/>
      <c r="N96" s="1066"/>
      <c r="O96" s="1067"/>
      <c r="P96" s="1065"/>
      <c r="Q96" s="1065"/>
      <c r="R96" s="1066"/>
      <c r="S96" s="1067"/>
      <c r="T96" s="1065"/>
      <c r="U96" s="1068"/>
      <c r="V96" s="1070"/>
    </row>
    <row r="97" spans="1:22" ht="15.75" thickBot="1" x14ac:dyDescent="0.25">
      <c r="A97" s="648" t="str">
        <f>IFERROR(IF(INDEX(ImpactDisaglist,MATCH(0,INDEX(COUNTIF(A$10:A96,ImpactDisaglist),0,0),0))&lt;&gt;"",INDEX(ImpactDisaglist,MATCH(0,INDEX(COUNTIF(A$10:A96,ImpactDisaglist),0,0),0)),INDEX(OutcomeDisaglist,MATCH(0,INDEX(COUNTIF(A$10:A96,OutcomeDisaglist),0,0),0))),"")</f>
        <v/>
      </c>
      <c r="B97" s="1027" t="str">
        <f>IFERROR(INDEX('Disagg.1A_import-export'!D$7:D$200,MATCH($A97,'Disagg.1A_import-export'!$B$7:$B$200,0)),"")</f>
        <v/>
      </c>
      <c r="C97" s="1028" t="str">
        <f>IF(B97="","",IFERROR(INDEX('Disagg.1A_import-export'!E$7:E$13,MATCH($A97,'Disagg.1A_import-export'!$B$7:$B$13,0)),""))</f>
        <v/>
      </c>
      <c r="D97" s="1028" t="str">
        <f>IF(B97="","",IFERROR(IF(INDEX('Disagg.1A_import-export'!I$7:I$13,MATCH($A97,'Disagg.1A_import-export'!$B$7:$B$13,0))="","",INDEX('Disagg.1A_import-export'!I$7:I$13,MATCH($A97,'Disagg.1A_import-export'!$B$7:$B$13,0))),""))</f>
        <v/>
      </c>
      <c r="E97" s="1028" t="str">
        <f>IF(B97="","",IFERROR(IF(INDEX('Disagg.1A_import-export'!J$7:J$13,MATCH($A97,'Disagg.1A_import-export'!$B$7:$B$13,0))="","",INDEX('Disagg.1A_import-export'!J$7:J$13,MATCH($A97,'Disagg.1A_import-export'!$B$7:$B$13,0))),""))</f>
        <v/>
      </c>
      <c r="F97" s="1028" t="str">
        <f>IF(B97="","",IFERROR(IF(INDEX('Disagg.1A_import-export'!K$7:K$13,MATCH($A97,'Disagg.1A_import-export'!$B$7:$B$13,0))="","",INDEX('Disagg.1A_import-export'!K$7:K$13,MATCH($A97,'Disagg.1A_import-export'!$B$7:$B$13,0))),""))</f>
        <v/>
      </c>
      <c r="G97" s="1028" t="str">
        <f>IF(B97="","",IFERROR(IF(INDEX('Disagg.1A_import-export'!L$7:L$13,MATCH($A97,'Disagg.1A_import-export'!$B$7:$B$13,0))="","",INDEX('Disagg.1A_import-export'!L$7:L$13,MATCH($A97,'Disagg.1A_import-export'!$B$7:$B$13,0))),""))</f>
        <v/>
      </c>
      <c r="H97" s="1028" t="str">
        <f>IF(B97="","",IFERROR(IF(INDEX('Disagg.1A_import-export'!M$7:M$13,MATCH($A97,'Disagg.1A_import-export'!$B$7:$B$13,0))="","",INDEX('Disagg.1A_import-export'!M$7:M$13,MATCH($A97,'Disagg.1A_import-export'!$B$7:$B$13,0))),""))</f>
        <v/>
      </c>
      <c r="I97" s="1028" t="str">
        <f>IF(B97="","",IFERROR(IF(INDEX('Disagg.1A_import-export'!N$7:N$13,MATCH($A97,'Disagg.1A_import-export'!$B$7:$B$13,0))="","",INDEX('Disagg.1A_import-export'!N$7:N$13,MATCH($A97,'Disagg.1A_import-export'!$B$7:$B$13,0))),""))</f>
        <v/>
      </c>
      <c r="J97" s="1028" t="str">
        <f>IF(B97="","",IFERROR(IF(INDEX('Disagg.1A_import-export'!AC$7:AC$13,MATCH($A97,'Disagg.1A_import-export'!$B$7:$B$13,0))="","",INDEX('Disagg.1A_import-export'!AC$7:AC$13,MATCH($A97,'Disagg.1A_import-export'!$B$7:$B$13,0))),""))</f>
        <v/>
      </c>
      <c r="K97" s="1064"/>
      <c r="L97" s="1065"/>
      <c r="M97" s="1065"/>
      <c r="N97" s="1066"/>
      <c r="O97" s="1067"/>
      <c r="P97" s="1065"/>
      <c r="Q97" s="1065"/>
      <c r="R97" s="1066"/>
      <c r="S97" s="1067"/>
      <c r="T97" s="1065"/>
      <c r="U97" s="1068"/>
      <c r="V97" s="1070"/>
    </row>
    <row r="98" spans="1:22" ht="15.75" thickBot="1" x14ac:dyDescent="0.25">
      <c r="A98" s="648" t="str">
        <f>IFERROR(IF(INDEX(ImpactDisaglist,MATCH(0,INDEX(COUNTIF(A$10:A97,ImpactDisaglist),0,0),0))&lt;&gt;"",INDEX(ImpactDisaglist,MATCH(0,INDEX(COUNTIF(A$10:A97,ImpactDisaglist),0,0),0)),INDEX(OutcomeDisaglist,MATCH(0,INDEX(COUNTIF(A$10:A97,OutcomeDisaglist),0,0),0))),"")</f>
        <v/>
      </c>
      <c r="B98" s="1027" t="str">
        <f>IFERROR(INDEX('Disagg.1A_import-export'!D$7:D$200,MATCH($A98,'Disagg.1A_import-export'!$B$7:$B$200,0)),"")</f>
        <v/>
      </c>
      <c r="C98" s="1028" t="str">
        <f>IF(B98="","",IFERROR(INDEX('Disagg.1A_import-export'!E$7:E$13,MATCH($A98,'Disagg.1A_import-export'!$B$7:$B$13,0)),""))</f>
        <v/>
      </c>
      <c r="D98" s="1028" t="str">
        <f>IF(B98="","",IFERROR(IF(INDEX('Disagg.1A_import-export'!I$7:I$13,MATCH($A98,'Disagg.1A_import-export'!$B$7:$B$13,0))="","",INDEX('Disagg.1A_import-export'!I$7:I$13,MATCH($A98,'Disagg.1A_import-export'!$B$7:$B$13,0))),""))</f>
        <v/>
      </c>
      <c r="E98" s="1028" t="str">
        <f>IF(B98="","",IFERROR(IF(INDEX('Disagg.1A_import-export'!J$7:J$13,MATCH($A98,'Disagg.1A_import-export'!$B$7:$B$13,0))="","",INDEX('Disagg.1A_import-export'!J$7:J$13,MATCH($A98,'Disagg.1A_import-export'!$B$7:$B$13,0))),""))</f>
        <v/>
      </c>
      <c r="F98" s="1028" t="str">
        <f>IF(B98="","",IFERROR(IF(INDEX('Disagg.1A_import-export'!K$7:K$13,MATCH($A98,'Disagg.1A_import-export'!$B$7:$B$13,0))="","",INDEX('Disagg.1A_import-export'!K$7:K$13,MATCH($A98,'Disagg.1A_import-export'!$B$7:$B$13,0))),""))</f>
        <v/>
      </c>
      <c r="G98" s="1028" t="str">
        <f>IF(B98="","",IFERROR(IF(INDEX('Disagg.1A_import-export'!L$7:L$13,MATCH($A98,'Disagg.1A_import-export'!$B$7:$B$13,0))="","",INDEX('Disagg.1A_import-export'!L$7:L$13,MATCH($A98,'Disagg.1A_import-export'!$B$7:$B$13,0))),""))</f>
        <v/>
      </c>
      <c r="H98" s="1028" t="str">
        <f>IF(B98="","",IFERROR(IF(INDEX('Disagg.1A_import-export'!M$7:M$13,MATCH($A98,'Disagg.1A_import-export'!$B$7:$B$13,0))="","",INDEX('Disagg.1A_import-export'!M$7:M$13,MATCH($A98,'Disagg.1A_import-export'!$B$7:$B$13,0))),""))</f>
        <v/>
      </c>
      <c r="I98" s="1028" t="str">
        <f>IF(B98="","",IFERROR(IF(INDEX('Disagg.1A_import-export'!N$7:N$13,MATCH($A98,'Disagg.1A_import-export'!$B$7:$B$13,0))="","",INDEX('Disagg.1A_import-export'!N$7:N$13,MATCH($A98,'Disagg.1A_import-export'!$B$7:$B$13,0))),""))</f>
        <v/>
      </c>
      <c r="J98" s="1028" t="str">
        <f>IF(B98="","",IFERROR(IF(INDEX('Disagg.1A_import-export'!AC$7:AC$13,MATCH($A98,'Disagg.1A_import-export'!$B$7:$B$13,0))="","",INDEX('Disagg.1A_import-export'!AC$7:AC$13,MATCH($A98,'Disagg.1A_import-export'!$B$7:$B$13,0))),""))</f>
        <v/>
      </c>
      <c r="K98" s="1064"/>
      <c r="L98" s="1065"/>
      <c r="M98" s="1065"/>
      <c r="N98" s="1066"/>
      <c r="O98" s="1067"/>
      <c r="P98" s="1065"/>
      <c r="Q98" s="1065"/>
      <c r="R98" s="1066"/>
      <c r="S98" s="1067"/>
      <c r="T98" s="1065"/>
      <c r="U98" s="1068"/>
      <c r="V98" s="1070"/>
    </row>
    <row r="99" spans="1:22" ht="15.75" thickBot="1" x14ac:dyDescent="0.25">
      <c r="A99" s="648" t="str">
        <f>IFERROR(IF(INDEX(ImpactDisaglist,MATCH(0,INDEX(COUNTIF(A$10:A98,ImpactDisaglist),0,0),0))&lt;&gt;"",INDEX(ImpactDisaglist,MATCH(0,INDEX(COUNTIF(A$10:A98,ImpactDisaglist),0,0),0)),INDEX(OutcomeDisaglist,MATCH(0,INDEX(COUNTIF(A$10:A98,OutcomeDisaglist),0,0),0))),"")</f>
        <v/>
      </c>
      <c r="B99" s="1027" t="str">
        <f>IFERROR(INDEX('Disagg.1A_import-export'!D$7:D$200,MATCH($A99,'Disagg.1A_import-export'!$B$7:$B$200,0)),"")</f>
        <v/>
      </c>
      <c r="C99" s="1028" t="str">
        <f>IF(B99="","",IFERROR(INDEX('Disagg.1A_import-export'!E$7:E$13,MATCH($A99,'Disagg.1A_import-export'!$B$7:$B$13,0)),""))</f>
        <v/>
      </c>
      <c r="D99" s="1028" t="str">
        <f>IF(B99="","",IFERROR(IF(INDEX('Disagg.1A_import-export'!I$7:I$13,MATCH($A99,'Disagg.1A_import-export'!$B$7:$B$13,0))="","",INDEX('Disagg.1A_import-export'!I$7:I$13,MATCH($A99,'Disagg.1A_import-export'!$B$7:$B$13,0))),""))</f>
        <v/>
      </c>
      <c r="E99" s="1028" t="str">
        <f>IF(B99="","",IFERROR(IF(INDEX('Disagg.1A_import-export'!J$7:J$13,MATCH($A99,'Disagg.1A_import-export'!$B$7:$B$13,0))="","",INDEX('Disagg.1A_import-export'!J$7:J$13,MATCH($A99,'Disagg.1A_import-export'!$B$7:$B$13,0))),""))</f>
        <v/>
      </c>
      <c r="F99" s="1028" t="str">
        <f>IF(B99="","",IFERROR(IF(INDEX('Disagg.1A_import-export'!K$7:K$13,MATCH($A99,'Disagg.1A_import-export'!$B$7:$B$13,0))="","",INDEX('Disagg.1A_import-export'!K$7:K$13,MATCH($A99,'Disagg.1A_import-export'!$B$7:$B$13,0))),""))</f>
        <v/>
      </c>
      <c r="G99" s="1028" t="str">
        <f>IF(B99="","",IFERROR(IF(INDEX('Disagg.1A_import-export'!L$7:L$13,MATCH($A99,'Disagg.1A_import-export'!$B$7:$B$13,0))="","",INDEX('Disagg.1A_import-export'!L$7:L$13,MATCH($A99,'Disagg.1A_import-export'!$B$7:$B$13,0))),""))</f>
        <v/>
      </c>
      <c r="H99" s="1028" t="str">
        <f>IF(B99="","",IFERROR(IF(INDEX('Disagg.1A_import-export'!M$7:M$13,MATCH($A99,'Disagg.1A_import-export'!$B$7:$B$13,0))="","",INDEX('Disagg.1A_import-export'!M$7:M$13,MATCH($A99,'Disagg.1A_import-export'!$B$7:$B$13,0))),""))</f>
        <v/>
      </c>
      <c r="I99" s="1028" t="str">
        <f>IF(B99="","",IFERROR(IF(INDEX('Disagg.1A_import-export'!N$7:N$13,MATCH($A99,'Disagg.1A_import-export'!$B$7:$B$13,0))="","",INDEX('Disagg.1A_import-export'!N$7:N$13,MATCH($A99,'Disagg.1A_import-export'!$B$7:$B$13,0))),""))</f>
        <v/>
      </c>
      <c r="J99" s="1028" t="str">
        <f>IF(B99="","",IFERROR(IF(INDEX('Disagg.1A_import-export'!AC$7:AC$13,MATCH($A99,'Disagg.1A_import-export'!$B$7:$B$13,0))="","",INDEX('Disagg.1A_import-export'!AC$7:AC$13,MATCH($A99,'Disagg.1A_import-export'!$B$7:$B$13,0))),""))</f>
        <v/>
      </c>
      <c r="K99" s="1064"/>
      <c r="L99" s="1065"/>
      <c r="M99" s="1065"/>
      <c r="N99" s="1066"/>
      <c r="O99" s="1067"/>
      <c r="P99" s="1065"/>
      <c r="Q99" s="1065"/>
      <c r="R99" s="1066"/>
      <c r="S99" s="1067"/>
      <c r="T99" s="1065"/>
      <c r="U99" s="1068"/>
      <c r="V99" s="1070"/>
    </row>
    <row r="100" spans="1:22" ht="15.75" thickBot="1" x14ac:dyDescent="0.25">
      <c r="A100" s="648" t="str">
        <f>IFERROR(IF(INDEX(ImpactDisaglist,MATCH(0,INDEX(COUNTIF(A$10:A99,ImpactDisaglist),0,0),0))&lt;&gt;"",INDEX(ImpactDisaglist,MATCH(0,INDEX(COUNTIF(A$10:A99,ImpactDisaglist),0,0),0)),INDEX(OutcomeDisaglist,MATCH(0,INDEX(COUNTIF(A$10:A99,OutcomeDisaglist),0,0),0))),"")</f>
        <v/>
      </c>
      <c r="B100" s="1071" t="str">
        <f>IFERROR(INDEX('Disagg.1A_import-export'!D$7:D$200,MATCH($A100,'Disagg.1A_import-export'!$B$7:$B$200,0)),"")</f>
        <v/>
      </c>
      <c r="C100" s="1043" t="str">
        <f>IF(B100="","",IFERROR(INDEX('Disagg.1A_import-export'!E$7:E$13,MATCH($A100,'Disagg.1A_import-export'!$B$7:$B$13,0)),""))</f>
        <v/>
      </c>
      <c r="D100" s="1043" t="str">
        <f>IF(B100="","",IFERROR(IF(INDEX('Disagg.1A_import-export'!I$7:I$13,MATCH($A100,'Disagg.1A_import-export'!$B$7:$B$13,0))="","",INDEX('Disagg.1A_import-export'!I$7:I$13,MATCH($A100,'Disagg.1A_import-export'!$B$7:$B$13,0))),""))</f>
        <v/>
      </c>
      <c r="E100" s="1043" t="str">
        <f>IF(B100="","",IFERROR(IF(INDEX('Disagg.1A_import-export'!J$7:J$13,MATCH($A100,'Disagg.1A_import-export'!$B$7:$B$13,0))="","",INDEX('Disagg.1A_import-export'!J$7:J$13,MATCH($A100,'Disagg.1A_import-export'!$B$7:$B$13,0))),""))</f>
        <v/>
      </c>
      <c r="F100" s="1043" t="str">
        <f>IF(B100="","",IFERROR(IF(INDEX('Disagg.1A_import-export'!K$7:K$13,MATCH($A100,'Disagg.1A_import-export'!$B$7:$B$13,0))="","",INDEX('Disagg.1A_import-export'!K$7:K$13,MATCH($A100,'Disagg.1A_import-export'!$B$7:$B$13,0))),""))</f>
        <v/>
      </c>
      <c r="G100" s="1043" t="str">
        <f>IF(B100="","",IFERROR(IF(INDEX('Disagg.1A_import-export'!L$7:L$13,MATCH($A100,'Disagg.1A_import-export'!$B$7:$B$13,0))="","",INDEX('Disagg.1A_import-export'!L$7:L$13,MATCH($A100,'Disagg.1A_import-export'!$B$7:$B$13,0))),""))</f>
        <v/>
      </c>
      <c r="H100" s="1043" t="str">
        <f>IF(B100="","",IFERROR(IF(INDEX('Disagg.1A_import-export'!M$7:M$13,MATCH($A100,'Disagg.1A_import-export'!$B$7:$B$13,0))="","",INDEX('Disagg.1A_import-export'!M$7:M$13,MATCH($A100,'Disagg.1A_import-export'!$B$7:$B$13,0))),""))</f>
        <v/>
      </c>
      <c r="I100" s="1043" t="str">
        <f>IF(B100="","",IFERROR(IF(INDEX('Disagg.1A_import-export'!N$7:N$13,MATCH($A100,'Disagg.1A_import-export'!$B$7:$B$13,0))="","",INDEX('Disagg.1A_import-export'!N$7:N$13,MATCH($A100,'Disagg.1A_import-export'!$B$7:$B$13,0))),""))</f>
        <v/>
      </c>
      <c r="J100" s="1028" t="str">
        <f>IF(B100="","",IFERROR(IF(INDEX('Disagg.1A_import-export'!AC$7:AC$13,MATCH($A100,'Disagg.1A_import-export'!$B$7:$B$13,0))="","",INDEX('Disagg.1A_import-export'!AC$7:AC$13,MATCH($A100,'Disagg.1A_import-export'!$B$7:$B$13,0))),""))</f>
        <v/>
      </c>
      <c r="K100" s="1072"/>
      <c r="L100" s="1073"/>
      <c r="M100" s="1073"/>
      <c r="N100" s="1074"/>
      <c r="O100" s="1075"/>
      <c r="P100" s="1073"/>
      <c r="Q100" s="1073"/>
      <c r="R100" s="1074"/>
      <c r="S100" s="1075"/>
      <c r="T100" s="1073"/>
      <c r="U100" s="1076"/>
      <c r="V100" s="1070"/>
    </row>
  </sheetData>
  <sheetProtection algorithmName="SHA-512" hashValue="z29qmLazknrObDTmW7WvVpcN8qejNA/K3oUCamdhPB8azbWAuksEfc64AkdhfFpXHRYBfHBP+6MWbJ6jIpsUUg==" saltValue="a3yUDfMzs822jOiRTmAuTw==" spinCount="100000" sheet="1" formatColumns="0" formatRows="0" autoFilter="0"/>
  <autoFilter ref="B9:V51" xr:uid="{00000000-0009-0000-0000-000006000000}">
    <filterColumn colId="4" showButton="0"/>
    <filterColumn colId="5" showButton="0"/>
    <filterColumn colId="9" showButton="0"/>
    <filterColumn colId="13" showButton="0"/>
    <filterColumn colId="17" showButton="0"/>
  </autoFilter>
  <mergeCells count="17">
    <mergeCell ref="V9:V10"/>
    <mergeCell ref="E9:E10"/>
    <mergeCell ref="F9:H9"/>
    <mergeCell ref="I9:I10"/>
    <mergeCell ref="O9:P9"/>
    <mergeCell ref="Q9:Q10"/>
    <mergeCell ref="R9:R10"/>
    <mergeCell ref="S9:T9"/>
    <mergeCell ref="K9:L9"/>
    <mergeCell ref="M9:M10"/>
    <mergeCell ref="N9:N10"/>
    <mergeCell ref="J9:J10"/>
    <mergeCell ref="B5:Q5"/>
    <mergeCell ref="B9:B10"/>
    <mergeCell ref="C9:C10"/>
    <mergeCell ref="D9:D10"/>
    <mergeCell ref="U9:U10"/>
  </mergeCells>
  <dataValidations count="1">
    <dataValidation type="list" allowBlank="1" showInputMessage="1" showErrorMessage="1" sqref="L11:L100 P11:P100 T11:T100" xr:uid="{00000000-0002-0000-0600-000000000000}">
      <formula1>Source</formula1>
    </dataValidation>
  </dataValidations>
  <pageMargins left="0.7" right="0.7" top="0.75" bottom="0.75" header="0.3" footer="0.3"/>
  <pageSetup paperSize="8"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0"/>
  </sheetPr>
  <dimension ref="A1:AM21"/>
  <sheetViews>
    <sheetView topLeftCell="K1" zoomScale="55" zoomScaleNormal="55" workbookViewId="0">
      <selection activeCell="R7" sqref="R7"/>
    </sheetView>
  </sheetViews>
  <sheetFormatPr baseColWidth="10" defaultColWidth="9.140625" defaultRowHeight="15.75" x14ac:dyDescent="0.25"/>
  <cols>
    <col min="1" max="1" width="16.140625" style="34" bestFit="1" customWidth="1"/>
    <col min="2" max="2" width="14.85546875" style="33" bestFit="1" customWidth="1"/>
    <col min="4" max="4" width="15.140625" style="33" customWidth="1"/>
    <col min="5" max="6" width="43.85546875" style="33" customWidth="1"/>
    <col min="7" max="7" width="58.140625" style="33" bestFit="1" customWidth="1"/>
    <col min="8" max="8" width="59.5703125" style="33" bestFit="1" customWidth="1"/>
    <col min="9" max="9" width="21.5703125" style="33" bestFit="1" customWidth="1"/>
    <col min="10" max="10" width="14.140625" style="33" bestFit="1" customWidth="1"/>
    <col min="11" max="11" width="8.140625" style="33" customWidth="1"/>
    <col min="12" max="12" width="24.140625" style="33" customWidth="1"/>
    <col min="13" max="13" width="23.85546875" style="33" customWidth="1"/>
    <col min="14" max="14" width="17.42578125" style="33" customWidth="1"/>
    <col min="15" max="15" width="35.5703125" style="33" customWidth="1"/>
    <col min="16" max="16" width="15.140625" style="33" customWidth="1"/>
    <col min="17" max="17" width="11.85546875" style="33" customWidth="1"/>
    <col min="18" max="19" width="42.140625" style="33" customWidth="1"/>
    <col min="20" max="20" width="16.140625" style="33" customWidth="1"/>
    <col min="21" max="21" width="15.5703125" style="33" customWidth="1"/>
    <col min="22" max="23" width="52.5703125" style="33" customWidth="1"/>
    <col min="24" max="25" width="33.85546875" style="33" bestFit="1" customWidth="1"/>
    <col min="26" max="26" width="43.42578125" style="33" customWidth="1"/>
    <col min="27" max="27" width="45.5703125" style="33" customWidth="1"/>
    <col min="28" max="28" width="36.140625" style="33" customWidth="1"/>
    <col min="29" max="29" width="25.42578125" style="33" bestFit="1" customWidth="1"/>
    <col min="30" max="30" width="25.140625" style="33" bestFit="1" customWidth="1"/>
    <col min="31" max="33" width="9.140625" style="33"/>
    <col min="34" max="34" width="25.85546875" style="33" bestFit="1" customWidth="1"/>
    <col min="35" max="35" width="26" style="33" bestFit="1" customWidth="1"/>
    <col min="36" max="37" width="18.140625" style="33" bestFit="1" customWidth="1"/>
    <col min="38" max="38" width="23.5703125" style="33" bestFit="1" customWidth="1"/>
    <col min="39" max="39" width="30.140625" style="33" bestFit="1" customWidth="1"/>
    <col min="40" max="16384" width="9.140625" style="33"/>
  </cols>
  <sheetData>
    <row r="1" spans="1:39" x14ac:dyDescent="0.25">
      <c r="D1" s="34"/>
      <c r="E1" s="34"/>
      <c r="F1" s="34"/>
      <c r="G1" s="34"/>
      <c r="H1" s="34"/>
      <c r="I1" s="34"/>
      <c r="J1" s="34"/>
      <c r="K1" s="34"/>
      <c r="L1" s="34"/>
      <c r="M1" s="34"/>
      <c r="N1" s="34"/>
      <c r="O1" s="34"/>
      <c r="P1" s="34"/>
      <c r="Q1" s="34"/>
      <c r="R1" s="34"/>
      <c r="S1" s="34"/>
      <c r="T1" s="34"/>
      <c r="U1" s="34"/>
      <c r="V1" s="34"/>
      <c r="W1" s="34"/>
      <c r="X1" s="34"/>
      <c r="Y1" s="34"/>
      <c r="Z1" s="34"/>
      <c r="AA1" s="34"/>
    </row>
    <row r="2" spans="1:39" ht="90.75" customHeight="1" x14ac:dyDescent="0.25">
      <c r="A2" s="408"/>
      <c r="D2" s="1460" t="s">
        <v>285</v>
      </c>
      <c r="E2" s="1461"/>
      <c r="F2" s="1461"/>
      <c r="G2" s="1461"/>
      <c r="H2" s="1461"/>
      <c r="I2" s="1461"/>
      <c r="J2" s="1461"/>
      <c r="K2" s="1461"/>
      <c r="L2" s="1461"/>
      <c r="M2" s="1461"/>
      <c r="N2" s="1461"/>
      <c r="O2" s="1461"/>
      <c r="P2" s="1461"/>
      <c r="Q2" s="1461"/>
      <c r="R2" s="1461"/>
      <c r="S2" s="1461"/>
      <c r="T2" s="1461"/>
      <c r="U2" s="1461"/>
      <c r="V2" s="1461"/>
      <c r="W2" s="1017"/>
      <c r="X2" s="1018"/>
      <c r="Y2" s="1018"/>
      <c r="Z2" s="1018"/>
      <c r="AA2" s="1019"/>
    </row>
    <row r="3" spans="1:39" x14ac:dyDescent="0.25">
      <c r="D3" s="34"/>
      <c r="E3" s="34"/>
      <c r="F3" s="34"/>
      <c r="G3" s="34"/>
      <c r="H3" s="34"/>
      <c r="I3" s="34"/>
      <c r="J3" s="34"/>
      <c r="K3" s="34"/>
      <c r="L3" s="34"/>
      <c r="M3" s="34"/>
      <c r="N3" s="34"/>
      <c r="O3" s="34"/>
      <c r="P3" s="34"/>
      <c r="Q3" s="34"/>
      <c r="R3" s="34"/>
      <c r="S3" s="34"/>
      <c r="T3" s="34"/>
      <c r="U3" s="34"/>
      <c r="V3" s="34"/>
      <c r="W3" s="34"/>
      <c r="X3" s="34"/>
      <c r="Y3" s="34"/>
      <c r="Z3" s="34"/>
      <c r="AA3" s="34"/>
    </row>
    <row r="4" spans="1:39" ht="18.75" customHeight="1" thickBot="1" x14ac:dyDescent="0.3">
      <c r="D4" s="36"/>
      <c r="E4" s="37"/>
      <c r="F4" s="404"/>
      <c r="G4" s="37"/>
      <c r="H4" s="37"/>
      <c r="I4" s="37"/>
      <c r="J4" s="37"/>
      <c r="K4" s="37"/>
      <c r="L4" s="37"/>
      <c r="M4" s="37"/>
      <c r="N4" s="37"/>
      <c r="O4" s="404"/>
      <c r="P4" s="37"/>
      <c r="Q4" s="37"/>
      <c r="R4" s="37"/>
      <c r="S4" s="404"/>
      <c r="T4" s="37"/>
      <c r="U4" s="37"/>
      <c r="V4" s="37"/>
      <c r="W4" s="37"/>
      <c r="X4" s="404"/>
      <c r="Y4" s="404"/>
      <c r="Z4" s="37"/>
      <c r="AA4" s="37"/>
    </row>
    <row r="5" spans="1:39" ht="28.5" customHeight="1" x14ac:dyDescent="0.25">
      <c r="A5" s="42"/>
      <c r="B5" s="1450"/>
      <c r="D5" s="1438" t="s">
        <v>148</v>
      </c>
      <c r="E5" s="1433" t="s">
        <v>150</v>
      </c>
      <c r="F5" s="1433" t="s">
        <v>286</v>
      </c>
      <c r="G5" s="1433" t="s">
        <v>287</v>
      </c>
      <c r="H5" s="1433" t="s">
        <v>288</v>
      </c>
      <c r="I5" s="1462" t="s">
        <v>289</v>
      </c>
      <c r="J5" s="1464" t="s">
        <v>290</v>
      </c>
      <c r="K5" s="1464" t="s">
        <v>291</v>
      </c>
      <c r="L5" s="1464"/>
      <c r="M5" s="1466"/>
      <c r="N5" s="1467" t="s">
        <v>292</v>
      </c>
      <c r="O5" s="1433" t="s">
        <v>160</v>
      </c>
      <c r="P5" s="1469" t="s">
        <v>161</v>
      </c>
      <c r="Q5" s="1470"/>
      <c r="R5" s="1419" t="s">
        <v>293</v>
      </c>
      <c r="S5" s="1419" t="s">
        <v>129</v>
      </c>
      <c r="T5" s="1442" t="s">
        <v>165</v>
      </c>
      <c r="U5" s="1443"/>
      <c r="V5" s="1421" t="s">
        <v>284</v>
      </c>
      <c r="W5" s="1433" t="s">
        <v>130</v>
      </c>
      <c r="X5" s="1451" t="s">
        <v>131</v>
      </c>
      <c r="Y5" s="1451"/>
      <c r="Z5" s="1423" t="s">
        <v>132</v>
      </c>
      <c r="AA5" s="1433" t="s">
        <v>133</v>
      </c>
      <c r="AB5" s="1433" t="s">
        <v>167</v>
      </c>
      <c r="AC5" s="1433"/>
      <c r="AD5" s="1433"/>
      <c r="AE5" s="1433"/>
      <c r="AF5" s="1433"/>
      <c r="AG5" s="1433"/>
      <c r="AH5" s="1433" t="s">
        <v>294</v>
      </c>
      <c r="AI5" s="1433" t="s">
        <v>295</v>
      </c>
      <c r="AJ5" s="1433" t="s">
        <v>296</v>
      </c>
      <c r="AK5" s="1433" t="s">
        <v>297</v>
      </c>
      <c r="AL5" s="1433" t="s">
        <v>298</v>
      </c>
      <c r="AM5" s="1433" t="s">
        <v>299</v>
      </c>
    </row>
    <row r="6" spans="1:39" ht="30" customHeight="1" x14ac:dyDescent="0.25">
      <c r="A6" s="42" t="s">
        <v>122</v>
      </c>
      <c r="B6" s="1450"/>
      <c r="C6">
        <v>-1</v>
      </c>
      <c r="D6" s="1439"/>
      <c r="E6" s="1434"/>
      <c r="F6" s="1434"/>
      <c r="G6" s="1434"/>
      <c r="H6" s="1434"/>
      <c r="I6" s="1463"/>
      <c r="J6" s="1465"/>
      <c r="K6" s="1023" t="s">
        <v>176</v>
      </c>
      <c r="L6" s="43" t="s">
        <v>177</v>
      </c>
      <c r="M6" s="43" t="s">
        <v>300</v>
      </c>
      <c r="N6" s="1468"/>
      <c r="O6" s="1434"/>
      <c r="P6" s="1024" t="s">
        <v>301</v>
      </c>
      <c r="Q6" s="1063" t="s">
        <v>302</v>
      </c>
      <c r="R6" s="1420"/>
      <c r="S6" s="1420"/>
      <c r="T6" s="1025" t="s">
        <v>303</v>
      </c>
      <c r="U6" s="1025" t="s">
        <v>22</v>
      </c>
      <c r="V6" s="1422"/>
      <c r="W6" s="1434"/>
      <c r="X6" s="1057" t="s">
        <v>169</v>
      </c>
      <c r="Y6" s="1057" t="s">
        <v>22</v>
      </c>
      <c r="Z6" s="1424"/>
      <c r="AA6" s="1434"/>
      <c r="AB6" s="1434"/>
      <c r="AC6" s="1434"/>
      <c r="AD6" s="1434"/>
      <c r="AE6" s="1434"/>
      <c r="AF6" s="1434"/>
      <c r="AG6" s="1434"/>
      <c r="AH6" s="1434" t="s">
        <v>294</v>
      </c>
      <c r="AI6" s="1434" t="s">
        <v>295</v>
      </c>
      <c r="AJ6" s="1434" t="s">
        <v>296</v>
      </c>
      <c r="AK6" s="1434" t="s">
        <v>297</v>
      </c>
      <c r="AL6" s="1434" t="s">
        <v>298</v>
      </c>
      <c r="AM6" s="1434" t="s">
        <v>299</v>
      </c>
    </row>
    <row r="7" spans="1:39" hidden="1" x14ac:dyDescent="0.25">
      <c r="B7" s="34" t="str">
        <f>IF(D7="","",C7&amp;D7)</f>
        <v/>
      </c>
      <c r="C7">
        <f>C6+1</f>
        <v>0</v>
      </c>
      <c r="D7" s="1058" t="str">
        <f>IF(A7&lt;&gt;"","Impact","")</f>
        <v/>
      </c>
      <c r="E7" s="1077" t="str">
        <f>IF(LangOffset=0,F7,IF(LangOffset=1,G7,IF(LangOffset=2,H7)))</f>
        <v>[Impact Indicator Name FR]</v>
      </c>
      <c r="F7" s="1077" t="s">
        <v>197</v>
      </c>
      <c r="G7" s="1077" t="s">
        <v>199</v>
      </c>
      <c r="H7" s="1077" t="s">
        <v>200</v>
      </c>
      <c r="I7" s="1077" t="s">
        <v>304</v>
      </c>
      <c r="J7" s="1077" t="s">
        <v>305</v>
      </c>
      <c r="K7" s="1077" t="s">
        <v>202</v>
      </c>
      <c r="L7" s="1077" t="s">
        <v>203</v>
      </c>
      <c r="M7" s="1077" t="s">
        <v>306</v>
      </c>
      <c r="N7" s="1077" t="s">
        <v>307</v>
      </c>
      <c r="O7" s="1077" t="s">
        <v>308</v>
      </c>
      <c r="P7" s="1059" t="str">
        <f>IFERROR(IF(INDEX(Disaggregation_1A!K$11:K$80,MATCH('Disagg.1A_import-export'!$B7,Disaggregation_1A!$A$11:$A$80,0))="","",INDEX(Disaggregation_1A!K$11:K$80,MATCH('Disagg.1A_import-export'!$B7,Disaggregation_1A!$A$11:$A$80,0))),"")</f>
        <v/>
      </c>
      <c r="Q7" s="1059" t="str">
        <f>IFERROR(IF(INDEX(Disaggregation_1A!L$11:L$80,MATCH('Disagg.1A_import-export'!$B7,Disaggregation_1A!$A$11:$A$80,0))="","",INDEX(Disaggregation_1A!L$11:L$80,MATCH('Disagg.1A_import-export'!$B7,Disaggregation_1A!$A$11:$A$80,0))),"")</f>
        <v/>
      </c>
      <c r="R7" s="1059" t="str">
        <f>IFERROR(IF(INDEX(Disaggregation_1A!M$11:M$80,MATCH('Disagg.1A_import-export'!$B7,Disaggregation_1A!$A$11:$A$80,0))="","",INDEX(Disaggregation_1A!M$11:M$80,MATCH('Disagg.1A_import-export'!$B7,Disaggregation_1A!$A$11:$A$80,0))),"")</f>
        <v/>
      </c>
      <c r="S7" s="1059">
        <f>IFERROR(INDEX(Disaggregation_1A!N$11:N$80,MATCH('Disagg.1A_import-export'!$B7,Disaggregation_1A!$A$11:$A$80,0)),"")</f>
        <v>0</v>
      </c>
      <c r="T7" s="1059" t="str">
        <f>IFERROR(IF(INDEX(Disaggregation_1A!O$11:O$80,MATCH('Disagg.1A_import-export'!$B7,Disaggregation_1A!$A$11:$A$80,0))="","",INDEX(Disaggregation_1A!O$11:O$80,MATCH('Disagg.1A_import-export'!$B7,Disaggregation_1A!$A$11:$A$80,0))),"")</f>
        <v/>
      </c>
      <c r="U7" s="1059" t="str">
        <f>IFERROR(IF(INDEX(Disaggregation_1A!P$11:P$80,MATCH('Disagg.1A_import-export'!$B7,Disaggregation_1A!$A$11:$A$80,0))="","",INDEX(Disaggregation_1A!P$11:P$80,MATCH('Disagg.1A_import-export'!$B7,Disaggregation_1A!$A$11:$A$80,0))),"")</f>
        <v/>
      </c>
      <c r="V7" s="1059" t="str">
        <f>IFERROR(IF(INDEX(Disaggregation_1A!Q$11:Q$80,MATCH('Disagg.1A_import-export'!$B7,Disaggregation_1A!$A$11:$A$80,0))="","",INDEX(Disaggregation_1A!Q$11:Q$80,MATCH('Disagg.1A_import-export'!$B7,Disaggregation_1A!$A$11:$A$80,0))),"")</f>
        <v/>
      </c>
      <c r="W7" s="1059">
        <f>IFERROR(INDEX(Disaggregation_1A!R$11:R$80,MATCH('Disagg.1A_import-export'!$B7,Disaggregation_1A!$A$11:$A$80,0)),"")</f>
        <v>0</v>
      </c>
      <c r="X7" s="1059">
        <f>IFERROR(INDEX(Disaggregation_1A!S$11:S$80,MATCH('Disagg.1A_import-export'!$B7,Disaggregation_1A!$A$11:$A$80,0)),"")</f>
        <v>0</v>
      </c>
      <c r="Y7" s="1059">
        <f>IFERROR(INDEX(Disaggregation_1A!T$11:T$80,MATCH('Disagg.1A_import-export'!$B7,Disaggregation_1A!$A$11:$A$80,0)),"")</f>
        <v>0</v>
      </c>
      <c r="Z7" s="1059">
        <f>IFERROR(INDEX(Disaggregation_1A!U$11:U$80,MATCH('Disagg.1A_import-export'!$B7,Disaggregation_1A!$A$11:$A$80,0)),"")</f>
        <v>0</v>
      </c>
      <c r="AA7" s="1078">
        <f>IFERROR(INDEX(Disaggregation_1A!V$11:V$80,MATCH('Disagg.1A_import-export'!$B7,Disaggregation_1A!$A$11:$A$80,0)),"")</f>
        <v>0</v>
      </c>
      <c r="AB7" s="1059" t="s">
        <v>211</v>
      </c>
      <c r="AC7" s="1059" t="s">
        <v>209</v>
      </c>
      <c r="AD7" s="1059"/>
      <c r="AE7" s="1059"/>
      <c r="AF7" s="1059"/>
      <c r="AG7" s="1059"/>
      <c r="AH7" s="1059" t="s">
        <v>309</v>
      </c>
      <c r="AI7" s="1059" t="s">
        <v>310</v>
      </c>
      <c r="AJ7" s="1059" t="s">
        <v>311</v>
      </c>
      <c r="AK7" s="1059" t="s">
        <v>312</v>
      </c>
      <c r="AL7" s="1059" t="s">
        <v>313</v>
      </c>
      <c r="AM7" s="1059" t="s">
        <v>314</v>
      </c>
    </row>
    <row r="8" spans="1:39" x14ac:dyDescent="0.25">
      <c r="D8" s="1079"/>
      <c r="E8" s="1077"/>
      <c r="F8" s="1077"/>
      <c r="G8" s="1077"/>
      <c r="H8" s="1077"/>
      <c r="I8" s="1077"/>
      <c r="J8" s="1077"/>
      <c r="K8" s="1077"/>
      <c r="L8" s="1077"/>
      <c r="M8" s="1077"/>
      <c r="N8" s="1077"/>
      <c r="O8" s="1077"/>
      <c r="P8" s="1059"/>
      <c r="Q8" s="1059"/>
      <c r="R8" s="1059"/>
      <c r="S8" s="1059"/>
      <c r="T8" s="1059"/>
      <c r="U8" s="1059" t="str">
        <f>IFERROR(IF(INDEX(Disaggregation_1A!P$11:P$80,MATCH('Disagg.1A_import-export'!$B8,Disaggregation_1A!$A$11:$A$80,0))="","",INDEX(Disaggregation_1A!P$11:P$80,MATCH('Disagg.1A_import-export'!$B8,Disaggregation_1A!$A$11:$A$80,0))),"")</f>
        <v/>
      </c>
      <c r="V8" s="1059" t="str">
        <f>IFERROR(IF(INDEX(Disaggregation_1A!Q$11:Q$80,MATCH('Disagg.1A_import-export'!$B8,Disaggregation_1A!$A$11:$A$80,0))="","",INDEX(Disaggregation_1A!Q$11:Q$80,MATCH('Disagg.1A_import-export'!$B8,Disaggregation_1A!$A$11:$A$80,0))),"")</f>
        <v/>
      </c>
      <c r="W8" s="1059"/>
      <c r="X8" s="1059"/>
      <c r="Y8" s="1059"/>
      <c r="Z8" s="1078"/>
      <c r="AA8" s="1078"/>
      <c r="AB8" s="1059"/>
      <c r="AC8" s="1059"/>
      <c r="AD8" s="1059"/>
      <c r="AE8" s="1059"/>
      <c r="AF8" s="1059"/>
      <c r="AG8" s="1059"/>
      <c r="AH8" s="1059"/>
      <c r="AI8" s="1059"/>
      <c r="AJ8" s="1059"/>
      <c r="AK8" s="1059"/>
      <c r="AL8" s="1059"/>
      <c r="AM8" s="1059"/>
    </row>
    <row r="9" spans="1:39" x14ac:dyDescent="0.25">
      <c r="D9" s="1079"/>
      <c r="E9" s="1077"/>
      <c r="F9" s="1077"/>
      <c r="G9" s="1077" t="s">
        <v>315</v>
      </c>
      <c r="H9" s="1077"/>
      <c r="I9" s="1077"/>
      <c r="J9" s="1077"/>
      <c r="K9" s="1077"/>
      <c r="L9" s="1077"/>
      <c r="M9" s="1077"/>
      <c r="N9" s="1077"/>
      <c r="O9" s="1077"/>
      <c r="P9" s="1059"/>
      <c r="Q9" s="1059"/>
      <c r="R9" s="1059"/>
      <c r="S9" s="1059"/>
      <c r="T9" s="1059"/>
      <c r="U9" s="1059"/>
      <c r="V9" s="1059" t="str">
        <f>IFERROR(IF(INDEX(Disaggregation_1A!Q$11:Q$80,MATCH('Disagg.1A_import-export'!$B9,Disaggregation_1A!$A$11:$A$80,0))="","",INDEX(Disaggregation_1A!Q$11:Q$80,MATCH('Disagg.1A_import-export'!$B9,Disaggregation_1A!$A$11:$A$80,0))),"")</f>
        <v/>
      </c>
      <c r="W9" s="1059"/>
      <c r="X9" s="1059"/>
      <c r="Y9" s="1059"/>
      <c r="Z9" s="1078"/>
      <c r="AA9" s="1078"/>
      <c r="AB9" s="1059"/>
      <c r="AC9" s="1059"/>
      <c r="AD9" s="1059"/>
      <c r="AE9" s="1059"/>
      <c r="AF9" s="1059"/>
      <c r="AG9" s="1059"/>
      <c r="AH9" s="1059"/>
      <c r="AI9" s="1059"/>
      <c r="AJ9" s="1059"/>
      <c r="AK9" s="1059"/>
      <c r="AL9" s="1059"/>
      <c r="AM9" s="1059"/>
    </row>
    <row r="10" spans="1:39" x14ac:dyDescent="0.25">
      <c r="A10" s="34" t="s">
        <v>122</v>
      </c>
      <c r="C10">
        <v>-1</v>
      </c>
      <c r="D10" s="1079"/>
      <c r="E10" s="1077"/>
      <c r="F10" s="1077" t="s">
        <v>233</v>
      </c>
      <c r="G10" s="1077" t="s">
        <v>235</v>
      </c>
      <c r="H10" s="1077" t="s">
        <v>236</v>
      </c>
      <c r="I10" s="1077" t="s">
        <v>289</v>
      </c>
      <c r="J10" s="1077" t="s">
        <v>290</v>
      </c>
      <c r="K10" s="1077" t="s">
        <v>176</v>
      </c>
      <c r="L10" s="1077" t="s">
        <v>177</v>
      </c>
      <c r="M10" s="1077" t="s">
        <v>300</v>
      </c>
      <c r="N10" s="1077" t="s">
        <v>316</v>
      </c>
      <c r="O10" s="1077" t="s">
        <v>160</v>
      </c>
      <c r="P10" s="1059" t="s">
        <v>301</v>
      </c>
      <c r="Q10" s="1059" t="s">
        <v>302</v>
      </c>
      <c r="R10" s="1059" t="s">
        <v>317</v>
      </c>
      <c r="S10" s="1059"/>
      <c r="T10" s="1059" t="s">
        <v>303</v>
      </c>
      <c r="U10" s="1059" t="s">
        <v>318</v>
      </c>
      <c r="V10" s="1059" t="s">
        <v>319</v>
      </c>
      <c r="W10" s="1059"/>
      <c r="X10" s="1059"/>
      <c r="Y10" s="1059"/>
      <c r="Z10" s="1078" t="s">
        <v>320</v>
      </c>
      <c r="AA10" s="1078"/>
      <c r="AB10" s="1059" t="s">
        <v>238</v>
      </c>
      <c r="AC10" s="1059" t="s">
        <v>182</v>
      </c>
      <c r="AD10" s="1059"/>
      <c r="AE10" s="1059"/>
      <c r="AF10" s="1059"/>
      <c r="AG10" s="1059"/>
      <c r="AH10" s="1059" t="s">
        <v>294</v>
      </c>
      <c r="AI10" s="1059" t="s">
        <v>295</v>
      </c>
      <c r="AJ10" s="1059" t="s">
        <v>296</v>
      </c>
      <c r="AK10" s="1059" t="s">
        <v>297</v>
      </c>
      <c r="AL10" s="1059" t="s">
        <v>298</v>
      </c>
      <c r="AM10" s="1059" t="s">
        <v>299</v>
      </c>
    </row>
    <row r="11" spans="1:39" hidden="1" x14ac:dyDescent="0.25">
      <c r="B11" s="34" t="str">
        <f>IF(D11="","",C11&amp;D11)</f>
        <v/>
      </c>
      <c r="C11">
        <f>C10+1</f>
        <v>0</v>
      </c>
      <c r="D11" s="1058" t="str">
        <f>IF(A11&lt;&gt;"","Outcome","")</f>
        <v/>
      </c>
      <c r="E11" s="1077" t="str">
        <f>IF(LangOffset=0,F11,IF(LangOffset=1,G11,IF(LangOffset=2,H11)))</f>
        <v>[Outcome Indicator Name FR]</v>
      </c>
      <c r="F11" s="1077" t="s">
        <v>239</v>
      </c>
      <c r="G11" s="1077" t="s">
        <v>241</v>
      </c>
      <c r="H11" s="1077" t="s">
        <v>242</v>
      </c>
      <c r="I11" s="1077" t="s">
        <v>304</v>
      </c>
      <c r="J11" s="1077" t="s">
        <v>305</v>
      </c>
      <c r="K11" s="1077" t="s">
        <v>202</v>
      </c>
      <c r="L11" s="1077" t="s">
        <v>203</v>
      </c>
      <c r="M11" s="1077" t="s">
        <v>306</v>
      </c>
      <c r="N11" s="1077" t="s">
        <v>307</v>
      </c>
      <c r="O11" s="1077" t="s">
        <v>308</v>
      </c>
      <c r="P11" s="1059" t="str">
        <f>IFERROR(IF(INDEX(Disaggregation_1A!K$11:K$80,MATCH('Disagg.1A_import-export'!$B11,Disaggregation_1A!$A$11:$A$80,0))="","",INDEX(Disaggregation_1A!K$11:K$80,MATCH('Disagg.1A_import-export'!$B11,Disaggregation_1A!$A$11:$A$80,0))),"")</f>
        <v/>
      </c>
      <c r="Q11" s="1059" t="str">
        <f>IFERROR(IF(INDEX(Disaggregation_1A!L$11:L$80,MATCH('Disagg.1A_import-export'!$B11,Disaggregation_1A!$A$11:$A$80,0))="","",INDEX(Disaggregation_1A!L$11:L$80,MATCH('Disagg.1A_import-export'!$B11,Disaggregation_1A!$A$11:$A$80,0))),"")</f>
        <v/>
      </c>
      <c r="R11" s="1059" t="str">
        <f>IFERROR(IF(INDEX(Disaggregation_1A!M$11:M$80,MATCH('Disagg.1A_import-export'!$B11,Disaggregation_1A!$A$11:$A$80,0))="","",INDEX(Disaggregation_1A!M$11:M$80,MATCH('Disagg.1A_import-export'!$B11,Disaggregation_1A!$A$11:$A$80,0))),"")</f>
        <v/>
      </c>
      <c r="S11" s="1059">
        <f>IFERROR(IF(INDEX(Disaggregation_1A!N$11:N$80,MATCH('Disagg.1A_import-export'!$B11,Disaggregation_1A!$A$11:$A$80,0))="",INDEX(Disaggregation_1A!N$11:N$80,MATCH('Disagg.1A_import-export'!$B11,Disaggregation_1A!$A$11:$A$80,0)),""),"")</f>
        <v>0</v>
      </c>
      <c r="T11" s="1059" t="str">
        <f>IFERROR(IF(INDEX(Disaggregation_1A!O$11:O$80,MATCH('Disagg.1A_import-export'!$B11,Disaggregation_1A!$A$11:$A$80,0))="","",INDEX(Disaggregation_1A!O$11:O$80,MATCH('Disagg.1A_import-export'!$B11,Disaggregation_1A!$A$11:$A$80,0))),"")</f>
        <v/>
      </c>
      <c r="U11" s="1059" t="str">
        <f>IFERROR(IF(INDEX(Disaggregation_1A!P$11:P$80,MATCH('Disagg.1A_import-export'!$B11,Disaggregation_1A!$A$11:$A$80,0))="","",INDEX(Disaggregation_1A!P$11:P$80,MATCH('Disagg.1A_import-export'!$B11,Disaggregation_1A!$A$11:$A$80,0))),"")</f>
        <v/>
      </c>
      <c r="V11" s="1059" t="str">
        <f>IFERROR(IF(INDEX(Disaggregation_1A!Q$11:Q$80,MATCH('Disagg.1A_import-export'!$B11,Disaggregation_1A!$A$11:$A$80,0))="","",INDEX(Disaggregation_1A!Q$11:Q$80,MATCH('Disagg.1A_import-export'!$B11,Disaggregation_1A!$A$11:$A$80,0))),"")</f>
        <v/>
      </c>
      <c r="W11" s="1059">
        <f>IFERROR(INDEX(Disaggregation_1A!R$11:R$80,MATCH('Disagg.1A_import-export'!$B11,Disaggregation_1A!$A$11:$A$80,0)),"")</f>
        <v>0</v>
      </c>
      <c r="X11" s="1059">
        <f>IFERROR(INDEX(Disaggregation_1A!S$11:S$80,MATCH('Disagg.1A_import-export'!$B11,Disaggregation_1A!$A$11:$A$80,0)),"")</f>
        <v>0</v>
      </c>
      <c r="Y11" s="1059">
        <f>IFERROR(INDEX(Disaggregation_1A!T$11:T$80,MATCH('Disagg.1A_import-export'!$B11,Disaggregation_1A!$A$11:$A$80,0)),"")</f>
        <v>0</v>
      </c>
      <c r="Z11" s="1059">
        <f>IFERROR(INDEX(Disaggregation_1A!U$11:U$80,MATCH('Disagg.1A_import-export'!$B11,Disaggregation_1A!$A$11:$A$80,0)),"")</f>
        <v>0</v>
      </c>
      <c r="AA11" s="1078">
        <f>IFERROR(INDEX(Disaggregation_1A!V$11:V$80,MATCH('Disagg.1A_import-export'!$B11,Disaggregation_1A!$A$11:$A$80,0)),"")</f>
        <v>0</v>
      </c>
      <c r="AB11" s="1059" t="s">
        <v>244</v>
      </c>
      <c r="AC11" s="1059" t="s">
        <v>209</v>
      </c>
      <c r="AD11" s="1059"/>
      <c r="AE11" s="1059"/>
      <c r="AF11" s="1059"/>
      <c r="AG11" s="1059"/>
      <c r="AH11" s="1059" t="s">
        <v>309</v>
      </c>
      <c r="AI11" s="1059" t="s">
        <v>310</v>
      </c>
      <c r="AJ11" s="1059" t="s">
        <v>311</v>
      </c>
      <c r="AK11" s="1059" t="s">
        <v>312</v>
      </c>
      <c r="AL11" s="1059" t="s">
        <v>313</v>
      </c>
      <c r="AM11" s="1059" t="s">
        <v>314</v>
      </c>
    </row>
    <row r="12" spans="1:39" x14ac:dyDescent="0.25">
      <c r="D12" s="1079"/>
      <c r="E12" s="1077"/>
      <c r="F12" s="1077"/>
      <c r="G12" s="1077"/>
      <c r="H12" s="1077"/>
      <c r="I12" s="1077"/>
      <c r="J12" s="1077"/>
      <c r="K12" s="1077"/>
      <c r="L12" s="1077"/>
      <c r="M12" s="1077"/>
      <c r="N12" s="1077"/>
      <c r="O12" s="1077"/>
      <c r="P12" s="1059"/>
      <c r="Q12" s="1059"/>
      <c r="R12" s="1059"/>
      <c r="S12" s="1059"/>
      <c r="T12" s="1059"/>
      <c r="U12" s="1059"/>
      <c r="V12" s="1059"/>
      <c r="W12" s="1059"/>
      <c r="X12" s="1059"/>
      <c r="Y12" s="1059"/>
      <c r="Z12" s="1078"/>
      <c r="AA12" s="1078"/>
      <c r="AB12" s="1059"/>
      <c r="AC12" s="1059"/>
      <c r="AD12" s="1059"/>
      <c r="AE12" s="1059"/>
      <c r="AF12" s="1059"/>
      <c r="AG12" s="1059"/>
      <c r="AH12" s="1059"/>
      <c r="AI12" s="1059"/>
      <c r="AJ12" s="1059"/>
      <c r="AK12" s="1059"/>
      <c r="AL12" s="1059"/>
      <c r="AM12" s="1059"/>
    </row>
    <row r="21" spans="5:5" x14ac:dyDescent="0.25">
      <c r="E21" s="33" t="s">
        <v>321</v>
      </c>
    </row>
  </sheetData>
  <mergeCells count="33">
    <mergeCell ref="B5:B6"/>
    <mergeCell ref="AA5:AA6"/>
    <mergeCell ref="F5:F6"/>
    <mergeCell ref="G5:G6"/>
    <mergeCell ref="H5:H6"/>
    <mergeCell ref="S5:S6"/>
    <mergeCell ref="T5:U5"/>
    <mergeCell ref="V5:V6"/>
    <mergeCell ref="W5:W6"/>
    <mergeCell ref="X5:Y5"/>
    <mergeCell ref="Z5:Z6"/>
    <mergeCell ref="D2:V2"/>
    <mergeCell ref="D5:D6"/>
    <mergeCell ref="E5:E6"/>
    <mergeCell ref="I5:I6"/>
    <mergeCell ref="J5:J6"/>
    <mergeCell ref="K5:M5"/>
    <mergeCell ref="N5:N6"/>
    <mergeCell ref="O5:O6"/>
    <mergeCell ref="P5:Q5"/>
    <mergeCell ref="R5:R6"/>
    <mergeCell ref="AB5:AB6"/>
    <mergeCell ref="AC5:AC6"/>
    <mergeCell ref="AD5:AD6"/>
    <mergeCell ref="AE5:AE6"/>
    <mergeCell ref="AF5:AF6"/>
    <mergeCell ref="AL5:AL6"/>
    <mergeCell ref="AM5:AM6"/>
    <mergeCell ref="AG5:AG6"/>
    <mergeCell ref="AH5:AH6"/>
    <mergeCell ref="AI5:AI6"/>
    <mergeCell ref="AJ5:AJ6"/>
    <mergeCell ref="AK5:AK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2D050"/>
  </sheetPr>
  <dimension ref="A1:AL100"/>
  <sheetViews>
    <sheetView tabSelected="1" topLeftCell="C6" zoomScale="85" zoomScaleNormal="85" workbookViewId="0">
      <selection activeCell="D11" sqref="D11"/>
    </sheetView>
  </sheetViews>
  <sheetFormatPr baseColWidth="10" defaultColWidth="9.140625" defaultRowHeight="15" x14ac:dyDescent="0.2"/>
  <cols>
    <col min="1" max="1" width="9.140625" style="33" hidden="1" customWidth="1"/>
    <col min="2" max="2" width="13.85546875" style="34" hidden="1" customWidth="1"/>
    <col min="3" max="3" width="34.140625" style="33" customWidth="1"/>
    <col min="4" max="4" width="43.85546875" style="33" customWidth="1"/>
    <col min="5" max="5" width="36.85546875" style="33" customWidth="1"/>
    <col min="6" max="6" width="31.140625" style="33" bestFit="1" customWidth="1"/>
    <col min="7" max="8" width="18" style="33" customWidth="1"/>
    <col min="9" max="10" width="20.85546875" style="33" customWidth="1"/>
    <col min="11" max="11" width="11.85546875" style="33" customWidth="1"/>
    <col min="12" max="12" width="8.5703125" style="33" bestFit="1" customWidth="1"/>
    <col min="13" max="13" width="25.28515625" style="33" customWidth="1"/>
    <col min="14" max="14" width="29.28515625" style="33" customWidth="1"/>
    <col min="15" max="15" width="20.85546875" style="33" customWidth="1"/>
    <col min="16" max="16" width="15.85546875" style="33" customWidth="1"/>
    <col min="17" max="18" width="20.85546875" style="33" customWidth="1"/>
    <col min="19" max="19" width="18" style="33" customWidth="1"/>
    <col min="20" max="20" width="22" style="33" customWidth="1"/>
    <col min="21" max="21" width="18.85546875" style="33" customWidth="1"/>
    <col min="22" max="23" width="42.140625" style="33" customWidth="1"/>
    <col min="24" max="25" width="20.85546875" style="33" customWidth="1"/>
    <col min="26" max="26" width="15.5703125" style="33" customWidth="1"/>
    <col min="27" max="27" width="13.5703125" style="33" customWidth="1"/>
    <col min="28" max="28" width="13.85546875" style="33" customWidth="1"/>
    <col min="29" max="29" width="13.42578125" style="33" customWidth="1"/>
    <col min="30" max="30" width="56.140625" style="33" customWidth="1"/>
    <col min="31" max="31" width="52.5703125" style="33" customWidth="1"/>
    <col min="32" max="33" width="20.85546875" style="33" customWidth="1"/>
    <col min="34" max="34" width="11.85546875" style="33" customWidth="1"/>
    <col min="35" max="35" width="19.140625" style="33" customWidth="1"/>
    <col min="36" max="36" width="43.42578125" style="33" customWidth="1"/>
    <col min="37" max="37" width="45.5703125" style="33" customWidth="1"/>
    <col min="38" max="16384" width="9.140625" style="33"/>
  </cols>
  <sheetData>
    <row r="1" spans="1:38" ht="45.75" customHeight="1" thickBot="1" x14ac:dyDescent="0.25">
      <c r="C1" s="38" t="str">
        <f>CoverSheet!A1</f>
        <v>Rapport périodique sur les résultats actuels et demande de décaissement</v>
      </c>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40"/>
    </row>
    <row r="2" spans="1:38" ht="13.5" customHeight="1" x14ac:dyDescent="0.2">
      <c r="C2" s="35"/>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row>
    <row r="3" spans="1:38" ht="45" customHeight="1" x14ac:dyDescent="0.2">
      <c r="C3" s="1014" t="str">
        <f>VLOOKUP(Translations!B84,Translations!B3:H508,4,0)</f>
        <v>Section 1 :  Information programmatique</v>
      </c>
      <c r="D3" s="1015"/>
      <c r="E3" s="1015"/>
      <c r="F3" s="1015"/>
      <c r="G3" s="1015"/>
      <c r="H3" s="1015"/>
      <c r="I3" s="1015"/>
      <c r="J3" s="1015"/>
      <c r="K3" s="1015"/>
      <c r="L3" s="1015"/>
      <c r="M3" s="1015"/>
      <c r="N3" s="1015"/>
      <c r="O3" s="1015"/>
      <c r="P3" s="1015"/>
      <c r="Q3" s="1015"/>
      <c r="R3" s="1015"/>
      <c r="S3" s="1015"/>
      <c r="T3" s="1015"/>
      <c r="U3" s="1015"/>
      <c r="V3" s="1015"/>
      <c r="W3" s="1015"/>
      <c r="X3" s="1015"/>
      <c r="Y3" s="1015"/>
      <c r="Z3" s="1015"/>
      <c r="AA3" s="1015"/>
      <c r="AB3" s="1015"/>
      <c r="AC3" s="1015"/>
      <c r="AD3" s="1015"/>
      <c r="AE3" s="1015"/>
      <c r="AF3" s="1015"/>
      <c r="AG3" s="1015"/>
      <c r="AH3" s="1015"/>
      <c r="AI3" s="1015"/>
      <c r="AJ3" s="1015"/>
      <c r="AK3" s="1016"/>
    </row>
    <row r="4" spans="1:38" x14ac:dyDescent="0.2">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row>
    <row r="5" spans="1:38" ht="103.5" customHeight="1" x14ac:dyDescent="0.2">
      <c r="C5" s="1428" t="s">
        <v>322</v>
      </c>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c r="AC5" s="1429"/>
      <c r="AD5" s="1429"/>
      <c r="AE5" s="1017"/>
      <c r="AF5" s="1018"/>
      <c r="AG5" s="1018"/>
      <c r="AH5" s="1018"/>
      <c r="AI5" s="1018"/>
      <c r="AJ5" s="1018"/>
      <c r="AK5" s="1019"/>
    </row>
    <row r="6" spans="1:38" x14ac:dyDescent="0.2">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row>
    <row r="7" spans="1:38" ht="39" customHeight="1" x14ac:dyDescent="0.2">
      <c r="C7" s="1020" t="str">
        <f>VLOOKUP(Translations!B86,Translations!B3:H508,4,0)</f>
        <v>B- Indicateurs de couverture</v>
      </c>
      <c r="D7" s="1021"/>
      <c r="E7" s="1021"/>
      <c r="F7" s="1021"/>
      <c r="G7" s="1021"/>
      <c r="H7" s="1021"/>
      <c r="I7" s="1021"/>
      <c r="J7" s="1021"/>
      <c r="K7" s="1021"/>
      <c r="L7" s="1021"/>
      <c r="M7" s="1021"/>
      <c r="N7" s="1021"/>
      <c r="O7" s="1021"/>
      <c r="P7" s="1021"/>
      <c r="Q7" s="1021"/>
      <c r="R7" s="1021"/>
      <c r="S7" s="1021"/>
      <c r="T7" s="1021"/>
      <c r="U7" s="1021"/>
      <c r="V7" s="1021"/>
      <c r="W7" s="1021"/>
      <c r="X7" s="1021"/>
      <c r="Y7" s="1021"/>
      <c r="Z7" s="1021"/>
      <c r="AA7" s="1021"/>
      <c r="AB7" s="1021"/>
      <c r="AC7" s="1021"/>
      <c r="AD7" s="1021"/>
      <c r="AE7" s="1021"/>
      <c r="AF7" s="1021"/>
      <c r="AG7" s="1021"/>
      <c r="AH7" s="1021"/>
      <c r="AI7" s="1021"/>
      <c r="AJ7" s="1021"/>
      <c r="AK7" s="1022"/>
    </row>
    <row r="8" spans="1:38" ht="18.75" customHeight="1" thickBot="1" x14ac:dyDescent="0.25">
      <c r="C8" s="36"/>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row>
    <row r="9" spans="1:38" ht="43.5" customHeight="1" x14ac:dyDescent="0.2">
      <c r="C9" s="1454" t="str">
        <f>VLOOKUP(Translations!B87,Translations!B3:H508,4,0)</f>
        <v>Module</v>
      </c>
      <c r="D9" s="1456" t="str">
        <f>VLOOKUP(Translations!B88,Translations!B3:H508,4,0)</f>
        <v>Indicateurs</v>
      </c>
      <c r="E9" s="410" t="s">
        <v>323</v>
      </c>
      <c r="F9" s="1456" t="str">
        <f>VLOOKUP(Translations!B91,Translations!B3:H508,4,0)</f>
        <v xml:space="preserve">Cibles cumulatives ?
</v>
      </c>
      <c r="G9" s="1456" t="s">
        <v>324</v>
      </c>
      <c r="H9" s="1433" t="str">
        <f>VLOOKUP(586,Translations!B3:H793,4,0)</f>
        <v>Géographie</v>
      </c>
      <c r="I9" s="1456" t="str">
        <f>VLOOKUP(Translations!B69,Translations!B3:H508,4,0)</f>
        <v>Référence</v>
      </c>
      <c r="J9" s="1456"/>
      <c r="K9" s="1456"/>
      <c r="L9" s="1456"/>
      <c r="M9" s="1456"/>
      <c r="N9" s="1456" t="str">
        <f>VLOOKUP(Translations!B96,Translations!B3:H508,4,0)</f>
        <v>Cible</v>
      </c>
      <c r="O9" s="1456"/>
      <c r="P9" s="1456"/>
      <c r="Q9" s="1446" t="str">
        <f>VLOOKUP(Translations!B100,Translations!B3:H508,4,0)</f>
        <v>Résultats</v>
      </c>
      <c r="R9" s="1446"/>
      <c r="S9" s="1446"/>
      <c r="T9" s="1446" t="str">
        <f>VLOOKUP(Translations!B95,Translations!B3:H508,4,0)</f>
        <v>Source</v>
      </c>
      <c r="U9" s="1446" t="str">
        <f>VLOOKUP(Translations!B105,Translations!B3:H508,4,0)</f>
        <v>Taux d'accomplissement</v>
      </c>
      <c r="V9" s="1446" t="str">
        <f>VLOOKUP(104,Translations!B3:H508,4,0)</f>
        <v>Commentaires:
Motifs de l'écart programmatique par rapport à la cible visée et des écarts par rapport aux activités connexes du plan de travail</v>
      </c>
      <c r="W9" s="1446" t="s">
        <v>129</v>
      </c>
      <c r="X9" s="1448" t="s">
        <v>165</v>
      </c>
      <c r="Y9" s="1448"/>
      <c r="Z9" s="1448"/>
      <c r="AA9" s="1448" t="s">
        <v>22</v>
      </c>
      <c r="AB9" s="1448" t="s">
        <v>325</v>
      </c>
      <c r="AC9" s="1448" t="s">
        <v>164</v>
      </c>
      <c r="AD9" s="1448" t="s">
        <v>326</v>
      </c>
      <c r="AE9" s="1448" t="s">
        <v>130</v>
      </c>
      <c r="AF9" s="1451" t="s">
        <v>131</v>
      </c>
      <c r="AG9" s="1451"/>
      <c r="AH9" s="1451"/>
      <c r="AI9" s="1451" t="s">
        <v>327</v>
      </c>
      <c r="AJ9" s="1451" t="s">
        <v>328</v>
      </c>
      <c r="AK9" s="1472" t="s">
        <v>133</v>
      </c>
    </row>
    <row r="10" spans="1:38" ht="63" customHeight="1" x14ac:dyDescent="0.2">
      <c r="C10" s="1455"/>
      <c r="D10" s="1457"/>
      <c r="E10" s="1080" t="str">
        <f>VLOOKUP(Translations!B90,Translations!B3:H508,4,0)</f>
        <v>Si infranationale, veuillez préciser dans la colonne des commentaires</v>
      </c>
      <c r="F10" s="1457"/>
      <c r="G10" s="1457"/>
      <c r="H10" s="1434"/>
      <c r="I10" s="1023" t="s">
        <v>136</v>
      </c>
      <c r="J10" s="1023" t="s">
        <v>134</v>
      </c>
      <c r="K10" s="1023" t="s">
        <v>135</v>
      </c>
      <c r="L10" s="1023" t="str">
        <f>VLOOKUP(Translations!B70,Translations!B3:H508,4,0)</f>
        <v>Année</v>
      </c>
      <c r="M10" s="1023" t="str">
        <f>VLOOKUP(Translations!B75,Translations!B3:H508,4,0)</f>
        <v>Source</v>
      </c>
      <c r="N10" s="1023" t="s">
        <v>136</v>
      </c>
      <c r="O10" s="1023" t="s">
        <v>134</v>
      </c>
      <c r="P10" s="1023" t="s">
        <v>135</v>
      </c>
      <c r="Q10" s="1024" t="s">
        <v>136</v>
      </c>
      <c r="R10" s="1024" t="s">
        <v>134</v>
      </c>
      <c r="S10" s="1024" t="s">
        <v>135</v>
      </c>
      <c r="T10" s="1447"/>
      <c r="U10" s="1447"/>
      <c r="V10" s="1447"/>
      <c r="W10" s="1447"/>
      <c r="X10" s="1025" t="s">
        <v>136</v>
      </c>
      <c r="Y10" s="1025" t="s">
        <v>134</v>
      </c>
      <c r="Z10" s="1025" t="s">
        <v>135</v>
      </c>
      <c r="AA10" s="1449"/>
      <c r="AB10" s="1449"/>
      <c r="AC10" s="1449"/>
      <c r="AD10" s="1449"/>
      <c r="AE10" s="1449"/>
      <c r="AF10" s="1057" t="s">
        <v>136</v>
      </c>
      <c r="AG10" s="1057" t="s">
        <v>134</v>
      </c>
      <c r="AH10" s="1057" t="s">
        <v>135</v>
      </c>
      <c r="AI10" s="1471"/>
      <c r="AJ10" s="1471"/>
      <c r="AK10" s="1473"/>
    </row>
    <row r="11" spans="1:38" ht="81" customHeight="1" x14ac:dyDescent="0.2">
      <c r="A11" s="508">
        <f>A10+1</f>
        <v>1</v>
      </c>
      <c r="B11" s="509" t="str">
        <f>"Coverage"&amp;A11</f>
        <v>Coverage1</v>
      </c>
      <c r="C11" s="1081" t="str">
        <f>IFERROR(INDEX('Coverage Indicator_Import-Expor'!$D$7:$D$223,MATCH(B11,'Coverage Indicator_Import-Expor'!$C$7:$C$223,0)),"")</f>
        <v>TB care and prevention</v>
      </c>
      <c r="D11" s="1082" t="str">
        <f>IFERROR(INDEX('Coverage Indicator_Import-Expor'!$E$7:$E$223,MATCH(B11,'Coverage Indicator_Import-Expor'!$C$7:$C$223,0)),"")</f>
        <v>TCP-1(M): Nombre de cas déclarés de tuberculose, toutes formes confondues, bactériologiquement confirmés et cliniquement diagnostiqués, nouveaux cas et récidives</v>
      </c>
      <c r="E11" s="1082" t="str">
        <f>IFERROR(IF(INDEX('Coverage Indicator_Import-Expor'!K$7:K$223,MATCH($B11,'Coverage Indicator_Import-Expor'!$C$7:$C$223,0))="","",INDEX('Coverage Indicator_Import-Expor'!K$7:K$223,MATCH($B11,'Coverage Indicator_Import-Expor'!$C$7:$C$223,0))),"")</f>
        <v>National</v>
      </c>
      <c r="F11" s="1082" t="str">
        <f>IFERROR(IF(INDEX('Coverage Indicator_Import-Expor'!L$7:L$223,MATCH($B11,'Coverage Indicator_Import-Expor'!$C$7:$C$223,0))="","",INDEX('Coverage Indicator_Import-Expor'!L$7:L$223,MATCH($B11,'Coverage Indicator_Import-Expor'!$C$7:$C$223,0))),"")</f>
        <v>N-Non-cumulative</v>
      </c>
      <c r="G11" s="1082" t="str">
        <f>IFERROR(IF(INDEX('Coverage Indicator_Import-Expor'!AR$7:AR$223,MATCH($B11,'Coverage Indicator_Import-Expor'!$C$7:$C$223,0))="","",INDEX('Coverage Indicator_Import-Expor'!AR$7:AR$223,MATCH($B11,'Coverage Indicator_Import-Expor'!$C$7:$C$223,0))),"")</f>
        <v>No</v>
      </c>
      <c r="H11" s="1082" t="str">
        <f>IFERROR(IF(INDEX('Coverage Indicator_Import-Expor'!AS$7:AS$223,MATCH($B11,'Coverage Indicator_Import-Expor'!$C$7:$C$223,0))="","",INDEX('Coverage Indicator_Import-Expor'!AS$7:AS$223,MATCH($B11,'Coverage Indicator_Import-Expor'!$C$7:$C$223,0))),"")</f>
        <v>Burundi</v>
      </c>
      <c r="I11" s="1083">
        <f>IFERROR(IF(INDEX('Coverage Indicator_Import-Expor'!N$7:N$223,MATCH($B11,'Coverage Indicator_Import-Expor'!$C$7:$C$223,0))="","",INDEX('Coverage Indicator_Import-Expor'!N$7:N$223,MATCH($B11,'Coverage Indicator_Import-Expor'!$C$7:$C$223,0))),"")</f>
        <v>7662</v>
      </c>
      <c r="J11" s="1083" t="str">
        <f>IFERROR(IF(INDEX('Coverage Indicator_Import-Expor'!O$7:O$223,MATCH($B11,'Coverage Indicator_Import-Expor'!$C$7:$C$223,0))="","",INDEX('Coverage Indicator_Import-Expor'!O$7:O$223,MATCH($B11,'Coverage Indicator_Import-Expor'!$C$7:$C$223,0))),"")</f>
        <v/>
      </c>
      <c r="K11" s="1084" t="str">
        <f>IFERROR(IF(INDEX('Coverage Indicator_Import-Expor'!P$7:P$223,MATCH($B11,'Coverage Indicator_Import-Expor'!$C$7:$C$223,0))="","",INDEX('Coverage Indicator_Import-Expor'!P$7:P$223,MATCH($B11,'Coverage Indicator_Import-Expor'!$C$7:$C$223,0))),"")</f>
        <v/>
      </c>
      <c r="L11" s="1082" t="str">
        <f>IFERROR(IF(INDEX('Coverage Indicator_Import-Expor'!Q$7:Q$223,MATCH($B11,'Coverage Indicator_Import-Expor'!$C$7:$C$223,0))="","",INDEX('Coverage Indicator_Import-Expor'!Q$7:Q$223,MATCH($B11,'Coverage Indicator_Import-Expor'!$C$7:$C$223,0))),"")</f>
        <v>2016</v>
      </c>
      <c r="M11" s="1082" t="str">
        <f>IFERROR(IF(INDEX('Coverage Indicator_Import-Expor'!R$7:R$223,MATCH($B11,'Coverage Indicator_Import-Expor'!$C$7:$C$223,0))="","",INDEX('Coverage Indicator_Import-Expor'!R$7:R$223,MATCH($B11,'Coverage Indicator_Import-Expor'!$C$7:$C$223,0))),"")</f>
        <v>PNILT Annual Report</v>
      </c>
      <c r="N11" s="1083">
        <f>IFERROR(IF(INDEX('Coverage Indicator_Import-Expor'!S$7:S$223,MATCH($B11,'Coverage Indicator_Import-Expor'!$C$7:$C$223,0))="","",INDEX('Coverage Indicator_Import-Expor'!S$7:S$223,MATCH($B11,'Coverage Indicator_Import-Expor'!$C$7:$C$223,0))),"")</f>
        <v>4435</v>
      </c>
      <c r="O11" s="1083" t="str">
        <f>IFERROR(IF(INDEX('Coverage Indicator_Import-Expor'!T$7:T$223,MATCH($B11,'Coverage Indicator_Import-Expor'!$C$7:$C$223,0))="","",INDEX('Coverage Indicator_Import-Expor'!T$7:T$223,MATCH($B11,'Coverage Indicator_Import-Expor'!$C$7:$C$223,0))),"")</f>
        <v/>
      </c>
      <c r="P11" s="1084" t="str">
        <f>IFERROR(IF(INDEX('Coverage Indicator_Import-Expor'!U$7:U$223,MATCH($B11,'Coverage Indicator_Import-Expor'!$C$7:$C$223,0))="","",INDEX('Coverage Indicator_Import-Expor'!U$7:U$223,MATCH($B11,'Coverage Indicator_Import-Expor'!$C$7:$C$223,0))),"")</f>
        <v/>
      </c>
      <c r="Q11" s="1085">
        <v>3359</v>
      </c>
      <c r="R11" s="1085"/>
      <c r="S11" s="1086" t="str">
        <f>IFERROR((Q11/R11)*100,"")</f>
        <v/>
      </c>
      <c r="T11" s="1087" t="s">
        <v>69</v>
      </c>
      <c r="U11" s="1088">
        <f t="shared" ref="U11" si="0">IFERROR(IF(AND(N11&lt;&gt;"",O11="",Q11&lt;&gt;"",R11=""),IF((Q11/N11)&gt;120%,120%,(Q11/N11)),IF((S11/P11)&gt;120%,120%,(S11/P11)))," ")</f>
        <v>0.75738444193912058</v>
      </c>
      <c r="V11" s="1087" t="s">
        <v>329</v>
      </c>
      <c r="W11" s="1089" t="str">
        <f>IF(AND(Q11="",R11="",S11=""),"No Results Reported",IF(AND(N11&lt;&gt;"",O11="",P11="",OR(R11&lt;&gt;"",S11&lt;&gt;"")),"Target contains only a numerator. Please Report only a numerator for the result","Continue"))</f>
        <v>Continue</v>
      </c>
      <c r="X11" s="1085"/>
      <c r="Y11" s="1085"/>
      <c r="Z11" s="1086" t="str">
        <f>IFERROR((X11/Y11)*100,"")</f>
        <v/>
      </c>
      <c r="AA11" s="1087"/>
      <c r="AB11" s="1088" t="str">
        <f t="shared" ref="AB11" si="1">IFERROR(IF(AND(N11&lt;&gt;"",O11="",X11&lt;&gt;"",Y11=""),IF((X11/N11)&gt;120%,120%,(X11/N11)),IF((Z11/P11)&gt;120%,120%,(Z11/P11)))," ")</f>
        <v xml:space="preserve"> </v>
      </c>
      <c r="AC11" s="1087"/>
      <c r="AD11" s="1087"/>
      <c r="AE11" s="1089" t="str">
        <f>IF(AND(X11="",Y11="",Z11=""),"No Results Reported",IF(AND(Q11&lt;&gt;"",R11="",S11="",OR(Y11&lt;&gt;"",Z11&lt;&gt;"")),"Target contains only a numerator. Please Report only a numerator for the result","Continue"))</f>
        <v>No Results Reported</v>
      </c>
      <c r="AF11" s="1085"/>
      <c r="AG11" s="1085"/>
      <c r="AH11" s="1086" t="str">
        <f>IFERROR((AF11/AG11)*100,"")</f>
        <v/>
      </c>
      <c r="AI11" s="1088" t="str">
        <f t="shared" ref="AI11" si="2">IFERROR(IF(AND(N11&lt;&gt;"",O11="",AF11&lt;&gt;"",AG11=""),IF((AF11/N11)&gt;120%,120%,(AF11/N11)),IF((AH11/P11)&gt;120%,120%,(AH11/P11)))," ")</f>
        <v xml:space="preserve"> </v>
      </c>
      <c r="AJ11" s="1087"/>
      <c r="AK11" s="1090" t="str">
        <f t="shared" ref="AK11" si="3">IF(AND(AF11="",AG11="",AH11=""),"No Results Reported",IF(AND(I11&lt;&gt;"",J11="",K11="",OR(AG11&lt;&gt;"",AH11&lt;&gt;"")),"Target contains only a numerator. Please Report only a numerator for the result","Continue"))</f>
        <v>No Results Reported</v>
      </c>
    </row>
    <row r="12" spans="1:38" ht="60" customHeight="1" x14ac:dyDescent="0.2">
      <c r="A12" s="508">
        <f t="shared" ref="A12:A75" si="4">A11+1</f>
        <v>2</v>
      </c>
      <c r="B12" s="509" t="str">
        <f t="shared" ref="B12:B49" si="5">"Coverage"&amp;A12</f>
        <v>Coverage2</v>
      </c>
      <c r="C12" s="1081" t="str">
        <f>IFERROR(INDEX('Coverage Indicator_Import-Expor'!$D$7:$D$223,MATCH(B12,'Coverage Indicator_Import-Expor'!$C$7:$C$223,0)),"")</f>
        <v>TB care and prevention</v>
      </c>
      <c r="D12" s="1082" t="str">
        <f>IFERROR(INDEX('Coverage Indicator_Import-Expor'!$E$7:$E$223,MATCH(B12,'Coverage Indicator_Import-Expor'!$C$7:$C$223,0)),"")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E12" s="1082" t="str">
        <f>IFERROR(IF(INDEX('Coverage Indicator_Import-Expor'!K$7:K$223,MATCH($B12,'Coverage Indicator_Import-Expor'!$C$7:$C$223,0))="","",INDEX('Coverage Indicator_Import-Expor'!K$7:K$223,MATCH($B12,'Coverage Indicator_Import-Expor'!$C$7:$C$223,0))),"")</f>
        <v>National</v>
      </c>
      <c r="F12" s="1082" t="str">
        <f>IFERROR(IF(INDEX('Coverage Indicator_Import-Expor'!L$7:L$223,MATCH($B12,'Coverage Indicator_Import-Expor'!$C$7:$C$223,0))="","",INDEX('Coverage Indicator_Import-Expor'!L$7:L$223,MATCH($B12,'Coverage Indicator_Import-Expor'!$C$7:$C$223,0))),"")</f>
        <v>N-Non-cumulative</v>
      </c>
      <c r="G12" s="1082" t="str">
        <f>IFERROR(IF(INDEX('Coverage Indicator_Import-Expor'!AR$7:AR$223,MATCH($B12,'Coverage Indicator_Import-Expor'!$C$7:$C$223,0))="","",INDEX('Coverage Indicator_Import-Expor'!AR$7:AR$223,MATCH($B12,'Coverage Indicator_Import-Expor'!$C$7:$C$223,0))),"")</f>
        <v>No</v>
      </c>
      <c r="H12" s="1082" t="str">
        <f>IFERROR(IF(INDEX('Coverage Indicator_Import-Expor'!AS$7:AS$223,MATCH($B12,'Coverage Indicator_Import-Expor'!$C$7:$C$223,0))="","",INDEX('Coverage Indicator_Import-Expor'!AS$7:AS$223,MATCH($B12,'Coverage Indicator_Import-Expor'!$C$7:$C$223,0))),"")</f>
        <v>Burundi</v>
      </c>
      <c r="I12" s="1083">
        <f>IFERROR(IF(INDEX('Coverage Indicator_Import-Expor'!N$7:N$223,MATCH($B12,'Coverage Indicator_Import-Expor'!$C$7:$C$223,0))="","",INDEX('Coverage Indicator_Import-Expor'!N$7:N$223,MATCH($B12,'Coverage Indicator_Import-Expor'!$C$7:$C$223,0))),"")</f>
        <v>6429</v>
      </c>
      <c r="J12" s="1083">
        <f>IFERROR(IF(INDEX('Coverage Indicator_Import-Expor'!O$7:O$223,MATCH($B12,'Coverage Indicator_Import-Expor'!$C$7:$C$223,0))="","",INDEX('Coverage Indicator_Import-Expor'!O$7:O$223,MATCH($B12,'Coverage Indicator_Import-Expor'!$C$7:$C$223,0))),"")</f>
        <v>6969</v>
      </c>
      <c r="K12" s="1084">
        <f>IFERROR(IF(INDEX('Coverage Indicator_Import-Expor'!P$7:P$223,MATCH($B12,'Coverage Indicator_Import-Expor'!$C$7:$C$223,0))="","",INDEX('Coverage Indicator_Import-Expor'!P$7:P$223,MATCH($B12,'Coverage Indicator_Import-Expor'!$C$7:$C$223,0))),"")</f>
        <v>92.3</v>
      </c>
      <c r="L12" s="1082" t="str">
        <f>IFERROR(IF(INDEX('Coverage Indicator_Import-Expor'!Q$7:Q$223,MATCH($B12,'Coverage Indicator_Import-Expor'!$C$7:$C$223,0))="","",INDEX('Coverage Indicator_Import-Expor'!Q$7:Q$223,MATCH($B12,'Coverage Indicator_Import-Expor'!$C$7:$C$223,0))),"")</f>
        <v>2016</v>
      </c>
      <c r="M12" s="1082" t="str">
        <f>IFERROR(IF(INDEX('Coverage Indicator_Import-Expor'!R$7:R$223,MATCH($B12,'Coverage Indicator_Import-Expor'!$C$7:$C$223,0))="","",INDEX('Coverage Indicator_Import-Expor'!R$7:R$223,MATCH($B12,'Coverage Indicator_Import-Expor'!$C$7:$C$223,0))),"")</f>
        <v>PNILT Annual Report</v>
      </c>
      <c r="N12" s="1083">
        <f>IFERROR(IF(INDEX('Coverage Indicator_Import-Expor'!S$7:S$223,MATCH($B12,'Coverage Indicator_Import-Expor'!$C$7:$C$223,0))="","",INDEX('Coverage Indicator_Import-Expor'!S$7:S$223,MATCH($B12,'Coverage Indicator_Import-Expor'!$C$7:$C$223,0))),"")</f>
        <v>3898.2905000000001</v>
      </c>
      <c r="O12" s="1083">
        <f>IFERROR(IF(INDEX('Coverage Indicator_Import-Expor'!T$7:T$223,MATCH($B12,'Coverage Indicator_Import-Expor'!$C$7:$C$223,0))="","",INDEX('Coverage Indicator_Import-Expor'!T$7:T$223,MATCH($B12,'Coverage Indicator_Import-Expor'!$C$7:$C$223,0))),"")</f>
        <v>4223.5</v>
      </c>
      <c r="P12" s="1084">
        <f>IFERROR(IF(INDEX('Coverage Indicator_Import-Expor'!U$7:U$223,MATCH($B12,'Coverage Indicator_Import-Expor'!$C$7:$C$223,0))="","",INDEX('Coverage Indicator_Import-Expor'!U$7:U$223,MATCH($B12,'Coverage Indicator_Import-Expor'!$C$7:$C$223,0))),"")</f>
        <v>92.3</v>
      </c>
      <c r="Q12" s="1085">
        <v>3152</v>
      </c>
      <c r="R12" s="1085">
        <v>3375</v>
      </c>
      <c r="S12" s="1086">
        <f t="shared" ref="S12:S49" si="6">IFERROR((Q12/R12)*100,"")</f>
        <v>93.392592592592592</v>
      </c>
      <c r="T12" s="1087" t="s">
        <v>73</v>
      </c>
      <c r="U12" s="1088">
        <f t="shared" ref="U12:U49" si="7">IFERROR(IF(AND(N12&lt;&gt;"",O12="",Q12&lt;&gt;"",R12=""),IF((Q12/N12)&gt;120%,120%,(Q12/N12)),IF((S12/P12)&gt;120%,120%,(S12/P12)))," ")</f>
        <v>1.0118374062036035</v>
      </c>
      <c r="V12" s="1087" t="s">
        <v>330</v>
      </c>
      <c r="W12" s="1089" t="str">
        <f t="shared" ref="W12:W49" si="8">IF(AND(Q12="",R12="",S12=""),"No Results Reported",IF(AND(N12&lt;&gt;"",O12="",P12="",OR(R12&lt;&gt;"",S12&lt;&gt;"")),"Target contains only a numerator. Please Report only a numerator for the result","Continue"))</f>
        <v>Continue</v>
      </c>
      <c r="X12" s="1085"/>
      <c r="Y12" s="1085"/>
      <c r="Z12" s="1086" t="str">
        <f t="shared" ref="Z12:Z49" si="9">IFERROR((X12/Y12)*100,"")</f>
        <v/>
      </c>
      <c r="AA12" s="1087"/>
      <c r="AB12" s="1088" t="str">
        <f t="shared" ref="AB12:AB49" si="10">IFERROR(IF(AND(N12&lt;&gt;"",O12="",X12&lt;&gt;"",Y12=""),IF((X12/N12)&gt;120%,120%,(X12/N12)),IF((Z12/P12)&gt;120%,120%,(Z12/P12)))," ")</f>
        <v xml:space="preserve"> </v>
      </c>
      <c r="AC12" s="1087"/>
      <c r="AD12" s="1087"/>
      <c r="AE12" s="1089" t="str">
        <f t="shared" ref="AE12:AE49" si="11">IF(AND(X12="",Y12="",Z12=""),"No Results Reported",IF(AND(Q12&lt;&gt;"",R12="",S12="",OR(Y12&lt;&gt;"",Z12&lt;&gt;"")),"Target contains only a numerator. Please Report only a numerator for the result","Continue"))</f>
        <v>No Results Reported</v>
      </c>
      <c r="AF12" s="1085"/>
      <c r="AG12" s="1085"/>
      <c r="AH12" s="1086" t="str">
        <f t="shared" ref="AH12:AH49" si="12">IFERROR((AF12/AG12)*100,"")</f>
        <v/>
      </c>
      <c r="AI12" s="1088" t="str">
        <f t="shared" ref="AI12:AI49" si="13">IFERROR(IF(AND(N12&lt;&gt;"",O12="",AF12&lt;&gt;"",AG12=""),IF((AF12/N12)&gt;120%,120%,(AF12/N12)),IF((AH12/P12)&gt;120%,120%,(AH12/P12)))," ")</f>
        <v xml:space="preserve"> </v>
      </c>
      <c r="AJ12" s="1087"/>
      <c r="AK12" s="1090" t="str">
        <f t="shared" ref="AK12:AK49" si="14">IF(AND(AF12="",AG12="",AH12=""),"No Results Reported",IF(AND(I12&lt;&gt;"",J12="",K12="",OR(AG12&lt;&gt;"",AH12&lt;&gt;"")),"Target contains only a numerator. Please Report only a numerator for the result","Continue"))</f>
        <v>No Results Reported</v>
      </c>
    </row>
    <row r="13" spans="1:38" ht="60" customHeight="1" x14ac:dyDescent="0.2">
      <c r="A13" s="508">
        <f t="shared" si="4"/>
        <v>3</v>
      </c>
      <c r="B13" s="509" t="str">
        <f t="shared" si="5"/>
        <v>Coverage3</v>
      </c>
      <c r="C13" s="1081" t="str">
        <f>IFERROR(INDEX('Coverage Indicator_Import-Expor'!$D$7:$D$223,MATCH(B13,'Coverage Indicator_Import-Expor'!$C$7:$C$223,0)),"")</f>
        <v>TB care and prevention</v>
      </c>
      <c r="D13" s="1082" t="str">
        <f>IFERROR(INDEX('Coverage Indicator_Import-Expor'!$E$7:$E$223,MATCH(B13,'Coverage Indicator_Import-Expor'!$C$7:$C$223,0)),"")</f>
        <v>TCP-3: Pourcentage de laboratoires présentant des performances satisfaisantes d’assurance qualité externe pour la microscopie de frottis, parmi le nombre total de laboratoires effectuant des analyses par microscopie de frottis pendant la période</v>
      </c>
      <c r="E13" s="1082" t="str">
        <f>IFERROR(IF(INDEX('Coverage Indicator_Import-Expor'!K$7:K$223,MATCH($B13,'Coverage Indicator_Import-Expor'!$C$7:$C$223,0))="","",INDEX('Coverage Indicator_Import-Expor'!K$7:K$223,MATCH($B13,'Coverage Indicator_Import-Expor'!$C$7:$C$223,0))),"")</f>
        <v>National</v>
      </c>
      <c r="F13" s="1082" t="str">
        <f>IFERROR(IF(INDEX('Coverage Indicator_Import-Expor'!L$7:L$223,MATCH($B13,'Coverage Indicator_Import-Expor'!$C$7:$C$223,0))="","",INDEX('Coverage Indicator_Import-Expor'!L$7:L$223,MATCH($B13,'Coverage Indicator_Import-Expor'!$C$7:$C$223,0))),"")</f>
        <v>N-Non-cumulative</v>
      </c>
      <c r="G13" s="1082" t="str">
        <f>IFERROR(IF(INDEX('Coverage Indicator_Import-Expor'!AR$7:AR$223,MATCH($B13,'Coverage Indicator_Import-Expor'!$C$7:$C$223,0))="","",INDEX('Coverage Indicator_Import-Expor'!AR$7:AR$223,MATCH($B13,'Coverage Indicator_Import-Expor'!$C$7:$C$223,0))),"")</f>
        <v>No</v>
      </c>
      <c r="H13" s="1082" t="str">
        <f>IFERROR(IF(INDEX('Coverage Indicator_Import-Expor'!AS$7:AS$223,MATCH($B13,'Coverage Indicator_Import-Expor'!$C$7:$C$223,0))="","",INDEX('Coverage Indicator_Import-Expor'!AS$7:AS$223,MATCH($B13,'Coverage Indicator_Import-Expor'!$C$7:$C$223,0))),"")</f>
        <v>Burundi</v>
      </c>
      <c r="I13" s="1083">
        <f>IFERROR(IF(INDEX('Coverage Indicator_Import-Expor'!N$7:N$223,MATCH($B13,'Coverage Indicator_Import-Expor'!$C$7:$C$223,0))="","",INDEX('Coverage Indicator_Import-Expor'!N$7:N$223,MATCH($B13,'Coverage Indicator_Import-Expor'!$C$7:$C$223,0))),"")</f>
        <v>169</v>
      </c>
      <c r="J13" s="1083">
        <f>IFERROR(IF(INDEX('Coverage Indicator_Import-Expor'!O$7:O$223,MATCH($B13,'Coverage Indicator_Import-Expor'!$C$7:$C$223,0))="","",INDEX('Coverage Indicator_Import-Expor'!O$7:O$223,MATCH($B13,'Coverage Indicator_Import-Expor'!$C$7:$C$223,0))),"")</f>
        <v>171</v>
      </c>
      <c r="K13" s="1084">
        <f>IFERROR(IF(INDEX('Coverage Indicator_Import-Expor'!P$7:P$223,MATCH($B13,'Coverage Indicator_Import-Expor'!$C$7:$C$223,0))="","",INDEX('Coverage Indicator_Import-Expor'!P$7:P$223,MATCH($B13,'Coverage Indicator_Import-Expor'!$C$7:$C$223,0))),"")</f>
        <v>98.8</v>
      </c>
      <c r="L13" s="1082" t="str">
        <f>IFERROR(IF(INDEX('Coverage Indicator_Import-Expor'!Q$7:Q$223,MATCH($B13,'Coverage Indicator_Import-Expor'!$C$7:$C$223,0))="","",INDEX('Coverage Indicator_Import-Expor'!Q$7:Q$223,MATCH($B13,'Coverage Indicator_Import-Expor'!$C$7:$C$223,0))),"")</f>
        <v>2016</v>
      </c>
      <c r="M13" s="1082" t="str">
        <f>IFERROR(IF(INDEX('Coverage Indicator_Import-Expor'!R$7:R$223,MATCH($B13,'Coverage Indicator_Import-Expor'!$C$7:$C$223,0))="","",INDEX('Coverage Indicator_Import-Expor'!R$7:R$223,MATCH($B13,'Coverage Indicator_Import-Expor'!$C$7:$C$223,0))),"")</f>
        <v>PNILT Annual Report</v>
      </c>
      <c r="N13" s="1083">
        <f>IFERROR(IF(INDEX('Coverage Indicator_Import-Expor'!S$7:S$223,MATCH($B13,'Coverage Indicator_Import-Expor'!$C$7:$C$223,0))="","",INDEX('Coverage Indicator_Import-Expor'!S$7:S$223,MATCH($B13,'Coverage Indicator_Import-Expor'!$C$7:$C$223,0))),"")</f>
        <v>171</v>
      </c>
      <c r="O13" s="1083">
        <f>IFERROR(IF(INDEX('Coverage Indicator_Import-Expor'!T$7:T$223,MATCH($B13,'Coverage Indicator_Import-Expor'!$C$7:$C$223,0))="","",INDEX('Coverage Indicator_Import-Expor'!T$7:T$223,MATCH($B13,'Coverage Indicator_Import-Expor'!$C$7:$C$223,0))),"")</f>
        <v>171</v>
      </c>
      <c r="P13" s="1084">
        <f>IFERROR(IF(INDEX('Coverage Indicator_Import-Expor'!U$7:U$223,MATCH($B13,'Coverage Indicator_Import-Expor'!$C$7:$C$223,0))="","",INDEX('Coverage Indicator_Import-Expor'!U$7:U$223,MATCH($B13,'Coverage Indicator_Import-Expor'!$C$7:$C$223,0))),"")</f>
        <v>100</v>
      </c>
      <c r="Q13" s="1085">
        <v>165</v>
      </c>
      <c r="R13" s="1085">
        <v>170</v>
      </c>
      <c r="S13" s="1086">
        <f t="shared" si="6"/>
        <v>97.058823529411768</v>
      </c>
      <c r="T13" s="1087" t="s">
        <v>71</v>
      </c>
      <c r="U13" s="1088">
        <f t="shared" si="7"/>
        <v>0.97058823529411764</v>
      </c>
      <c r="V13" s="1087" t="s">
        <v>331</v>
      </c>
      <c r="W13" s="1089" t="str">
        <f t="shared" si="8"/>
        <v>Continue</v>
      </c>
      <c r="X13" s="1085"/>
      <c r="Y13" s="1085"/>
      <c r="Z13" s="1086" t="str">
        <f t="shared" si="9"/>
        <v/>
      </c>
      <c r="AA13" s="1087"/>
      <c r="AB13" s="1088" t="str">
        <f t="shared" si="10"/>
        <v xml:space="preserve"> </v>
      </c>
      <c r="AC13" s="1087"/>
      <c r="AD13" s="1087"/>
      <c r="AE13" s="1089" t="str">
        <f t="shared" si="11"/>
        <v>No Results Reported</v>
      </c>
      <c r="AF13" s="1085"/>
      <c r="AG13" s="1085"/>
      <c r="AH13" s="1086" t="str">
        <f t="shared" si="12"/>
        <v/>
      </c>
      <c r="AI13" s="1088" t="str">
        <f t="shared" si="13"/>
        <v xml:space="preserve"> </v>
      </c>
      <c r="AJ13" s="1087"/>
      <c r="AK13" s="1090" t="str">
        <f t="shared" si="14"/>
        <v>No Results Reported</v>
      </c>
    </row>
    <row r="14" spans="1:38" ht="60" customHeight="1" x14ac:dyDescent="0.2">
      <c r="A14" s="508">
        <f t="shared" si="4"/>
        <v>4</v>
      </c>
      <c r="B14" s="509" t="str">
        <f t="shared" si="5"/>
        <v>Coverage4</v>
      </c>
      <c r="C14" s="1081" t="str">
        <f>IFERROR(INDEX('Coverage Indicator_Import-Expor'!$D$7:$D$223,MATCH(B14,'Coverage Indicator_Import-Expor'!$C$7:$C$223,0)),"")</f>
        <v>TB care and prevention</v>
      </c>
      <c r="D14" s="1082" t="str">
        <f>IFERROR(INDEX('Coverage Indicator_Import-Expor'!$E$7:$E$223,MATCH(B14,'Coverage Indicator_Import-Expor'!$C$7:$C$223,0)),"")</f>
        <v>TCP-4: Pourcentage d'entités déclarantes (districts ou unités de gestion de base) n’ayant communiqué aucune rupture de stocks des médicaments antituberculeux de première intention au dernier jour du trimestre</v>
      </c>
      <c r="E14" s="1082" t="str">
        <f>IFERROR(IF(INDEX('Coverage Indicator_Import-Expor'!K$7:K$223,MATCH($B14,'Coverage Indicator_Import-Expor'!$C$7:$C$223,0))="","",INDEX('Coverage Indicator_Import-Expor'!K$7:K$223,MATCH($B14,'Coverage Indicator_Import-Expor'!$C$7:$C$223,0))),"")</f>
        <v>National</v>
      </c>
      <c r="F14" s="1082" t="str">
        <f>IFERROR(IF(INDEX('Coverage Indicator_Import-Expor'!L$7:L$223,MATCH($B14,'Coverage Indicator_Import-Expor'!$C$7:$C$223,0))="","",INDEX('Coverage Indicator_Import-Expor'!L$7:L$223,MATCH($B14,'Coverage Indicator_Import-Expor'!$C$7:$C$223,0))),"")</f>
        <v>N-Non-cumulative</v>
      </c>
      <c r="G14" s="1082" t="str">
        <f>IFERROR(IF(INDEX('Coverage Indicator_Import-Expor'!AR$7:AR$223,MATCH($B14,'Coverage Indicator_Import-Expor'!$C$7:$C$223,0))="","",INDEX('Coverage Indicator_Import-Expor'!AR$7:AR$223,MATCH($B14,'Coverage Indicator_Import-Expor'!$C$7:$C$223,0))),"")</f>
        <v>No</v>
      </c>
      <c r="H14" s="1082" t="str">
        <f>IFERROR(IF(INDEX('Coverage Indicator_Import-Expor'!AS$7:AS$223,MATCH($B14,'Coverage Indicator_Import-Expor'!$C$7:$C$223,0))="","",INDEX('Coverage Indicator_Import-Expor'!AS$7:AS$223,MATCH($B14,'Coverage Indicator_Import-Expor'!$C$7:$C$223,0))),"")</f>
        <v>Burundi</v>
      </c>
      <c r="I14" s="1083">
        <f>IFERROR(IF(INDEX('Coverage Indicator_Import-Expor'!N$7:N$223,MATCH($B14,'Coverage Indicator_Import-Expor'!$C$7:$C$223,0))="","",INDEX('Coverage Indicator_Import-Expor'!N$7:N$223,MATCH($B14,'Coverage Indicator_Import-Expor'!$C$7:$C$223,0))),"")</f>
        <v>170</v>
      </c>
      <c r="J14" s="1083">
        <f>IFERROR(IF(INDEX('Coverage Indicator_Import-Expor'!O$7:O$223,MATCH($B14,'Coverage Indicator_Import-Expor'!$C$7:$C$223,0))="","",INDEX('Coverage Indicator_Import-Expor'!O$7:O$223,MATCH($B14,'Coverage Indicator_Import-Expor'!$C$7:$C$223,0))),"")</f>
        <v>170</v>
      </c>
      <c r="K14" s="1084">
        <f>IFERROR(IF(INDEX('Coverage Indicator_Import-Expor'!P$7:P$223,MATCH($B14,'Coverage Indicator_Import-Expor'!$C$7:$C$223,0))="","",INDEX('Coverage Indicator_Import-Expor'!P$7:P$223,MATCH($B14,'Coverage Indicator_Import-Expor'!$C$7:$C$223,0))),"")</f>
        <v>100</v>
      </c>
      <c r="L14" s="1082" t="str">
        <f>IFERROR(IF(INDEX('Coverage Indicator_Import-Expor'!Q$7:Q$223,MATCH($B14,'Coverage Indicator_Import-Expor'!$C$7:$C$223,0))="","",INDEX('Coverage Indicator_Import-Expor'!Q$7:Q$223,MATCH($B14,'Coverage Indicator_Import-Expor'!$C$7:$C$223,0))),"")</f>
        <v>2016</v>
      </c>
      <c r="M14" s="1082" t="str">
        <f>IFERROR(IF(INDEX('Coverage Indicator_Import-Expor'!R$7:R$223,MATCH($B14,'Coverage Indicator_Import-Expor'!$C$7:$C$223,0))="","",INDEX('Coverage Indicator_Import-Expor'!R$7:R$223,MATCH($B14,'Coverage Indicator_Import-Expor'!$C$7:$C$223,0))),"")</f>
        <v>PNILT Annual Report</v>
      </c>
      <c r="N14" s="1083">
        <f>IFERROR(IF(INDEX('Coverage Indicator_Import-Expor'!S$7:S$223,MATCH($B14,'Coverage Indicator_Import-Expor'!$C$7:$C$223,0))="","",INDEX('Coverage Indicator_Import-Expor'!S$7:S$223,MATCH($B14,'Coverage Indicator_Import-Expor'!$C$7:$C$223,0))),"")</f>
        <v>170</v>
      </c>
      <c r="O14" s="1083">
        <f>IFERROR(IF(INDEX('Coverage Indicator_Import-Expor'!T$7:T$223,MATCH($B14,'Coverage Indicator_Import-Expor'!$C$7:$C$223,0))="","",INDEX('Coverage Indicator_Import-Expor'!T$7:T$223,MATCH($B14,'Coverage Indicator_Import-Expor'!$C$7:$C$223,0))),"")</f>
        <v>170</v>
      </c>
      <c r="P14" s="1084">
        <f>IFERROR(IF(INDEX('Coverage Indicator_Import-Expor'!U$7:U$223,MATCH($B14,'Coverage Indicator_Import-Expor'!$C$7:$C$223,0))="","",INDEX('Coverage Indicator_Import-Expor'!U$7:U$223,MATCH($B14,'Coverage Indicator_Import-Expor'!$C$7:$C$223,0))),"")</f>
        <v>100</v>
      </c>
      <c r="Q14" s="1085">
        <v>170</v>
      </c>
      <c r="R14" s="1085">
        <v>170</v>
      </c>
      <c r="S14" s="1086">
        <f t="shared" si="6"/>
        <v>100</v>
      </c>
      <c r="T14" s="1087" t="s">
        <v>69</v>
      </c>
      <c r="U14" s="1088">
        <f t="shared" si="7"/>
        <v>1</v>
      </c>
      <c r="V14" s="1087" t="s">
        <v>332</v>
      </c>
      <c r="W14" s="1089" t="str">
        <f t="shared" si="8"/>
        <v>Continue</v>
      </c>
      <c r="X14" s="1085"/>
      <c r="Y14" s="1085"/>
      <c r="Z14" s="1086" t="str">
        <f t="shared" si="9"/>
        <v/>
      </c>
      <c r="AA14" s="1087"/>
      <c r="AB14" s="1088" t="str">
        <f t="shared" si="10"/>
        <v xml:space="preserve"> </v>
      </c>
      <c r="AC14" s="1087"/>
      <c r="AD14" s="1087"/>
      <c r="AE14" s="1089" t="str">
        <f t="shared" si="11"/>
        <v>No Results Reported</v>
      </c>
      <c r="AF14" s="1085"/>
      <c r="AG14" s="1085"/>
      <c r="AH14" s="1086" t="str">
        <f t="shared" si="12"/>
        <v/>
      </c>
      <c r="AI14" s="1088" t="str">
        <f t="shared" si="13"/>
        <v xml:space="preserve"> </v>
      </c>
      <c r="AJ14" s="1087"/>
      <c r="AK14" s="1090" t="str">
        <f t="shared" si="14"/>
        <v>No Results Reported</v>
      </c>
    </row>
    <row r="15" spans="1:38" ht="60" customHeight="1" x14ac:dyDescent="0.2">
      <c r="A15" s="508">
        <f t="shared" si="4"/>
        <v>5</v>
      </c>
      <c r="B15" s="509" t="str">
        <f t="shared" si="5"/>
        <v>Coverage5</v>
      </c>
      <c r="C15" s="1081" t="str">
        <f>IFERROR(INDEX('Coverage Indicator_Import-Expor'!$D$7:$D$223,MATCH(B15,'Coverage Indicator_Import-Expor'!$C$7:$C$223,0)),"")</f>
        <v>TB care and prevention</v>
      </c>
      <c r="D15" s="1082" t="str">
        <f>IFERROR(INDEX('Coverage Indicator_Import-Expor'!$E$7:$E$223,MATCH(B15,'Coverage Indicator_Import-Expor'!$C$7:$C$223,0)),"")</f>
        <v>TCP-5: Nombre d'enfants âgés de moins de 5 en contact avec des patients tuberculeux qui ont commencé un traitement préventif à l'isoniazide</v>
      </c>
      <c r="E15" s="1082" t="str">
        <f>IFERROR(IF(INDEX('Coverage Indicator_Import-Expor'!K$7:K$223,MATCH($B15,'Coverage Indicator_Import-Expor'!$C$7:$C$223,0))="","",INDEX('Coverage Indicator_Import-Expor'!K$7:K$223,MATCH($B15,'Coverage Indicator_Import-Expor'!$C$7:$C$223,0))),"")</f>
        <v>National</v>
      </c>
      <c r="F15" s="1082" t="str">
        <f>IFERROR(IF(INDEX('Coverage Indicator_Import-Expor'!L$7:L$223,MATCH($B15,'Coverage Indicator_Import-Expor'!$C$7:$C$223,0))="","",INDEX('Coverage Indicator_Import-Expor'!L$7:L$223,MATCH($B15,'Coverage Indicator_Import-Expor'!$C$7:$C$223,0))),"")</f>
        <v>N-Non-cumulative</v>
      </c>
      <c r="G15" s="1082" t="str">
        <f>IFERROR(IF(INDEX('Coverage Indicator_Import-Expor'!AR$7:AR$223,MATCH($B15,'Coverage Indicator_Import-Expor'!$C$7:$C$223,0))="","",INDEX('Coverage Indicator_Import-Expor'!AR$7:AR$223,MATCH($B15,'Coverage Indicator_Import-Expor'!$C$7:$C$223,0))),"")</f>
        <v>No</v>
      </c>
      <c r="H15" s="1082" t="str">
        <f>IFERROR(IF(INDEX('Coverage Indicator_Import-Expor'!AS$7:AS$223,MATCH($B15,'Coverage Indicator_Import-Expor'!$C$7:$C$223,0))="","",INDEX('Coverage Indicator_Import-Expor'!AS$7:AS$223,MATCH($B15,'Coverage Indicator_Import-Expor'!$C$7:$C$223,0))),"")</f>
        <v>Burundi</v>
      </c>
      <c r="I15" s="1083">
        <f>IFERROR(IF(INDEX('Coverage Indicator_Import-Expor'!N$7:N$223,MATCH($B15,'Coverage Indicator_Import-Expor'!$C$7:$C$223,0))="","",INDEX('Coverage Indicator_Import-Expor'!N$7:N$223,MATCH($B15,'Coverage Indicator_Import-Expor'!$C$7:$C$223,0))),"")</f>
        <v>1171</v>
      </c>
      <c r="J15" s="1083" t="str">
        <f>IFERROR(IF(INDEX('Coverage Indicator_Import-Expor'!O$7:O$223,MATCH($B15,'Coverage Indicator_Import-Expor'!$C$7:$C$223,0))="","",INDEX('Coverage Indicator_Import-Expor'!O$7:O$223,MATCH($B15,'Coverage Indicator_Import-Expor'!$C$7:$C$223,0))),"")</f>
        <v/>
      </c>
      <c r="K15" s="1084" t="str">
        <f>IFERROR(IF(INDEX('Coverage Indicator_Import-Expor'!P$7:P$223,MATCH($B15,'Coverage Indicator_Import-Expor'!$C$7:$C$223,0))="","",INDEX('Coverage Indicator_Import-Expor'!P$7:P$223,MATCH($B15,'Coverage Indicator_Import-Expor'!$C$7:$C$223,0))),"")</f>
        <v/>
      </c>
      <c r="L15" s="1082" t="str">
        <f>IFERROR(IF(INDEX('Coverage Indicator_Import-Expor'!Q$7:Q$223,MATCH($B15,'Coverage Indicator_Import-Expor'!$C$7:$C$223,0))="","",INDEX('Coverage Indicator_Import-Expor'!Q$7:Q$223,MATCH($B15,'Coverage Indicator_Import-Expor'!$C$7:$C$223,0))),"")</f>
        <v>2016</v>
      </c>
      <c r="M15" s="1082" t="str">
        <f>IFERROR(IF(INDEX('Coverage Indicator_Import-Expor'!R$7:R$223,MATCH($B15,'Coverage Indicator_Import-Expor'!$C$7:$C$223,0))="","",INDEX('Coverage Indicator_Import-Expor'!R$7:R$223,MATCH($B15,'Coverage Indicator_Import-Expor'!$C$7:$C$223,0))),"")</f>
        <v>PNILT Annual Report</v>
      </c>
      <c r="N15" s="1083">
        <f>IFERROR(IF(INDEX('Coverage Indicator_Import-Expor'!S$7:S$223,MATCH($B15,'Coverage Indicator_Import-Expor'!$C$7:$C$223,0))="","",INDEX('Coverage Indicator_Import-Expor'!S$7:S$223,MATCH($B15,'Coverage Indicator_Import-Expor'!$C$7:$C$223,0))),"")</f>
        <v>737.5</v>
      </c>
      <c r="O15" s="1083" t="str">
        <f>IFERROR(IF(INDEX('Coverage Indicator_Import-Expor'!T$7:T$223,MATCH($B15,'Coverage Indicator_Import-Expor'!$C$7:$C$223,0))="","",INDEX('Coverage Indicator_Import-Expor'!T$7:T$223,MATCH($B15,'Coverage Indicator_Import-Expor'!$C$7:$C$223,0))),"")</f>
        <v/>
      </c>
      <c r="P15" s="1084" t="str">
        <f>IFERROR(IF(INDEX('Coverage Indicator_Import-Expor'!U$7:U$223,MATCH($B15,'Coverage Indicator_Import-Expor'!$C$7:$C$223,0))="","",INDEX('Coverage Indicator_Import-Expor'!U$7:U$223,MATCH($B15,'Coverage Indicator_Import-Expor'!$C$7:$C$223,0))),"")</f>
        <v/>
      </c>
      <c r="Q15" s="1085">
        <v>599</v>
      </c>
      <c r="R15" s="1085"/>
      <c r="S15" s="1086" t="str">
        <f t="shared" si="6"/>
        <v/>
      </c>
      <c r="T15" s="1087" t="s">
        <v>69</v>
      </c>
      <c r="U15" s="1088">
        <f t="shared" si="7"/>
        <v>0.81220338983050844</v>
      </c>
      <c r="V15" s="1087" t="s">
        <v>333</v>
      </c>
      <c r="W15" s="1089" t="str">
        <f t="shared" si="8"/>
        <v>Continue</v>
      </c>
      <c r="X15" s="1085"/>
      <c r="Y15" s="1085"/>
      <c r="Z15" s="1086" t="str">
        <f t="shared" si="9"/>
        <v/>
      </c>
      <c r="AA15" s="1087"/>
      <c r="AB15" s="1088" t="str">
        <f t="shared" si="10"/>
        <v xml:space="preserve"> </v>
      </c>
      <c r="AC15" s="1087"/>
      <c r="AD15" s="1087"/>
      <c r="AE15" s="1089" t="str">
        <f t="shared" si="11"/>
        <v>No Results Reported</v>
      </c>
      <c r="AF15" s="1085"/>
      <c r="AG15" s="1085"/>
      <c r="AH15" s="1086" t="str">
        <f t="shared" si="12"/>
        <v/>
      </c>
      <c r="AI15" s="1088" t="str">
        <f t="shared" si="13"/>
        <v xml:space="preserve"> </v>
      </c>
      <c r="AJ15" s="1087"/>
      <c r="AK15" s="1090" t="str">
        <f t="shared" si="14"/>
        <v>No Results Reported</v>
      </c>
    </row>
    <row r="16" spans="1:38" ht="60" customHeight="1" x14ac:dyDescent="0.2">
      <c r="A16" s="508">
        <f t="shared" si="4"/>
        <v>6</v>
      </c>
      <c r="B16" s="509" t="str">
        <f t="shared" si="5"/>
        <v>Coverage6</v>
      </c>
      <c r="C16" s="1081" t="str">
        <f>IFERROR(INDEX('Coverage Indicator_Import-Expor'!$D$7:$D$223,MATCH(B16,'Coverage Indicator_Import-Expor'!$C$7:$C$223,0)),"")</f>
        <v>TB care and prevention</v>
      </c>
      <c r="D16" s="1082" t="str">
        <f>IFERROR(INDEX('Coverage Indicator_Import-Expor'!$E$7:$E$223,MATCH(B16,'Coverage Indicator_Import-Expor'!$C$7:$C$223,0)),"")</f>
        <v>TCP-7c: Nombre de cas déclarés de tuberculose (toutes formes confondues) par les prestataires extérieurs au programme national de lutte contre la tuberculose — services communautaires</v>
      </c>
      <c r="E16" s="1082" t="str">
        <f>IFERROR(IF(INDEX('Coverage Indicator_Import-Expor'!K$7:K$223,MATCH($B16,'Coverage Indicator_Import-Expor'!$C$7:$C$223,0))="","",INDEX('Coverage Indicator_Import-Expor'!K$7:K$223,MATCH($B16,'Coverage Indicator_Import-Expor'!$C$7:$C$223,0))),"")</f>
        <v>National</v>
      </c>
      <c r="F16" s="1082" t="str">
        <f>IFERROR(IF(INDEX('Coverage Indicator_Import-Expor'!L$7:L$223,MATCH($B16,'Coverage Indicator_Import-Expor'!$C$7:$C$223,0))="","",INDEX('Coverage Indicator_Import-Expor'!L$7:L$223,MATCH($B16,'Coverage Indicator_Import-Expor'!$C$7:$C$223,0))),"")</f>
        <v>N-Non-cumulative</v>
      </c>
      <c r="G16" s="1082" t="str">
        <f>IFERROR(IF(INDEX('Coverage Indicator_Import-Expor'!AR$7:AR$223,MATCH($B16,'Coverage Indicator_Import-Expor'!$C$7:$C$223,0))="","",INDEX('Coverage Indicator_Import-Expor'!AR$7:AR$223,MATCH($B16,'Coverage Indicator_Import-Expor'!$C$7:$C$223,0))),"")</f>
        <v>No</v>
      </c>
      <c r="H16" s="1082" t="str">
        <f>IFERROR(IF(INDEX('Coverage Indicator_Import-Expor'!AS$7:AS$223,MATCH($B16,'Coverage Indicator_Import-Expor'!$C$7:$C$223,0))="","",INDEX('Coverage Indicator_Import-Expor'!AS$7:AS$223,MATCH($B16,'Coverage Indicator_Import-Expor'!$C$7:$C$223,0))),"")</f>
        <v>Burundi</v>
      </c>
      <c r="I16" s="1083">
        <f>IFERROR(IF(INDEX('Coverage Indicator_Import-Expor'!N$7:N$223,MATCH($B16,'Coverage Indicator_Import-Expor'!$C$7:$C$223,0))="","",INDEX('Coverage Indicator_Import-Expor'!N$7:N$223,MATCH($B16,'Coverage Indicator_Import-Expor'!$C$7:$C$223,0))),"")</f>
        <v>382</v>
      </c>
      <c r="J16" s="1083" t="str">
        <f>IFERROR(IF(INDEX('Coverage Indicator_Import-Expor'!O$7:O$223,MATCH($B16,'Coverage Indicator_Import-Expor'!$C$7:$C$223,0))="","",INDEX('Coverage Indicator_Import-Expor'!O$7:O$223,MATCH($B16,'Coverage Indicator_Import-Expor'!$C$7:$C$223,0))),"")</f>
        <v/>
      </c>
      <c r="K16" s="1084" t="str">
        <f>IFERROR(IF(INDEX('Coverage Indicator_Import-Expor'!P$7:P$223,MATCH($B16,'Coverage Indicator_Import-Expor'!$C$7:$C$223,0))="","",INDEX('Coverage Indicator_Import-Expor'!P$7:P$223,MATCH($B16,'Coverage Indicator_Import-Expor'!$C$7:$C$223,0))),"")</f>
        <v/>
      </c>
      <c r="L16" s="1082" t="str">
        <f>IFERROR(IF(INDEX('Coverage Indicator_Import-Expor'!Q$7:Q$223,MATCH($B16,'Coverage Indicator_Import-Expor'!$C$7:$C$223,0))="","",INDEX('Coverage Indicator_Import-Expor'!Q$7:Q$223,MATCH($B16,'Coverage Indicator_Import-Expor'!$C$7:$C$223,0))),"")</f>
        <v>2016</v>
      </c>
      <c r="M16" s="1082" t="str">
        <f>IFERROR(IF(INDEX('Coverage Indicator_Import-Expor'!R$7:R$223,MATCH($B16,'Coverage Indicator_Import-Expor'!$C$7:$C$223,0))="","",INDEX('Coverage Indicator_Import-Expor'!R$7:R$223,MATCH($B16,'Coverage Indicator_Import-Expor'!$C$7:$C$223,0))),"")</f>
        <v>PNILT Annual Report</v>
      </c>
      <c r="N16" s="1083">
        <f>IFERROR(IF(INDEX('Coverage Indicator_Import-Expor'!S$7:S$223,MATCH($B16,'Coverage Indicator_Import-Expor'!$C$7:$C$223,0))="","",INDEX('Coverage Indicator_Import-Expor'!S$7:S$223,MATCH($B16,'Coverage Indicator_Import-Expor'!$C$7:$C$223,0))),"")</f>
        <v>1330.5</v>
      </c>
      <c r="O16" s="1083" t="str">
        <f>IFERROR(IF(INDEX('Coverage Indicator_Import-Expor'!T$7:T$223,MATCH($B16,'Coverage Indicator_Import-Expor'!$C$7:$C$223,0))="","",INDEX('Coverage Indicator_Import-Expor'!T$7:T$223,MATCH($B16,'Coverage Indicator_Import-Expor'!$C$7:$C$223,0))),"")</f>
        <v/>
      </c>
      <c r="P16" s="1084" t="str">
        <f>IFERROR(IF(INDEX('Coverage Indicator_Import-Expor'!U$7:U$223,MATCH($B16,'Coverage Indicator_Import-Expor'!$C$7:$C$223,0))="","",INDEX('Coverage Indicator_Import-Expor'!U$7:U$223,MATCH($B16,'Coverage Indicator_Import-Expor'!$C$7:$C$223,0))),"")</f>
        <v/>
      </c>
      <c r="Q16" s="1085">
        <v>174</v>
      </c>
      <c r="R16" s="1085"/>
      <c r="S16" s="1086" t="str">
        <f t="shared" si="6"/>
        <v/>
      </c>
      <c r="T16" s="1087" t="s">
        <v>69</v>
      </c>
      <c r="U16" s="1088">
        <f t="shared" si="7"/>
        <v>0.13077790304396844</v>
      </c>
      <c r="V16" s="1087" t="s">
        <v>334</v>
      </c>
      <c r="W16" s="1089" t="str">
        <f t="shared" si="8"/>
        <v>Continue</v>
      </c>
      <c r="X16" s="1085"/>
      <c r="Y16" s="1085"/>
      <c r="Z16" s="1086" t="str">
        <f t="shared" si="9"/>
        <v/>
      </c>
      <c r="AA16" s="1087"/>
      <c r="AB16" s="1088" t="str">
        <f t="shared" si="10"/>
        <v xml:space="preserve"> </v>
      </c>
      <c r="AC16" s="1087"/>
      <c r="AD16" s="1087"/>
      <c r="AE16" s="1089" t="str">
        <f t="shared" si="11"/>
        <v>No Results Reported</v>
      </c>
      <c r="AF16" s="1085"/>
      <c r="AG16" s="1085"/>
      <c r="AH16" s="1086" t="str">
        <f t="shared" si="12"/>
        <v/>
      </c>
      <c r="AI16" s="1088" t="str">
        <f t="shared" si="13"/>
        <v xml:space="preserve"> </v>
      </c>
      <c r="AJ16" s="1087"/>
      <c r="AK16" s="1090" t="str">
        <f t="shared" si="14"/>
        <v>No Results Reported</v>
      </c>
    </row>
    <row r="17" spans="1:37" ht="60" customHeight="1" x14ac:dyDescent="0.2">
      <c r="A17" s="508">
        <f t="shared" si="4"/>
        <v>7</v>
      </c>
      <c r="B17" s="509" t="str">
        <f t="shared" si="5"/>
        <v>Coverage7</v>
      </c>
      <c r="C17" s="1081" t="str">
        <f>IFERROR(INDEX('Coverage Indicator_Import-Expor'!$D$7:$D$223,MATCH(B17,'Coverage Indicator_Import-Expor'!$C$7:$C$223,0)),"")</f>
        <v>TB/HIV</v>
      </c>
      <c r="D17" s="1082" t="str">
        <f>IFERROR(INDEX('Coverage Indicator_Import-Expor'!$E$7:$E$223,MATCH(B17,'Coverage Indicator_Import-Expor'!$C$7:$C$223,0)),"")</f>
        <v>TB/HIV-5: Pourcentage de nouveaux patients TB et de rechute enregistrés dont le statut VIH est documenté</v>
      </c>
      <c r="E17" s="1082" t="str">
        <f>IFERROR(IF(INDEX('Coverage Indicator_Import-Expor'!K$7:K$223,MATCH($B17,'Coverage Indicator_Import-Expor'!$C$7:$C$223,0))="","",INDEX('Coverage Indicator_Import-Expor'!K$7:K$223,MATCH($B17,'Coverage Indicator_Import-Expor'!$C$7:$C$223,0))),"")</f>
        <v>National</v>
      </c>
      <c r="F17" s="1082" t="str">
        <f>IFERROR(IF(INDEX('Coverage Indicator_Import-Expor'!L$7:L$223,MATCH($B17,'Coverage Indicator_Import-Expor'!$C$7:$C$223,0))="","",INDEX('Coverage Indicator_Import-Expor'!L$7:L$223,MATCH($B17,'Coverage Indicator_Import-Expor'!$C$7:$C$223,0))),"")</f>
        <v>N-Non-cumulative</v>
      </c>
      <c r="G17" s="1082" t="str">
        <f>IFERROR(IF(INDEX('Coverage Indicator_Import-Expor'!AR$7:AR$223,MATCH($B17,'Coverage Indicator_Import-Expor'!$C$7:$C$223,0))="","",INDEX('Coverage Indicator_Import-Expor'!AR$7:AR$223,MATCH($B17,'Coverage Indicator_Import-Expor'!$C$7:$C$223,0))),"")</f>
        <v>No</v>
      </c>
      <c r="H17" s="1082" t="str">
        <f>IFERROR(IF(INDEX('Coverage Indicator_Import-Expor'!AS$7:AS$223,MATCH($B17,'Coverage Indicator_Import-Expor'!$C$7:$C$223,0))="","",INDEX('Coverage Indicator_Import-Expor'!AS$7:AS$223,MATCH($B17,'Coverage Indicator_Import-Expor'!$C$7:$C$223,0))),"")</f>
        <v>Burundi</v>
      </c>
      <c r="I17" s="1083">
        <f>IFERROR(IF(INDEX('Coverage Indicator_Import-Expor'!N$7:N$223,MATCH($B17,'Coverage Indicator_Import-Expor'!$C$7:$C$223,0))="","",INDEX('Coverage Indicator_Import-Expor'!N$7:N$223,MATCH($B17,'Coverage Indicator_Import-Expor'!$C$7:$C$223,0))),"")</f>
        <v>7345</v>
      </c>
      <c r="J17" s="1083">
        <f>IFERROR(IF(INDEX('Coverage Indicator_Import-Expor'!O$7:O$223,MATCH($B17,'Coverage Indicator_Import-Expor'!$C$7:$C$223,0))="","",INDEX('Coverage Indicator_Import-Expor'!O$7:O$223,MATCH($B17,'Coverage Indicator_Import-Expor'!$C$7:$C$223,0))),"")</f>
        <v>7662</v>
      </c>
      <c r="K17" s="1084">
        <f>IFERROR(IF(INDEX('Coverage Indicator_Import-Expor'!P$7:P$223,MATCH($B17,'Coverage Indicator_Import-Expor'!$C$7:$C$223,0))="","",INDEX('Coverage Indicator_Import-Expor'!P$7:P$223,MATCH($B17,'Coverage Indicator_Import-Expor'!$C$7:$C$223,0))),"")</f>
        <v>95.9</v>
      </c>
      <c r="L17" s="1082" t="str">
        <f>IFERROR(IF(INDEX('Coverage Indicator_Import-Expor'!Q$7:Q$223,MATCH($B17,'Coverage Indicator_Import-Expor'!$C$7:$C$223,0))="","",INDEX('Coverage Indicator_Import-Expor'!Q$7:Q$223,MATCH($B17,'Coverage Indicator_Import-Expor'!$C$7:$C$223,0))),"")</f>
        <v>2016</v>
      </c>
      <c r="M17" s="1082" t="str">
        <f>IFERROR(IF(INDEX('Coverage Indicator_Import-Expor'!R$7:R$223,MATCH($B17,'Coverage Indicator_Import-Expor'!$C$7:$C$223,0))="","",INDEX('Coverage Indicator_Import-Expor'!R$7:R$223,MATCH($B17,'Coverage Indicator_Import-Expor'!$C$7:$C$223,0))),"")</f>
        <v>PNILT Annual Report</v>
      </c>
      <c r="N17" s="1083">
        <f>IFERROR(IF(INDEX('Coverage Indicator_Import-Expor'!S$7:S$223,MATCH($B17,'Coverage Indicator_Import-Expor'!$C$7:$C$223,0))="","",INDEX('Coverage Indicator_Import-Expor'!S$7:S$223,MATCH($B17,'Coverage Indicator_Import-Expor'!$C$7:$C$223,0))),"")</f>
        <v>4257.6000000000004</v>
      </c>
      <c r="O17" s="1083">
        <f>IFERROR(IF(INDEX('Coverage Indicator_Import-Expor'!T$7:T$223,MATCH($B17,'Coverage Indicator_Import-Expor'!$C$7:$C$223,0))="","",INDEX('Coverage Indicator_Import-Expor'!T$7:T$223,MATCH($B17,'Coverage Indicator_Import-Expor'!$C$7:$C$223,0))),"")</f>
        <v>4435</v>
      </c>
      <c r="P17" s="1084">
        <f>IFERROR(IF(INDEX('Coverage Indicator_Import-Expor'!U$7:U$223,MATCH($B17,'Coverage Indicator_Import-Expor'!$C$7:$C$223,0))="","",INDEX('Coverage Indicator_Import-Expor'!U$7:U$223,MATCH($B17,'Coverage Indicator_Import-Expor'!$C$7:$C$223,0))),"")</f>
        <v>96</v>
      </c>
      <c r="Q17" s="1085">
        <v>3325</v>
      </c>
      <c r="R17" s="1085">
        <v>3359</v>
      </c>
      <c r="S17" s="1086">
        <f t="shared" si="6"/>
        <v>98.987793986305448</v>
      </c>
      <c r="T17" s="1087" t="s">
        <v>69</v>
      </c>
      <c r="U17" s="1088">
        <f t="shared" si="7"/>
        <v>1.0311228540240152</v>
      </c>
      <c r="V17" s="1087" t="s">
        <v>335</v>
      </c>
      <c r="W17" s="1089" t="str">
        <f t="shared" si="8"/>
        <v>Continue</v>
      </c>
      <c r="X17" s="1085"/>
      <c r="Y17" s="1085"/>
      <c r="Z17" s="1086" t="str">
        <f t="shared" si="9"/>
        <v/>
      </c>
      <c r="AA17" s="1087"/>
      <c r="AB17" s="1088" t="str">
        <f t="shared" si="10"/>
        <v xml:space="preserve"> </v>
      </c>
      <c r="AC17" s="1087"/>
      <c r="AD17" s="1087"/>
      <c r="AE17" s="1089" t="str">
        <f t="shared" si="11"/>
        <v>No Results Reported</v>
      </c>
      <c r="AF17" s="1085"/>
      <c r="AG17" s="1085"/>
      <c r="AH17" s="1086" t="str">
        <f t="shared" si="12"/>
        <v/>
      </c>
      <c r="AI17" s="1088" t="str">
        <f t="shared" si="13"/>
        <v xml:space="preserve"> </v>
      </c>
      <c r="AJ17" s="1087"/>
      <c r="AK17" s="1090" t="str">
        <f t="shared" si="14"/>
        <v>No Results Reported</v>
      </c>
    </row>
    <row r="18" spans="1:37" ht="60" customHeight="1" x14ac:dyDescent="0.2">
      <c r="A18" s="508">
        <f t="shared" si="4"/>
        <v>8</v>
      </c>
      <c r="B18" s="509" t="str">
        <f t="shared" si="5"/>
        <v>Coverage8</v>
      </c>
      <c r="C18" s="1081" t="str">
        <f>IFERROR(INDEX('Coverage Indicator_Import-Expor'!$D$7:$D$223,MATCH(B18,'Coverage Indicator_Import-Expor'!$C$7:$C$223,0)),"")</f>
        <v>TB/HIV</v>
      </c>
      <c r="D18" s="1082" t="str">
        <f>IFERROR(INDEX('Coverage Indicator_Import-Expor'!$E$7:$E$223,MATCH(B18,'Coverage Indicator_Import-Expor'!$C$7:$C$223,0)),"")</f>
        <v>TB/HIV-6(M): Pourcentage de nouveaux patients  tuberculeux et de rechutes, séropositifs au VIH, sous traitement antirétroviral au cours du traitement de la tuberculose</v>
      </c>
      <c r="E18" s="1082" t="str">
        <f>IFERROR(IF(INDEX('Coverage Indicator_Import-Expor'!K$7:K$223,MATCH($B18,'Coverage Indicator_Import-Expor'!$C$7:$C$223,0))="","",INDEX('Coverage Indicator_Import-Expor'!K$7:K$223,MATCH($B18,'Coverage Indicator_Import-Expor'!$C$7:$C$223,0))),"")</f>
        <v>National</v>
      </c>
      <c r="F18" s="1082" t="str">
        <f>IFERROR(IF(INDEX('Coverage Indicator_Import-Expor'!L$7:L$223,MATCH($B18,'Coverage Indicator_Import-Expor'!$C$7:$C$223,0))="","",INDEX('Coverage Indicator_Import-Expor'!L$7:L$223,MATCH($B18,'Coverage Indicator_Import-Expor'!$C$7:$C$223,0))),"")</f>
        <v>N-Non-cumulative</v>
      </c>
      <c r="G18" s="1082" t="str">
        <f>IFERROR(IF(INDEX('Coverage Indicator_Import-Expor'!AR$7:AR$223,MATCH($B18,'Coverage Indicator_Import-Expor'!$C$7:$C$223,0))="","",INDEX('Coverage Indicator_Import-Expor'!AR$7:AR$223,MATCH($B18,'Coverage Indicator_Import-Expor'!$C$7:$C$223,0))),"")</f>
        <v>No</v>
      </c>
      <c r="H18" s="1082" t="str">
        <f>IFERROR(IF(INDEX('Coverage Indicator_Import-Expor'!AS$7:AS$223,MATCH($B18,'Coverage Indicator_Import-Expor'!$C$7:$C$223,0))="","",INDEX('Coverage Indicator_Import-Expor'!AS$7:AS$223,MATCH($B18,'Coverage Indicator_Import-Expor'!$C$7:$C$223,0))),"")</f>
        <v>Burundi</v>
      </c>
      <c r="I18" s="1083">
        <f>IFERROR(IF(INDEX('Coverage Indicator_Import-Expor'!N$7:N$223,MATCH($B18,'Coverage Indicator_Import-Expor'!$C$7:$C$223,0))="","",INDEX('Coverage Indicator_Import-Expor'!N$7:N$223,MATCH($B18,'Coverage Indicator_Import-Expor'!$C$7:$C$223,0))),"")</f>
        <v>795</v>
      </c>
      <c r="J18" s="1083">
        <f>IFERROR(IF(INDEX('Coverage Indicator_Import-Expor'!O$7:O$223,MATCH($B18,'Coverage Indicator_Import-Expor'!$C$7:$C$223,0))="","",INDEX('Coverage Indicator_Import-Expor'!O$7:O$223,MATCH($B18,'Coverage Indicator_Import-Expor'!$C$7:$C$223,0))),"")</f>
        <v>877</v>
      </c>
      <c r="K18" s="1084">
        <f>IFERROR(IF(INDEX('Coverage Indicator_Import-Expor'!P$7:P$223,MATCH($B18,'Coverage Indicator_Import-Expor'!$C$7:$C$223,0))="","",INDEX('Coverage Indicator_Import-Expor'!P$7:P$223,MATCH($B18,'Coverage Indicator_Import-Expor'!$C$7:$C$223,0))),"")</f>
        <v>90.6</v>
      </c>
      <c r="L18" s="1082" t="str">
        <f>IFERROR(IF(INDEX('Coverage Indicator_Import-Expor'!Q$7:Q$223,MATCH($B18,'Coverage Indicator_Import-Expor'!$C$7:$C$223,0))="","",INDEX('Coverage Indicator_Import-Expor'!Q$7:Q$223,MATCH($B18,'Coverage Indicator_Import-Expor'!$C$7:$C$223,0))),"")</f>
        <v>2016</v>
      </c>
      <c r="M18" s="1082" t="str">
        <f>IFERROR(IF(INDEX('Coverage Indicator_Import-Expor'!R$7:R$223,MATCH($B18,'Coverage Indicator_Import-Expor'!$C$7:$C$223,0))="","",INDEX('Coverage Indicator_Import-Expor'!R$7:R$223,MATCH($B18,'Coverage Indicator_Import-Expor'!$C$7:$C$223,0))),"")</f>
        <v>PNILT Annual Report</v>
      </c>
      <c r="N18" s="1083">
        <f>IFERROR(IF(INDEX('Coverage Indicator_Import-Expor'!S$7:S$223,MATCH($B18,'Coverage Indicator_Import-Expor'!$C$7:$C$223,0))="","",INDEX('Coverage Indicator_Import-Expor'!S$7:S$223,MATCH($B18,'Coverage Indicator_Import-Expor'!$C$7:$C$223,0))),"")</f>
        <v>695.04</v>
      </c>
      <c r="O18" s="1083">
        <f>IFERROR(IF(INDEX('Coverage Indicator_Import-Expor'!T$7:T$223,MATCH($B18,'Coverage Indicator_Import-Expor'!$C$7:$C$223,0))="","",INDEX('Coverage Indicator_Import-Expor'!T$7:T$223,MATCH($B18,'Coverage Indicator_Import-Expor'!$C$7:$C$223,0))),"")</f>
        <v>724</v>
      </c>
      <c r="P18" s="1084">
        <f>IFERROR(IF(INDEX('Coverage Indicator_Import-Expor'!U$7:U$223,MATCH($B18,'Coverage Indicator_Import-Expor'!$C$7:$C$223,0))="","",INDEX('Coverage Indicator_Import-Expor'!U$7:U$223,MATCH($B18,'Coverage Indicator_Import-Expor'!$C$7:$C$223,0))),"")</f>
        <v>96</v>
      </c>
      <c r="Q18" s="1085">
        <v>262</v>
      </c>
      <c r="R18" s="1085">
        <v>262</v>
      </c>
      <c r="S18" s="1086">
        <f t="shared" si="6"/>
        <v>100</v>
      </c>
      <c r="T18" s="1087" t="s">
        <v>69</v>
      </c>
      <c r="U18" s="1088">
        <f t="shared" si="7"/>
        <v>1.0416666666666667</v>
      </c>
      <c r="V18" s="1087" t="s">
        <v>336</v>
      </c>
      <c r="W18" s="1089" t="str">
        <f t="shared" si="8"/>
        <v>Continue</v>
      </c>
      <c r="X18" s="1085"/>
      <c r="Y18" s="1085"/>
      <c r="Z18" s="1086" t="str">
        <f t="shared" si="9"/>
        <v/>
      </c>
      <c r="AA18" s="1087"/>
      <c r="AB18" s="1088" t="str">
        <f t="shared" si="10"/>
        <v xml:space="preserve"> </v>
      </c>
      <c r="AC18" s="1087"/>
      <c r="AD18" s="1087"/>
      <c r="AE18" s="1089" t="str">
        <f t="shared" si="11"/>
        <v>No Results Reported</v>
      </c>
      <c r="AF18" s="1085"/>
      <c r="AG18" s="1085"/>
      <c r="AH18" s="1086" t="str">
        <f t="shared" si="12"/>
        <v/>
      </c>
      <c r="AI18" s="1088" t="str">
        <f t="shared" si="13"/>
        <v xml:space="preserve"> </v>
      </c>
      <c r="AJ18" s="1087"/>
      <c r="AK18" s="1090" t="str">
        <f t="shared" si="14"/>
        <v>No Results Reported</v>
      </c>
    </row>
    <row r="19" spans="1:37" ht="60" customHeight="1" x14ac:dyDescent="0.2">
      <c r="A19" s="508">
        <f t="shared" si="4"/>
        <v>9</v>
      </c>
      <c r="B19" s="509" t="str">
        <f t="shared" si="5"/>
        <v>Coverage9</v>
      </c>
      <c r="C19" s="1081" t="str">
        <f>IFERROR(INDEX('Coverage Indicator_Import-Expor'!$D$7:$D$223,MATCH(B19,'Coverage Indicator_Import-Expor'!$C$7:$C$223,0)),"")</f>
        <v>MDR-TB</v>
      </c>
      <c r="D19" s="1082" t="str">
        <f>IFERROR(INDEX('Coverage Indicator_Import-Expor'!$E$7:$E$223,MATCH(B19,'Coverage Indicator_Import-Expor'!$C$7:$C$223,0)),"")</f>
        <v>MDR TB-2(M): Nombre de cas de tuberculose, résistante à la rifampicine et/ou tuberculose multirésistante confirmés</v>
      </c>
      <c r="E19" s="1082" t="str">
        <f>IFERROR(IF(INDEX('Coverage Indicator_Import-Expor'!K$7:K$223,MATCH($B19,'Coverage Indicator_Import-Expor'!$C$7:$C$223,0))="","",INDEX('Coverage Indicator_Import-Expor'!K$7:K$223,MATCH($B19,'Coverage Indicator_Import-Expor'!$C$7:$C$223,0))),"")</f>
        <v>National</v>
      </c>
      <c r="F19" s="1082" t="str">
        <f>IFERROR(IF(INDEX('Coverage Indicator_Import-Expor'!L$7:L$223,MATCH($B19,'Coverage Indicator_Import-Expor'!$C$7:$C$223,0))="","",INDEX('Coverage Indicator_Import-Expor'!L$7:L$223,MATCH($B19,'Coverage Indicator_Import-Expor'!$C$7:$C$223,0))),"")</f>
        <v>N-Non-cumulative</v>
      </c>
      <c r="G19" s="1082" t="str">
        <f>IFERROR(IF(INDEX('Coverage Indicator_Import-Expor'!AR$7:AR$223,MATCH($B19,'Coverage Indicator_Import-Expor'!$C$7:$C$223,0))="","",INDEX('Coverage Indicator_Import-Expor'!AR$7:AR$223,MATCH($B19,'Coverage Indicator_Import-Expor'!$C$7:$C$223,0))),"")</f>
        <v>No</v>
      </c>
      <c r="H19" s="1082" t="str">
        <f>IFERROR(IF(INDEX('Coverage Indicator_Import-Expor'!AS$7:AS$223,MATCH($B19,'Coverage Indicator_Import-Expor'!$C$7:$C$223,0))="","",INDEX('Coverage Indicator_Import-Expor'!AS$7:AS$223,MATCH($B19,'Coverage Indicator_Import-Expor'!$C$7:$C$223,0))),"")</f>
        <v>Burundi</v>
      </c>
      <c r="I19" s="1083">
        <f>IFERROR(IF(INDEX('Coverage Indicator_Import-Expor'!N$7:N$223,MATCH($B19,'Coverage Indicator_Import-Expor'!$C$7:$C$223,0))="","",INDEX('Coverage Indicator_Import-Expor'!N$7:N$223,MATCH($B19,'Coverage Indicator_Import-Expor'!$C$7:$C$223,0))),"")</f>
        <v>80</v>
      </c>
      <c r="J19" s="1083" t="str">
        <f>IFERROR(IF(INDEX('Coverage Indicator_Import-Expor'!O$7:O$223,MATCH($B19,'Coverage Indicator_Import-Expor'!$C$7:$C$223,0))="","",INDEX('Coverage Indicator_Import-Expor'!O$7:O$223,MATCH($B19,'Coverage Indicator_Import-Expor'!$C$7:$C$223,0))),"")</f>
        <v/>
      </c>
      <c r="K19" s="1084" t="str">
        <f>IFERROR(IF(INDEX('Coverage Indicator_Import-Expor'!P$7:P$223,MATCH($B19,'Coverage Indicator_Import-Expor'!$C$7:$C$223,0))="","",INDEX('Coverage Indicator_Import-Expor'!P$7:P$223,MATCH($B19,'Coverage Indicator_Import-Expor'!$C$7:$C$223,0))),"")</f>
        <v/>
      </c>
      <c r="L19" s="1082" t="str">
        <f>IFERROR(IF(INDEX('Coverage Indicator_Import-Expor'!Q$7:Q$223,MATCH($B19,'Coverage Indicator_Import-Expor'!$C$7:$C$223,0))="","",INDEX('Coverage Indicator_Import-Expor'!Q$7:Q$223,MATCH($B19,'Coverage Indicator_Import-Expor'!$C$7:$C$223,0))),"")</f>
        <v>2016</v>
      </c>
      <c r="M19" s="1082" t="str">
        <f>IFERROR(IF(INDEX('Coverage Indicator_Import-Expor'!R$7:R$223,MATCH($B19,'Coverage Indicator_Import-Expor'!$C$7:$C$223,0))="","",INDEX('Coverage Indicator_Import-Expor'!R$7:R$223,MATCH($B19,'Coverage Indicator_Import-Expor'!$C$7:$C$223,0))),"")</f>
        <v>PNILT Annual Report</v>
      </c>
      <c r="N19" s="1083">
        <f>IFERROR(IF(INDEX('Coverage Indicator_Import-Expor'!S$7:S$223,MATCH($B19,'Coverage Indicator_Import-Expor'!$C$7:$C$223,0))="","",INDEX('Coverage Indicator_Import-Expor'!S$7:S$223,MATCH($B19,'Coverage Indicator_Import-Expor'!$C$7:$C$223,0))),"")</f>
        <v>78.5</v>
      </c>
      <c r="O19" s="1083" t="str">
        <f>IFERROR(IF(INDEX('Coverage Indicator_Import-Expor'!T$7:T$223,MATCH($B19,'Coverage Indicator_Import-Expor'!$C$7:$C$223,0))="","",INDEX('Coverage Indicator_Import-Expor'!T$7:T$223,MATCH($B19,'Coverage Indicator_Import-Expor'!$C$7:$C$223,0))),"")</f>
        <v/>
      </c>
      <c r="P19" s="1084" t="str">
        <f>IFERROR(IF(INDEX('Coverage Indicator_Import-Expor'!U$7:U$223,MATCH($B19,'Coverage Indicator_Import-Expor'!$C$7:$C$223,0))="","",INDEX('Coverage Indicator_Import-Expor'!U$7:U$223,MATCH($B19,'Coverage Indicator_Import-Expor'!$C$7:$C$223,0))),"")</f>
        <v/>
      </c>
      <c r="Q19" s="1085">
        <v>35</v>
      </c>
      <c r="R19" s="1085"/>
      <c r="S19" s="1086" t="str">
        <f t="shared" si="6"/>
        <v/>
      </c>
      <c r="T19" s="1087" t="s">
        <v>65</v>
      </c>
      <c r="U19" s="1088">
        <f t="shared" si="7"/>
        <v>0.44585987261146498</v>
      </c>
      <c r="V19" s="1087" t="s">
        <v>337</v>
      </c>
      <c r="W19" s="1089" t="str">
        <f t="shared" si="8"/>
        <v>Continue</v>
      </c>
      <c r="X19" s="1085"/>
      <c r="Y19" s="1085"/>
      <c r="Z19" s="1086" t="str">
        <f t="shared" si="9"/>
        <v/>
      </c>
      <c r="AA19" s="1087"/>
      <c r="AB19" s="1088" t="str">
        <f t="shared" si="10"/>
        <v xml:space="preserve"> </v>
      </c>
      <c r="AC19" s="1087"/>
      <c r="AD19" s="1087"/>
      <c r="AE19" s="1089" t="str">
        <f t="shared" si="11"/>
        <v>No Results Reported</v>
      </c>
      <c r="AF19" s="1085"/>
      <c r="AG19" s="1085"/>
      <c r="AH19" s="1086" t="str">
        <f t="shared" si="12"/>
        <v/>
      </c>
      <c r="AI19" s="1088" t="str">
        <f t="shared" si="13"/>
        <v xml:space="preserve"> </v>
      </c>
      <c r="AJ19" s="1087"/>
      <c r="AK19" s="1090" t="str">
        <f t="shared" si="14"/>
        <v>No Results Reported</v>
      </c>
    </row>
    <row r="20" spans="1:37" ht="104.25" customHeight="1" x14ac:dyDescent="0.2">
      <c r="A20" s="508">
        <f t="shared" si="4"/>
        <v>10</v>
      </c>
      <c r="B20" s="509" t="str">
        <f t="shared" si="5"/>
        <v>Coverage10</v>
      </c>
      <c r="C20" s="1081" t="str">
        <f>IFERROR(INDEX('Coverage Indicator_Import-Expor'!$D$7:$D$223,MATCH(B20,'Coverage Indicator_Import-Expor'!$C$7:$C$223,0)),"")</f>
        <v>MDR-TB</v>
      </c>
      <c r="D20" s="1082" t="str">
        <f>IFERROR(INDEX('Coverage Indicator_Import-Expor'!$E$7:$E$223,MATCH(B20,'Coverage Indicator_Import-Expor'!$C$7:$C$223,0)),"")</f>
        <v>MDR TB-3(M): Nombre de cas de tuberculose résistante à la rifampicine et/ou tuberculose multirésistante qui ont commencé un traitement de deuxième intention</v>
      </c>
      <c r="E20" s="1082" t="str">
        <f>IFERROR(IF(INDEX('Coverage Indicator_Import-Expor'!K$7:K$223,MATCH($B20,'Coverage Indicator_Import-Expor'!$C$7:$C$223,0))="","",INDEX('Coverage Indicator_Import-Expor'!K$7:K$223,MATCH($B20,'Coverage Indicator_Import-Expor'!$C$7:$C$223,0))),"")</f>
        <v>National</v>
      </c>
      <c r="F20" s="1082" t="str">
        <f>IFERROR(IF(INDEX('Coverage Indicator_Import-Expor'!L$7:L$223,MATCH($B20,'Coverage Indicator_Import-Expor'!$C$7:$C$223,0))="","",INDEX('Coverage Indicator_Import-Expor'!L$7:L$223,MATCH($B20,'Coverage Indicator_Import-Expor'!$C$7:$C$223,0))),"")</f>
        <v>N-Non-cumulative</v>
      </c>
      <c r="G20" s="1082" t="str">
        <f>IFERROR(IF(INDEX('Coverage Indicator_Import-Expor'!AR$7:AR$223,MATCH($B20,'Coverage Indicator_Import-Expor'!$C$7:$C$223,0))="","",INDEX('Coverage Indicator_Import-Expor'!AR$7:AR$223,MATCH($B20,'Coverage Indicator_Import-Expor'!$C$7:$C$223,0))),"")</f>
        <v>No</v>
      </c>
      <c r="H20" s="1082" t="str">
        <f>IFERROR(IF(INDEX('Coverage Indicator_Import-Expor'!AS$7:AS$223,MATCH($B20,'Coverage Indicator_Import-Expor'!$C$7:$C$223,0))="","",INDEX('Coverage Indicator_Import-Expor'!AS$7:AS$223,MATCH($B20,'Coverage Indicator_Import-Expor'!$C$7:$C$223,0))),"")</f>
        <v>Burundi</v>
      </c>
      <c r="I20" s="1083">
        <f>IFERROR(IF(INDEX('Coverage Indicator_Import-Expor'!N$7:N$223,MATCH($B20,'Coverage Indicator_Import-Expor'!$C$7:$C$223,0))="","",INDEX('Coverage Indicator_Import-Expor'!N$7:N$223,MATCH($B20,'Coverage Indicator_Import-Expor'!$C$7:$C$223,0))),"")</f>
        <v>80</v>
      </c>
      <c r="J20" s="1083" t="str">
        <f>IFERROR(IF(INDEX('Coverage Indicator_Import-Expor'!O$7:O$223,MATCH($B20,'Coverage Indicator_Import-Expor'!$C$7:$C$223,0))="","",INDEX('Coverage Indicator_Import-Expor'!O$7:O$223,MATCH($B20,'Coverage Indicator_Import-Expor'!$C$7:$C$223,0))),"")</f>
        <v/>
      </c>
      <c r="K20" s="1084" t="str">
        <f>IFERROR(IF(INDEX('Coverage Indicator_Import-Expor'!P$7:P$223,MATCH($B20,'Coverage Indicator_Import-Expor'!$C$7:$C$223,0))="","",INDEX('Coverage Indicator_Import-Expor'!P$7:P$223,MATCH($B20,'Coverage Indicator_Import-Expor'!$C$7:$C$223,0))),"")</f>
        <v/>
      </c>
      <c r="L20" s="1082" t="str">
        <f>IFERROR(IF(INDEX('Coverage Indicator_Import-Expor'!Q$7:Q$223,MATCH($B20,'Coverage Indicator_Import-Expor'!$C$7:$C$223,0))="","",INDEX('Coverage Indicator_Import-Expor'!Q$7:Q$223,MATCH($B20,'Coverage Indicator_Import-Expor'!$C$7:$C$223,0))),"")</f>
        <v>2016</v>
      </c>
      <c r="M20" s="1082" t="str">
        <f>IFERROR(IF(INDEX('Coverage Indicator_Import-Expor'!R$7:R$223,MATCH($B20,'Coverage Indicator_Import-Expor'!$C$7:$C$223,0))="","",INDEX('Coverage Indicator_Import-Expor'!R$7:R$223,MATCH($B20,'Coverage Indicator_Import-Expor'!$C$7:$C$223,0))),"")</f>
        <v>PNILT Annual Report</v>
      </c>
      <c r="N20" s="1083">
        <f>IFERROR(IF(INDEX('Coverage Indicator_Import-Expor'!S$7:S$223,MATCH($B20,'Coverage Indicator_Import-Expor'!$C$7:$C$223,0))="","",INDEX('Coverage Indicator_Import-Expor'!S$7:S$223,MATCH($B20,'Coverage Indicator_Import-Expor'!$C$7:$C$223,0))),"")</f>
        <v>78.5</v>
      </c>
      <c r="O20" s="1083" t="str">
        <f>IFERROR(IF(INDEX('Coverage Indicator_Import-Expor'!T$7:T$223,MATCH($B20,'Coverage Indicator_Import-Expor'!$C$7:$C$223,0))="","",INDEX('Coverage Indicator_Import-Expor'!T$7:T$223,MATCH($B20,'Coverage Indicator_Import-Expor'!$C$7:$C$223,0))),"")</f>
        <v/>
      </c>
      <c r="P20" s="1084" t="str">
        <f>IFERROR(IF(INDEX('Coverage Indicator_Import-Expor'!U$7:U$223,MATCH($B20,'Coverage Indicator_Import-Expor'!$C$7:$C$223,0))="","",INDEX('Coverage Indicator_Import-Expor'!U$7:U$223,MATCH($B20,'Coverage Indicator_Import-Expor'!$C$7:$C$223,0))),"")</f>
        <v/>
      </c>
      <c r="Q20" s="1085">
        <v>35</v>
      </c>
      <c r="R20" s="1085">
        <v>35</v>
      </c>
      <c r="S20" s="1086">
        <f t="shared" si="6"/>
        <v>100</v>
      </c>
      <c r="T20" s="1087" t="s">
        <v>65</v>
      </c>
      <c r="U20" s="1088" t="str">
        <f t="shared" si="7"/>
        <v xml:space="preserve"> </v>
      </c>
      <c r="V20" s="1087" t="s">
        <v>338</v>
      </c>
      <c r="W20" s="1089" t="str">
        <f t="shared" si="8"/>
        <v>Target contains only a numerator. Please Report only a numerator for the result</v>
      </c>
      <c r="X20" s="1085"/>
      <c r="Y20" s="1085"/>
      <c r="Z20" s="1086" t="str">
        <f t="shared" si="9"/>
        <v/>
      </c>
      <c r="AA20" s="1087"/>
      <c r="AB20" s="1088" t="str">
        <f t="shared" si="10"/>
        <v xml:space="preserve"> </v>
      </c>
      <c r="AC20" s="1087"/>
      <c r="AD20" s="1087"/>
      <c r="AE20" s="1089" t="str">
        <f t="shared" si="11"/>
        <v>No Results Reported</v>
      </c>
      <c r="AF20" s="1085"/>
      <c r="AG20" s="1085"/>
      <c r="AH20" s="1086" t="str">
        <f t="shared" si="12"/>
        <v/>
      </c>
      <c r="AI20" s="1088" t="str">
        <f t="shared" si="13"/>
        <v xml:space="preserve"> </v>
      </c>
      <c r="AJ20" s="1087"/>
      <c r="AK20" s="1090" t="str">
        <f t="shared" si="14"/>
        <v>No Results Reported</v>
      </c>
    </row>
    <row r="21" spans="1:37" ht="89.25" customHeight="1" x14ac:dyDescent="0.2">
      <c r="A21" s="508">
        <f t="shared" si="4"/>
        <v>11</v>
      </c>
      <c r="B21" s="509" t="str">
        <f t="shared" si="5"/>
        <v>Coverage11</v>
      </c>
      <c r="C21" s="1081" t="str">
        <f>IFERROR(INDEX('Coverage Indicator_Import-Expor'!$D$7:$D$223,MATCH(B21,'Coverage Indicator_Import-Expor'!$C$7:$C$223,0)),"")</f>
        <v>RSSH: Health management information systems and M&amp;E</v>
      </c>
      <c r="D21" s="1082" t="str">
        <f>IFERROR(INDEX('Coverage Indicator_Import-Expor'!$E$7:$E$223,MATCH(B21,'Coverage Indicator_Import-Expor'!$C$7:$C$223,0)),"")</f>
        <v>M&amp;E-1: Pourcentage d’entités déclarantes présentant leurs rapports dans les délais selon les directives nationales</v>
      </c>
      <c r="E21" s="1082" t="str">
        <f>IFERROR(IF(INDEX('Coverage Indicator_Import-Expor'!K$7:K$223,MATCH($B21,'Coverage Indicator_Import-Expor'!$C$7:$C$223,0))="","",INDEX('Coverage Indicator_Import-Expor'!K$7:K$223,MATCH($B21,'Coverage Indicator_Import-Expor'!$C$7:$C$223,0))),"")</f>
        <v>National</v>
      </c>
      <c r="F21" s="1082" t="str">
        <f>IFERROR(IF(INDEX('Coverage Indicator_Import-Expor'!L$7:L$223,MATCH($B21,'Coverage Indicator_Import-Expor'!$C$7:$C$223,0))="","",INDEX('Coverage Indicator_Import-Expor'!L$7:L$223,MATCH($B21,'Coverage Indicator_Import-Expor'!$C$7:$C$223,0))),"")</f>
        <v>N-Non-cumulative</v>
      </c>
      <c r="G21" s="1082" t="str">
        <f>IFERROR(IF(INDEX('Coverage Indicator_Import-Expor'!AR$7:AR$223,MATCH($B21,'Coverage Indicator_Import-Expor'!$C$7:$C$223,0))="","",INDEX('Coverage Indicator_Import-Expor'!AR$7:AR$223,MATCH($B21,'Coverage Indicator_Import-Expor'!$C$7:$C$223,0))),"")</f>
        <v>No</v>
      </c>
      <c r="H21" s="1082" t="str">
        <f>IFERROR(IF(INDEX('Coverage Indicator_Import-Expor'!AS$7:AS$223,MATCH($B21,'Coverage Indicator_Import-Expor'!$C$7:$C$223,0))="","",INDEX('Coverage Indicator_Import-Expor'!AS$7:AS$223,MATCH($B21,'Coverage Indicator_Import-Expor'!$C$7:$C$223,0))),"")</f>
        <v>Burundi</v>
      </c>
      <c r="I21" s="1083">
        <f>IFERROR(IF(INDEX('Coverage Indicator_Import-Expor'!N$7:N$223,MATCH($B21,'Coverage Indicator_Import-Expor'!$C$7:$C$223,0))="","",INDEX('Coverage Indicator_Import-Expor'!N$7:N$223,MATCH($B21,'Coverage Indicator_Import-Expor'!$C$7:$C$223,0))),"")</f>
        <v>170</v>
      </c>
      <c r="J21" s="1083">
        <f>IFERROR(IF(INDEX('Coverage Indicator_Import-Expor'!O$7:O$223,MATCH($B21,'Coverage Indicator_Import-Expor'!$C$7:$C$223,0))="","",INDEX('Coverage Indicator_Import-Expor'!O$7:O$223,MATCH($B21,'Coverage Indicator_Import-Expor'!$C$7:$C$223,0))),"")</f>
        <v>170</v>
      </c>
      <c r="K21" s="1084">
        <f>IFERROR(IF(INDEX('Coverage Indicator_Import-Expor'!P$7:P$223,MATCH($B21,'Coverage Indicator_Import-Expor'!$C$7:$C$223,0))="","",INDEX('Coverage Indicator_Import-Expor'!P$7:P$223,MATCH($B21,'Coverage Indicator_Import-Expor'!$C$7:$C$223,0))),"")</f>
        <v>100</v>
      </c>
      <c r="L21" s="1082" t="str">
        <f>IFERROR(IF(INDEX('Coverage Indicator_Import-Expor'!Q$7:Q$223,MATCH($B21,'Coverage Indicator_Import-Expor'!$C$7:$C$223,0))="","",INDEX('Coverage Indicator_Import-Expor'!Q$7:Q$223,MATCH($B21,'Coverage Indicator_Import-Expor'!$C$7:$C$223,0))),"")</f>
        <v>2016</v>
      </c>
      <c r="M21" s="1082" t="str">
        <f>IFERROR(IF(INDEX('Coverage Indicator_Import-Expor'!R$7:R$223,MATCH($B21,'Coverage Indicator_Import-Expor'!$C$7:$C$223,0))="","",INDEX('Coverage Indicator_Import-Expor'!R$7:R$223,MATCH($B21,'Coverage Indicator_Import-Expor'!$C$7:$C$223,0))),"")</f>
        <v>PNILT Annual Report</v>
      </c>
      <c r="N21" s="1083">
        <f>IFERROR(IF(INDEX('Coverage Indicator_Import-Expor'!S$7:S$223,MATCH($B21,'Coverage Indicator_Import-Expor'!$C$7:$C$223,0))="","",INDEX('Coverage Indicator_Import-Expor'!S$7:S$223,MATCH($B21,'Coverage Indicator_Import-Expor'!$C$7:$C$223,0))),"")</f>
        <v>170</v>
      </c>
      <c r="O21" s="1083">
        <f>IFERROR(IF(INDEX('Coverage Indicator_Import-Expor'!T$7:T$223,MATCH($B21,'Coverage Indicator_Import-Expor'!$C$7:$C$223,0))="","",INDEX('Coverage Indicator_Import-Expor'!T$7:T$223,MATCH($B21,'Coverage Indicator_Import-Expor'!$C$7:$C$223,0))),"")</f>
        <v>170</v>
      </c>
      <c r="P21" s="1084">
        <f>IFERROR(IF(INDEX('Coverage Indicator_Import-Expor'!U$7:U$223,MATCH($B21,'Coverage Indicator_Import-Expor'!$C$7:$C$223,0))="","",INDEX('Coverage Indicator_Import-Expor'!U$7:U$223,MATCH($B21,'Coverage Indicator_Import-Expor'!$C$7:$C$223,0))),"")</f>
        <v>100</v>
      </c>
      <c r="Q21" s="1085">
        <v>170</v>
      </c>
      <c r="R21" s="1085">
        <v>170</v>
      </c>
      <c r="S21" s="1086">
        <f t="shared" si="6"/>
        <v>100</v>
      </c>
      <c r="T21" s="1087" t="s">
        <v>69</v>
      </c>
      <c r="U21" s="1088">
        <f t="shared" si="7"/>
        <v>1</v>
      </c>
      <c r="V21" s="1087" t="s">
        <v>339</v>
      </c>
      <c r="W21" s="1089" t="str">
        <f t="shared" si="8"/>
        <v>Continue</v>
      </c>
      <c r="X21" s="1085"/>
      <c r="Y21" s="1085"/>
      <c r="Z21" s="1086" t="str">
        <f t="shared" si="9"/>
        <v/>
      </c>
      <c r="AA21" s="1087"/>
      <c r="AB21" s="1088" t="str">
        <f t="shared" si="10"/>
        <v xml:space="preserve"> </v>
      </c>
      <c r="AC21" s="1087"/>
      <c r="AD21" s="1087"/>
      <c r="AE21" s="1089" t="str">
        <f t="shared" si="11"/>
        <v>No Results Reported</v>
      </c>
      <c r="AF21" s="1085"/>
      <c r="AG21" s="1085"/>
      <c r="AH21" s="1086" t="str">
        <f t="shared" si="12"/>
        <v/>
      </c>
      <c r="AI21" s="1088" t="str">
        <f t="shared" si="13"/>
        <v xml:space="preserve"> </v>
      </c>
      <c r="AJ21" s="1087"/>
      <c r="AK21" s="1090" t="str">
        <f t="shared" si="14"/>
        <v>No Results Reported</v>
      </c>
    </row>
    <row r="22" spans="1:37" ht="60" customHeight="1" x14ac:dyDescent="0.2">
      <c r="A22" s="508">
        <f t="shared" si="4"/>
        <v>12</v>
      </c>
      <c r="B22" s="509" t="str">
        <f t="shared" si="5"/>
        <v>Coverage12</v>
      </c>
      <c r="C22" s="1081" t="str">
        <f>IFERROR(INDEX('Coverage Indicator_Import-Expor'!$D$7:$D$223,MATCH(B22,'Coverage Indicator_Import-Expor'!$C$7:$C$223,0)),"")</f>
        <v>Treatment, care and support</v>
      </c>
      <c r="D22" s="1082" t="str">
        <f>IFERROR(INDEX('Coverage Indicator_Import-Expor'!$E$7:$E$223,MATCH(B22,'Coverage Indicator_Import-Expor'!$C$7:$C$223,0)),"")</f>
        <v>TCS-1(M): Pourcentage de personnes vivant avec le VIH bénéficiant actuellement d'un traitement antirétroviral</v>
      </c>
      <c r="E22" s="1082" t="str">
        <f>IFERROR(IF(INDEX('Coverage Indicator_Import-Expor'!K$7:K$223,MATCH($B22,'Coverage Indicator_Import-Expor'!$C$7:$C$223,0))="","",INDEX('Coverage Indicator_Import-Expor'!K$7:K$223,MATCH($B22,'Coverage Indicator_Import-Expor'!$C$7:$C$223,0))),"")</f>
        <v>National</v>
      </c>
      <c r="F22" s="1082" t="str">
        <f>IFERROR(IF(INDEX('Coverage Indicator_Import-Expor'!L$7:L$223,MATCH($B22,'Coverage Indicator_Import-Expor'!$C$7:$C$223,0))="","",INDEX('Coverage Indicator_Import-Expor'!L$7:L$223,MATCH($B22,'Coverage Indicator_Import-Expor'!$C$7:$C$223,0))),"")</f>
        <v>N-Non -cumulative (other)</v>
      </c>
      <c r="G22" s="1082" t="str">
        <f>IFERROR(IF(INDEX('Coverage Indicator_Import-Expor'!AR$7:AR$223,MATCH($B22,'Coverage Indicator_Import-Expor'!$C$7:$C$223,0))="","",INDEX('Coverage Indicator_Import-Expor'!AR$7:AR$223,MATCH($B22,'Coverage Indicator_Import-Expor'!$C$7:$C$223,0))),"")</f>
        <v>No</v>
      </c>
      <c r="H22" s="1082" t="str">
        <f>IFERROR(IF(INDEX('Coverage Indicator_Import-Expor'!AS$7:AS$223,MATCH($B22,'Coverage Indicator_Import-Expor'!$C$7:$C$223,0))="","",INDEX('Coverage Indicator_Import-Expor'!AS$7:AS$223,MATCH($B22,'Coverage Indicator_Import-Expor'!$C$7:$C$223,0))),"")</f>
        <v>Burundi</v>
      </c>
      <c r="I22" s="1083">
        <f>IFERROR(IF(INDEX('Coverage Indicator_Import-Expor'!N$7:N$223,MATCH($B22,'Coverage Indicator_Import-Expor'!$C$7:$C$223,0))="","",INDEX('Coverage Indicator_Import-Expor'!N$7:N$223,MATCH($B22,'Coverage Indicator_Import-Expor'!$C$7:$C$223,0))),"")</f>
        <v>57121</v>
      </c>
      <c r="J22" s="1083">
        <f>IFERROR(IF(INDEX('Coverage Indicator_Import-Expor'!O$7:O$223,MATCH($B22,'Coverage Indicator_Import-Expor'!$C$7:$C$223,0))="","",INDEX('Coverage Indicator_Import-Expor'!O$7:O$223,MATCH($B22,'Coverage Indicator_Import-Expor'!$C$7:$C$223,0))),"")</f>
        <v>82664</v>
      </c>
      <c r="K22" s="1084">
        <f>IFERROR(IF(INDEX('Coverage Indicator_Import-Expor'!P$7:P$223,MATCH($B22,'Coverage Indicator_Import-Expor'!$C$7:$C$223,0))="","",INDEX('Coverage Indicator_Import-Expor'!P$7:P$223,MATCH($B22,'Coverage Indicator_Import-Expor'!$C$7:$C$223,0))),"")</f>
        <v>69.099999999999994</v>
      </c>
      <c r="L22" s="1082" t="str">
        <f>IFERROR(IF(INDEX('Coverage Indicator_Import-Expor'!Q$7:Q$223,MATCH($B22,'Coverage Indicator_Import-Expor'!$C$7:$C$223,0))="","",INDEX('Coverage Indicator_Import-Expor'!Q$7:Q$223,MATCH($B22,'Coverage Indicator_Import-Expor'!$C$7:$C$223,0))),"")</f>
        <v>2017</v>
      </c>
      <c r="M22" s="1082" t="str">
        <f>IFERROR(IF(INDEX('Coverage Indicator_Import-Expor'!R$7:R$223,MATCH($B22,'Coverage Indicator_Import-Expor'!$C$7:$C$223,0))="","",INDEX('Coverage Indicator_Import-Expor'!R$7:R$223,MATCH($B22,'Coverage Indicator_Import-Expor'!$C$7:$C$223,0))),"")</f>
        <v>PNLS/IST Programme Data, Sem 1</v>
      </c>
      <c r="N22" s="1083">
        <f>IFERROR(IF(INDEX('Coverage Indicator_Import-Expor'!S$7:S$223,MATCH($B22,'Coverage Indicator_Import-Expor'!$C$7:$C$223,0))="","",INDEX('Coverage Indicator_Import-Expor'!S$7:S$223,MATCH($B22,'Coverage Indicator_Import-Expor'!$C$7:$C$223,0))),"")</f>
        <v>60685</v>
      </c>
      <c r="O22" s="1083">
        <f>IFERROR(IF(INDEX('Coverage Indicator_Import-Expor'!T$7:T$223,MATCH($B22,'Coverage Indicator_Import-Expor'!$C$7:$C$223,0))="","",INDEX('Coverage Indicator_Import-Expor'!T$7:T$223,MATCH($B22,'Coverage Indicator_Import-Expor'!$C$7:$C$223,0))),"")</f>
        <v>81533</v>
      </c>
      <c r="P22" s="1084">
        <f>IFERROR(IF(INDEX('Coverage Indicator_Import-Expor'!U$7:U$223,MATCH($B22,'Coverage Indicator_Import-Expor'!$C$7:$C$223,0))="","",INDEX('Coverage Indicator_Import-Expor'!U$7:U$223,MATCH($B22,'Coverage Indicator_Import-Expor'!$C$7:$C$223,0))),"")</f>
        <v>74.400000000000006</v>
      </c>
      <c r="Q22" s="1085">
        <v>63702</v>
      </c>
      <c r="R22" s="1085">
        <v>81533</v>
      </c>
      <c r="S22" s="1086">
        <f t="shared" si="6"/>
        <v>78.130327597414535</v>
      </c>
      <c r="T22" s="1087" t="s">
        <v>26</v>
      </c>
      <c r="U22" s="1088">
        <f t="shared" si="7"/>
        <v>1.050138811793206</v>
      </c>
      <c r="V22" s="1087" t="s">
        <v>340</v>
      </c>
      <c r="W22" s="1089" t="str">
        <f t="shared" si="8"/>
        <v>Continue</v>
      </c>
      <c r="X22" s="1085"/>
      <c r="Y22" s="1085"/>
      <c r="Z22" s="1086" t="str">
        <f t="shared" si="9"/>
        <v/>
      </c>
      <c r="AA22" s="1087"/>
      <c r="AB22" s="1088" t="str">
        <f t="shared" si="10"/>
        <v xml:space="preserve"> </v>
      </c>
      <c r="AC22" s="1087"/>
      <c r="AD22" s="1087"/>
      <c r="AE22" s="1089" t="str">
        <f t="shared" si="11"/>
        <v>No Results Reported</v>
      </c>
      <c r="AF22" s="1085"/>
      <c r="AG22" s="1085"/>
      <c r="AH22" s="1086" t="str">
        <f t="shared" si="12"/>
        <v/>
      </c>
      <c r="AI22" s="1088" t="str">
        <f t="shared" si="13"/>
        <v xml:space="preserve"> </v>
      </c>
      <c r="AJ22" s="1087"/>
      <c r="AK22" s="1090" t="str">
        <f t="shared" si="14"/>
        <v>No Results Reported</v>
      </c>
    </row>
    <row r="23" spans="1:37" ht="60" customHeight="1" x14ac:dyDescent="0.2">
      <c r="A23" s="508">
        <f t="shared" si="4"/>
        <v>13</v>
      </c>
      <c r="B23" s="509" t="str">
        <f t="shared" si="5"/>
        <v>Coverage13</v>
      </c>
      <c r="C23" s="1081" t="str">
        <f>IFERROR(INDEX('Coverage Indicator_Import-Expor'!$D$7:$D$223,MATCH(B23,'Coverage Indicator_Import-Expor'!$C$7:$C$223,0)),"")</f>
        <v>Treatment, care and support</v>
      </c>
      <c r="D23" s="1082" t="str">
        <f>IFERROR(INDEX('Coverage Indicator_Import-Expor'!$E$7:$E$223,MATCH(B23,'Coverage Indicator_Import-Expor'!$C$7:$C$223,0)),"")</f>
        <v>TCS-6: Pourcentage de sites ARV qui ont connu une rupture de stock de médicaments antirétroviraux durant la période de rapportage</v>
      </c>
      <c r="E23" s="1082" t="str">
        <f>IFERROR(IF(INDEX('Coverage Indicator_Import-Expor'!K$7:K$223,MATCH($B23,'Coverage Indicator_Import-Expor'!$C$7:$C$223,0))="","",INDEX('Coverage Indicator_Import-Expor'!K$7:K$223,MATCH($B23,'Coverage Indicator_Import-Expor'!$C$7:$C$223,0))),"")</f>
        <v>National</v>
      </c>
      <c r="F23" s="1082" t="str">
        <f>IFERROR(IF(INDEX('Coverage Indicator_Import-Expor'!L$7:L$223,MATCH($B23,'Coverage Indicator_Import-Expor'!$C$7:$C$223,0))="","",INDEX('Coverage Indicator_Import-Expor'!L$7:L$223,MATCH($B23,'Coverage Indicator_Import-Expor'!$C$7:$C$223,0))),"")</f>
        <v>N-Non-cumulative</v>
      </c>
      <c r="G23" s="1082" t="str">
        <f>IFERROR(IF(INDEX('Coverage Indicator_Import-Expor'!AR$7:AR$223,MATCH($B23,'Coverage Indicator_Import-Expor'!$C$7:$C$223,0))="","",INDEX('Coverage Indicator_Import-Expor'!AR$7:AR$223,MATCH($B23,'Coverage Indicator_Import-Expor'!$C$7:$C$223,0))),"")</f>
        <v>No</v>
      </c>
      <c r="H23" s="1082" t="str">
        <f>IFERROR(IF(INDEX('Coverage Indicator_Import-Expor'!AS$7:AS$223,MATCH($B23,'Coverage Indicator_Import-Expor'!$C$7:$C$223,0))="","",INDEX('Coverage Indicator_Import-Expor'!AS$7:AS$223,MATCH($B23,'Coverage Indicator_Import-Expor'!$C$7:$C$223,0))),"")</f>
        <v>Burundi</v>
      </c>
      <c r="I23" s="1083">
        <f>IFERROR(IF(INDEX('Coverage Indicator_Import-Expor'!N$7:N$223,MATCH($B23,'Coverage Indicator_Import-Expor'!$C$7:$C$223,0))="","",INDEX('Coverage Indicator_Import-Expor'!N$7:N$223,MATCH($B23,'Coverage Indicator_Import-Expor'!$C$7:$C$223,0))),"")</f>
        <v>211</v>
      </c>
      <c r="J23" s="1083">
        <f>IFERROR(IF(INDEX('Coverage Indicator_Import-Expor'!O$7:O$223,MATCH($B23,'Coverage Indicator_Import-Expor'!$C$7:$C$223,0))="","",INDEX('Coverage Indicator_Import-Expor'!O$7:O$223,MATCH($B23,'Coverage Indicator_Import-Expor'!$C$7:$C$223,0))),"")</f>
        <v>678</v>
      </c>
      <c r="K23" s="1084">
        <f>IFERROR(IF(INDEX('Coverage Indicator_Import-Expor'!P$7:P$223,MATCH($B23,'Coverage Indicator_Import-Expor'!$C$7:$C$223,0))="","",INDEX('Coverage Indicator_Import-Expor'!P$7:P$223,MATCH($B23,'Coverage Indicator_Import-Expor'!$C$7:$C$223,0))),"")</f>
        <v>31.1</v>
      </c>
      <c r="L23" s="1082" t="str">
        <f>IFERROR(IF(INDEX('Coverage Indicator_Import-Expor'!Q$7:Q$223,MATCH($B23,'Coverage Indicator_Import-Expor'!$C$7:$C$223,0))="","",INDEX('Coverage Indicator_Import-Expor'!Q$7:Q$223,MATCH($B23,'Coverage Indicator_Import-Expor'!$C$7:$C$223,0))),"")</f>
        <v>2017</v>
      </c>
      <c r="M23" s="1082" t="str">
        <f>IFERROR(IF(INDEX('Coverage Indicator_Import-Expor'!R$7:R$223,MATCH($B23,'Coverage Indicator_Import-Expor'!$C$7:$C$223,0))="","",INDEX('Coverage Indicator_Import-Expor'!R$7:R$223,MATCH($B23,'Coverage Indicator_Import-Expor'!$C$7:$C$223,0))),"")</f>
        <v>PNLS/IST Programme Data, Sem 1</v>
      </c>
      <c r="N23" s="1083">
        <f>IFERROR(IF(INDEX('Coverage Indicator_Import-Expor'!S$7:S$223,MATCH($B23,'Coverage Indicator_Import-Expor'!$C$7:$C$223,0))="","",INDEX('Coverage Indicator_Import-Expor'!S$7:S$223,MATCH($B23,'Coverage Indicator_Import-Expor'!$C$7:$C$223,0))),"")</f>
        <v>33.9</v>
      </c>
      <c r="O23" s="1083">
        <f>IFERROR(IF(INDEX('Coverage Indicator_Import-Expor'!T$7:T$223,MATCH($B23,'Coverage Indicator_Import-Expor'!$C$7:$C$223,0))="","",INDEX('Coverage Indicator_Import-Expor'!T$7:T$223,MATCH($B23,'Coverage Indicator_Import-Expor'!$C$7:$C$223,0))),"")</f>
        <v>678</v>
      </c>
      <c r="P23" s="1084">
        <f>IFERROR(IF(INDEX('Coverage Indicator_Import-Expor'!U$7:U$223,MATCH($B23,'Coverage Indicator_Import-Expor'!$C$7:$C$223,0))="","",INDEX('Coverage Indicator_Import-Expor'!U$7:U$223,MATCH($B23,'Coverage Indicator_Import-Expor'!$C$7:$C$223,0))),"")</f>
        <v>5</v>
      </c>
      <c r="Q23" s="1085">
        <v>96</v>
      </c>
      <c r="R23" s="1085">
        <v>844</v>
      </c>
      <c r="S23" s="1086">
        <f t="shared" si="6"/>
        <v>11.374407582938389</v>
      </c>
      <c r="T23" s="1087" t="s">
        <v>26</v>
      </c>
      <c r="U23" s="1088">
        <f t="shared" si="7"/>
        <v>1.2</v>
      </c>
      <c r="V23" s="1087" t="s">
        <v>341</v>
      </c>
      <c r="W23" s="1089" t="str">
        <f t="shared" si="8"/>
        <v>Continue</v>
      </c>
      <c r="X23" s="1085"/>
      <c r="Y23" s="1085"/>
      <c r="Z23" s="1086" t="str">
        <f t="shared" si="9"/>
        <v/>
      </c>
      <c r="AA23" s="1087"/>
      <c r="AB23" s="1088" t="str">
        <f t="shared" si="10"/>
        <v xml:space="preserve"> </v>
      </c>
      <c r="AC23" s="1087"/>
      <c r="AD23" s="1087"/>
      <c r="AE23" s="1089" t="str">
        <f t="shared" si="11"/>
        <v>No Results Reported</v>
      </c>
      <c r="AF23" s="1085"/>
      <c r="AG23" s="1085"/>
      <c r="AH23" s="1086" t="str">
        <f t="shared" si="12"/>
        <v/>
      </c>
      <c r="AI23" s="1088" t="str">
        <f t="shared" si="13"/>
        <v xml:space="preserve"> </v>
      </c>
      <c r="AJ23" s="1087"/>
      <c r="AK23" s="1090" t="str">
        <f t="shared" si="14"/>
        <v>No Results Reported</v>
      </c>
    </row>
    <row r="24" spans="1:37" ht="60" customHeight="1" x14ac:dyDescent="0.2">
      <c r="A24" s="508">
        <f t="shared" si="4"/>
        <v>14</v>
      </c>
      <c r="B24" s="509" t="str">
        <f t="shared" si="5"/>
        <v>Coverage14</v>
      </c>
      <c r="C24" s="1081" t="str">
        <f>IFERROR(INDEX('Coverage Indicator_Import-Expor'!$D$7:$D$223,MATCH(B24,'Coverage Indicator_Import-Expor'!$C$7:$C$223,0)),"")</f>
        <v>PMTCT</v>
      </c>
      <c r="D24" s="1082" t="str">
        <f>IFERROR(INDEX('Coverage Indicator_Import-Expor'!$E$7:$E$223,MATCH(B24,'Coverage Indicator_Import-Expor'!$C$7:$C$223,0)),"")</f>
        <v>PMTCT-1: Pourcentage de femmes enceintes qui connaissent leur statut sérologique à l'égard du VIH</v>
      </c>
      <c r="E24" s="1082" t="str">
        <f>IFERROR(IF(INDEX('Coverage Indicator_Import-Expor'!K$7:K$223,MATCH($B24,'Coverage Indicator_Import-Expor'!$C$7:$C$223,0))="","",INDEX('Coverage Indicator_Import-Expor'!K$7:K$223,MATCH($B24,'Coverage Indicator_Import-Expor'!$C$7:$C$223,0))),"")</f>
        <v>National</v>
      </c>
      <c r="F24" s="1082" t="str">
        <f>IFERROR(IF(INDEX('Coverage Indicator_Import-Expor'!L$7:L$223,MATCH($B24,'Coverage Indicator_Import-Expor'!$C$7:$C$223,0))="","",INDEX('Coverage Indicator_Import-Expor'!L$7:L$223,MATCH($B24,'Coverage Indicator_Import-Expor'!$C$7:$C$223,0))),"")</f>
        <v>Y- Cumulative annually</v>
      </c>
      <c r="G24" s="1082" t="str">
        <f>IFERROR(IF(INDEX('Coverage Indicator_Import-Expor'!AR$7:AR$223,MATCH($B24,'Coverage Indicator_Import-Expor'!$C$7:$C$223,0))="","",INDEX('Coverage Indicator_Import-Expor'!AR$7:AR$223,MATCH($B24,'Coverage Indicator_Import-Expor'!$C$7:$C$223,0))),"")</f>
        <v>No</v>
      </c>
      <c r="H24" s="1082" t="str">
        <f>IFERROR(IF(INDEX('Coverage Indicator_Import-Expor'!AS$7:AS$223,MATCH($B24,'Coverage Indicator_Import-Expor'!$C$7:$C$223,0))="","",INDEX('Coverage Indicator_Import-Expor'!AS$7:AS$223,MATCH($B24,'Coverage Indicator_Import-Expor'!$C$7:$C$223,0))),"")</f>
        <v>Burundi</v>
      </c>
      <c r="I24" s="1083">
        <f>IFERROR(IF(INDEX('Coverage Indicator_Import-Expor'!N$7:N$223,MATCH($B24,'Coverage Indicator_Import-Expor'!$C$7:$C$223,0))="","",INDEX('Coverage Indicator_Import-Expor'!N$7:N$223,MATCH($B24,'Coverage Indicator_Import-Expor'!$C$7:$C$223,0))),"")</f>
        <v>171057</v>
      </c>
      <c r="J24" s="1083">
        <f>IFERROR(IF(INDEX('Coverage Indicator_Import-Expor'!O$7:O$223,MATCH($B24,'Coverage Indicator_Import-Expor'!$C$7:$C$223,0))="","",INDEX('Coverage Indicator_Import-Expor'!O$7:O$223,MATCH($B24,'Coverage Indicator_Import-Expor'!$C$7:$C$223,0))),"")</f>
        <v>260024</v>
      </c>
      <c r="K24" s="1084">
        <f>IFERROR(IF(INDEX('Coverage Indicator_Import-Expor'!P$7:P$223,MATCH($B24,'Coverage Indicator_Import-Expor'!$C$7:$C$223,0))="","",INDEX('Coverage Indicator_Import-Expor'!P$7:P$223,MATCH($B24,'Coverage Indicator_Import-Expor'!$C$7:$C$223,0))),"")</f>
        <v>65.8</v>
      </c>
      <c r="L24" s="1082" t="str">
        <f>IFERROR(IF(INDEX('Coverage Indicator_Import-Expor'!Q$7:Q$223,MATCH($B24,'Coverage Indicator_Import-Expor'!$C$7:$C$223,0))="","",INDEX('Coverage Indicator_Import-Expor'!Q$7:Q$223,MATCH($B24,'Coverage Indicator_Import-Expor'!$C$7:$C$223,0))),"")</f>
        <v>2017</v>
      </c>
      <c r="M24" s="1082" t="str">
        <f>IFERROR(IF(INDEX('Coverage Indicator_Import-Expor'!R$7:R$223,MATCH($B24,'Coverage Indicator_Import-Expor'!$C$7:$C$223,0))="","",INDEX('Coverage Indicator_Import-Expor'!R$7:R$223,MATCH($B24,'Coverage Indicator_Import-Expor'!$C$7:$C$223,0))),"")</f>
        <v>PNLS/IST Programme Data, Sem 1</v>
      </c>
      <c r="N24" s="1083">
        <f>IFERROR(IF(INDEX('Coverage Indicator_Import-Expor'!S$7:S$223,MATCH($B24,'Coverage Indicator_Import-Expor'!$C$7:$C$223,0))="","",INDEX('Coverage Indicator_Import-Expor'!S$7:S$223,MATCH($B24,'Coverage Indicator_Import-Expor'!$C$7:$C$223,0))),"")</f>
        <v>494619.3</v>
      </c>
      <c r="O24" s="1083">
        <f>IFERROR(IF(INDEX('Coverage Indicator_Import-Expor'!T$7:T$223,MATCH($B24,'Coverage Indicator_Import-Expor'!$C$7:$C$223,0))="","",INDEX('Coverage Indicator_Import-Expor'!T$7:T$223,MATCH($B24,'Coverage Indicator_Import-Expor'!$C$7:$C$223,0))),"")</f>
        <v>549577</v>
      </c>
      <c r="P24" s="1084">
        <f>IFERROR(IF(INDEX('Coverage Indicator_Import-Expor'!U$7:U$223,MATCH($B24,'Coverage Indicator_Import-Expor'!$C$7:$C$223,0))="","",INDEX('Coverage Indicator_Import-Expor'!U$7:U$223,MATCH($B24,'Coverage Indicator_Import-Expor'!$C$7:$C$223,0))),"")</f>
        <v>90</v>
      </c>
      <c r="Q24" s="1085">
        <v>417986</v>
      </c>
      <c r="R24" s="1085">
        <v>549577</v>
      </c>
      <c r="S24" s="1086">
        <f t="shared" si="6"/>
        <v>76.055948484015886</v>
      </c>
      <c r="T24" s="1087" t="s">
        <v>26</v>
      </c>
      <c r="U24" s="1088">
        <f t="shared" si="7"/>
        <v>0.8450660942668432</v>
      </c>
      <c r="V24" s="1087" t="s">
        <v>342</v>
      </c>
      <c r="W24" s="1089" t="str">
        <f t="shared" si="8"/>
        <v>Continue</v>
      </c>
      <c r="X24" s="1085"/>
      <c r="Y24" s="1085"/>
      <c r="Z24" s="1086" t="str">
        <f t="shared" si="9"/>
        <v/>
      </c>
      <c r="AA24" s="1087"/>
      <c r="AB24" s="1088" t="str">
        <f t="shared" si="10"/>
        <v xml:space="preserve"> </v>
      </c>
      <c r="AC24" s="1087"/>
      <c r="AD24" s="1087"/>
      <c r="AE24" s="1089" t="str">
        <f t="shared" si="11"/>
        <v>No Results Reported</v>
      </c>
      <c r="AF24" s="1085"/>
      <c r="AG24" s="1085"/>
      <c r="AH24" s="1086" t="str">
        <f t="shared" si="12"/>
        <v/>
      </c>
      <c r="AI24" s="1088" t="str">
        <f t="shared" si="13"/>
        <v xml:space="preserve"> </v>
      </c>
      <c r="AJ24" s="1087"/>
      <c r="AK24" s="1090" t="str">
        <f t="shared" si="14"/>
        <v>No Results Reported</v>
      </c>
    </row>
    <row r="25" spans="1:37" ht="60" customHeight="1" x14ac:dyDescent="0.2">
      <c r="A25" s="508">
        <f t="shared" si="4"/>
        <v>15</v>
      </c>
      <c r="B25" s="509" t="str">
        <f t="shared" si="5"/>
        <v>Coverage15</v>
      </c>
      <c r="C25" s="1081" t="str">
        <f>IFERROR(INDEX('Coverage Indicator_Import-Expor'!$D$7:$D$223,MATCH(B25,'Coverage Indicator_Import-Expor'!$C$7:$C$223,0)),"")</f>
        <v>PMTCT</v>
      </c>
      <c r="D25" s="1082" t="str">
        <f>IFERROR(INDEX('Coverage Indicator_Import-Expor'!$E$7:$E$223,MATCH(B25,'Coverage Indicator_Import-Expor'!$C$7:$C$223,0)),"")</f>
        <v>PMTCT-2.1: Pourcentage de femmes enceintes séropositives au VIH ayant reçu des antirétroviraux durant leur grossesse</v>
      </c>
      <c r="E25" s="1082" t="str">
        <f>IFERROR(IF(INDEX('Coverage Indicator_Import-Expor'!K$7:K$223,MATCH($B25,'Coverage Indicator_Import-Expor'!$C$7:$C$223,0))="","",INDEX('Coverage Indicator_Import-Expor'!K$7:K$223,MATCH($B25,'Coverage Indicator_Import-Expor'!$C$7:$C$223,0))),"")</f>
        <v>National</v>
      </c>
      <c r="F25" s="1082" t="str">
        <f>IFERROR(IF(INDEX('Coverage Indicator_Import-Expor'!L$7:L$223,MATCH($B25,'Coverage Indicator_Import-Expor'!$C$7:$C$223,0))="","",INDEX('Coverage Indicator_Import-Expor'!L$7:L$223,MATCH($B25,'Coverage Indicator_Import-Expor'!$C$7:$C$223,0))),"")</f>
        <v>Y- Cumulative annually</v>
      </c>
      <c r="G25" s="1082" t="str">
        <f>IFERROR(IF(INDEX('Coverage Indicator_Import-Expor'!AR$7:AR$223,MATCH($B25,'Coverage Indicator_Import-Expor'!$C$7:$C$223,0))="","",INDEX('Coverage Indicator_Import-Expor'!AR$7:AR$223,MATCH($B25,'Coverage Indicator_Import-Expor'!$C$7:$C$223,0))),"")</f>
        <v>No</v>
      </c>
      <c r="H25" s="1082" t="str">
        <f>IFERROR(IF(INDEX('Coverage Indicator_Import-Expor'!AS$7:AS$223,MATCH($B25,'Coverage Indicator_Import-Expor'!$C$7:$C$223,0))="","",INDEX('Coverage Indicator_Import-Expor'!AS$7:AS$223,MATCH($B25,'Coverage Indicator_Import-Expor'!$C$7:$C$223,0))),"")</f>
        <v>Burundi</v>
      </c>
      <c r="I25" s="1083">
        <f>IFERROR(IF(INDEX('Coverage Indicator_Import-Expor'!N$7:N$223,MATCH($B25,'Coverage Indicator_Import-Expor'!$C$7:$C$223,0))="","",INDEX('Coverage Indicator_Import-Expor'!N$7:N$223,MATCH($B25,'Coverage Indicator_Import-Expor'!$C$7:$C$223,0))),"")</f>
        <v>2215</v>
      </c>
      <c r="J25" s="1083">
        <f>IFERROR(IF(INDEX('Coverage Indicator_Import-Expor'!O$7:O$223,MATCH($B25,'Coverage Indicator_Import-Expor'!$C$7:$C$223,0))="","",INDEX('Coverage Indicator_Import-Expor'!O$7:O$223,MATCH($B25,'Coverage Indicator_Import-Expor'!$C$7:$C$223,0))),"")</f>
        <v>2600</v>
      </c>
      <c r="K25" s="1084">
        <f>IFERROR(IF(INDEX('Coverage Indicator_Import-Expor'!P$7:P$223,MATCH($B25,'Coverage Indicator_Import-Expor'!$C$7:$C$223,0))="","",INDEX('Coverage Indicator_Import-Expor'!P$7:P$223,MATCH($B25,'Coverage Indicator_Import-Expor'!$C$7:$C$223,0))),"")</f>
        <v>85.2</v>
      </c>
      <c r="L25" s="1082" t="str">
        <f>IFERROR(IF(INDEX('Coverage Indicator_Import-Expor'!Q$7:Q$223,MATCH($B25,'Coverage Indicator_Import-Expor'!$C$7:$C$223,0))="","",INDEX('Coverage Indicator_Import-Expor'!Q$7:Q$223,MATCH($B25,'Coverage Indicator_Import-Expor'!$C$7:$C$223,0))),"")</f>
        <v>2017</v>
      </c>
      <c r="M25" s="1082" t="str">
        <f>IFERROR(IF(INDEX('Coverage Indicator_Import-Expor'!R$7:R$223,MATCH($B25,'Coverage Indicator_Import-Expor'!$C$7:$C$223,0))="","",INDEX('Coverage Indicator_Import-Expor'!R$7:R$223,MATCH($B25,'Coverage Indicator_Import-Expor'!$C$7:$C$223,0))),"")</f>
        <v>PNLS/IST Programme Data, Sem 1</v>
      </c>
      <c r="N25" s="1083">
        <f>IFERROR(IF(INDEX('Coverage Indicator_Import-Expor'!S$7:S$223,MATCH($B25,'Coverage Indicator_Import-Expor'!$C$7:$C$223,0))="","",INDEX('Coverage Indicator_Import-Expor'!S$7:S$223,MATCH($B25,'Coverage Indicator_Import-Expor'!$C$7:$C$223,0))),"")</f>
        <v>5540.16</v>
      </c>
      <c r="O25" s="1083">
        <f>IFERROR(IF(INDEX('Coverage Indicator_Import-Expor'!T$7:T$223,MATCH($B25,'Coverage Indicator_Import-Expor'!$C$7:$C$223,0))="","",INDEX('Coverage Indicator_Import-Expor'!T$7:T$223,MATCH($B25,'Coverage Indicator_Import-Expor'!$C$7:$C$223,0))),"")</f>
        <v>5771</v>
      </c>
      <c r="P25" s="1084">
        <f>IFERROR(IF(INDEX('Coverage Indicator_Import-Expor'!U$7:U$223,MATCH($B25,'Coverage Indicator_Import-Expor'!$C$7:$C$223,0))="","",INDEX('Coverage Indicator_Import-Expor'!U$7:U$223,MATCH($B25,'Coverage Indicator_Import-Expor'!$C$7:$C$223,0))),"")</f>
        <v>96</v>
      </c>
      <c r="Q25" s="1085">
        <v>3914</v>
      </c>
      <c r="R25" s="1085">
        <v>5771</v>
      </c>
      <c r="S25" s="1086">
        <f t="shared" si="6"/>
        <v>67.821867960492114</v>
      </c>
      <c r="T25" s="1087" t="s">
        <v>26</v>
      </c>
      <c r="U25" s="1088">
        <f t="shared" si="7"/>
        <v>0.70647779125512622</v>
      </c>
      <c r="V25" s="1087" t="s">
        <v>343</v>
      </c>
      <c r="W25" s="1089" t="str">
        <f t="shared" si="8"/>
        <v>Continue</v>
      </c>
      <c r="X25" s="1085"/>
      <c r="Y25" s="1085"/>
      <c r="Z25" s="1086" t="str">
        <f t="shared" si="9"/>
        <v/>
      </c>
      <c r="AA25" s="1087"/>
      <c r="AB25" s="1088" t="str">
        <f t="shared" si="10"/>
        <v xml:space="preserve"> </v>
      </c>
      <c r="AC25" s="1087"/>
      <c r="AD25" s="1087"/>
      <c r="AE25" s="1089" t="str">
        <f t="shared" si="11"/>
        <v>No Results Reported</v>
      </c>
      <c r="AF25" s="1085"/>
      <c r="AG25" s="1085"/>
      <c r="AH25" s="1086" t="str">
        <f t="shared" si="12"/>
        <v/>
      </c>
      <c r="AI25" s="1088" t="str">
        <f t="shared" si="13"/>
        <v xml:space="preserve"> </v>
      </c>
      <c r="AJ25" s="1087"/>
      <c r="AK25" s="1090" t="str">
        <f t="shared" si="14"/>
        <v>No Results Reported</v>
      </c>
    </row>
    <row r="26" spans="1:37" ht="60" customHeight="1" x14ac:dyDescent="0.2">
      <c r="A26" s="508">
        <f t="shared" si="4"/>
        <v>16</v>
      </c>
      <c r="B26" s="509" t="str">
        <f t="shared" si="5"/>
        <v>Coverage16</v>
      </c>
      <c r="C26" s="1081" t="str">
        <f>IFERROR(INDEX('Coverage Indicator_Import-Expor'!$D$7:$D$223,MATCH(B26,'Coverage Indicator_Import-Expor'!$C$7:$C$223,0)),"")</f>
        <v>PMTCT</v>
      </c>
      <c r="D26" s="1082" t="str">
        <f>IFERROR(INDEX('Coverage Indicator_Import-Expor'!$E$7:$E$223,MATCH(B26,'Coverage Indicator_Import-Expor'!$C$7:$C$223,0)),"")</f>
        <v>PMTCT-3.1: Pourcentage de nourrissons exposés au VIH ayant bénéficié d'un dépistage du VIH dans les 2 mois qui ont suivi leur naissance</v>
      </c>
      <c r="E26" s="1082" t="str">
        <f>IFERROR(IF(INDEX('Coverage Indicator_Import-Expor'!K$7:K$223,MATCH($B26,'Coverage Indicator_Import-Expor'!$C$7:$C$223,0))="","",INDEX('Coverage Indicator_Import-Expor'!K$7:K$223,MATCH($B26,'Coverage Indicator_Import-Expor'!$C$7:$C$223,0))),"")</f>
        <v>National</v>
      </c>
      <c r="F26" s="1082" t="str">
        <f>IFERROR(IF(INDEX('Coverage Indicator_Import-Expor'!L$7:L$223,MATCH($B26,'Coverage Indicator_Import-Expor'!$C$7:$C$223,0))="","",INDEX('Coverage Indicator_Import-Expor'!L$7:L$223,MATCH($B26,'Coverage Indicator_Import-Expor'!$C$7:$C$223,0))),"")</f>
        <v>Y- Cumulative annually</v>
      </c>
      <c r="G26" s="1082" t="str">
        <f>IFERROR(IF(INDEX('Coverage Indicator_Import-Expor'!AR$7:AR$223,MATCH($B26,'Coverage Indicator_Import-Expor'!$C$7:$C$223,0))="","",INDEX('Coverage Indicator_Import-Expor'!AR$7:AR$223,MATCH($B26,'Coverage Indicator_Import-Expor'!$C$7:$C$223,0))),"")</f>
        <v>No</v>
      </c>
      <c r="H26" s="1082" t="str">
        <f>IFERROR(IF(INDEX('Coverage Indicator_Import-Expor'!AS$7:AS$223,MATCH($B26,'Coverage Indicator_Import-Expor'!$C$7:$C$223,0))="","",INDEX('Coverage Indicator_Import-Expor'!AS$7:AS$223,MATCH($B26,'Coverage Indicator_Import-Expor'!$C$7:$C$223,0))),"")</f>
        <v>Burundi</v>
      </c>
      <c r="I26" s="1083">
        <f>IFERROR(IF(INDEX('Coverage Indicator_Import-Expor'!N$7:N$223,MATCH($B26,'Coverage Indicator_Import-Expor'!$C$7:$C$223,0))="","",INDEX('Coverage Indicator_Import-Expor'!N$7:N$223,MATCH($B26,'Coverage Indicator_Import-Expor'!$C$7:$C$223,0))),"")</f>
        <v>704</v>
      </c>
      <c r="J26" s="1083">
        <f>IFERROR(IF(INDEX('Coverage Indicator_Import-Expor'!O$7:O$223,MATCH($B26,'Coverage Indicator_Import-Expor'!$C$7:$C$223,0))="","",INDEX('Coverage Indicator_Import-Expor'!O$7:O$223,MATCH($B26,'Coverage Indicator_Import-Expor'!$C$7:$C$223,0))),"")</f>
        <v>2600</v>
      </c>
      <c r="K26" s="1084">
        <f>IFERROR(IF(INDEX('Coverage Indicator_Import-Expor'!P$7:P$223,MATCH($B26,'Coverage Indicator_Import-Expor'!$C$7:$C$223,0))="","",INDEX('Coverage Indicator_Import-Expor'!P$7:P$223,MATCH($B26,'Coverage Indicator_Import-Expor'!$C$7:$C$223,0))),"")</f>
        <v>27.1</v>
      </c>
      <c r="L26" s="1082" t="str">
        <f>IFERROR(IF(INDEX('Coverage Indicator_Import-Expor'!Q$7:Q$223,MATCH($B26,'Coverage Indicator_Import-Expor'!$C$7:$C$223,0))="","",INDEX('Coverage Indicator_Import-Expor'!Q$7:Q$223,MATCH($B26,'Coverage Indicator_Import-Expor'!$C$7:$C$223,0))),"")</f>
        <v>2017</v>
      </c>
      <c r="M26" s="1082" t="str">
        <f>IFERROR(IF(INDEX('Coverage Indicator_Import-Expor'!R$7:R$223,MATCH($B26,'Coverage Indicator_Import-Expor'!$C$7:$C$223,0))="","",INDEX('Coverage Indicator_Import-Expor'!R$7:R$223,MATCH($B26,'Coverage Indicator_Import-Expor'!$C$7:$C$223,0))),"")</f>
        <v>PNLS/IST Programme Data, Sem 1</v>
      </c>
      <c r="N26" s="1083">
        <f>IFERROR(IF(INDEX('Coverage Indicator_Import-Expor'!S$7:S$223,MATCH($B26,'Coverage Indicator_Import-Expor'!$C$7:$C$223,0))="","",INDEX('Coverage Indicator_Import-Expor'!S$7:S$223,MATCH($B26,'Coverage Indicator_Import-Expor'!$C$7:$C$223,0))),"")</f>
        <v>4328</v>
      </c>
      <c r="O26" s="1083">
        <f>IFERROR(IF(INDEX('Coverage Indicator_Import-Expor'!T$7:T$223,MATCH($B26,'Coverage Indicator_Import-Expor'!$C$7:$C$223,0))="","",INDEX('Coverage Indicator_Import-Expor'!T$7:T$223,MATCH($B26,'Coverage Indicator_Import-Expor'!$C$7:$C$223,0))),"")</f>
        <v>5771</v>
      </c>
      <c r="P26" s="1084">
        <f>IFERROR(IF(INDEX('Coverage Indicator_Import-Expor'!U$7:U$223,MATCH($B26,'Coverage Indicator_Import-Expor'!$C$7:$C$223,0))="","",INDEX('Coverage Indicator_Import-Expor'!U$7:U$223,MATCH($B26,'Coverage Indicator_Import-Expor'!$C$7:$C$223,0))),"")</f>
        <v>75</v>
      </c>
      <c r="Q26" s="1085">
        <v>3467</v>
      </c>
      <c r="R26" s="1085">
        <v>5771</v>
      </c>
      <c r="S26" s="1086">
        <f t="shared" si="6"/>
        <v>60.076243285392486</v>
      </c>
      <c r="T26" s="1087" t="s">
        <v>26</v>
      </c>
      <c r="U26" s="1088">
        <f t="shared" si="7"/>
        <v>0.80101657713856644</v>
      </c>
      <c r="V26" s="1087" t="s">
        <v>344</v>
      </c>
      <c r="W26" s="1089" t="str">
        <f t="shared" si="8"/>
        <v>Continue</v>
      </c>
      <c r="X26" s="1085"/>
      <c r="Y26" s="1085"/>
      <c r="Z26" s="1086" t="str">
        <f t="shared" si="9"/>
        <v/>
      </c>
      <c r="AA26" s="1087"/>
      <c r="AB26" s="1088" t="str">
        <f t="shared" si="10"/>
        <v xml:space="preserve"> </v>
      </c>
      <c r="AC26" s="1087"/>
      <c r="AD26" s="1087"/>
      <c r="AE26" s="1089" t="str">
        <f t="shared" si="11"/>
        <v>No Results Reported</v>
      </c>
      <c r="AF26" s="1085"/>
      <c r="AG26" s="1085"/>
      <c r="AH26" s="1086" t="str">
        <f t="shared" si="12"/>
        <v/>
      </c>
      <c r="AI26" s="1088" t="str">
        <f t="shared" si="13"/>
        <v xml:space="preserve"> </v>
      </c>
      <c r="AJ26" s="1087"/>
      <c r="AK26" s="1090" t="str">
        <f t="shared" si="14"/>
        <v>No Results Reported</v>
      </c>
    </row>
    <row r="27" spans="1:37" ht="60" customHeight="1" x14ac:dyDescent="0.2">
      <c r="A27" s="508">
        <f t="shared" si="4"/>
        <v>17</v>
      </c>
      <c r="B27" s="509" t="str">
        <f t="shared" si="5"/>
        <v>Coverage17</v>
      </c>
      <c r="C27" s="1081" t="str">
        <f>IFERROR(INDEX('Coverage Indicator_Import-Expor'!$D$7:$D$223,MATCH(B27,'Coverage Indicator_Import-Expor'!$C$7:$C$223,0)),"")</f>
        <v>TB/HIV</v>
      </c>
      <c r="D27" s="1082" t="str">
        <f>IFERROR(INDEX('Coverage Indicator_Import-Expor'!$E$7:$E$223,MATCH(B27,'Coverage Indicator_Import-Expor'!$C$7:$C$223,0)),"")</f>
        <v>TB/HIV-3.1: Pourcentage de personnes vivant avec le VIH pris en charge  (y compris soins PTME) chez qui les signes de la tuberculose ont été recherchés au sein des structures de soins ou traitement du VIH</v>
      </c>
      <c r="E27" s="1082" t="str">
        <f>IFERROR(IF(INDEX('Coverage Indicator_Import-Expor'!K$7:K$223,MATCH($B27,'Coverage Indicator_Import-Expor'!$C$7:$C$223,0))="","",INDEX('Coverage Indicator_Import-Expor'!K$7:K$223,MATCH($B27,'Coverage Indicator_Import-Expor'!$C$7:$C$223,0))),"")</f>
        <v>National</v>
      </c>
      <c r="F27" s="1082" t="str">
        <f>IFERROR(IF(INDEX('Coverage Indicator_Import-Expor'!L$7:L$223,MATCH($B27,'Coverage Indicator_Import-Expor'!$C$7:$C$223,0))="","",INDEX('Coverage Indicator_Import-Expor'!L$7:L$223,MATCH($B27,'Coverage Indicator_Import-Expor'!$C$7:$C$223,0))),"")</f>
        <v>N-Non-cumulative</v>
      </c>
      <c r="G27" s="1082" t="str">
        <f>IFERROR(IF(INDEX('Coverage Indicator_Import-Expor'!AR$7:AR$223,MATCH($B27,'Coverage Indicator_Import-Expor'!$C$7:$C$223,0))="","",INDEX('Coverage Indicator_Import-Expor'!AR$7:AR$223,MATCH($B27,'Coverage Indicator_Import-Expor'!$C$7:$C$223,0))),"")</f>
        <v>No</v>
      </c>
      <c r="H27" s="1082" t="str">
        <f>IFERROR(IF(INDEX('Coverage Indicator_Import-Expor'!AS$7:AS$223,MATCH($B27,'Coverage Indicator_Import-Expor'!$C$7:$C$223,0))="","",INDEX('Coverage Indicator_Import-Expor'!AS$7:AS$223,MATCH($B27,'Coverage Indicator_Import-Expor'!$C$7:$C$223,0))),"")</f>
        <v>Burundi</v>
      </c>
      <c r="I27" s="1083">
        <f>IFERROR(IF(INDEX('Coverage Indicator_Import-Expor'!N$7:N$223,MATCH($B27,'Coverage Indicator_Import-Expor'!$C$7:$C$223,0))="","",INDEX('Coverage Indicator_Import-Expor'!N$7:N$223,MATCH($B27,'Coverage Indicator_Import-Expor'!$C$7:$C$223,0))),"")</f>
        <v>27472</v>
      </c>
      <c r="J27" s="1083">
        <f>IFERROR(IF(INDEX('Coverage Indicator_Import-Expor'!O$7:O$223,MATCH($B27,'Coverage Indicator_Import-Expor'!$C$7:$C$223,0))="","",INDEX('Coverage Indicator_Import-Expor'!O$7:O$223,MATCH($B27,'Coverage Indicator_Import-Expor'!$C$7:$C$223,0))),"")</f>
        <v>61538</v>
      </c>
      <c r="K27" s="1084">
        <f>IFERROR(IF(INDEX('Coverage Indicator_Import-Expor'!P$7:P$223,MATCH($B27,'Coverage Indicator_Import-Expor'!$C$7:$C$223,0))="","",INDEX('Coverage Indicator_Import-Expor'!P$7:P$223,MATCH($B27,'Coverage Indicator_Import-Expor'!$C$7:$C$223,0))),"")</f>
        <v>44.6</v>
      </c>
      <c r="L27" s="1082" t="str">
        <f>IFERROR(IF(INDEX('Coverage Indicator_Import-Expor'!Q$7:Q$223,MATCH($B27,'Coverage Indicator_Import-Expor'!$C$7:$C$223,0))="","",INDEX('Coverage Indicator_Import-Expor'!Q$7:Q$223,MATCH($B27,'Coverage Indicator_Import-Expor'!$C$7:$C$223,0))),"")</f>
        <v>2016</v>
      </c>
      <c r="M27" s="1082" t="str">
        <f>IFERROR(IF(INDEX('Coverage Indicator_Import-Expor'!R$7:R$223,MATCH($B27,'Coverage Indicator_Import-Expor'!$C$7:$C$223,0))="","",INDEX('Coverage Indicator_Import-Expor'!R$7:R$223,MATCH($B27,'Coverage Indicator_Import-Expor'!$C$7:$C$223,0))),"")</f>
        <v>PNLS/IST Annual Report</v>
      </c>
      <c r="N27" s="1083">
        <f>IFERROR(IF(INDEX('Coverage Indicator_Import-Expor'!S$7:S$223,MATCH($B27,'Coverage Indicator_Import-Expor'!$C$7:$C$223,0))="","",INDEX('Coverage Indicator_Import-Expor'!S$7:S$223,MATCH($B27,'Coverage Indicator_Import-Expor'!$C$7:$C$223,0))),"")</f>
        <v>44579.5</v>
      </c>
      <c r="O27" s="1083">
        <f>IFERROR(IF(INDEX('Coverage Indicator_Import-Expor'!T$7:T$223,MATCH($B27,'Coverage Indicator_Import-Expor'!$C$7:$C$223,0))="","",INDEX('Coverage Indicator_Import-Expor'!T$7:T$223,MATCH($B27,'Coverage Indicator_Import-Expor'!$C$7:$C$223,0))),"")</f>
        <v>63685</v>
      </c>
      <c r="P27" s="1084">
        <f>IFERROR(IF(INDEX('Coverage Indicator_Import-Expor'!U$7:U$223,MATCH($B27,'Coverage Indicator_Import-Expor'!$C$7:$C$223,0))="","",INDEX('Coverage Indicator_Import-Expor'!U$7:U$223,MATCH($B27,'Coverage Indicator_Import-Expor'!$C$7:$C$223,0))),"")</f>
        <v>70</v>
      </c>
      <c r="Q27" s="1085">
        <v>31353</v>
      </c>
      <c r="R27" s="1085">
        <v>63702</v>
      </c>
      <c r="S27" s="1086">
        <f t="shared" si="6"/>
        <v>49.218234906282376</v>
      </c>
      <c r="T27" s="1087" t="s">
        <v>26</v>
      </c>
      <c r="U27" s="1088">
        <f t="shared" si="7"/>
        <v>0.70311764151831968</v>
      </c>
      <c r="V27" s="1087" t="s">
        <v>345</v>
      </c>
      <c r="W27" s="1089" t="str">
        <f t="shared" si="8"/>
        <v>Continue</v>
      </c>
      <c r="X27" s="1085"/>
      <c r="Y27" s="1085"/>
      <c r="Z27" s="1086" t="str">
        <f t="shared" si="9"/>
        <v/>
      </c>
      <c r="AA27" s="1087"/>
      <c r="AB27" s="1088" t="str">
        <f t="shared" si="10"/>
        <v xml:space="preserve"> </v>
      </c>
      <c r="AC27" s="1087"/>
      <c r="AD27" s="1087"/>
      <c r="AE27" s="1089" t="str">
        <f t="shared" si="11"/>
        <v>No Results Reported</v>
      </c>
      <c r="AF27" s="1085"/>
      <c r="AG27" s="1085"/>
      <c r="AH27" s="1086" t="str">
        <f t="shared" si="12"/>
        <v/>
      </c>
      <c r="AI27" s="1088" t="str">
        <f t="shared" si="13"/>
        <v xml:space="preserve"> </v>
      </c>
      <c r="AJ27" s="1087"/>
      <c r="AK27" s="1090" t="str">
        <f t="shared" si="14"/>
        <v>No Results Reported</v>
      </c>
    </row>
    <row r="28" spans="1:37" ht="60" customHeight="1" x14ac:dyDescent="0.2">
      <c r="A28" s="508">
        <f t="shared" si="4"/>
        <v>18</v>
      </c>
      <c r="B28" s="509" t="str">
        <f t="shared" si="5"/>
        <v>Coverage18</v>
      </c>
      <c r="C28" s="1081" t="str">
        <f>IFERROR(INDEX('Coverage Indicator_Import-Expor'!$D$7:$D$223,MATCH(B28,'Coverage Indicator_Import-Expor'!$C$7:$C$223,0)),"")</f>
        <v>TB/HIV</v>
      </c>
      <c r="D28" s="1082" t="str">
        <f>IFERROR(INDEX('Coverage Indicator_Import-Expor'!$E$7:$E$223,MATCH(B28,'Coverage Indicator_Import-Expor'!$C$7:$C$223,0)),"")</f>
        <v>TB/HIV-4.1: Pourcentage de personnes vivant avec le VIH nouvellement enrollées dans les soins du VIH qui ont commencé le traitement préventif de la TB</v>
      </c>
      <c r="E28" s="1082" t="str">
        <f>IFERROR(IF(INDEX('Coverage Indicator_Import-Expor'!K$7:K$223,MATCH($B28,'Coverage Indicator_Import-Expor'!$C$7:$C$223,0))="","",INDEX('Coverage Indicator_Import-Expor'!K$7:K$223,MATCH($B28,'Coverage Indicator_Import-Expor'!$C$7:$C$223,0))),"")</f>
        <v>National</v>
      </c>
      <c r="F28" s="1082" t="str">
        <f>IFERROR(IF(INDEX('Coverage Indicator_Import-Expor'!L$7:L$223,MATCH($B28,'Coverage Indicator_Import-Expor'!$C$7:$C$223,0))="","",INDEX('Coverage Indicator_Import-Expor'!L$7:L$223,MATCH($B28,'Coverage Indicator_Import-Expor'!$C$7:$C$223,0))),"")</f>
        <v>N-Non-cumulative</v>
      </c>
      <c r="G28" s="1082" t="str">
        <f>IFERROR(IF(INDEX('Coverage Indicator_Import-Expor'!AR$7:AR$223,MATCH($B28,'Coverage Indicator_Import-Expor'!$C$7:$C$223,0))="","",INDEX('Coverage Indicator_Import-Expor'!AR$7:AR$223,MATCH($B28,'Coverage Indicator_Import-Expor'!$C$7:$C$223,0))),"")</f>
        <v>No</v>
      </c>
      <c r="H28" s="1082" t="str">
        <f>IFERROR(IF(INDEX('Coverage Indicator_Import-Expor'!AS$7:AS$223,MATCH($B28,'Coverage Indicator_Import-Expor'!$C$7:$C$223,0))="","",INDEX('Coverage Indicator_Import-Expor'!AS$7:AS$223,MATCH($B28,'Coverage Indicator_Import-Expor'!$C$7:$C$223,0))),"")</f>
        <v>Burundi</v>
      </c>
      <c r="I28" s="1083">
        <f>IFERROR(IF(INDEX('Coverage Indicator_Import-Expor'!N$7:N$223,MATCH($B28,'Coverage Indicator_Import-Expor'!$C$7:$C$223,0))="","",INDEX('Coverage Indicator_Import-Expor'!N$7:N$223,MATCH($B28,'Coverage Indicator_Import-Expor'!$C$7:$C$223,0))),"")</f>
        <v>198</v>
      </c>
      <c r="J28" s="1083">
        <f>IFERROR(IF(INDEX('Coverage Indicator_Import-Expor'!O$7:O$223,MATCH($B28,'Coverage Indicator_Import-Expor'!$C$7:$C$223,0))="","",INDEX('Coverage Indicator_Import-Expor'!O$7:O$223,MATCH($B28,'Coverage Indicator_Import-Expor'!$C$7:$C$223,0))),"")</f>
        <v>6166</v>
      </c>
      <c r="K28" s="1084">
        <f>IFERROR(IF(INDEX('Coverage Indicator_Import-Expor'!P$7:P$223,MATCH($B28,'Coverage Indicator_Import-Expor'!$C$7:$C$223,0))="","",INDEX('Coverage Indicator_Import-Expor'!P$7:P$223,MATCH($B28,'Coverage Indicator_Import-Expor'!$C$7:$C$223,0))),"")</f>
        <v>3.2</v>
      </c>
      <c r="L28" s="1082" t="str">
        <f>IFERROR(IF(INDEX('Coverage Indicator_Import-Expor'!Q$7:Q$223,MATCH($B28,'Coverage Indicator_Import-Expor'!$C$7:$C$223,0))="","",INDEX('Coverage Indicator_Import-Expor'!Q$7:Q$223,MATCH($B28,'Coverage Indicator_Import-Expor'!$C$7:$C$223,0))),"")</f>
        <v>2017</v>
      </c>
      <c r="M28" s="1082" t="str">
        <f>IFERROR(IF(INDEX('Coverage Indicator_Import-Expor'!R$7:R$223,MATCH($B28,'Coverage Indicator_Import-Expor'!$C$7:$C$223,0))="","",INDEX('Coverage Indicator_Import-Expor'!R$7:R$223,MATCH($B28,'Coverage Indicator_Import-Expor'!$C$7:$C$223,0))),"")</f>
        <v>PNLS/IST Programme Data, Sem 1</v>
      </c>
      <c r="N28" s="1083">
        <f>IFERROR(IF(INDEX('Coverage Indicator_Import-Expor'!S$7:S$223,MATCH($B28,'Coverage Indicator_Import-Expor'!$C$7:$C$223,0))="","",INDEX('Coverage Indicator_Import-Expor'!S$7:S$223,MATCH($B28,'Coverage Indicator_Import-Expor'!$C$7:$C$223,0))),"")</f>
        <v>692.25</v>
      </c>
      <c r="O28" s="1083">
        <f>IFERROR(IF(INDEX('Coverage Indicator_Import-Expor'!T$7:T$223,MATCH($B28,'Coverage Indicator_Import-Expor'!$C$7:$C$223,0))="","",INDEX('Coverage Indicator_Import-Expor'!T$7:T$223,MATCH($B28,'Coverage Indicator_Import-Expor'!$C$7:$C$223,0))),"")</f>
        <v>1846</v>
      </c>
      <c r="P28" s="1084">
        <f>IFERROR(IF(INDEX('Coverage Indicator_Import-Expor'!U$7:U$223,MATCH($B28,'Coverage Indicator_Import-Expor'!$C$7:$C$223,0))="","",INDEX('Coverage Indicator_Import-Expor'!U$7:U$223,MATCH($B28,'Coverage Indicator_Import-Expor'!$C$7:$C$223,0))),"")</f>
        <v>37.5</v>
      </c>
      <c r="Q28" s="1085">
        <v>3987</v>
      </c>
      <c r="R28" s="1085">
        <v>9262</v>
      </c>
      <c r="S28" s="1086">
        <f t="shared" si="6"/>
        <v>43.046858129993524</v>
      </c>
      <c r="T28" s="1087" t="s">
        <v>26</v>
      </c>
      <c r="U28" s="1088">
        <f t="shared" si="7"/>
        <v>1.1479162167998274</v>
      </c>
      <c r="V28" s="1087" t="s">
        <v>346</v>
      </c>
      <c r="W28" s="1089" t="str">
        <f t="shared" si="8"/>
        <v>Continue</v>
      </c>
      <c r="X28" s="1085"/>
      <c r="Y28" s="1085"/>
      <c r="Z28" s="1086" t="str">
        <f t="shared" si="9"/>
        <v/>
      </c>
      <c r="AA28" s="1087"/>
      <c r="AB28" s="1088" t="str">
        <f t="shared" si="10"/>
        <v xml:space="preserve"> </v>
      </c>
      <c r="AC28" s="1087"/>
      <c r="AD28" s="1087"/>
      <c r="AE28" s="1089" t="str">
        <f t="shared" si="11"/>
        <v>No Results Reported</v>
      </c>
      <c r="AF28" s="1085"/>
      <c r="AG28" s="1085"/>
      <c r="AH28" s="1086" t="str">
        <f t="shared" si="12"/>
        <v/>
      </c>
      <c r="AI28" s="1088" t="str">
        <f t="shared" si="13"/>
        <v xml:space="preserve"> </v>
      </c>
      <c r="AJ28" s="1087"/>
      <c r="AK28" s="1090" t="str">
        <f t="shared" si="14"/>
        <v>No Results Reported</v>
      </c>
    </row>
    <row r="29" spans="1:37" ht="60" customHeight="1" x14ac:dyDescent="0.2">
      <c r="A29" s="508">
        <f t="shared" si="4"/>
        <v>19</v>
      </c>
      <c r="B29" s="509" t="str">
        <f t="shared" si="5"/>
        <v>Coverage19</v>
      </c>
      <c r="C29" s="1081" t="str">
        <f>IFERROR(INDEX('Coverage Indicator_Import-Expor'!$D$7:$D$223,MATCH(B29,'Coverage Indicator_Import-Expor'!$C$7:$C$223,0)),"")</f>
        <v>HIV Testing Services</v>
      </c>
      <c r="D29" s="1082" t="str">
        <f>IFERROR(INDEX('Coverage Indicator_Import-Expor'!$E$7:$E$223,MATCH(B29,'Coverage Indicator_Import-Expor'!$C$7:$C$223,0)),"")</f>
        <v>HTS-1: Nombre de personnes dépistées pour le VIH et ayant reçu leurs résultats durant la période de rapportage</v>
      </c>
      <c r="E29" s="1082" t="str">
        <f>IFERROR(IF(INDEX('Coverage Indicator_Import-Expor'!K$7:K$223,MATCH($B29,'Coverage Indicator_Import-Expor'!$C$7:$C$223,0))="","",INDEX('Coverage Indicator_Import-Expor'!K$7:K$223,MATCH($B29,'Coverage Indicator_Import-Expor'!$C$7:$C$223,0))),"")</f>
        <v>National</v>
      </c>
      <c r="F29" s="1082" t="str">
        <f>IFERROR(IF(INDEX('Coverage Indicator_Import-Expor'!L$7:L$223,MATCH($B29,'Coverage Indicator_Import-Expor'!$C$7:$C$223,0))="","",INDEX('Coverage Indicator_Import-Expor'!L$7:L$223,MATCH($B29,'Coverage Indicator_Import-Expor'!$C$7:$C$223,0))),"")</f>
        <v>Y- Cumulative annually</v>
      </c>
      <c r="G29" s="1082" t="str">
        <f>IFERROR(IF(INDEX('Coverage Indicator_Import-Expor'!AR$7:AR$223,MATCH($B29,'Coverage Indicator_Import-Expor'!$C$7:$C$223,0))="","",INDEX('Coverage Indicator_Import-Expor'!AR$7:AR$223,MATCH($B29,'Coverage Indicator_Import-Expor'!$C$7:$C$223,0))),"")</f>
        <v>No</v>
      </c>
      <c r="H29" s="1082" t="str">
        <f>IFERROR(IF(INDEX('Coverage Indicator_Import-Expor'!AS$7:AS$223,MATCH($B29,'Coverage Indicator_Import-Expor'!$C$7:$C$223,0))="","",INDEX('Coverage Indicator_Import-Expor'!AS$7:AS$223,MATCH($B29,'Coverage Indicator_Import-Expor'!$C$7:$C$223,0))),"")</f>
        <v>Burundi</v>
      </c>
      <c r="I29" s="1083">
        <f>IFERROR(IF(INDEX('Coverage Indicator_Import-Expor'!N$7:N$223,MATCH($B29,'Coverage Indicator_Import-Expor'!$C$7:$C$223,0))="","",INDEX('Coverage Indicator_Import-Expor'!N$7:N$223,MATCH($B29,'Coverage Indicator_Import-Expor'!$C$7:$C$223,0))),"")</f>
        <v>704199</v>
      </c>
      <c r="J29" s="1083" t="str">
        <f>IFERROR(IF(INDEX('Coverage Indicator_Import-Expor'!O$7:O$223,MATCH($B29,'Coverage Indicator_Import-Expor'!$C$7:$C$223,0))="","",INDEX('Coverage Indicator_Import-Expor'!O$7:O$223,MATCH($B29,'Coverage Indicator_Import-Expor'!$C$7:$C$223,0))),"")</f>
        <v/>
      </c>
      <c r="K29" s="1084" t="str">
        <f>IFERROR(IF(INDEX('Coverage Indicator_Import-Expor'!P$7:P$223,MATCH($B29,'Coverage Indicator_Import-Expor'!$C$7:$C$223,0))="","",INDEX('Coverage Indicator_Import-Expor'!P$7:P$223,MATCH($B29,'Coverage Indicator_Import-Expor'!$C$7:$C$223,0))),"")</f>
        <v/>
      </c>
      <c r="L29" s="1082" t="str">
        <f>IFERROR(IF(INDEX('Coverage Indicator_Import-Expor'!Q$7:Q$223,MATCH($B29,'Coverage Indicator_Import-Expor'!$C$7:$C$223,0))="","",INDEX('Coverage Indicator_Import-Expor'!Q$7:Q$223,MATCH($B29,'Coverage Indicator_Import-Expor'!$C$7:$C$223,0))),"")</f>
        <v>2017</v>
      </c>
      <c r="M29" s="1082" t="str">
        <f>IFERROR(IF(INDEX('Coverage Indicator_Import-Expor'!R$7:R$223,MATCH($B29,'Coverage Indicator_Import-Expor'!$C$7:$C$223,0))="","",INDEX('Coverage Indicator_Import-Expor'!R$7:R$223,MATCH($B29,'Coverage Indicator_Import-Expor'!$C$7:$C$223,0))),"")</f>
        <v>PNLS/IST Programme Data, Sem 1</v>
      </c>
      <c r="N29" s="1083">
        <f>IFERROR(IF(INDEX('Coverage Indicator_Import-Expor'!S$7:S$223,MATCH($B29,'Coverage Indicator_Import-Expor'!$C$7:$C$223,0))="","",INDEX('Coverage Indicator_Import-Expor'!S$7:S$223,MATCH($B29,'Coverage Indicator_Import-Expor'!$C$7:$C$223,0))),"")</f>
        <v>1097727</v>
      </c>
      <c r="O29" s="1083" t="str">
        <f>IFERROR(IF(INDEX('Coverage Indicator_Import-Expor'!T$7:T$223,MATCH($B29,'Coverage Indicator_Import-Expor'!$C$7:$C$223,0))="","",INDEX('Coverage Indicator_Import-Expor'!T$7:T$223,MATCH($B29,'Coverage Indicator_Import-Expor'!$C$7:$C$223,0))),"")</f>
        <v/>
      </c>
      <c r="P29" s="1084" t="str">
        <f>IFERROR(IF(INDEX('Coverage Indicator_Import-Expor'!U$7:U$223,MATCH($B29,'Coverage Indicator_Import-Expor'!$C$7:$C$223,0))="","",INDEX('Coverage Indicator_Import-Expor'!U$7:U$223,MATCH($B29,'Coverage Indicator_Import-Expor'!$C$7:$C$223,0))),"")</f>
        <v/>
      </c>
      <c r="Q29" s="1085">
        <v>978399</v>
      </c>
      <c r="R29" s="1085"/>
      <c r="S29" s="1086" t="str">
        <f t="shared" si="6"/>
        <v/>
      </c>
      <c r="T29" s="1087" t="s">
        <v>26</v>
      </c>
      <c r="U29" s="1088">
        <f t="shared" si="7"/>
        <v>0.89129537671934822</v>
      </c>
      <c r="V29" s="1087" t="s">
        <v>347</v>
      </c>
      <c r="W29" s="1089" t="str">
        <f t="shared" si="8"/>
        <v>Continue</v>
      </c>
      <c r="X29" s="1085"/>
      <c r="Y29" s="1085"/>
      <c r="Z29" s="1086" t="str">
        <f t="shared" si="9"/>
        <v/>
      </c>
      <c r="AA29" s="1087"/>
      <c r="AB29" s="1088" t="str">
        <f t="shared" si="10"/>
        <v xml:space="preserve"> </v>
      </c>
      <c r="AC29" s="1087"/>
      <c r="AD29" s="1087"/>
      <c r="AE29" s="1089" t="str">
        <f t="shared" si="11"/>
        <v>No Results Reported</v>
      </c>
      <c r="AF29" s="1085"/>
      <c r="AG29" s="1085"/>
      <c r="AH29" s="1086" t="str">
        <f t="shared" si="12"/>
        <v/>
      </c>
      <c r="AI29" s="1088" t="str">
        <f t="shared" si="13"/>
        <v xml:space="preserve"> </v>
      </c>
      <c r="AJ29" s="1087"/>
      <c r="AK29" s="1090" t="str">
        <f t="shared" si="14"/>
        <v>No Results Reported</v>
      </c>
    </row>
    <row r="30" spans="1:37" ht="60" customHeight="1" x14ac:dyDescent="0.2">
      <c r="A30" s="508">
        <f t="shared" si="4"/>
        <v>20</v>
      </c>
      <c r="B30" s="509" t="str">
        <f t="shared" si="5"/>
        <v>Coverage20</v>
      </c>
      <c r="C30" s="1081" t="str">
        <f>IFERROR(INDEX('Coverage Indicator_Import-Expor'!$D$7:$D$223,MATCH(B30,'Coverage Indicator_Import-Expor'!$C$7:$C$223,0)),"")</f>
        <v>Comprehensive prevention programs for MSM</v>
      </c>
      <c r="D30" s="1082" t="str">
        <f>IFERROR(INDEX('Coverage Indicator_Import-Expor'!$E$7:$E$223,MATCH(B30,'Coverage Indicator_Import-Expor'!$C$7:$C$223,0)),"")</f>
        <v>KP-1a(M): Pourcentage d'hommes ayant des rapports sexuels avec des hommes qui ont bénéficié de programmes de prévention du VIH (paquet de services définis)</v>
      </c>
      <c r="E30" s="1082" t="str">
        <f>IFERROR(IF(INDEX('Coverage Indicator_Import-Expor'!K$7:K$223,MATCH($B30,'Coverage Indicator_Import-Expor'!$C$7:$C$223,0))="","",INDEX('Coverage Indicator_Import-Expor'!K$7:K$223,MATCH($B30,'Coverage Indicator_Import-Expor'!$C$7:$C$223,0))),"")</f>
        <v>National</v>
      </c>
      <c r="F30" s="1082" t="str">
        <f>IFERROR(IF(INDEX('Coverage Indicator_Import-Expor'!L$7:L$223,MATCH($B30,'Coverage Indicator_Import-Expor'!$C$7:$C$223,0))="","",INDEX('Coverage Indicator_Import-Expor'!L$7:L$223,MATCH($B30,'Coverage Indicator_Import-Expor'!$C$7:$C$223,0))),"")</f>
        <v>Y- Cumulative annually</v>
      </c>
      <c r="G30" s="1082" t="str">
        <f>IFERROR(IF(INDEX('Coverage Indicator_Import-Expor'!AR$7:AR$223,MATCH($B30,'Coverage Indicator_Import-Expor'!$C$7:$C$223,0))="","",INDEX('Coverage Indicator_Import-Expor'!AR$7:AR$223,MATCH($B30,'Coverage Indicator_Import-Expor'!$C$7:$C$223,0))),"")</f>
        <v>No</v>
      </c>
      <c r="H30" s="1082" t="str">
        <f>IFERROR(IF(INDEX('Coverage Indicator_Import-Expor'!AS$7:AS$223,MATCH($B30,'Coverage Indicator_Import-Expor'!$C$7:$C$223,0))="","",INDEX('Coverage Indicator_Import-Expor'!AS$7:AS$223,MATCH($B30,'Coverage Indicator_Import-Expor'!$C$7:$C$223,0))),"")</f>
        <v>Burundi</v>
      </c>
      <c r="I30" s="1083">
        <f>IFERROR(IF(INDEX('Coverage Indicator_Import-Expor'!N$7:N$223,MATCH($B30,'Coverage Indicator_Import-Expor'!$C$7:$C$223,0))="","",INDEX('Coverage Indicator_Import-Expor'!N$7:N$223,MATCH($B30,'Coverage Indicator_Import-Expor'!$C$7:$C$223,0))),"")</f>
        <v>1833</v>
      </c>
      <c r="J30" s="1083">
        <f>IFERROR(IF(INDEX('Coverage Indicator_Import-Expor'!O$7:O$223,MATCH($B30,'Coverage Indicator_Import-Expor'!$C$7:$C$223,0))="","",INDEX('Coverage Indicator_Import-Expor'!O$7:O$223,MATCH($B30,'Coverage Indicator_Import-Expor'!$C$7:$C$223,0))),"")</f>
        <v>10035</v>
      </c>
      <c r="K30" s="1084">
        <f>IFERROR(IF(INDEX('Coverage Indicator_Import-Expor'!P$7:P$223,MATCH($B30,'Coverage Indicator_Import-Expor'!$C$7:$C$223,0))="","",INDEX('Coverage Indicator_Import-Expor'!P$7:P$223,MATCH($B30,'Coverage Indicator_Import-Expor'!$C$7:$C$223,0))),"")</f>
        <v>18.3</v>
      </c>
      <c r="L30" s="1082" t="str">
        <f>IFERROR(IF(INDEX('Coverage Indicator_Import-Expor'!Q$7:Q$223,MATCH($B30,'Coverage Indicator_Import-Expor'!$C$7:$C$223,0))="","",INDEX('Coverage Indicator_Import-Expor'!Q$7:Q$223,MATCH($B30,'Coverage Indicator_Import-Expor'!$C$7:$C$223,0))),"")</f>
        <v>2016</v>
      </c>
      <c r="M30" s="1082" t="str">
        <f>IFERROR(IF(INDEX('Coverage Indicator_Import-Expor'!R$7:R$223,MATCH($B30,'Coverage Indicator_Import-Expor'!$C$7:$C$223,0))="","",INDEX('Coverage Indicator_Import-Expor'!R$7:R$223,MATCH($B30,'Coverage Indicator_Import-Expor'!$C$7:$C$223,0))),"")</f>
        <v>CRB Programme Data, Sem 2</v>
      </c>
      <c r="N30" s="1083">
        <f>IFERROR(IF(INDEX('Coverage Indicator_Import-Expor'!S$7:S$223,MATCH($B30,'Coverage Indicator_Import-Expor'!$C$7:$C$223,0))="","",INDEX('Coverage Indicator_Import-Expor'!S$7:S$223,MATCH($B30,'Coverage Indicator_Import-Expor'!$C$7:$C$223,0))),"")</f>
        <v>8728</v>
      </c>
      <c r="O30" s="1083">
        <f>IFERROR(IF(INDEX('Coverage Indicator_Import-Expor'!T$7:T$223,MATCH($B30,'Coverage Indicator_Import-Expor'!$C$7:$C$223,0))="","",INDEX('Coverage Indicator_Import-Expor'!T$7:T$223,MATCH($B30,'Coverage Indicator_Import-Expor'!$C$7:$C$223,0))),"")</f>
        <v>10755</v>
      </c>
      <c r="P30" s="1084">
        <f>IFERROR(IF(INDEX('Coverage Indicator_Import-Expor'!U$7:U$223,MATCH($B30,'Coverage Indicator_Import-Expor'!$C$7:$C$223,0))="","",INDEX('Coverage Indicator_Import-Expor'!U$7:U$223,MATCH($B30,'Coverage Indicator_Import-Expor'!$C$7:$C$223,0))),"")</f>
        <v>81.2</v>
      </c>
      <c r="Q30" s="1085">
        <v>14801</v>
      </c>
      <c r="R30" s="1085">
        <v>10755</v>
      </c>
      <c r="S30" s="1086">
        <f t="shared" si="6"/>
        <v>137.61971176197119</v>
      </c>
      <c r="T30" s="1087" t="s">
        <v>53</v>
      </c>
      <c r="U30" s="1088">
        <f t="shared" si="7"/>
        <v>1.2</v>
      </c>
      <c r="V30" s="1087" t="s">
        <v>348</v>
      </c>
      <c r="W30" s="1089" t="str">
        <f t="shared" si="8"/>
        <v>Continue</v>
      </c>
      <c r="X30" s="1085"/>
      <c r="Y30" s="1085"/>
      <c r="Z30" s="1086" t="str">
        <f t="shared" si="9"/>
        <v/>
      </c>
      <c r="AA30" s="1087"/>
      <c r="AB30" s="1088" t="str">
        <f t="shared" si="10"/>
        <v xml:space="preserve"> </v>
      </c>
      <c r="AC30" s="1087"/>
      <c r="AD30" s="1087"/>
      <c r="AE30" s="1089" t="str">
        <f t="shared" si="11"/>
        <v>No Results Reported</v>
      </c>
      <c r="AF30" s="1085"/>
      <c r="AG30" s="1085"/>
      <c r="AH30" s="1086" t="str">
        <f t="shared" si="12"/>
        <v/>
      </c>
      <c r="AI30" s="1088" t="str">
        <f t="shared" si="13"/>
        <v xml:space="preserve"> </v>
      </c>
      <c r="AJ30" s="1087"/>
      <c r="AK30" s="1090" t="str">
        <f t="shared" si="14"/>
        <v>No Results Reported</v>
      </c>
    </row>
    <row r="31" spans="1:37" ht="60" customHeight="1" x14ac:dyDescent="0.2">
      <c r="A31" s="508">
        <f t="shared" si="4"/>
        <v>21</v>
      </c>
      <c r="B31" s="509" t="str">
        <f t="shared" si="5"/>
        <v>Coverage21</v>
      </c>
      <c r="C31" s="1081" t="str">
        <f>IFERROR(INDEX('Coverage Indicator_Import-Expor'!$D$7:$D$223,MATCH(B31,'Coverage Indicator_Import-Expor'!$C$7:$C$223,0)),"")</f>
        <v>Comprehensive prevention programs for MSM</v>
      </c>
      <c r="D31" s="1082" t="str">
        <f>IFERROR(INDEX('Coverage Indicator_Import-Expor'!$E$7:$E$223,MATCH(B31,'Coverage Indicator_Import-Expor'!$C$7:$C$223,0)),"")</f>
        <v>KP-3a(M): Nombre et pourcentage d'hommes ayant des rapports sexuels avec des hommes qui ont fait un test VIH et connaissent les résultats</v>
      </c>
      <c r="E31" s="1082" t="str">
        <f>IFERROR(IF(INDEX('Coverage Indicator_Import-Expor'!K$7:K$223,MATCH($B31,'Coverage Indicator_Import-Expor'!$C$7:$C$223,0))="","",INDEX('Coverage Indicator_Import-Expor'!K$7:K$223,MATCH($B31,'Coverage Indicator_Import-Expor'!$C$7:$C$223,0))),"")</f>
        <v>National</v>
      </c>
      <c r="F31" s="1082" t="str">
        <f>IFERROR(IF(INDEX('Coverage Indicator_Import-Expor'!L$7:L$223,MATCH($B31,'Coverage Indicator_Import-Expor'!$C$7:$C$223,0))="","",INDEX('Coverage Indicator_Import-Expor'!L$7:L$223,MATCH($B31,'Coverage Indicator_Import-Expor'!$C$7:$C$223,0))),"")</f>
        <v>Y- Cumulative annually</v>
      </c>
      <c r="G31" s="1082" t="str">
        <f>IFERROR(IF(INDEX('Coverage Indicator_Import-Expor'!AR$7:AR$223,MATCH($B31,'Coverage Indicator_Import-Expor'!$C$7:$C$223,0))="","",INDEX('Coverage Indicator_Import-Expor'!AR$7:AR$223,MATCH($B31,'Coverage Indicator_Import-Expor'!$C$7:$C$223,0))),"")</f>
        <v>No</v>
      </c>
      <c r="H31" s="1082" t="str">
        <f>IFERROR(IF(INDEX('Coverage Indicator_Import-Expor'!AS$7:AS$223,MATCH($B31,'Coverage Indicator_Import-Expor'!$C$7:$C$223,0))="","",INDEX('Coverage Indicator_Import-Expor'!AS$7:AS$223,MATCH($B31,'Coverage Indicator_Import-Expor'!$C$7:$C$223,0))),"")</f>
        <v>Burundi</v>
      </c>
      <c r="I31" s="1083">
        <f>IFERROR(IF(INDEX('Coverage Indicator_Import-Expor'!N$7:N$223,MATCH($B31,'Coverage Indicator_Import-Expor'!$C$7:$C$223,0))="","",INDEX('Coverage Indicator_Import-Expor'!N$7:N$223,MATCH($B31,'Coverage Indicator_Import-Expor'!$C$7:$C$223,0))),"")</f>
        <v>975</v>
      </c>
      <c r="J31" s="1083">
        <f>IFERROR(IF(INDEX('Coverage Indicator_Import-Expor'!O$7:O$223,MATCH($B31,'Coverage Indicator_Import-Expor'!$C$7:$C$223,0))="","",INDEX('Coverage Indicator_Import-Expor'!O$7:O$223,MATCH($B31,'Coverage Indicator_Import-Expor'!$C$7:$C$223,0))),"")</f>
        <v>10035</v>
      </c>
      <c r="K31" s="1084">
        <f>IFERROR(IF(INDEX('Coverage Indicator_Import-Expor'!P$7:P$223,MATCH($B31,'Coverage Indicator_Import-Expor'!$C$7:$C$223,0))="","",INDEX('Coverage Indicator_Import-Expor'!P$7:P$223,MATCH($B31,'Coverage Indicator_Import-Expor'!$C$7:$C$223,0))),"")</f>
        <v>9.6999999999999993</v>
      </c>
      <c r="L31" s="1082" t="str">
        <f>IFERROR(IF(INDEX('Coverage Indicator_Import-Expor'!Q$7:Q$223,MATCH($B31,'Coverage Indicator_Import-Expor'!$C$7:$C$223,0))="","",INDEX('Coverage Indicator_Import-Expor'!Q$7:Q$223,MATCH($B31,'Coverage Indicator_Import-Expor'!$C$7:$C$223,0))),"")</f>
        <v>2016</v>
      </c>
      <c r="M31" s="1082" t="str">
        <f>IFERROR(IF(INDEX('Coverage Indicator_Import-Expor'!R$7:R$223,MATCH($B31,'Coverage Indicator_Import-Expor'!$C$7:$C$223,0))="","",INDEX('Coverage Indicator_Import-Expor'!R$7:R$223,MATCH($B31,'Coverage Indicator_Import-Expor'!$C$7:$C$223,0))),"")</f>
        <v>CRB Programme Data, Sem 2</v>
      </c>
      <c r="N31" s="1083">
        <f>IFERROR(IF(INDEX('Coverage Indicator_Import-Expor'!S$7:S$223,MATCH($B31,'Coverage Indicator_Import-Expor'!$C$7:$C$223,0))="","",INDEX('Coverage Indicator_Import-Expor'!S$7:S$223,MATCH($B31,'Coverage Indicator_Import-Expor'!$C$7:$C$223,0))),"")</f>
        <v>7313.4</v>
      </c>
      <c r="O31" s="1083">
        <f>IFERROR(IF(INDEX('Coverage Indicator_Import-Expor'!T$7:T$223,MATCH($B31,'Coverage Indicator_Import-Expor'!$C$7:$C$223,0))="","",INDEX('Coverage Indicator_Import-Expor'!T$7:T$223,MATCH($B31,'Coverage Indicator_Import-Expor'!$C$7:$C$223,0))),"")</f>
        <v>10755</v>
      </c>
      <c r="P31" s="1084">
        <f>IFERROR(IF(INDEX('Coverage Indicator_Import-Expor'!U$7:U$223,MATCH($B31,'Coverage Indicator_Import-Expor'!$C$7:$C$223,0))="","",INDEX('Coverage Indicator_Import-Expor'!U$7:U$223,MATCH($B31,'Coverage Indicator_Import-Expor'!$C$7:$C$223,0))),"")</f>
        <v>68</v>
      </c>
      <c r="Q31" s="1085">
        <v>6544</v>
      </c>
      <c r="R31" s="1085">
        <v>10755</v>
      </c>
      <c r="S31" s="1086">
        <f t="shared" si="6"/>
        <v>60.84611808461181</v>
      </c>
      <c r="T31" s="1087" t="s">
        <v>53</v>
      </c>
      <c r="U31" s="1088">
        <f t="shared" si="7"/>
        <v>0.89479585418546781</v>
      </c>
      <c r="V31" s="1087" t="s">
        <v>349</v>
      </c>
      <c r="W31" s="1089" t="str">
        <f t="shared" si="8"/>
        <v>Continue</v>
      </c>
      <c r="X31" s="1085"/>
      <c r="Y31" s="1085"/>
      <c r="Z31" s="1086" t="str">
        <f t="shared" si="9"/>
        <v/>
      </c>
      <c r="AA31" s="1087"/>
      <c r="AB31" s="1088" t="str">
        <f t="shared" si="10"/>
        <v xml:space="preserve"> </v>
      </c>
      <c r="AC31" s="1087"/>
      <c r="AD31" s="1087"/>
      <c r="AE31" s="1089" t="str">
        <f t="shared" si="11"/>
        <v>No Results Reported</v>
      </c>
      <c r="AF31" s="1085"/>
      <c r="AG31" s="1085"/>
      <c r="AH31" s="1086" t="str">
        <f t="shared" si="12"/>
        <v/>
      </c>
      <c r="AI31" s="1088" t="str">
        <f t="shared" si="13"/>
        <v xml:space="preserve"> </v>
      </c>
      <c r="AJ31" s="1087"/>
      <c r="AK31" s="1090" t="str">
        <f t="shared" si="14"/>
        <v>No Results Reported</v>
      </c>
    </row>
    <row r="32" spans="1:37" ht="60" customHeight="1" x14ac:dyDescent="0.2">
      <c r="A32" s="508">
        <f t="shared" si="4"/>
        <v>22</v>
      </c>
      <c r="B32" s="509" t="str">
        <f t="shared" si="5"/>
        <v>Coverage22</v>
      </c>
      <c r="C32" s="1081" t="str">
        <f>IFERROR(INDEX('Coverage Indicator_Import-Expor'!$D$7:$D$223,MATCH(B32,'Coverage Indicator_Import-Expor'!$C$7:$C$223,0)),"")</f>
        <v>Comprehensive prevention programs for sex workers and their clients</v>
      </c>
      <c r="D32" s="1082" t="str">
        <f>IFERROR(INDEX('Coverage Indicator_Import-Expor'!$E$7:$E$223,MATCH(B32,'Coverage Indicator_Import-Expor'!$C$7:$C$223,0)),"")</f>
        <v>KP-1c(M): Pourcentage de professionnels du sexe ayant bénéficié de programmes de prévention du VIH- paquet de services définis</v>
      </c>
      <c r="E32" s="1082" t="str">
        <f>IFERROR(IF(INDEX('Coverage Indicator_Import-Expor'!K$7:K$223,MATCH($B32,'Coverage Indicator_Import-Expor'!$C$7:$C$223,0))="","",INDEX('Coverage Indicator_Import-Expor'!K$7:K$223,MATCH($B32,'Coverage Indicator_Import-Expor'!$C$7:$C$223,0))),"")</f>
        <v>National</v>
      </c>
      <c r="F32" s="1082" t="str">
        <f>IFERROR(IF(INDEX('Coverage Indicator_Import-Expor'!L$7:L$223,MATCH($B32,'Coverage Indicator_Import-Expor'!$C$7:$C$223,0))="","",INDEX('Coverage Indicator_Import-Expor'!L$7:L$223,MATCH($B32,'Coverage Indicator_Import-Expor'!$C$7:$C$223,0))),"")</f>
        <v>Y- Cumulative annually</v>
      </c>
      <c r="G32" s="1082" t="str">
        <f>IFERROR(IF(INDEX('Coverage Indicator_Import-Expor'!AR$7:AR$223,MATCH($B32,'Coverage Indicator_Import-Expor'!$C$7:$C$223,0))="","",INDEX('Coverage Indicator_Import-Expor'!AR$7:AR$223,MATCH($B32,'Coverage Indicator_Import-Expor'!$C$7:$C$223,0))),"")</f>
        <v>No</v>
      </c>
      <c r="H32" s="1082" t="str">
        <f>IFERROR(IF(INDEX('Coverage Indicator_Import-Expor'!AS$7:AS$223,MATCH($B32,'Coverage Indicator_Import-Expor'!$C$7:$C$223,0))="","",INDEX('Coverage Indicator_Import-Expor'!AS$7:AS$223,MATCH($B32,'Coverage Indicator_Import-Expor'!$C$7:$C$223,0))),"")</f>
        <v>Burundi</v>
      </c>
      <c r="I32" s="1083">
        <f>IFERROR(IF(INDEX('Coverage Indicator_Import-Expor'!N$7:N$223,MATCH($B32,'Coverage Indicator_Import-Expor'!$C$7:$C$223,0))="","",INDEX('Coverage Indicator_Import-Expor'!N$7:N$223,MATCH($B32,'Coverage Indicator_Import-Expor'!$C$7:$C$223,0))),"")</f>
        <v>14364</v>
      </c>
      <c r="J32" s="1083">
        <f>IFERROR(IF(INDEX('Coverage Indicator_Import-Expor'!O$7:O$223,MATCH($B32,'Coverage Indicator_Import-Expor'!$C$7:$C$223,0))="","",INDEX('Coverage Indicator_Import-Expor'!O$7:O$223,MATCH($B32,'Coverage Indicator_Import-Expor'!$C$7:$C$223,0))),"")</f>
        <v>55278</v>
      </c>
      <c r="K32" s="1084">
        <f>IFERROR(IF(INDEX('Coverage Indicator_Import-Expor'!P$7:P$223,MATCH($B32,'Coverage Indicator_Import-Expor'!$C$7:$C$223,0))="","",INDEX('Coverage Indicator_Import-Expor'!P$7:P$223,MATCH($B32,'Coverage Indicator_Import-Expor'!$C$7:$C$223,0))),"")</f>
        <v>26</v>
      </c>
      <c r="L32" s="1082" t="str">
        <f>IFERROR(IF(INDEX('Coverage Indicator_Import-Expor'!Q$7:Q$223,MATCH($B32,'Coverage Indicator_Import-Expor'!$C$7:$C$223,0))="","",INDEX('Coverage Indicator_Import-Expor'!Q$7:Q$223,MATCH($B32,'Coverage Indicator_Import-Expor'!$C$7:$C$223,0))),"")</f>
        <v>2016</v>
      </c>
      <c r="M32" s="1082" t="str">
        <f>IFERROR(IF(INDEX('Coverage Indicator_Import-Expor'!R$7:R$223,MATCH($B32,'Coverage Indicator_Import-Expor'!$C$7:$C$223,0))="","",INDEX('Coverage Indicator_Import-Expor'!R$7:R$223,MATCH($B32,'Coverage Indicator_Import-Expor'!$C$7:$C$223,0))),"")</f>
        <v>CRB Programme Data, Sem 2</v>
      </c>
      <c r="N32" s="1083">
        <f>IFERROR(IF(INDEX('Coverage Indicator_Import-Expor'!S$7:S$223,MATCH($B32,'Coverage Indicator_Import-Expor'!$C$7:$C$223,0))="","",INDEX('Coverage Indicator_Import-Expor'!S$7:S$223,MATCH($B32,'Coverage Indicator_Import-Expor'!$C$7:$C$223,0))),"")</f>
        <v>50451</v>
      </c>
      <c r="O32" s="1083">
        <f>IFERROR(IF(INDEX('Coverage Indicator_Import-Expor'!T$7:T$223,MATCH($B32,'Coverage Indicator_Import-Expor'!$C$7:$C$223,0))="","",INDEX('Coverage Indicator_Import-Expor'!T$7:T$223,MATCH($B32,'Coverage Indicator_Import-Expor'!$C$7:$C$223,0))),"")</f>
        <v>59354</v>
      </c>
      <c r="P32" s="1084">
        <f>IFERROR(IF(INDEX('Coverage Indicator_Import-Expor'!U$7:U$223,MATCH($B32,'Coverage Indicator_Import-Expor'!$C$7:$C$223,0))="","",INDEX('Coverage Indicator_Import-Expor'!U$7:U$223,MATCH($B32,'Coverage Indicator_Import-Expor'!$C$7:$C$223,0))),"")</f>
        <v>85</v>
      </c>
      <c r="Q32" s="1085">
        <v>49989</v>
      </c>
      <c r="R32" s="1085">
        <v>59354</v>
      </c>
      <c r="S32" s="1086">
        <f t="shared" si="6"/>
        <v>84.221787916568388</v>
      </c>
      <c r="T32" s="1087" t="s">
        <v>53</v>
      </c>
      <c r="U32" s="1088">
        <f t="shared" si="7"/>
        <v>0.99084456372433394</v>
      </c>
      <c r="V32" s="1087" t="s">
        <v>350</v>
      </c>
      <c r="W32" s="1089" t="str">
        <f t="shared" si="8"/>
        <v>Continue</v>
      </c>
      <c r="X32" s="1085"/>
      <c r="Y32" s="1085"/>
      <c r="Z32" s="1086" t="str">
        <f t="shared" si="9"/>
        <v/>
      </c>
      <c r="AA32" s="1087"/>
      <c r="AB32" s="1088" t="str">
        <f t="shared" si="10"/>
        <v xml:space="preserve"> </v>
      </c>
      <c r="AC32" s="1087"/>
      <c r="AD32" s="1087"/>
      <c r="AE32" s="1089" t="str">
        <f t="shared" si="11"/>
        <v>No Results Reported</v>
      </c>
      <c r="AF32" s="1085"/>
      <c r="AG32" s="1085"/>
      <c r="AH32" s="1086" t="str">
        <f t="shared" si="12"/>
        <v/>
      </c>
      <c r="AI32" s="1088" t="str">
        <f t="shared" si="13"/>
        <v xml:space="preserve"> </v>
      </c>
      <c r="AJ32" s="1087"/>
      <c r="AK32" s="1090" t="str">
        <f t="shared" si="14"/>
        <v>No Results Reported</v>
      </c>
    </row>
    <row r="33" spans="1:37" ht="60" customHeight="1" x14ac:dyDescent="0.2">
      <c r="A33" s="508">
        <f t="shared" si="4"/>
        <v>23</v>
      </c>
      <c r="B33" s="509" t="str">
        <f t="shared" si="5"/>
        <v>Coverage23</v>
      </c>
      <c r="C33" s="1081" t="str">
        <f>IFERROR(INDEX('Coverage Indicator_Import-Expor'!$D$7:$D$223,MATCH(B33,'Coverage Indicator_Import-Expor'!$C$7:$C$223,0)),"")</f>
        <v>Comprehensive prevention programs for sex workers and their clients</v>
      </c>
      <c r="D33" s="1082" t="str">
        <f>IFERROR(INDEX('Coverage Indicator_Import-Expor'!$E$7:$E$223,MATCH(B33,'Coverage Indicator_Import-Expor'!$C$7:$C$223,0)),"")</f>
        <v>KP-3c(M): Pourcentage de professionnels de sexe qui ont fait un test VIH au cours de la période de rapportage et qui connaissent les résultats</v>
      </c>
      <c r="E33" s="1082" t="str">
        <f>IFERROR(IF(INDEX('Coverage Indicator_Import-Expor'!K$7:K$223,MATCH($B33,'Coverage Indicator_Import-Expor'!$C$7:$C$223,0))="","",INDEX('Coverage Indicator_Import-Expor'!K$7:K$223,MATCH($B33,'Coverage Indicator_Import-Expor'!$C$7:$C$223,0))),"")</f>
        <v>National</v>
      </c>
      <c r="F33" s="1082" t="str">
        <f>IFERROR(IF(INDEX('Coverage Indicator_Import-Expor'!L$7:L$223,MATCH($B33,'Coverage Indicator_Import-Expor'!$C$7:$C$223,0))="","",INDEX('Coverage Indicator_Import-Expor'!L$7:L$223,MATCH($B33,'Coverage Indicator_Import-Expor'!$C$7:$C$223,0))),"")</f>
        <v>Y- Cumulative annually</v>
      </c>
      <c r="G33" s="1082" t="str">
        <f>IFERROR(IF(INDEX('Coverage Indicator_Import-Expor'!AR$7:AR$223,MATCH($B33,'Coverage Indicator_Import-Expor'!$C$7:$C$223,0))="","",INDEX('Coverage Indicator_Import-Expor'!AR$7:AR$223,MATCH($B33,'Coverage Indicator_Import-Expor'!$C$7:$C$223,0))),"")</f>
        <v>No</v>
      </c>
      <c r="H33" s="1082" t="str">
        <f>IFERROR(IF(INDEX('Coverage Indicator_Import-Expor'!AS$7:AS$223,MATCH($B33,'Coverage Indicator_Import-Expor'!$C$7:$C$223,0))="","",INDEX('Coverage Indicator_Import-Expor'!AS$7:AS$223,MATCH($B33,'Coverage Indicator_Import-Expor'!$C$7:$C$223,0))),"")</f>
        <v>Burundi</v>
      </c>
      <c r="I33" s="1083">
        <f>IFERROR(IF(INDEX('Coverage Indicator_Import-Expor'!N$7:N$223,MATCH($B33,'Coverage Indicator_Import-Expor'!$C$7:$C$223,0))="","",INDEX('Coverage Indicator_Import-Expor'!N$7:N$223,MATCH($B33,'Coverage Indicator_Import-Expor'!$C$7:$C$223,0))),"")</f>
        <v>6393</v>
      </c>
      <c r="J33" s="1083">
        <f>IFERROR(IF(INDEX('Coverage Indicator_Import-Expor'!O$7:O$223,MATCH($B33,'Coverage Indicator_Import-Expor'!$C$7:$C$223,0))="","",INDEX('Coverage Indicator_Import-Expor'!O$7:O$223,MATCH($B33,'Coverage Indicator_Import-Expor'!$C$7:$C$223,0))),"")</f>
        <v>55278</v>
      </c>
      <c r="K33" s="1084">
        <f>IFERROR(IF(INDEX('Coverage Indicator_Import-Expor'!P$7:P$223,MATCH($B33,'Coverage Indicator_Import-Expor'!$C$7:$C$223,0))="","",INDEX('Coverage Indicator_Import-Expor'!P$7:P$223,MATCH($B33,'Coverage Indicator_Import-Expor'!$C$7:$C$223,0))),"")</f>
        <v>11.6</v>
      </c>
      <c r="L33" s="1082" t="str">
        <f>IFERROR(IF(INDEX('Coverage Indicator_Import-Expor'!Q$7:Q$223,MATCH($B33,'Coverage Indicator_Import-Expor'!$C$7:$C$223,0))="","",INDEX('Coverage Indicator_Import-Expor'!Q$7:Q$223,MATCH($B33,'Coverage Indicator_Import-Expor'!$C$7:$C$223,0))),"")</f>
        <v>2016</v>
      </c>
      <c r="M33" s="1082" t="str">
        <f>IFERROR(IF(INDEX('Coverage Indicator_Import-Expor'!R$7:R$223,MATCH($B33,'Coverage Indicator_Import-Expor'!$C$7:$C$223,0))="","",INDEX('Coverage Indicator_Import-Expor'!R$7:R$223,MATCH($B33,'Coverage Indicator_Import-Expor'!$C$7:$C$223,0))),"")</f>
        <v>CRB Programme Data, Sem 2</v>
      </c>
      <c r="N33" s="1083">
        <f>IFERROR(IF(INDEX('Coverage Indicator_Import-Expor'!S$7:S$223,MATCH($B33,'Coverage Indicator_Import-Expor'!$C$7:$C$223,0))="","",INDEX('Coverage Indicator_Import-Expor'!S$7:S$223,MATCH($B33,'Coverage Indicator_Import-Expor'!$C$7:$C$223,0))),"")</f>
        <v>42141.34</v>
      </c>
      <c r="O33" s="1083">
        <f>IFERROR(IF(INDEX('Coverage Indicator_Import-Expor'!T$7:T$223,MATCH($B33,'Coverage Indicator_Import-Expor'!$C$7:$C$223,0))="","",INDEX('Coverage Indicator_Import-Expor'!T$7:T$223,MATCH($B33,'Coverage Indicator_Import-Expor'!$C$7:$C$223,0))),"")</f>
        <v>59354</v>
      </c>
      <c r="P33" s="1084">
        <f>IFERROR(IF(INDEX('Coverage Indicator_Import-Expor'!U$7:U$223,MATCH($B33,'Coverage Indicator_Import-Expor'!$C$7:$C$223,0))="","",INDEX('Coverage Indicator_Import-Expor'!U$7:U$223,MATCH($B33,'Coverage Indicator_Import-Expor'!$C$7:$C$223,0))),"")</f>
        <v>71</v>
      </c>
      <c r="Q33" s="1085">
        <v>37590</v>
      </c>
      <c r="R33" s="1085">
        <v>59354</v>
      </c>
      <c r="S33" s="1086">
        <f t="shared" si="6"/>
        <v>63.331873167773026</v>
      </c>
      <c r="T33" s="1087" t="s">
        <v>53</v>
      </c>
      <c r="U33" s="1088">
        <f t="shared" si="7"/>
        <v>0.89199821363060594</v>
      </c>
      <c r="V33" s="1087" t="s">
        <v>351</v>
      </c>
      <c r="W33" s="1089" t="str">
        <f t="shared" si="8"/>
        <v>Continue</v>
      </c>
      <c r="X33" s="1085"/>
      <c r="Y33" s="1085"/>
      <c r="Z33" s="1086" t="str">
        <f t="shared" si="9"/>
        <v/>
      </c>
      <c r="AA33" s="1087"/>
      <c r="AB33" s="1088" t="str">
        <f t="shared" si="10"/>
        <v xml:space="preserve"> </v>
      </c>
      <c r="AC33" s="1087"/>
      <c r="AD33" s="1087"/>
      <c r="AE33" s="1089" t="str">
        <f t="shared" si="11"/>
        <v>No Results Reported</v>
      </c>
      <c r="AF33" s="1085"/>
      <c r="AG33" s="1085"/>
      <c r="AH33" s="1086" t="str">
        <f t="shared" si="12"/>
        <v/>
      </c>
      <c r="AI33" s="1088" t="str">
        <f t="shared" si="13"/>
        <v xml:space="preserve"> </v>
      </c>
      <c r="AJ33" s="1087"/>
      <c r="AK33" s="1090" t="str">
        <f t="shared" si="14"/>
        <v>No Results Reported</v>
      </c>
    </row>
    <row r="34" spans="1:37" ht="60" customHeight="1" x14ac:dyDescent="0.2">
      <c r="A34" s="508">
        <f t="shared" si="4"/>
        <v>24</v>
      </c>
      <c r="B34" s="509" t="str">
        <f t="shared" si="5"/>
        <v>Coverage24</v>
      </c>
      <c r="C34" s="1081" t="str">
        <f>IFERROR(INDEX('Coverage Indicator_Import-Expor'!$D$7:$D$223,MATCH(B34,'Coverage Indicator_Import-Expor'!$C$7:$C$223,0)),"")</f>
        <v/>
      </c>
      <c r="D34" s="1082" t="str">
        <f>IFERROR(INDEX('Coverage Indicator_Import-Expor'!$E$7:$E$223,MATCH(B34,'Coverage Indicator_Import-Expor'!$C$7:$C$223,0)),"")</f>
        <v/>
      </c>
      <c r="E34" s="1082" t="str">
        <f>IFERROR(IF(INDEX('Coverage Indicator_Import-Expor'!K$7:K$223,MATCH($B34,'Coverage Indicator_Import-Expor'!$C$7:$C$223,0))="","",INDEX('Coverage Indicator_Import-Expor'!K$7:K$223,MATCH($B34,'Coverage Indicator_Import-Expor'!$C$7:$C$223,0))),"")</f>
        <v/>
      </c>
      <c r="F34" s="1082" t="str">
        <f>IFERROR(IF(INDEX('Coverage Indicator_Import-Expor'!L$7:L$223,MATCH($B34,'Coverage Indicator_Import-Expor'!$C$7:$C$223,0))="","",INDEX('Coverage Indicator_Import-Expor'!L$7:L$223,MATCH($B34,'Coverage Indicator_Import-Expor'!$C$7:$C$223,0))),"")</f>
        <v/>
      </c>
      <c r="G34" s="1082" t="str">
        <f>IFERROR(IF(INDEX('Coverage Indicator_Import-Expor'!AR$7:AR$223,MATCH($B34,'Coverage Indicator_Import-Expor'!$C$7:$C$223,0))="","",INDEX('Coverage Indicator_Import-Expor'!AR$7:AR$223,MATCH($B34,'Coverage Indicator_Import-Expor'!$C$7:$C$223,0))),"")</f>
        <v/>
      </c>
      <c r="H34" s="1082" t="str">
        <f>IFERROR(IF(INDEX('Coverage Indicator_Import-Expor'!AS$7:AS$223,MATCH($B34,'Coverage Indicator_Import-Expor'!$C$7:$C$223,0))="","",INDEX('Coverage Indicator_Import-Expor'!AS$7:AS$223,MATCH($B34,'Coverage Indicator_Import-Expor'!$C$7:$C$223,0))),"")</f>
        <v/>
      </c>
      <c r="I34" s="1083" t="str">
        <f>IFERROR(IF(INDEX('Coverage Indicator_Import-Expor'!N$7:N$223,MATCH($B34,'Coverage Indicator_Import-Expor'!$C$7:$C$223,0))="","",INDEX('Coverage Indicator_Import-Expor'!N$7:N$223,MATCH($B34,'Coverage Indicator_Import-Expor'!$C$7:$C$223,0))),"")</f>
        <v/>
      </c>
      <c r="J34" s="1083" t="str">
        <f>IFERROR(IF(INDEX('Coverage Indicator_Import-Expor'!O$7:O$223,MATCH($B34,'Coverage Indicator_Import-Expor'!$C$7:$C$223,0))="","",INDEX('Coverage Indicator_Import-Expor'!O$7:O$223,MATCH($B34,'Coverage Indicator_Import-Expor'!$C$7:$C$223,0))),"")</f>
        <v/>
      </c>
      <c r="K34" s="1084" t="str">
        <f>IFERROR(IF(INDEX('Coverage Indicator_Import-Expor'!P$7:P$223,MATCH($B34,'Coverage Indicator_Import-Expor'!$C$7:$C$223,0))="","",INDEX('Coverage Indicator_Import-Expor'!P$7:P$223,MATCH($B34,'Coverage Indicator_Import-Expor'!$C$7:$C$223,0))),"")</f>
        <v/>
      </c>
      <c r="L34" s="1082" t="str">
        <f>IFERROR(IF(INDEX('Coverage Indicator_Import-Expor'!Q$7:Q$223,MATCH($B34,'Coverage Indicator_Import-Expor'!$C$7:$C$223,0))="","",INDEX('Coverage Indicator_Import-Expor'!Q$7:Q$223,MATCH($B34,'Coverage Indicator_Import-Expor'!$C$7:$C$223,0))),"")</f>
        <v/>
      </c>
      <c r="M34" s="1082" t="str">
        <f>IFERROR(IF(INDEX('Coverage Indicator_Import-Expor'!R$7:R$223,MATCH($B34,'Coverage Indicator_Import-Expor'!$C$7:$C$223,0))="","",INDEX('Coverage Indicator_Import-Expor'!R$7:R$223,MATCH($B34,'Coverage Indicator_Import-Expor'!$C$7:$C$223,0))),"")</f>
        <v/>
      </c>
      <c r="N34" s="1083" t="str">
        <f>IFERROR(IF(INDEX('Coverage Indicator_Import-Expor'!S$7:S$223,MATCH($B34,'Coverage Indicator_Import-Expor'!$C$7:$C$223,0))="","",INDEX('Coverage Indicator_Import-Expor'!S$7:S$223,MATCH($B34,'Coverage Indicator_Import-Expor'!$C$7:$C$223,0))),"")</f>
        <v/>
      </c>
      <c r="O34" s="1083" t="str">
        <f>IFERROR(IF(INDEX('Coverage Indicator_Import-Expor'!T$7:T$223,MATCH($B34,'Coverage Indicator_Import-Expor'!$C$7:$C$223,0))="","",INDEX('Coverage Indicator_Import-Expor'!T$7:T$223,MATCH($B34,'Coverage Indicator_Import-Expor'!$C$7:$C$223,0))),"")</f>
        <v/>
      </c>
      <c r="P34" s="1084" t="str">
        <f>IFERROR(IF(INDEX('Coverage Indicator_Import-Expor'!U$7:U$223,MATCH($B34,'Coverage Indicator_Import-Expor'!$C$7:$C$223,0))="","",INDEX('Coverage Indicator_Import-Expor'!U$7:U$223,MATCH($B34,'Coverage Indicator_Import-Expor'!$C$7:$C$223,0))),"")</f>
        <v/>
      </c>
      <c r="Q34" s="1085"/>
      <c r="R34" s="1085"/>
      <c r="S34" s="1086" t="str">
        <f t="shared" si="6"/>
        <v/>
      </c>
      <c r="T34" s="1087"/>
      <c r="U34" s="1088" t="str">
        <f t="shared" si="7"/>
        <v xml:space="preserve"> </v>
      </c>
      <c r="V34" s="1087"/>
      <c r="W34" s="1089" t="str">
        <f t="shared" si="8"/>
        <v>No Results Reported</v>
      </c>
      <c r="X34" s="1085"/>
      <c r="Y34" s="1085"/>
      <c r="Z34" s="1086" t="str">
        <f t="shared" si="9"/>
        <v/>
      </c>
      <c r="AA34" s="1087"/>
      <c r="AB34" s="1088" t="str">
        <f t="shared" si="10"/>
        <v xml:space="preserve"> </v>
      </c>
      <c r="AC34" s="1087"/>
      <c r="AD34" s="1087"/>
      <c r="AE34" s="1089" t="str">
        <f t="shared" si="11"/>
        <v>No Results Reported</v>
      </c>
      <c r="AF34" s="1085"/>
      <c r="AG34" s="1085"/>
      <c r="AH34" s="1086" t="str">
        <f t="shared" si="12"/>
        <v/>
      </c>
      <c r="AI34" s="1088" t="str">
        <f t="shared" si="13"/>
        <v xml:space="preserve"> </v>
      </c>
      <c r="AJ34" s="1087"/>
      <c r="AK34" s="1090" t="str">
        <f t="shared" si="14"/>
        <v>No Results Reported</v>
      </c>
    </row>
    <row r="35" spans="1:37" ht="60" customHeight="1" x14ac:dyDescent="0.2">
      <c r="A35" s="508">
        <f t="shared" si="4"/>
        <v>25</v>
      </c>
      <c r="B35" s="509" t="str">
        <f t="shared" si="5"/>
        <v>Coverage25</v>
      </c>
      <c r="C35" s="1081" t="str">
        <f>IFERROR(INDEX('Coverage Indicator_Import-Expor'!$D$7:$D$223,MATCH(B35,'Coverage Indicator_Import-Expor'!$C$7:$C$223,0)),"")</f>
        <v/>
      </c>
      <c r="D35" s="1082" t="str">
        <f>IFERROR(INDEX('Coverage Indicator_Import-Expor'!$E$7:$E$223,MATCH(B35,'Coverage Indicator_Import-Expor'!$C$7:$C$223,0)),"")</f>
        <v/>
      </c>
      <c r="E35" s="1082" t="str">
        <f>IFERROR(IF(INDEX('Coverage Indicator_Import-Expor'!K$7:K$223,MATCH($B35,'Coverage Indicator_Import-Expor'!$C$7:$C$223,0))="","",INDEX('Coverage Indicator_Import-Expor'!K$7:K$223,MATCH($B35,'Coverage Indicator_Import-Expor'!$C$7:$C$223,0))),"")</f>
        <v/>
      </c>
      <c r="F35" s="1082" t="str">
        <f>IFERROR(IF(INDEX('Coverage Indicator_Import-Expor'!L$7:L$223,MATCH($B35,'Coverage Indicator_Import-Expor'!$C$7:$C$223,0))="","",INDEX('Coverage Indicator_Import-Expor'!L$7:L$223,MATCH($B35,'Coverage Indicator_Import-Expor'!$C$7:$C$223,0))),"")</f>
        <v/>
      </c>
      <c r="G35" s="1082" t="str">
        <f>IFERROR(IF(INDEX('Coverage Indicator_Import-Expor'!AR$7:AR$223,MATCH($B35,'Coverage Indicator_Import-Expor'!$C$7:$C$223,0))="","",INDEX('Coverage Indicator_Import-Expor'!AR$7:AR$223,MATCH($B35,'Coverage Indicator_Import-Expor'!$C$7:$C$223,0))),"")</f>
        <v/>
      </c>
      <c r="H35" s="1082" t="str">
        <f>IFERROR(IF(INDEX('Coverage Indicator_Import-Expor'!AS$7:AS$223,MATCH($B35,'Coverage Indicator_Import-Expor'!$C$7:$C$223,0))="","",INDEX('Coverage Indicator_Import-Expor'!AS$7:AS$223,MATCH($B35,'Coverage Indicator_Import-Expor'!$C$7:$C$223,0))),"")</f>
        <v/>
      </c>
      <c r="I35" s="1083" t="str">
        <f>IFERROR(IF(INDEX('Coverage Indicator_Import-Expor'!N$7:N$223,MATCH($B35,'Coverage Indicator_Import-Expor'!$C$7:$C$223,0))="","",INDEX('Coverage Indicator_Import-Expor'!N$7:N$223,MATCH($B35,'Coverage Indicator_Import-Expor'!$C$7:$C$223,0))),"")</f>
        <v/>
      </c>
      <c r="J35" s="1083" t="str">
        <f>IFERROR(IF(INDEX('Coverage Indicator_Import-Expor'!O$7:O$223,MATCH($B35,'Coverage Indicator_Import-Expor'!$C$7:$C$223,0))="","",INDEX('Coverage Indicator_Import-Expor'!O$7:O$223,MATCH($B35,'Coverage Indicator_Import-Expor'!$C$7:$C$223,0))),"")</f>
        <v/>
      </c>
      <c r="K35" s="1084" t="str">
        <f>IFERROR(IF(INDEX('Coverage Indicator_Import-Expor'!P$7:P$223,MATCH($B35,'Coverage Indicator_Import-Expor'!$C$7:$C$223,0))="","",INDEX('Coverage Indicator_Import-Expor'!P$7:P$223,MATCH($B35,'Coverage Indicator_Import-Expor'!$C$7:$C$223,0))),"")</f>
        <v/>
      </c>
      <c r="L35" s="1082" t="str">
        <f>IFERROR(IF(INDEX('Coverage Indicator_Import-Expor'!Q$7:Q$223,MATCH($B35,'Coverage Indicator_Import-Expor'!$C$7:$C$223,0))="","",INDEX('Coverage Indicator_Import-Expor'!Q$7:Q$223,MATCH($B35,'Coverage Indicator_Import-Expor'!$C$7:$C$223,0))),"")</f>
        <v/>
      </c>
      <c r="M35" s="1082" t="str">
        <f>IFERROR(IF(INDEX('Coverage Indicator_Import-Expor'!R$7:R$223,MATCH($B35,'Coverage Indicator_Import-Expor'!$C$7:$C$223,0))="","",INDEX('Coverage Indicator_Import-Expor'!R$7:R$223,MATCH($B35,'Coverage Indicator_Import-Expor'!$C$7:$C$223,0))),"")</f>
        <v/>
      </c>
      <c r="N35" s="1083" t="str">
        <f>IFERROR(IF(INDEX('Coverage Indicator_Import-Expor'!S$7:S$223,MATCH($B35,'Coverage Indicator_Import-Expor'!$C$7:$C$223,0))="","",INDEX('Coverage Indicator_Import-Expor'!S$7:S$223,MATCH($B35,'Coverage Indicator_Import-Expor'!$C$7:$C$223,0))),"")</f>
        <v/>
      </c>
      <c r="O35" s="1083" t="str">
        <f>IFERROR(IF(INDEX('Coverage Indicator_Import-Expor'!T$7:T$223,MATCH($B35,'Coverage Indicator_Import-Expor'!$C$7:$C$223,0))="","",INDEX('Coverage Indicator_Import-Expor'!T$7:T$223,MATCH($B35,'Coverage Indicator_Import-Expor'!$C$7:$C$223,0))),"")</f>
        <v/>
      </c>
      <c r="P35" s="1084" t="str">
        <f>IFERROR(IF(INDEX('Coverage Indicator_Import-Expor'!U$7:U$223,MATCH($B35,'Coverage Indicator_Import-Expor'!$C$7:$C$223,0))="","",INDEX('Coverage Indicator_Import-Expor'!U$7:U$223,MATCH($B35,'Coverage Indicator_Import-Expor'!$C$7:$C$223,0))),"")</f>
        <v/>
      </c>
      <c r="Q35" s="1085"/>
      <c r="R35" s="1085"/>
      <c r="S35" s="1086" t="str">
        <f t="shared" si="6"/>
        <v/>
      </c>
      <c r="T35" s="1087"/>
      <c r="U35" s="1088" t="str">
        <f t="shared" si="7"/>
        <v xml:space="preserve"> </v>
      </c>
      <c r="V35" s="1087"/>
      <c r="W35" s="1089" t="str">
        <f t="shared" si="8"/>
        <v>No Results Reported</v>
      </c>
      <c r="X35" s="1085"/>
      <c r="Y35" s="1085"/>
      <c r="Z35" s="1086" t="str">
        <f t="shared" si="9"/>
        <v/>
      </c>
      <c r="AA35" s="1087"/>
      <c r="AB35" s="1088" t="str">
        <f t="shared" si="10"/>
        <v xml:space="preserve"> </v>
      </c>
      <c r="AC35" s="1087"/>
      <c r="AD35" s="1087"/>
      <c r="AE35" s="1089" t="str">
        <f t="shared" si="11"/>
        <v>No Results Reported</v>
      </c>
      <c r="AF35" s="1085"/>
      <c r="AG35" s="1085"/>
      <c r="AH35" s="1086" t="str">
        <f t="shared" si="12"/>
        <v/>
      </c>
      <c r="AI35" s="1088" t="str">
        <f t="shared" si="13"/>
        <v xml:space="preserve"> </v>
      </c>
      <c r="AJ35" s="1087"/>
      <c r="AK35" s="1090" t="str">
        <f t="shared" si="14"/>
        <v>No Results Reported</v>
      </c>
    </row>
    <row r="36" spans="1:37" ht="60" customHeight="1" x14ac:dyDescent="0.2">
      <c r="A36" s="508">
        <f t="shared" si="4"/>
        <v>26</v>
      </c>
      <c r="B36" s="509" t="str">
        <f t="shared" si="5"/>
        <v>Coverage26</v>
      </c>
      <c r="C36" s="1081" t="str">
        <f>IFERROR(INDEX('Coverage Indicator_Import-Expor'!$D$7:$D$223,MATCH(B36,'Coverage Indicator_Import-Expor'!$C$7:$C$223,0)),"")</f>
        <v/>
      </c>
      <c r="D36" s="1082" t="str">
        <f>IFERROR(INDEX('Coverage Indicator_Import-Expor'!$E$7:$E$223,MATCH(B36,'Coverage Indicator_Import-Expor'!$C$7:$C$223,0)),"")</f>
        <v/>
      </c>
      <c r="E36" s="1082" t="str">
        <f>IFERROR(IF(INDEX('Coverage Indicator_Import-Expor'!K$7:K$223,MATCH($B36,'Coverage Indicator_Import-Expor'!$C$7:$C$223,0))="","",INDEX('Coverage Indicator_Import-Expor'!K$7:K$223,MATCH($B36,'Coverage Indicator_Import-Expor'!$C$7:$C$223,0))),"")</f>
        <v/>
      </c>
      <c r="F36" s="1082" t="str">
        <f>IFERROR(IF(INDEX('Coverage Indicator_Import-Expor'!L$7:L$223,MATCH($B36,'Coverage Indicator_Import-Expor'!$C$7:$C$223,0))="","",INDEX('Coverage Indicator_Import-Expor'!L$7:L$223,MATCH($B36,'Coverage Indicator_Import-Expor'!$C$7:$C$223,0))),"")</f>
        <v/>
      </c>
      <c r="G36" s="1082" t="str">
        <f>IFERROR(IF(INDEX('Coverage Indicator_Import-Expor'!AR$7:AR$223,MATCH($B36,'Coverage Indicator_Import-Expor'!$C$7:$C$223,0))="","",INDEX('Coverage Indicator_Import-Expor'!AR$7:AR$223,MATCH($B36,'Coverage Indicator_Import-Expor'!$C$7:$C$223,0))),"")</f>
        <v/>
      </c>
      <c r="H36" s="1082" t="str">
        <f>IFERROR(IF(INDEX('Coverage Indicator_Import-Expor'!AS$7:AS$223,MATCH($B36,'Coverage Indicator_Import-Expor'!$C$7:$C$223,0))="","",INDEX('Coverage Indicator_Import-Expor'!AS$7:AS$223,MATCH($B36,'Coverage Indicator_Import-Expor'!$C$7:$C$223,0))),"")</f>
        <v/>
      </c>
      <c r="I36" s="1083" t="str">
        <f>IFERROR(IF(INDEX('Coverage Indicator_Import-Expor'!N$7:N$223,MATCH($B36,'Coverage Indicator_Import-Expor'!$C$7:$C$223,0))="","",INDEX('Coverage Indicator_Import-Expor'!N$7:N$223,MATCH($B36,'Coverage Indicator_Import-Expor'!$C$7:$C$223,0))),"")</f>
        <v/>
      </c>
      <c r="J36" s="1083" t="str">
        <f>IFERROR(IF(INDEX('Coverage Indicator_Import-Expor'!O$7:O$223,MATCH($B36,'Coverage Indicator_Import-Expor'!$C$7:$C$223,0))="","",INDEX('Coverage Indicator_Import-Expor'!O$7:O$223,MATCH($B36,'Coverage Indicator_Import-Expor'!$C$7:$C$223,0))),"")</f>
        <v/>
      </c>
      <c r="K36" s="1084" t="str">
        <f>IFERROR(IF(INDEX('Coverage Indicator_Import-Expor'!P$7:P$223,MATCH($B36,'Coverage Indicator_Import-Expor'!$C$7:$C$223,0))="","",INDEX('Coverage Indicator_Import-Expor'!P$7:P$223,MATCH($B36,'Coverage Indicator_Import-Expor'!$C$7:$C$223,0))),"")</f>
        <v/>
      </c>
      <c r="L36" s="1082" t="str">
        <f>IFERROR(IF(INDEX('Coverage Indicator_Import-Expor'!Q$7:Q$223,MATCH($B36,'Coverage Indicator_Import-Expor'!$C$7:$C$223,0))="","",INDEX('Coverage Indicator_Import-Expor'!Q$7:Q$223,MATCH($B36,'Coverage Indicator_Import-Expor'!$C$7:$C$223,0))),"")</f>
        <v/>
      </c>
      <c r="M36" s="1082" t="str">
        <f>IFERROR(IF(INDEX('Coverage Indicator_Import-Expor'!R$7:R$223,MATCH($B36,'Coverage Indicator_Import-Expor'!$C$7:$C$223,0))="","",INDEX('Coverage Indicator_Import-Expor'!R$7:R$223,MATCH($B36,'Coverage Indicator_Import-Expor'!$C$7:$C$223,0))),"")</f>
        <v/>
      </c>
      <c r="N36" s="1083" t="str">
        <f>IFERROR(IF(INDEX('Coverage Indicator_Import-Expor'!S$7:S$223,MATCH($B36,'Coverage Indicator_Import-Expor'!$C$7:$C$223,0))="","",INDEX('Coverage Indicator_Import-Expor'!S$7:S$223,MATCH($B36,'Coverage Indicator_Import-Expor'!$C$7:$C$223,0))),"")</f>
        <v/>
      </c>
      <c r="O36" s="1083" t="str">
        <f>IFERROR(IF(INDEX('Coverage Indicator_Import-Expor'!T$7:T$223,MATCH($B36,'Coverage Indicator_Import-Expor'!$C$7:$C$223,0))="","",INDEX('Coverage Indicator_Import-Expor'!T$7:T$223,MATCH($B36,'Coverage Indicator_Import-Expor'!$C$7:$C$223,0))),"")</f>
        <v/>
      </c>
      <c r="P36" s="1084" t="str">
        <f>IFERROR(IF(INDEX('Coverage Indicator_Import-Expor'!U$7:U$223,MATCH($B36,'Coverage Indicator_Import-Expor'!$C$7:$C$223,0))="","",INDEX('Coverage Indicator_Import-Expor'!U$7:U$223,MATCH($B36,'Coverage Indicator_Import-Expor'!$C$7:$C$223,0))),"")</f>
        <v/>
      </c>
      <c r="Q36" s="1085"/>
      <c r="R36" s="1085"/>
      <c r="S36" s="1086" t="str">
        <f t="shared" si="6"/>
        <v/>
      </c>
      <c r="T36" s="1087"/>
      <c r="U36" s="1088" t="str">
        <f t="shared" si="7"/>
        <v xml:space="preserve"> </v>
      </c>
      <c r="V36" s="1087"/>
      <c r="W36" s="1089" t="str">
        <f t="shared" si="8"/>
        <v>No Results Reported</v>
      </c>
      <c r="X36" s="1085"/>
      <c r="Y36" s="1085"/>
      <c r="Z36" s="1086" t="str">
        <f t="shared" si="9"/>
        <v/>
      </c>
      <c r="AA36" s="1087"/>
      <c r="AB36" s="1088" t="str">
        <f t="shared" si="10"/>
        <v xml:space="preserve"> </v>
      </c>
      <c r="AC36" s="1087"/>
      <c r="AD36" s="1087"/>
      <c r="AE36" s="1089" t="str">
        <f t="shared" si="11"/>
        <v>No Results Reported</v>
      </c>
      <c r="AF36" s="1085"/>
      <c r="AG36" s="1085"/>
      <c r="AH36" s="1086" t="str">
        <f t="shared" si="12"/>
        <v/>
      </c>
      <c r="AI36" s="1088" t="str">
        <f t="shared" si="13"/>
        <v xml:space="preserve"> </v>
      </c>
      <c r="AJ36" s="1087"/>
      <c r="AK36" s="1090" t="str">
        <f t="shared" si="14"/>
        <v>No Results Reported</v>
      </c>
    </row>
    <row r="37" spans="1:37" ht="60" customHeight="1" x14ac:dyDescent="0.2">
      <c r="A37" s="508">
        <f t="shared" si="4"/>
        <v>27</v>
      </c>
      <c r="B37" s="509" t="str">
        <f t="shared" si="5"/>
        <v>Coverage27</v>
      </c>
      <c r="C37" s="1081" t="str">
        <f>IFERROR(INDEX('Coverage Indicator_Import-Expor'!$D$7:$D$223,MATCH(B37,'Coverage Indicator_Import-Expor'!$C$7:$C$223,0)),"")</f>
        <v/>
      </c>
      <c r="D37" s="1082" t="str">
        <f>IFERROR(INDEX('Coverage Indicator_Import-Expor'!$E$7:$E$223,MATCH(B37,'Coverage Indicator_Import-Expor'!$C$7:$C$223,0)),"")</f>
        <v/>
      </c>
      <c r="E37" s="1082" t="str">
        <f>IFERROR(IF(INDEX('Coverage Indicator_Import-Expor'!K$7:K$223,MATCH($B37,'Coverage Indicator_Import-Expor'!$C$7:$C$223,0))="","",INDEX('Coverage Indicator_Import-Expor'!K$7:K$223,MATCH($B37,'Coverage Indicator_Import-Expor'!$C$7:$C$223,0))),"")</f>
        <v/>
      </c>
      <c r="F37" s="1082" t="str">
        <f>IFERROR(IF(INDEX('Coverage Indicator_Import-Expor'!L$7:L$223,MATCH($B37,'Coverage Indicator_Import-Expor'!$C$7:$C$223,0))="","",INDEX('Coverage Indicator_Import-Expor'!L$7:L$223,MATCH($B37,'Coverage Indicator_Import-Expor'!$C$7:$C$223,0))),"")</f>
        <v/>
      </c>
      <c r="G37" s="1082" t="str">
        <f>IFERROR(IF(INDEX('Coverage Indicator_Import-Expor'!AR$7:AR$223,MATCH($B37,'Coverage Indicator_Import-Expor'!$C$7:$C$223,0))="","",INDEX('Coverage Indicator_Import-Expor'!AR$7:AR$223,MATCH($B37,'Coverage Indicator_Import-Expor'!$C$7:$C$223,0))),"")</f>
        <v/>
      </c>
      <c r="H37" s="1082" t="str">
        <f>IFERROR(IF(INDEX('Coverage Indicator_Import-Expor'!AS$7:AS$223,MATCH($B37,'Coverage Indicator_Import-Expor'!$C$7:$C$223,0))="","",INDEX('Coverage Indicator_Import-Expor'!AS$7:AS$223,MATCH($B37,'Coverage Indicator_Import-Expor'!$C$7:$C$223,0))),"")</f>
        <v/>
      </c>
      <c r="I37" s="1083" t="str">
        <f>IFERROR(IF(INDEX('Coverage Indicator_Import-Expor'!N$7:N$223,MATCH($B37,'Coverage Indicator_Import-Expor'!$C$7:$C$223,0))="","",INDEX('Coverage Indicator_Import-Expor'!N$7:N$223,MATCH($B37,'Coverage Indicator_Import-Expor'!$C$7:$C$223,0))),"")</f>
        <v/>
      </c>
      <c r="J37" s="1083" t="str">
        <f>IFERROR(IF(INDEX('Coverage Indicator_Import-Expor'!O$7:O$223,MATCH($B37,'Coverage Indicator_Import-Expor'!$C$7:$C$223,0))="","",INDEX('Coverage Indicator_Import-Expor'!O$7:O$223,MATCH($B37,'Coverage Indicator_Import-Expor'!$C$7:$C$223,0))),"")</f>
        <v/>
      </c>
      <c r="K37" s="1084" t="str">
        <f>IFERROR(IF(INDEX('Coverage Indicator_Import-Expor'!P$7:P$223,MATCH($B37,'Coverage Indicator_Import-Expor'!$C$7:$C$223,0))="","",INDEX('Coverage Indicator_Import-Expor'!P$7:P$223,MATCH($B37,'Coverage Indicator_Import-Expor'!$C$7:$C$223,0))),"")</f>
        <v/>
      </c>
      <c r="L37" s="1082" t="str">
        <f>IFERROR(IF(INDEX('Coverage Indicator_Import-Expor'!Q$7:Q$223,MATCH($B37,'Coverage Indicator_Import-Expor'!$C$7:$C$223,0))="","",INDEX('Coverage Indicator_Import-Expor'!Q$7:Q$223,MATCH($B37,'Coverage Indicator_Import-Expor'!$C$7:$C$223,0))),"")</f>
        <v/>
      </c>
      <c r="M37" s="1082" t="str">
        <f>IFERROR(IF(INDEX('Coverage Indicator_Import-Expor'!R$7:R$223,MATCH($B37,'Coverage Indicator_Import-Expor'!$C$7:$C$223,0))="","",INDEX('Coverage Indicator_Import-Expor'!R$7:R$223,MATCH($B37,'Coverage Indicator_Import-Expor'!$C$7:$C$223,0))),"")</f>
        <v/>
      </c>
      <c r="N37" s="1083" t="str">
        <f>IFERROR(IF(INDEX('Coverage Indicator_Import-Expor'!S$7:S$223,MATCH($B37,'Coverage Indicator_Import-Expor'!$C$7:$C$223,0))="","",INDEX('Coverage Indicator_Import-Expor'!S$7:S$223,MATCH($B37,'Coverage Indicator_Import-Expor'!$C$7:$C$223,0))),"")</f>
        <v/>
      </c>
      <c r="O37" s="1083" t="str">
        <f>IFERROR(IF(INDEX('Coverage Indicator_Import-Expor'!T$7:T$223,MATCH($B37,'Coverage Indicator_Import-Expor'!$C$7:$C$223,0))="","",INDEX('Coverage Indicator_Import-Expor'!T$7:T$223,MATCH($B37,'Coverage Indicator_Import-Expor'!$C$7:$C$223,0))),"")</f>
        <v/>
      </c>
      <c r="P37" s="1084" t="str">
        <f>IFERROR(IF(INDEX('Coverage Indicator_Import-Expor'!U$7:U$223,MATCH($B37,'Coverage Indicator_Import-Expor'!$C$7:$C$223,0))="","",INDEX('Coverage Indicator_Import-Expor'!U$7:U$223,MATCH($B37,'Coverage Indicator_Import-Expor'!$C$7:$C$223,0))),"")</f>
        <v/>
      </c>
      <c r="Q37" s="1085"/>
      <c r="R37" s="1085"/>
      <c r="S37" s="1086" t="str">
        <f t="shared" si="6"/>
        <v/>
      </c>
      <c r="T37" s="1087"/>
      <c r="U37" s="1088" t="str">
        <f t="shared" si="7"/>
        <v xml:space="preserve"> </v>
      </c>
      <c r="V37" s="1087"/>
      <c r="W37" s="1089" t="str">
        <f t="shared" si="8"/>
        <v>No Results Reported</v>
      </c>
      <c r="X37" s="1085"/>
      <c r="Y37" s="1085"/>
      <c r="Z37" s="1086" t="str">
        <f t="shared" si="9"/>
        <v/>
      </c>
      <c r="AA37" s="1087"/>
      <c r="AB37" s="1088" t="str">
        <f t="shared" si="10"/>
        <v xml:space="preserve"> </v>
      </c>
      <c r="AC37" s="1087"/>
      <c r="AD37" s="1087"/>
      <c r="AE37" s="1089" t="str">
        <f t="shared" si="11"/>
        <v>No Results Reported</v>
      </c>
      <c r="AF37" s="1085"/>
      <c r="AG37" s="1085"/>
      <c r="AH37" s="1086" t="str">
        <f t="shared" si="12"/>
        <v/>
      </c>
      <c r="AI37" s="1088" t="str">
        <f t="shared" si="13"/>
        <v xml:space="preserve"> </v>
      </c>
      <c r="AJ37" s="1087"/>
      <c r="AK37" s="1090" t="str">
        <f t="shared" si="14"/>
        <v>No Results Reported</v>
      </c>
    </row>
    <row r="38" spans="1:37" ht="60" customHeight="1" x14ac:dyDescent="0.2">
      <c r="A38" s="508">
        <f t="shared" si="4"/>
        <v>28</v>
      </c>
      <c r="B38" s="509" t="str">
        <f t="shared" si="5"/>
        <v>Coverage28</v>
      </c>
      <c r="C38" s="1081" t="str">
        <f>IFERROR(INDEX('Coverage Indicator_Import-Expor'!$D$7:$D$223,MATCH(B38,'Coverage Indicator_Import-Expor'!$C$7:$C$223,0)),"")</f>
        <v/>
      </c>
      <c r="D38" s="1082" t="str">
        <f>IFERROR(INDEX('Coverage Indicator_Import-Expor'!$E$7:$E$223,MATCH(B38,'Coverage Indicator_Import-Expor'!$C$7:$C$223,0)),"")</f>
        <v/>
      </c>
      <c r="E38" s="1082" t="str">
        <f>IFERROR(IF(INDEX('Coverage Indicator_Import-Expor'!K$7:K$223,MATCH($B38,'Coverage Indicator_Import-Expor'!$C$7:$C$223,0))="","",INDEX('Coverage Indicator_Import-Expor'!K$7:K$223,MATCH($B38,'Coverage Indicator_Import-Expor'!$C$7:$C$223,0))),"")</f>
        <v/>
      </c>
      <c r="F38" s="1082" t="str">
        <f>IFERROR(IF(INDEX('Coverage Indicator_Import-Expor'!L$7:L$223,MATCH($B38,'Coverage Indicator_Import-Expor'!$C$7:$C$223,0))="","",INDEX('Coverage Indicator_Import-Expor'!L$7:L$223,MATCH($B38,'Coverage Indicator_Import-Expor'!$C$7:$C$223,0))),"")</f>
        <v/>
      </c>
      <c r="G38" s="1082" t="str">
        <f>IFERROR(IF(INDEX('Coverage Indicator_Import-Expor'!AR$7:AR$223,MATCH($B38,'Coverage Indicator_Import-Expor'!$C$7:$C$223,0))="","",INDEX('Coverage Indicator_Import-Expor'!AR$7:AR$223,MATCH($B38,'Coverage Indicator_Import-Expor'!$C$7:$C$223,0))),"")</f>
        <v/>
      </c>
      <c r="H38" s="1082" t="str">
        <f>IFERROR(IF(INDEX('Coverage Indicator_Import-Expor'!AS$7:AS$223,MATCH($B38,'Coverage Indicator_Import-Expor'!$C$7:$C$223,0))="","",INDEX('Coverage Indicator_Import-Expor'!AS$7:AS$223,MATCH($B38,'Coverage Indicator_Import-Expor'!$C$7:$C$223,0))),"")</f>
        <v/>
      </c>
      <c r="I38" s="1083" t="str">
        <f>IFERROR(IF(INDEX('Coverage Indicator_Import-Expor'!N$7:N$223,MATCH($B38,'Coverage Indicator_Import-Expor'!$C$7:$C$223,0))="","",INDEX('Coverage Indicator_Import-Expor'!N$7:N$223,MATCH($B38,'Coverage Indicator_Import-Expor'!$C$7:$C$223,0))),"")</f>
        <v/>
      </c>
      <c r="J38" s="1083" t="str">
        <f>IFERROR(IF(INDEX('Coverage Indicator_Import-Expor'!O$7:O$223,MATCH($B38,'Coverage Indicator_Import-Expor'!$C$7:$C$223,0))="","",INDEX('Coverage Indicator_Import-Expor'!O$7:O$223,MATCH($B38,'Coverage Indicator_Import-Expor'!$C$7:$C$223,0))),"")</f>
        <v/>
      </c>
      <c r="K38" s="1084" t="str">
        <f>IFERROR(IF(INDEX('Coverage Indicator_Import-Expor'!P$7:P$223,MATCH($B38,'Coverage Indicator_Import-Expor'!$C$7:$C$223,0))="","",INDEX('Coverage Indicator_Import-Expor'!P$7:P$223,MATCH($B38,'Coverage Indicator_Import-Expor'!$C$7:$C$223,0))),"")</f>
        <v/>
      </c>
      <c r="L38" s="1082" t="str">
        <f>IFERROR(IF(INDEX('Coverage Indicator_Import-Expor'!Q$7:Q$223,MATCH($B38,'Coverage Indicator_Import-Expor'!$C$7:$C$223,0))="","",INDEX('Coverage Indicator_Import-Expor'!Q$7:Q$223,MATCH($B38,'Coverage Indicator_Import-Expor'!$C$7:$C$223,0))),"")</f>
        <v/>
      </c>
      <c r="M38" s="1082" t="str">
        <f>IFERROR(IF(INDEX('Coverage Indicator_Import-Expor'!R$7:R$223,MATCH($B38,'Coverage Indicator_Import-Expor'!$C$7:$C$223,0))="","",INDEX('Coverage Indicator_Import-Expor'!R$7:R$223,MATCH($B38,'Coverage Indicator_Import-Expor'!$C$7:$C$223,0))),"")</f>
        <v/>
      </c>
      <c r="N38" s="1083" t="str">
        <f>IFERROR(IF(INDEX('Coverage Indicator_Import-Expor'!S$7:S$223,MATCH($B38,'Coverage Indicator_Import-Expor'!$C$7:$C$223,0))="","",INDEX('Coverage Indicator_Import-Expor'!S$7:S$223,MATCH($B38,'Coverage Indicator_Import-Expor'!$C$7:$C$223,0))),"")</f>
        <v/>
      </c>
      <c r="O38" s="1083" t="str">
        <f>IFERROR(IF(INDEX('Coverage Indicator_Import-Expor'!T$7:T$223,MATCH($B38,'Coverage Indicator_Import-Expor'!$C$7:$C$223,0))="","",INDEX('Coverage Indicator_Import-Expor'!T$7:T$223,MATCH($B38,'Coverage Indicator_Import-Expor'!$C$7:$C$223,0))),"")</f>
        <v/>
      </c>
      <c r="P38" s="1084" t="str">
        <f>IFERROR(IF(INDEX('Coverage Indicator_Import-Expor'!U$7:U$223,MATCH($B38,'Coverage Indicator_Import-Expor'!$C$7:$C$223,0))="","",INDEX('Coverage Indicator_Import-Expor'!U$7:U$223,MATCH($B38,'Coverage Indicator_Import-Expor'!$C$7:$C$223,0))),"")</f>
        <v/>
      </c>
      <c r="Q38" s="1085"/>
      <c r="R38" s="1085"/>
      <c r="S38" s="1086" t="str">
        <f t="shared" si="6"/>
        <v/>
      </c>
      <c r="T38" s="1087"/>
      <c r="U38" s="1088" t="str">
        <f t="shared" si="7"/>
        <v xml:space="preserve"> </v>
      </c>
      <c r="V38" s="1087"/>
      <c r="W38" s="1089" t="str">
        <f t="shared" si="8"/>
        <v>No Results Reported</v>
      </c>
      <c r="X38" s="1085"/>
      <c r="Y38" s="1085"/>
      <c r="Z38" s="1086" t="str">
        <f t="shared" si="9"/>
        <v/>
      </c>
      <c r="AA38" s="1087"/>
      <c r="AB38" s="1088" t="str">
        <f t="shared" si="10"/>
        <v xml:space="preserve"> </v>
      </c>
      <c r="AC38" s="1087"/>
      <c r="AD38" s="1087"/>
      <c r="AE38" s="1089" t="str">
        <f t="shared" si="11"/>
        <v>No Results Reported</v>
      </c>
      <c r="AF38" s="1085"/>
      <c r="AG38" s="1085"/>
      <c r="AH38" s="1086" t="str">
        <f t="shared" si="12"/>
        <v/>
      </c>
      <c r="AI38" s="1088" t="str">
        <f t="shared" si="13"/>
        <v xml:space="preserve"> </v>
      </c>
      <c r="AJ38" s="1087"/>
      <c r="AK38" s="1090" t="str">
        <f t="shared" si="14"/>
        <v>No Results Reported</v>
      </c>
    </row>
    <row r="39" spans="1:37" ht="60" customHeight="1" x14ac:dyDescent="0.2">
      <c r="A39" s="508">
        <f t="shared" si="4"/>
        <v>29</v>
      </c>
      <c r="B39" s="509" t="str">
        <f t="shared" si="5"/>
        <v>Coverage29</v>
      </c>
      <c r="C39" s="1081" t="str">
        <f>IFERROR(INDEX('Coverage Indicator_Import-Expor'!$D$7:$D$223,MATCH(B39,'Coverage Indicator_Import-Expor'!$C$7:$C$223,0)),"")</f>
        <v/>
      </c>
      <c r="D39" s="1082" t="str">
        <f>IFERROR(INDEX('Coverage Indicator_Import-Expor'!$E$7:$E$223,MATCH(B39,'Coverage Indicator_Import-Expor'!$C$7:$C$223,0)),"")</f>
        <v/>
      </c>
      <c r="E39" s="1082" t="str">
        <f>IFERROR(IF(INDEX('Coverage Indicator_Import-Expor'!K$7:K$223,MATCH($B39,'Coverage Indicator_Import-Expor'!$C$7:$C$223,0))="","",INDEX('Coverage Indicator_Import-Expor'!K$7:K$223,MATCH($B39,'Coverage Indicator_Import-Expor'!$C$7:$C$223,0))),"")</f>
        <v/>
      </c>
      <c r="F39" s="1082" t="str">
        <f>IFERROR(IF(INDEX('Coverage Indicator_Import-Expor'!L$7:L$223,MATCH($B39,'Coverage Indicator_Import-Expor'!$C$7:$C$223,0))="","",INDEX('Coverage Indicator_Import-Expor'!L$7:L$223,MATCH($B39,'Coverage Indicator_Import-Expor'!$C$7:$C$223,0))),"")</f>
        <v/>
      </c>
      <c r="G39" s="1082" t="str">
        <f>IFERROR(IF(INDEX('Coverage Indicator_Import-Expor'!AR$7:AR$223,MATCH($B39,'Coverage Indicator_Import-Expor'!$C$7:$C$223,0))="","",INDEX('Coverage Indicator_Import-Expor'!AR$7:AR$223,MATCH($B39,'Coverage Indicator_Import-Expor'!$C$7:$C$223,0))),"")</f>
        <v/>
      </c>
      <c r="H39" s="1082" t="str">
        <f>IFERROR(IF(INDEX('Coverage Indicator_Import-Expor'!AS$7:AS$223,MATCH($B39,'Coverage Indicator_Import-Expor'!$C$7:$C$223,0))="","",INDEX('Coverage Indicator_Import-Expor'!AS$7:AS$223,MATCH($B39,'Coverage Indicator_Import-Expor'!$C$7:$C$223,0))),"")</f>
        <v/>
      </c>
      <c r="I39" s="1083" t="str">
        <f>IFERROR(IF(INDEX('Coverage Indicator_Import-Expor'!N$7:N$223,MATCH($B39,'Coverage Indicator_Import-Expor'!$C$7:$C$223,0))="","",INDEX('Coverage Indicator_Import-Expor'!N$7:N$223,MATCH($B39,'Coverage Indicator_Import-Expor'!$C$7:$C$223,0))),"")</f>
        <v/>
      </c>
      <c r="J39" s="1083" t="str">
        <f>IFERROR(IF(INDEX('Coverage Indicator_Import-Expor'!O$7:O$223,MATCH($B39,'Coverage Indicator_Import-Expor'!$C$7:$C$223,0))="","",INDEX('Coverage Indicator_Import-Expor'!O$7:O$223,MATCH($B39,'Coverage Indicator_Import-Expor'!$C$7:$C$223,0))),"")</f>
        <v/>
      </c>
      <c r="K39" s="1084" t="str">
        <f>IFERROR(IF(INDEX('Coverage Indicator_Import-Expor'!P$7:P$223,MATCH($B39,'Coverage Indicator_Import-Expor'!$C$7:$C$223,0))="","",INDEX('Coverage Indicator_Import-Expor'!P$7:P$223,MATCH($B39,'Coverage Indicator_Import-Expor'!$C$7:$C$223,0))),"")</f>
        <v/>
      </c>
      <c r="L39" s="1082" t="str">
        <f>IFERROR(IF(INDEX('Coverage Indicator_Import-Expor'!Q$7:Q$223,MATCH($B39,'Coverage Indicator_Import-Expor'!$C$7:$C$223,0))="","",INDEX('Coverage Indicator_Import-Expor'!Q$7:Q$223,MATCH($B39,'Coverage Indicator_Import-Expor'!$C$7:$C$223,0))),"")</f>
        <v/>
      </c>
      <c r="M39" s="1082" t="str">
        <f>IFERROR(IF(INDEX('Coverage Indicator_Import-Expor'!R$7:R$223,MATCH($B39,'Coverage Indicator_Import-Expor'!$C$7:$C$223,0))="","",INDEX('Coverage Indicator_Import-Expor'!R$7:R$223,MATCH($B39,'Coverage Indicator_Import-Expor'!$C$7:$C$223,0))),"")</f>
        <v/>
      </c>
      <c r="N39" s="1083" t="str">
        <f>IFERROR(IF(INDEX('Coverage Indicator_Import-Expor'!S$7:S$223,MATCH($B39,'Coverage Indicator_Import-Expor'!$C$7:$C$223,0))="","",INDEX('Coverage Indicator_Import-Expor'!S$7:S$223,MATCH($B39,'Coverage Indicator_Import-Expor'!$C$7:$C$223,0))),"")</f>
        <v/>
      </c>
      <c r="O39" s="1083" t="str">
        <f>IFERROR(IF(INDEX('Coverage Indicator_Import-Expor'!T$7:T$223,MATCH($B39,'Coverage Indicator_Import-Expor'!$C$7:$C$223,0))="","",INDEX('Coverage Indicator_Import-Expor'!T$7:T$223,MATCH($B39,'Coverage Indicator_Import-Expor'!$C$7:$C$223,0))),"")</f>
        <v/>
      </c>
      <c r="P39" s="1084" t="str">
        <f>IFERROR(IF(INDEX('Coverage Indicator_Import-Expor'!U$7:U$223,MATCH($B39,'Coverage Indicator_Import-Expor'!$C$7:$C$223,0))="","",INDEX('Coverage Indicator_Import-Expor'!U$7:U$223,MATCH($B39,'Coverage Indicator_Import-Expor'!$C$7:$C$223,0))),"")</f>
        <v/>
      </c>
      <c r="Q39" s="1085"/>
      <c r="R39" s="1085"/>
      <c r="S39" s="1086" t="str">
        <f t="shared" si="6"/>
        <v/>
      </c>
      <c r="T39" s="1087"/>
      <c r="U39" s="1088" t="str">
        <f t="shared" si="7"/>
        <v xml:space="preserve"> </v>
      </c>
      <c r="V39" s="1087"/>
      <c r="W39" s="1089" t="str">
        <f t="shared" si="8"/>
        <v>No Results Reported</v>
      </c>
      <c r="X39" s="1085"/>
      <c r="Y39" s="1085"/>
      <c r="Z39" s="1086" t="str">
        <f t="shared" si="9"/>
        <v/>
      </c>
      <c r="AA39" s="1087"/>
      <c r="AB39" s="1088" t="str">
        <f t="shared" si="10"/>
        <v xml:space="preserve"> </v>
      </c>
      <c r="AC39" s="1087"/>
      <c r="AD39" s="1087"/>
      <c r="AE39" s="1089" t="str">
        <f t="shared" si="11"/>
        <v>No Results Reported</v>
      </c>
      <c r="AF39" s="1085"/>
      <c r="AG39" s="1085"/>
      <c r="AH39" s="1086" t="str">
        <f t="shared" si="12"/>
        <v/>
      </c>
      <c r="AI39" s="1088" t="str">
        <f t="shared" si="13"/>
        <v xml:space="preserve"> </v>
      </c>
      <c r="AJ39" s="1087"/>
      <c r="AK39" s="1090" t="str">
        <f t="shared" si="14"/>
        <v>No Results Reported</v>
      </c>
    </row>
    <row r="40" spans="1:37" ht="60" customHeight="1" x14ac:dyDescent="0.2">
      <c r="A40" s="508">
        <f t="shared" si="4"/>
        <v>30</v>
      </c>
      <c r="B40" s="509" t="str">
        <f t="shared" si="5"/>
        <v>Coverage30</v>
      </c>
      <c r="C40" s="1081" t="str">
        <f>IFERROR(INDEX('Coverage Indicator_Import-Expor'!$D$7:$D$223,MATCH(B40,'Coverage Indicator_Import-Expor'!$C$7:$C$223,0)),"")</f>
        <v/>
      </c>
      <c r="D40" s="1082" t="str">
        <f>IFERROR(INDEX('Coverage Indicator_Import-Expor'!$E$7:$E$223,MATCH(B40,'Coverage Indicator_Import-Expor'!$C$7:$C$223,0)),"")</f>
        <v/>
      </c>
      <c r="E40" s="1082" t="str">
        <f>IFERROR(IF(INDEX('Coverage Indicator_Import-Expor'!K$7:K$223,MATCH($B40,'Coverage Indicator_Import-Expor'!$C$7:$C$223,0))="","",INDEX('Coverage Indicator_Import-Expor'!K$7:K$223,MATCH($B40,'Coverage Indicator_Import-Expor'!$C$7:$C$223,0))),"")</f>
        <v/>
      </c>
      <c r="F40" s="1082" t="str">
        <f>IFERROR(IF(INDEX('Coverage Indicator_Import-Expor'!L$7:L$223,MATCH($B40,'Coverage Indicator_Import-Expor'!$C$7:$C$223,0))="","",INDEX('Coverage Indicator_Import-Expor'!L$7:L$223,MATCH($B40,'Coverage Indicator_Import-Expor'!$C$7:$C$223,0))),"")</f>
        <v/>
      </c>
      <c r="G40" s="1082" t="str">
        <f>IFERROR(IF(INDEX('Coverage Indicator_Import-Expor'!AR$7:AR$223,MATCH($B40,'Coverage Indicator_Import-Expor'!$C$7:$C$223,0))="","",INDEX('Coverage Indicator_Import-Expor'!AR$7:AR$223,MATCH($B40,'Coverage Indicator_Import-Expor'!$C$7:$C$223,0))),"")</f>
        <v/>
      </c>
      <c r="H40" s="1082" t="str">
        <f>IFERROR(IF(INDEX('Coverage Indicator_Import-Expor'!AS$7:AS$223,MATCH($B40,'Coverage Indicator_Import-Expor'!$C$7:$C$223,0))="","",INDEX('Coverage Indicator_Import-Expor'!AS$7:AS$223,MATCH($B40,'Coverage Indicator_Import-Expor'!$C$7:$C$223,0))),"")</f>
        <v/>
      </c>
      <c r="I40" s="1083" t="str">
        <f>IFERROR(IF(INDEX('Coverage Indicator_Import-Expor'!N$7:N$223,MATCH($B40,'Coverage Indicator_Import-Expor'!$C$7:$C$223,0))="","",INDEX('Coverage Indicator_Import-Expor'!N$7:N$223,MATCH($B40,'Coverage Indicator_Import-Expor'!$C$7:$C$223,0))),"")</f>
        <v/>
      </c>
      <c r="J40" s="1083" t="str">
        <f>IFERROR(IF(INDEX('Coverage Indicator_Import-Expor'!O$7:O$223,MATCH($B40,'Coverage Indicator_Import-Expor'!$C$7:$C$223,0))="","",INDEX('Coverage Indicator_Import-Expor'!O$7:O$223,MATCH($B40,'Coverage Indicator_Import-Expor'!$C$7:$C$223,0))),"")</f>
        <v/>
      </c>
      <c r="K40" s="1084" t="str">
        <f>IFERROR(IF(INDEX('Coverage Indicator_Import-Expor'!P$7:P$223,MATCH($B40,'Coverage Indicator_Import-Expor'!$C$7:$C$223,0))="","",INDEX('Coverage Indicator_Import-Expor'!P$7:P$223,MATCH($B40,'Coverage Indicator_Import-Expor'!$C$7:$C$223,0))),"")</f>
        <v/>
      </c>
      <c r="L40" s="1082" t="str">
        <f>IFERROR(IF(INDEX('Coverage Indicator_Import-Expor'!Q$7:Q$223,MATCH($B40,'Coverage Indicator_Import-Expor'!$C$7:$C$223,0))="","",INDEX('Coverage Indicator_Import-Expor'!Q$7:Q$223,MATCH($B40,'Coverage Indicator_Import-Expor'!$C$7:$C$223,0))),"")</f>
        <v/>
      </c>
      <c r="M40" s="1082" t="str">
        <f>IFERROR(IF(INDEX('Coverage Indicator_Import-Expor'!R$7:R$223,MATCH($B40,'Coverage Indicator_Import-Expor'!$C$7:$C$223,0))="","",INDEX('Coverage Indicator_Import-Expor'!R$7:R$223,MATCH($B40,'Coverage Indicator_Import-Expor'!$C$7:$C$223,0))),"")</f>
        <v/>
      </c>
      <c r="N40" s="1083" t="str">
        <f>IFERROR(IF(INDEX('Coverage Indicator_Import-Expor'!S$7:S$223,MATCH($B40,'Coverage Indicator_Import-Expor'!$C$7:$C$223,0))="","",INDEX('Coverage Indicator_Import-Expor'!S$7:S$223,MATCH($B40,'Coverage Indicator_Import-Expor'!$C$7:$C$223,0))),"")</f>
        <v/>
      </c>
      <c r="O40" s="1083" t="str">
        <f>IFERROR(IF(INDEX('Coverage Indicator_Import-Expor'!T$7:T$223,MATCH($B40,'Coverage Indicator_Import-Expor'!$C$7:$C$223,0))="","",INDEX('Coverage Indicator_Import-Expor'!T$7:T$223,MATCH($B40,'Coverage Indicator_Import-Expor'!$C$7:$C$223,0))),"")</f>
        <v/>
      </c>
      <c r="P40" s="1084" t="str">
        <f>IFERROR(IF(INDEX('Coverage Indicator_Import-Expor'!U$7:U$223,MATCH($B40,'Coverage Indicator_Import-Expor'!$C$7:$C$223,0))="","",INDEX('Coverage Indicator_Import-Expor'!U$7:U$223,MATCH($B40,'Coverage Indicator_Import-Expor'!$C$7:$C$223,0))),"")</f>
        <v/>
      </c>
      <c r="Q40" s="1085"/>
      <c r="R40" s="1085"/>
      <c r="S40" s="1086" t="str">
        <f t="shared" si="6"/>
        <v/>
      </c>
      <c r="T40" s="1087"/>
      <c r="U40" s="1088" t="str">
        <f t="shared" si="7"/>
        <v xml:space="preserve"> </v>
      </c>
      <c r="V40" s="1087"/>
      <c r="W40" s="1089" t="str">
        <f t="shared" si="8"/>
        <v>No Results Reported</v>
      </c>
      <c r="X40" s="1085"/>
      <c r="Y40" s="1085"/>
      <c r="Z40" s="1086" t="str">
        <f t="shared" si="9"/>
        <v/>
      </c>
      <c r="AA40" s="1087"/>
      <c r="AB40" s="1088" t="str">
        <f t="shared" si="10"/>
        <v xml:space="preserve"> </v>
      </c>
      <c r="AC40" s="1087"/>
      <c r="AD40" s="1087"/>
      <c r="AE40" s="1089" t="str">
        <f t="shared" si="11"/>
        <v>No Results Reported</v>
      </c>
      <c r="AF40" s="1085"/>
      <c r="AG40" s="1085"/>
      <c r="AH40" s="1086" t="str">
        <f t="shared" si="12"/>
        <v/>
      </c>
      <c r="AI40" s="1088" t="str">
        <f t="shared" si="13"/>
        <v xml:space="preserve"> </v>
      </c>
      <c r="AJ40" s="1087"/>
      <c r="AK40" s="1090" t="str">
        <f t="shared" si="14"/>
        <v>No Results Reported</v>
      </c>
    </row>
    <row r="41" spans="1:37" ht="60" customHeight="1" x14ac:dyDescent="0.2">
      <c r="A41" s="508">
        <f t="shared" si="4"/>
        <v>31</v>
      </c>
      <c r="B41" s="509" t="str">
        <f t="shared" si="5"/>
        <v>Coverage31</v>
      </c>
      <c r="C41" s="1081" t="str">
        <f>IFERROR(INDEX('Coverage Indicator_Import-Expor'!$D$7:$D$223,MATCH(B41,'Coverage Indicator_Import-Expor'!$C$7:$C$223,0)),"")</f>
        <v/>
      </c>
      <c r="D41" s="1082" t="str">
        <f>IFERROR(INDEX('Coverage Indicator_Import-Expor'!$E$7:$E$223,MATCH(B41,'Coverage Indicator_Import-Expor'!$C$7:$C$223,0)),"")</f>
        <v/>
      </c>
      <c r="E41" s="1082" t="str">
        <f>IFERROR(IF(INDEX('Coverage Indicator_Import-Expor'!K$7:K$223,MATCH($B41,'Coverage Indicator_Import-Expor'!$C$7:$C$223,0))="","",INDEX('Coverage Indicator_Import-Expor'!K$7:K$223,MATCH($B41,'Coverage Indicator_Import-Expor'!$C$7:$C$223,0))),"")</f>
        <v/>
      </c>
      <c r="F41" s="1082" t="str">
        <f>IFERROR(IF(INDEX('Coverage Indicator_Import-Expor'!L$7:L$223,MATCH($B41,'Coverage Indicator_Import-Expor'!$C$7:$C$223,0))="","",INDEX('Coverage Indicator_Import-Expor'!L$7:L$223,MATCH($B41,'Coverage Indicator_Import-Expor'!$C$7:$C$223,0))),"")</f>
        <v/>
      </c>
      <c r="G41" s="1082" t="str">
        <f>IFERROR(IF(INDEX('Coverage Indicator_Import-Expor'!AR$7:AR$223,MATCH($B41,'Coverage Indicator_Import-Expor'!$C$7:$C$223,0))="","",INDEX('Coverage Indicator_Import-Expor'!AR$7:AR$223,MATCH($B41,'Coverage Indicator_Import-Expor'!$C$7:$C$223,0))),"")</f>
        <v/>
      </c>
      <c r="H41" s="1082" t="str">
        <f>IFERROR(IF(INDEX('Coverage Indicator_Import-Expor'!AS$7:AS$223,MATCH($B41,'Coverage Indicator_Import-Expor'!$C$7:$C$223,0))="","",INDEX('Coverage Indicator_Import-Expor'!AS$7:AS$223,MATCH($B41,'Coverage Indicator_Import-Expor'!$C$7:$C$223,0))),"")</f>
        <v/>
      </c>
      <c r="I41" s="1083" t="str">
        <f>IFERROR(IF(INDEX('Coverage Indicator_Import-Expor'!N$7:N$223,MATCH($B41,'Coverage Indicator_Import-Expor'!$C$7:$C$223,0))="","",INDEX('Coverage Indicator_Import-Expor'!N$7:N$223,MATCH($B41,'Coverage Indicator_Import-Expor'!$C$7:$C$223,0))),"")</f>
        <v/>
      </c>
      <c r="J41" s="1083" t="str">
        <f>IFERROR(IF(INDEX('Coverage Indicator_Import-Expor'!O$7:O$223,MATCH($B41,'Coverage Indicator_Import-Expor'!$C$7:$C$223,0))="","",INDEX('Coverage Indicator_Import-Expor'!O$7:O$223,MATCH($B41,'Coverage Indicator_Import-Expor'!$C$7:$C$223,0))),"")</f>
        <v/>
      </c>
      <c r="K41" s="1084" t="str">
        <f>IFERROR(IF(INDEX('Coverage Indicator_Import-Expor'!P$7:P$223,MATCH($B41,'Coverage Indicator_Import-Expor'!$C$7:$C$223,0))="","",INDEX('Coverage Indicator_Import-Expor'!P$7:P$223,MATCH($B41,'Coverage Indicator_Import-Expor'!$C$7:$C$223,0))),"")</f>
        <v/>
      </c>
      <c r="L41" s="1082" t="str">
        <f>IFERROR(IF(INDEX('Coverage Indicator_Import-Expor'!Q$7:Q$223,MATCH($B41,'Coverage Indicator_Import-Expor'!$C$7:$C$223,0))="","",INDEX('Coverage Indicator_Import-Expor'!Q$7:Q$223,MATCH($B41,'Coverage Indicator_Import-Expor'!$C$7:$C$223,0))),"")</f>
        <v/>
      </c>
      <c r="M41" s="1082" t="str">
        <f>IFERROR(IF(INDEX('Coverage Indicator_Import-Expor'!R$7:R$223,MATCH($B41,'Coverage Indicator_Import-Expor'!$C$7:$C$223,0))="","",INDEX('Coverage Indicator_Import-Expor'!R$7:R$223,MATCH($B41,'Coverage Indicator_Import-Expor'!$C$7:$C$223,0))),"")</f>
        <v/>
      </c>
      <c r="N41" s="1083" t="str">
        <f>IFERROR(IF(INDEX('Coverage Indicator_Import-Expor'!S$7:S$223,MATCH($B41,'Coverage Indicator_Import-Expor'!$C$7:$C$223,0))="","",INDEX('Coverage Indicator_Import-Expor'!S$7:S$223,MATCH($B41,'Coverage Indicator_Import-Expor'!$C$7:$C$223,0))),"")</f>
        <v/>
      </c>
      <c r="O41" s="1083" t="str">
        <f>IFERROR(IF(INDEX('Coverage Indicator_Import-Expor'!T$7:T$223,MATCH($B41,'Coverage Indicator_Import-Expor'!$C$7:$C$223,0))="","",INDEX('Coverage Indicator_Import-Expor'!T$7:T$223,MATCH($B41,'Coverage Indicator_Import-Expor'!$C$7:$C$223,0))),"")</f>
        <v/>
      </c>
      <c r="P41" s="1084" t="str">
        <f>IFERROR(IF(INDEX('Coverage Indicator_Import-Expor'!U$7:U$223,MATCH($B41,'Coverage Indicator_Import-Expor'!$C$7:$C$223,0))="","",INDEX('Coverage Indicator_Import-Expor'!U$7:U$223,MATCH($B41,'Coverage Indicator_Import-Expor'!$C$7:$C$223,0))),"")</f>
        <v/>
      </c>
      <c r="Q41" s="1085"/>
      <c r="R41" s="1085"/>
      <c r="S41" s="1086" t="str">
        <f t="shared" si="6"/>
        <v/>
      </c>
      <c r="T41" s="1087"/>
      <c r="U41" s="1088" t="str">
        <f t="shared" si="7"/>
        <v xml:space="preserve"> </v>
      </c>
      <c r="V41" s="1087"/>
      <c r="W41" s="1089" t="str">
        <f t="shared" si="8"/>
        <v>No Results Reported</v>
      </c>
      <c r="X41" s="1085"/>
      <c r="Y41" s="1085"/>
      <c r="Z41" s="1086" t="str">
        <f t="shared" si="9"/>
        <v/>
      </c>
      <c r="AA41" s="1087"/>
      <c r="AB41" s="1088" t="str">
        <f t="shared" si="10"/>
        <v xml:space="preserve"> </v>
      </c>
      <c r="AC41" s="1087"/>
      <c r="AD41" s="1087"/>
      <c r="AE41" s="1089" t="str">
        <f t="shared" si="11"/>
        <v>No Results Reported</v>
      </c>
      <c r="AF41" s="1085"/>
      <c r="AG41" s="1085"/>
      <c r="AH41" s="1086" t="str">
        <f t="shared" si="12"/>
        <v/>
      </c>
      <c r="AI41" s="1088" t="str">
        <f t="shared" si="13"/>
        <v xml:space="preserve"> </v>
      </c>
      <c r="AJ41" s="1087"/>
      <c r="AK41" s="1090" t="str">
        <f t="shared" si="14"/>
        <v>No Results Reported</v>
      </c>
    </row>
    <row r="42" spans="1:37" ht="60" customHeight="1" x14ac:dyDescent="0.2">
      <c r="A42" s="508">
        <f t="shared" si="4"/>
        <v>32</v>
      </c>
      <c r="B42" s="509" t="str">
        <f t="shared" si="5"/>
        <v>Coverage32</v>
      </c>
      <c r="C42" s="1081" t="str">
        <f>IFERROR(INDEX('Coverage Indicator_Import-Expor'!$D$7:$D$223,MATCH(B42,'Coverage Indicator_Import-Expor'!$C$7:$C$223,0)),"")</f>
        <v/>
      </c>
      <c r="D42" s="1082" t="str">
        <f>IFERROR(INDEX('Coverage Indicator_Import-Expor'!$E$7:$E$223,MATCH(B42,'Coverage Indicator_Import-Expor'!$C$7:$C$223,0)),"")</f>
        <v/>
      </c>
      <c r="E42" s="1082" t="str">
        <f>IFERROR(IF(INDEX('Coverage Indicator_Import-Expor'!K$7:K$223,MATCH($B42,'Coverage Indicator_Import-Expor'!$C$7:$C$223,0))="","",INDEX('Coverage Indicator_Import-Expor'!K$7:K$223,MATCH($B42,'Coverage Indicator_Import-Expor'!$C$7:$C$223,0))),"")</f>
        <v/>
      </c>
      <c r="F42" s="1082" t="str">
        <f>IFERROR(IF(INDEX('Coverage Indicator_Import-Expor'!L$7:L$223,MATCH($B42,'Coverage Indicator_Import-Expor'!$C$7:$C$223,0))="","",INDEX('Coverage Indicator_Import-Expor'!L$7:L$223,MATCH($B42,'Coverage Indicator_Import-Expor'!$C$7:$C$223,0))),"")</f>
        <v/>
      </c>
      <c r="G42" s="1082" t="str">
        <f>IFERROR(IF(INDEX('Coverage Indicator_Import-Expor'!AR$7:AR$223,MATCH($B42,'Coverage Indicator_Import-Expor'!$C$7:$C$223,0))="","",INDEX('Coverage Indicator_Import-Expor'!AR$7:AR$223,MATCH($B42,'Coverage Indicator_Import-Expor'!$C$7:$C$223,0))),"")</f>
        <v/>
      </c>
      <c r="H42" s="1082" t="str">
        <f>IFERROR(IF(INDEX('Coverage Indicator_Import-Expor'!AS$7:AS$223,MATCH($B42,'Coverage Indicator_Import-Expor'!$C$7:$C$223,0))="","",INDEX('Coverage Indicator_Import-Expor'!AS$7:AS$223,MATCH($B42,'Coverage Indicator_Import-Expor'!$C$7:$C$223,0))),"")</f>
        <v/>
      </c>
      <c r="I42" s="1083" t="str">
        <f>IFERROR(IF(INDEX('Coverage Indicator_Import-Expor'!N$7:N$223,MATCH($B42,'Coverage Indicator_Import-Expor'!$C$7:$C$223,0))="","",INDEX('Coverage Indicator_Import-Expor'!N$7:N$223,MATCH($B42,'Coverage Indicator_Import-Expor'!$C$7:$C$223,0))),"")</f>
        <v/>
      </c>
      <c r="J42" s="1083" t="str">
        <f>IFERROR(IF(INDEX('Coverage Indicator_Import-Expor'!O$7:O$223,MATCH($B42,'Coverage Indicator_Import-Expor'!$C$7:$C$223,0))="","",INDEX('Coverage Indicator_Import-Expor'!O$7:O$223,MATCH($B42,'Coverage Indicator_Import-Expor'!$C$7:$C$223,0))),"")</f>
        <v/>
      </c>
      <c r="K42" s="1084" t="str">
        <f>IFERROR(IF(INDEX('Coverage Indicator_Import-Expor'!P$7:P$223,MATCH($B42,'Coverage Indicator_Import-Expor'!$C$7:$C$223,0))="","",INDEX('Coverage Indicator_Import-Expor'!P$7:P$223,MATCH($B42,'Coverage Indicator_Import-Expor'!$C$7:$C$223,0))),"")</f>
        <v/>
      </c>
      <c r="L42" s="1082" t="str">
        <f>IFERROR(IF(INDEX('Coverage Indicator_Import-Expor'!Q$7:Q$223,MATCH($B42,'Coverage Indicator_Import-Expor'!$C$7:$C$223,0))="","",INDEX('Coverage Indicator_Import-Expor'!Q$7:Q$223,MATCH($B42,'Coverage Indicator_Import-Expor'!$C$7:$C$223,0))),"")</f>
        <v/>
      </c>
      <c r="M42" s="1082" t="str">
        <f>IFERROR(IF(INDEX('Coverage Indicator_Import-Expor'!R$7:R$223,MATCH($B42,'Coverage Indicator_Import-Expor'!$C$7:$C$223,0))="","",INDEX('Coverage Indicator_Import-Expor'!R$7:R$223,MATCH($B42,'Coverage Indicator_Import-Expor'!$C$7:$C$223,0))),"")</f>
        <v/>
      </c>
      <c r="N42" s="1083" t="str">
        <f>IFERROR(IF(INDEX('Coverage Indicator_Import-Expor'!S$7:S$223,MATCH($B42,'Coverage Indicator_Import-Expor'!$C$7:$C$223,0))="","",INDEX('Coverage Indicator_Import-Expor'!S$7:S$223,MATCH($B42,'Coverage Indicator_Import-Expor'!$C$7:$C$223,0))),"")</f>
        <v/>
      </c>
      <c r="O42" s="1083" t="str">
        <f>IFERROR(IF(INDEX('Coverage Indicator_Import-Expor'!T$7:T$223,MATCH($B42,'Coverage Indicator_Import-Expor'!$C$7:$C$223,0))="","",INDEX('Coverage Indicator_Import-Expor'!T$7:T$223,MATCH($B42,'Coverage Indicator_Import-Expor'!$C$7:$C$223,0))),"")</f>
        <v/>
      </c>
      <c r="P42" s="1084" t="str">
        <f>IFERROR(IF(INDEX('Coverage Indicator_Import-Expor'!U$7:U$223,MATCH($B42,'Coverage Indicator_Import-Expor'!$C$7:$C$223,0))="","",INDEX('Coverage Indicator_Import-Expor'!U$7:U$223,MATCH($B42,'Coverage Indicator_Import-Expor'!$C$7:$C$223,0))),"")</f>
        <v/>
      </c>
      <c r="Q42" s="1085"/>
      <c r="R42" s="1085"/>
      <c r="S42" s="1086" t="str">
        <f t="shared" si="6"/>
        <v/>
      </c>
      <c r="T42" s="1087"/>
      <c r="U42" s="1088" t="str">
        <f t="shared" si="7"/>
        <v xml:space="preserve"> </v>
      </c>
      <c r="V42" s="1087"/>
      <c r="W42" s="1089" t="str">
        <f t="shared" si="8"/>
        <v>No Results Reported</v>
      </c>
      <c r="X42" s="1085"/>
      <c r="Y42" s="1085"/>
      <c r="Z42" s="1086" t="str">
        <f t="shared" si="9"/>
        <v/>
      </c>
      <c r="AA42" s="1087"/>
      <c r="AB42" s="1088" t="str">
        <f t="shared" si="10"/>
        <v xml:space="preserve"> </v>
      </c>
      <c r="AC42" s="1087"/>
      <c r="AD42" s="1087"/>
      <c r="AE42" s="1089" t="str">
        <f t="shared" si="11"/>
        <v>No Results Reported</v>
      </c>
      <c r="AF42" s="1085"/>
      <c r="AG42" s="1085"/>
      <c r="AH42" s="1086" t="str">
        <f t="shared" si="12"/>
        <v/>
      </c>
      <c r="AI42" s="1088" t="str">
        <f t="shared" si="13"/>
        <v xml:space="preserve"> </v>
      </c>
      <c r="AJ42" s="1087"/>
      <c r="AK42" s="1090" t="str">
        <f t="shared" si="14"/>
        <v>No Results Reported</v>
      </c>
    </row>
    <row r="43" spans="1:37" ht="60" customHeight="1" x14ac:dyDescent="0.2">
      <c r="A43" s="508">
        <f t="shared" si="4"/>
        <v>33</v>
      </c>
      <c r="B43" s="509" t="str">
        <f t="shared" si="5"/>
        <v>Coverage33</v>
      </c>
      <c r="C43" s="1081" t="str">
        <f>IFERROR(INDEX('Coverage Indicator_Import-Expor'!$D$7:$D$223,MATCH(B43,'Coverage Indicator_Import-Expor'!$C$7:$C$223,0)),"")</f>
        <v/>
      </c>
      <c r="D43" s="1082" t="str">
        <f>IFERROR(INDEX('Coverage Indicator_Import-Expor'!$E$7:$E$223,MATCH(B43,'Coverage Indicator_Import-Expor'!$C$7:$C$223,0)),"")</f>
        <v/>
      </c>
      <c r="E43" s="1082" t="str">
        <f>IFERROR(IF(INDEX('Coverage Indicator_Import-Expor'!K$7:K$223,MATCH($B43,'Coverage Indicator_Import-Expor'!$C$7:$C$223,0))="","",INDEX('Coverage Indicator_Import-Expor'!K$7:K$223,MATCH($B43,'Coverage Indicator_Import-Expor'!$C$7:$C$223,0))),"")</f>
        <v/>
      </c>
      <c r="F43" s="1082" t="str">
        <f>IFERROR(IF(INDEX('Coverage Indicator_Import-Expor'!L$7:L$223,MATCH($B43,'Coverage Indicator_Import-Expor'!$C$7:$C$223,0))="","",INDEX('Coverage Indicator_Import-Expor'!L$7:L$223,MATCH($B43,'Coverage Indicator_Import-Expor'!$C$7:$C$223,0))),"")</f>
        <v/>
      </c>
      <c r="G43" s="1082" t="str">
        <f>IFERROR(IF(INDEX('Coverage Indicator_Import-Expor'!AR$7:AR$223,MATCH($B43,'Coverage Indicator_Import-Expor'!$C$7:$C$223,0))="","",INDEX('Coverage Indicator_Import-Expor'!AR$7:AR$223,MATCH($B43,'Coverage Indicator_Import-Expor'!$C$7:$C$223,0))),"")</f>
        <v/>
      </c>
      <c r="H43" s="1082" t="str">
        <f>IFERROR(IF(INDEX('Coverage Indicator_Import-Expor'!AS$7:AS$223,MATCH($B43,'Coverage Indicator_Import-Expor'!$C$7:$C$223,0))="","",INDEX('Coverage Indicator_Import-Expor'!AS$7:AS$223,MATCH($B43,'Coverage Indicator_Import-Expor'!$C$7:$C$223,0))),"")</f>
        <v/>
      </c>
      <c r="I43" s="1083" t="str">
        <f>IFERROR(IF(INDEX('Coverage Indicator_Import-Expor'!N$7:N$223,MATCH($B43,'Coverage Indicator_Import-Expor'!$C$7:$C$223,0))="","",INDEX('Coverage Indicator_Import-Expor'!N$7:N$223,MATCH($B43,'Coverage Indicator_Import-Expor'!$C$7:$C$223,0))),"")</f>
        <v/>
      </c>
      <c r="J43" s="1083" t="str">
        <f>IFERROR(IF(INDEX('Coverage Indicator_Import-Expor'!O$7:O$223,MATCH($B43,'Coverage Indicator_Import-Expor'!$C$7:$C$223,0))="","",INDEX('Coverage Indicator_Import-Expor'!O$7:O$223,MATCH($B43,'Coverage Indicator_Import-Expor'!$C$7:$C$223,0))),"")</f>
        <v/>
      </c>
      <c r="K43" s="1084" t="str">
        <f>IFERROR(IF(INDEX('Coverage Indicator_Import-Expor'!P$7:P$223,MATCH($B43,'Coverage Indicator_Import-Expor'!$C$7:$C$223,0))="","",INDEX('Coverage Indicator_Import-Expor'!P$7:P$223,MATCH($B43,'Coverage Indicator_Import-Expor'!$C$7:$C$223,0))),"")</f>
        <v/>
      </c>
      <c r="L43" s="1082" t="str">
        <f>IFERROR(IF(INDEX('Coverage Indicator_Import-Expor'!Q$7:Q$223,MATCH($B43,'Coverage Indicator_Import-Expor'!$C$7:$C$223,0))="","",INDEX('Coverage Indicator_Import-Expor'!Q$7:Q$223,MATCH($B43,'Coverage Indicator_Import-Expor'!$C$7:$C$223,0))),"")</f>
        <v/>
      </c>
      <c r="M43" s="1082" t="str">
        <f>IFERROR(IF(INDEX('Coverage Indicator_Import-Expor'!R$7:R$223,MATCH($B43,'Coverage Indicator_Import-Expor'!$C$7:$C$223,0))="","",INDEX('Coverage Indicator_Import-Expor'!R$7:R$223,MATCH($B43,'Coverage Indicator_Import-Expor'!$C$7:$C$223,0))),"")</f>
        <v/>
      </c>
      <c r="N43" s="1083" t="str">
        <f>IFERROR(IF(INDEX('Coverage Indicator_Import-Expor'!S$7:S$223,MATCH($B43,'Coverage Indicator_Import-Expor'!$C$7:$C$223,0))="","",INDEX('Coverage Indicator_Import-Expor'!S$7:S$223,MATCH($B43,'Coverage Indicator_Import-Expor'!$C$7:$C$223,0))),"")</f>
        <v/>
      </c>
      <c r="O43" s="1083" t="str">
        <f>IFERROR(IF(INDEX('Coverage Indicator_Import-Expor'!T$7:T$223,MATCH($B43,'Coverage Indicator_Import-Expor'!$C$7:$C$223,0))="","",INDEX('Coverage Indicator_Import-Expor'!T$7:T$223,MATCH($B43,'Coverage Indicator_Import-Expor'!$C$7:$C$223,0))),"")</f>
        <v/>
      </c>
      <c r="P43" s="1084" t="str">
        <f>IFERROR(IF(INDEX('Coverage Indicator_Import-Expor'!U$7:U$223,MATCH($B43,'Coverage Indicator_Import-Expor'!$C$7:$C$223,0))="","",INDEX('Coverage Indicator_Import-Expor'!U$7:U$223,MATCH($B43,'Coverage Indicator_Import-Expor'!$C$7:$C$223,0))),"")</f>
        <v/>
      </c>
      <c r="Q43" s="1085"/>
      <c r="R43" s="1085"/>
      <c r="S43" s="1086" t="str">
        <f t="shared" si="6"/>
        <v/>
      </c>
      <c r="T43" s="1087"/>
      <c r="U43" s="1088" t="str">
        <f t="shared" si="7"/>
        <v xml:space="preserve"> </v>
      </c>
      <c r="V43" s="1087"/>
      <c r="W43" s="1089" t="str">
        <f t="shared" si="8"/>
        <v>No Results Reported</v>
      </c>
      <c r="X43" s="1085"/>
      <c r="Y43" s="1085"/>
      <c r="Z43" s="1086" t="str">
        <f t="shared" si="9"/>
        <v/>
      </c>
      <c r="AA43" s="1087"/>
      <c r="AB43" s="1088" t="str">
        <f t="shared" si="10"/>
        <v xml:space="preserve"> </v>
      </c>
      <c r="AC43" s="1087"/>
      <c r="AD43" s="1087"/>
      <c r="AE43" s="1089" t="str">
        <f t="shared" si="11"/>
        <v>No Results Reported</v>
      </c>
      <c r="AF43" s="1085"/>
      <c r="AG43" s="1085"/>
      <c r="AH43" s="1086" t="str">
        <f t="shared" si="12"/>
        <v/>
      </c>
      <c r="AI43" s="1088" t="str">
        <f t="shared" si="13"/>
        <v xml:space="preserve"> </v>
      </c>
      <c r="AJ43" s="1087"/>
      <c r="AK43" s="1090" t="str">
        <f t="shared" si="14"/>
        <v>No Results Reported</v>
      </c>
    </row>
    <row r="44" spans="1:37" ht="60" customHeight="1" x14ac:dyDescent="0.2">
      <c r="A44" s="508">
        <f t="shared" si="4"/>
        <v>34</v>
      </c>
      <c r="B44" s="509" t="str">
        <f t="shared" si="5"/>
        <v>Coverage34</v>
      </c>
      <c r="C44" s="1081" t="str">
        <f>IFERROR(INDEX('Coverage Indicator_Import-Expor'!$D$7:$D$223,MATCH(B44,'Coverage Indicator_Import-Expor'!$C$7:$C$223,0)),"")</f>
        <v/>
      </c>
      <c r="D44" s="1082" t="str">
        <f>IFERROR(INDEX('Coverage Indicator_Import-Expor'!$E$7:$E$223,MATCH(B44,'Coverage Indicator_Import-Expor'!$C$7:$C$223,0)),"")</f>
        <v/>
      </c>
      <c r="E44" s="1082" t="str">
        <f>IFERROR(IF(INDEX('Coverage Indicator_Import-Expor'!K$7:K$223,MATCH($B44,'Coverage Indicator_Import-Expor'!$C$7:$C$223,0))="","",INDEX('Coverage Indicator_Import-Expor'!K$7:K$223,MATCH($B44,'Coverage Indicator_Import-Expor'!$C$7:$C$223,0))),"")</f>
        <v/>
      </c>
      <c r="F44" s="1082" t="str">
        <f>IFERROR(IF(INDEX('Coverage Indicator_Import-Expor'!L$7:L$223,MATCH($B44,'Coverage Indicator_Import-Expor'!$C$7:$C$223,0))="","",INDEX('Coverage Indicator_Import-Expor'!L$7:L$223,MATCH($B44,'Coverage Indicator_Import-Expor'!$C$7:$C$223,0))),"")</f>
        <v/>
      </c>
      <c r="G44" s="1082" t="str">
        <f>IFERROR(IF(INDEX('Coverage Indicator_Import-Expor'!AR$7:AR$223,MATCH($B44,'Coverage Indicator_Import-Expor'!$C$7:$C$223,0))="","",INDEX('Coverage Indicator_Import-Expor'!AR$7:AR$223,MATCH($B44,'Coverage Indicator_Import-Expor'!$C$7:$C$223,0))),"")</f>
        <v/>
      </c>
      <c r="H44" s="1082" t="str">
        <f>IFERROR(IF(INDEX('Coverage Indicator_Import-Expor'!AS$7:AS$223,MATCH($B44,'Coverage Indicator_Import-Expor'!$C$7:$C$223,0))="","",INDEX('Coverage Indicator_Import-Expor'!AS$7:AS$223,MATCH($B44,'Coverage Indicator_Import-Expor'!$C$7:$C$223,0))),"")</f>
        <v/>
      </c>
      <c r="I44" s="1083" t="str">
        <f>IFERROR(IF(INDEX('Coverage Indicator_Import-Expor'!N$7:N$223,MATCH($B44,'Coverage Indicator_Import-Expor'!$C$7:$C$223,0))="","",INDEX('Coverage Indicator_Import-Expor'!N$7:N$223,MATCH($B44,'Coverage Indicator_Import-Expor'!$C$7:$C$223,0))),"")</f>
        <v/>
      </c>
      <c r="J44" s="1083" t="str">
        <f>IFERROR(IF(INDEX('Coverage Indicator_Import-Expor'!O$7:O$223,MATCH($B44,'Coverage Indicator_Import-Expor'!$C$7:$C$223,0))="","",INDEX('Coverage Indicator_Import-Expor'!O$7:O$223,MATCH($B44,'Coverage Indicator_Import-Expor'!$C$7:$C$223,0))),"")</f>
        <v/>
      </c>
      <c r="K44" s="1084" t="str">
        <f>IFERROR(IF(INDEX('Coverage Indicator_Import-Expor'!P$7:P$223,MATCH($B44,'Coverage Indicator_Import-Expor'!$C$7:$C$223,0))="","",INDEX('Coverage Indicator_Import-Expor'!P$7:P$223,MATCH($B44,'Coverage Indicator_Import-Expor'!$C$7:$C$223,0))),"")</f>
        <v/>
      </c>
      <c r="L44" s="1082" t="str">
        <f>IFERROR(IF(INDEX('Coverage Indicator_Import-Expor'!Q$7:Q$223,MATCH($B44,'Coverage Indicator_Import-Expor'!$C$7:$C$223,0))="","",INDEX('Coverage Indicator_Import-Expor'!Q$7:Q$223,MATCH($B44,'Coverage Indicator_Import-Expor'!$C$7:$C$223,0))),"")</f>
        <v/>
      </c>
      <c r="M44" s="1082" t="str">
        <f>IFERROR(IF(INDEX('Coverage Indicator_Import-Expor'!R$7:R$223,MATCH($B44,'Coverage Indicator_Import-Expor'!$C$7:$C$223,0))="","",INDEX('Coverage Indicator_Import-Expor'!R$7:R$223,MATCH($B44,'Coverage Indicator_Import-Expor'!$C$7:$C$223,0))),"")</f>
        <v/>
      </c>
      <c r="N44" s="1083" t="str">
        <f>IFERROR(IF(INDEX('Coverage Indicator_Import-Expor'!S$7:S$223,MATCH($B44,'Coverage Indicator_Import-Expor'!$C$7:$C$223,0))="","",INDEX('Coverage Indicator_Import-Expor'!S$7:S$223,MATCH($B44,'Coverage Indicator_Import-Expor'!$C$7:$C$223,0))),"")</f>
        <v/>
      </c>
      <c r="O44" s="1083" t="str">
        <f>IFERROR(IF(INDEX('Coverage Indicator_Import-Expor'!T$7:T$223,MATCH($B44,'Coverage Indicator_Import-Expor'!$C$7:$C$223,0))="","",INDEX('Coverage Indicator_Import-Expor'!T$7:T$223,MATCH($B44,'Coverage Indicator_Import-Expor'!$C$7:$C$223,0))),"")</f>
        <v/>
      </c>
      <c r="P44" s="1084" t="str">
        <f>IFERROR(IF(INDEX('Coverage Indicator_Import-Expor'!U$7:U$223,MATCH($B44,'Coverage Indicator_Import-Expor'!$C$7:$C$223,0))="","",INDEX('Coverage Indicator_Import-Expor'!U$7:U$223,MATCH($B44,'Coverage Indicator_Import-Expor'!$C$7:$C$223,0))),"")</f>
        <v/>
      </c>
      <c r="Q44" s="1085"/>
      <c r="R44" s="1085"/>
      <c r="S44" s="1086" t="str">
        <f t="shared" si="6"/>
        <v/>
      </c>
      <c r="T44" s="1087"/>
      <c r="U44" s="1088" t="str">
        <f t="shared" si="7"/>
        <v xml:space="preserve"> </v>
      </c>
      <c r="V44" s="1087"/>
      <c r="W44" s="1089" t="str">
        <f t="shared" si="8"/>
        <v>No Results Reported</v>
      </c>
      <c r="X44" s="1085"/>
      <c r="Y44" s="1085"/>
      <c r="Z44" s="1086" t="str">
        <f t="shared" si="9"/>
        <v/>
      </c>
      <c r="AA44" s="1087"/>
      <c r="AB44" s="1088" t="str">
        <f t="shared" si="10"/>
        <v xml:space="preserve"> </v>
      </c>
      <c r="AC44" s="1087"/>
      <c r="AD44" s="1087"/>
      <c r="AE44" s="1089" t="str">
        <f t="shared" si="11"/>
        <v>No Results Reported</v>
      </c>
      <c r="AF44" s="1085"/>
      <c r="AG44" s="1085"/>
      <c r="AH44" s="1086" t="str">
        <f t="shared" si="12"/>
        <v/>
      </c>
      <c r="AI44" s="1088" t="str">
        <f t="shared" si="13"/>
        <v xml:space="preserve"> </v>
      </c>
      <c r="AJ44" s="1087"/>
      <c r="AK44" s="1090" t="str">
        <f t="shared" si="14"/>
        <v>No Results Reported</v>
      </c>
    </row>
    <row r="45" spans="1:37" ht="60" customHeight="1" x14ac:dyDescent="0.2">
      <c r="A45" s="508">
        <f t="shared" si="4"/>
        <v>35</v>
      </c>
      <c r="B45" s="509" t="str">
        <f t="shared" si="5"/>
        <v>Coverage35</v>
      </c>
      <c r="C45" s="1081" t="str">
        <f>IFERROR(INDEX('Coverage Indicator_Import-Expor'!$D$7:$D$223,MATCH(B45,'Coverage Indicator_Import-Expor'!$C$7:$C$223,0)),"")</f>
        <v/>
      </c>
      <c r="D45" s="1082" t="str">
        <f>IFERROR(INDEX('Coverage Indicator_Import-Expor'!$E$7:$E$223,MATCH(B45,'Coverage Indicator_Import-Expor'!$C$7:$C$223,0)),"")</f>
        <v/>
      </c>
      <c r="E45" s="1082" t="str">
        <f>IFERROR(IF(INDEX('Coverage Indicator_Import-Expor'!K$7:K$223,MATCH($B45,'Coverage Indicator_Import-Expor'!$C$7:$C$223,0))="","",INDEX('Coverage Indicator_Import-Expor'!K$7:K$223,MATCH($B45,'Coverage Indicator_Import-Expor'!$C$7:$C$223,0))),"")</f>
        <v/>
      </c>
      <c r="F45" s="1082" t="str">
        <f>IFERROR(IF(INDEX('Coverage Indicator_Import-Expor'!L$7:L$223,MATCH($B45,'Coverage Indicator_Import-Expor'!$C$7:$C$223,0))="","",INDEX('Coverage Indicator_Import-Expor'!L$7:L$223,MATCH($B45,'Coverage Indicator_Import-Expor'!$C$7:$C$223,0))),"")</f>
        <v/>
      </c>
      <c r="G45" s="1082" t="str">
        <f>IFERROR(IF(INDEX('Coverage Indicator_Import-Expor'!AR$7:AR$223,MATCH($B45,'Coverage Indicator_Import-Expor'!$C$7:$C$223,0))="","",INDEX('Coverage Indicator_Import-Expor'!AR$7:AR$223,MATCH($B45,'Coverage Indicator_Import-Expor'!$C$7:$C$223,0))),"")</f>
        <v/>
      </c>
      <c r="H45" s="1082" t="str">
        <f>IFERROR(IF(INDEX('Coverage Indicator_Import-Expor'!AS$7:AS$223,MATCH($B45,'Coverage Indicator_Import-Expor'!$C$7:$C$223,0))="","",INDEX('Coverage Indicator_Import-Expor'!AS$7:AS$223,MATCH($B45,'Coverage Indicator_Import-Expor'!$C$7:$C$223,0))),"")</f>
        <v/>
      </c>
      <c r="I45" s="1083" t="str">
        <f>IFERROR(IF(INDEX('Coverage Indicator_Import-Expor'!N$7:N$223,MATCH($B45,'Coverage Indicator_Import-Expor'!$C$7:$C$223,0))="","",INDEX('Coverage Indicator_Import-Expor'!N$7:N$223,MATCH($B45,'Coverage Indicator_Import-Expor'!$C$7:$C$223,0))),"")</f>
        <v/>
      </c>
      <c r="J45" s="1083" t="str">
        <f>IFERROR(IF(INDEX('Coverage Indicator_Import-Expor'!O$7:O$223,MATCH($B45,'Coverage Indicator_Import-Expor'!$C$7:$C$223,0))="","",INDEX('Coverage Indicator_Import-Expor'!O$7:O$223,MATCH($B45,'Coverage Indicator_Import-Expor'!$C$7:$C$223,0))),"")</f>
        <v/>
      </c>
      <c r="K45" s="1084" t="str">
        <f>IFERROR(IF(INDEX('Coverage Indicator_Import-Expor'!P$7:P$223,MATCH($B45,'Coverage Indicator_Import-Expor'!$C$7:$C$223,0))="","",INDEX('Coverage Indicator_Import-Expor'!P$7:P$223,MATCH($B45,'Coverage Indicator_Import-Expor'!$C$7:$C$223,0))),"")</f>
        <v/>
      </c>
      <c r="L45" s="1082" t="str">
        <f>IFERROR(IF(INDEX('Coverage Indicator_Import-Expor'!Q$7:Q$223,MATCH($B45,'Coverage Indicator_Import-Expor'!$C$7:$C$223,0))="","",INDEX('Coverage Indicator_Import-Expor'!Q$7:Q$223,MATCH($B45,'Coverage Indicator_Import-Expor'!$C$7:$C$223,0))),"")</f>
        <v/>
      </c>
      <c r="M45" s="1082" t="str">
        <f>IFERROR(IF(INDEX('Coverage Indicator_Import-Expor'!R$7:R$223,MATCH($B45,'Coverage Indicator_Import-Expor'!$C$7:$C$223,0))="","",INDEX('Coverage Indicator_Import-Expor'!R$7:R$223,MATCH($B45,'Coverage Indicator_Import-Expor'!$C$7:$C$223,0))),"")</f>
        <v/>
      </c>
      <c r="N45" s="1083" t="str">
        <f>IFERROR(IF(INDEX('Coverage Indicator_Import-Expor'!S$7:S$223,MATCH($B45,'Coverage Indicator_Import-Expor'!$C$7:$C$223,0))="","",INDEX('Coverage Indicator_Import-Expor'!S$7:S$223,MATCH($B45,'Coverage Indicator_Import-Expor'!$C$7:$C$223,0))),"")</f>
        <v/>
      </c>
      <c r="O45" s="1083" t="str">
        <f>IFERROR(IF(INDEX('Coverage Indicator_Import-Expor'!T$7:T$223,MATCH($B45,'Coverage Indicator_Import-Expor'!$C$7:$C$223,0))="","",INDEX('Coverage Indicator_Import-Expor'!T$7:T$223,MATCH($B45,'Coverage Indicator_Import-Expor'!$C$7:$C$223,0))),"")</f>
        <v/>
      </c>
      <c r="P45" s="1084" t="str">
        <f>IFERROR(IF(INDEX('Coverage Indicator_Import-Expor'!U$7:U$223,MATCH($B45,'Coverage Indicator_Import-Expor'!$C$7:$C$223,0))="","",INDEX('Coverage Indicator_Import-Expor'!U$7:U$223,MATCH($B45,'Coverage Indicator_Import-Expor'!$C$7:$C$223,0))),"")</f>
        <v/>
      </c>
      <c r="Q45" s="1085"/>
      <c r="R45" s="1085"/>
      <c r="S45" s="1086" t="str">
        <f t="shared" si="6"/>
        <v/>
      </c>
      <c r="T45" s="1087"/>
      <c r="U45" s="1088" t="str">
        <f t="shared" si="7"/>
        <v xml:space="preserve"> </v>
      </c>
      <c r="V45" s="1087"/>
      <c r="W45" s="1089" t="str">
        <f t="shared" si="8"/>
        <v>No Results Reported</v>
      </c>
      <c r="X45" s="1085"/>
      <c r="Y45" s="1085"/>
      <c r="Z45" s="1086" t="str">
        <f t="shared" si="9"/>
        <v/>
      </c>
      <c r="AA45" s="1087"/>
      <c r="AB45" s="1088" t="str">
        <f t="shared" si="10"/>
        <v xml:space="preserve"> </v>
      </c>
      <c r="AC45" s="1087"/>
      <c r="AD45" s="1087"/>
      <c r="AE45" s="1089" t="str">
        <f t="shared" si="11"/>
        <v>No Results Reported</v>
      </c>
      <c r="AF45" s="1085"/>
      <c r="AG45" s="1085"/>
      <c r="AH45" s="1086" t="str">
        <f t="shared" si="12"/>
        <v/>
      </c>
      <c r="AI45" s="1088" t="str">
        <f t="shared" si="13"/>
        <v xml:space="preserve"> </v>
      </c>
      <c r="AJ45" s="1087"/>
      <c r="AK45" s="1090" t="str">
        <f t="shared" si="14"/>
        <v>No Results Reported</v>
      </c>
    </row>
    <row r="46" spans="1:37" ht="60" customHeight="1" x14ac:dyDescent="0.2">
      <c r="A46" s="508">
        <f t="shared" si="4"/>
        <v>36</v>
      </c>
      <c r="B46" s="509" t="str">
        <f t="shared" si="5"/>
        <v>Coverage36</v>
      </c>
      <c r="C46" s="1081" t="str">
        <f>IFERROR(INDEX('Coverage Indicator_Import-Expor'!$D$7:$D$223,MATCH(B46,'Coverage Indicator_Import-Expor'!$C$7:$C$223,0)),"")</f>
        <v/>
      </c>
      <c r="D46" s="1082" t="str">
        <f>IFERROR(INDEX('Coverage Indicator_Import-Expor'!$E$7:$E$223,MATCH(B46,'Coverage Indicator_Import-Expor'!$C$7:$C$223,0)),"")</f>
        <v/>
      </c>
      <c r="E46" s="1082" t="str">
        <f>IFERROR(IF(INDEX('Coverage Indicator_Import-Expor'!K$7:K$223,MATCH($B46,'Coverage Indicator_Import-Expor'!$C$7:$C$223,0))="","",INDEX('Coverage Indicator_Import-Expor'!K$7:K$223,MATCH($B46,'Coverage Indicator_Import-Expor'!$C$7:$C$223,0))),"")</f>
        <v/>
      </c>
      <c r="F46" s="1082" t="str">
        <f>IFERROR(IF(INDEX('Coverage Indicator_Import-Expor'!L$7:L$223,MATCH($B46,'Coverage Indicator_Import-Expor'!$C$7:$C$223,0))="","",INDEX('Coverage Indicator_Import-Expor'!L$7:L$223,MATCH($B46,'Coverage Indicator_Import-Expor'!$C$7:$C$223,0))),"")</f>
        <v/>
      </c>
      <c r="G46" s="1082" t="str">
        <f>IFERROR(IF(INDEX('Coverage Indicator_Import-Expor'!AR$7:AR$223,MATCH($B46,'Coverage Indicator_Import-Expor'!$C$7:$C$223,0))="","",INDEX('Coverage Indicator_Import-Expor'!AR$7:AR$223,MATCH($B46,'Coverage Indicator_Import-Expor'!$C$7:$C$223,0))),"")</f>
        <v/>
      </c>
      <c r="H46" s="1082" t="str">
        <f>IFERROR(IF(INDEX('Coverage Indicator_Import-Expor'!AS$7:AS$223,MATCH($B46,'Coverage Indicator_Import-Expor'!$C$7:$C$223,0))="","",INDEX('Coverage Indicator_Import-Expor'!AS$7:AS$223,MATCH($B46,'Coverage Indicator_Import-Expor'!$C$7:$C$223,0))),"")</f>
        <v/>
      </c>
      <c r="I46" s="1083" t="str">
        <f>IFERROR(IF(INDEX('Coverage Indicator_Import-Expor'!N$7:N$223,MATCH($B46,'Coverage Indicator_Import-Expor'!$C$7:$C$223,0))="","",INDEX('Coverage Indicator_Import-Expor'!N$7:N$223,MATCH($B46,'Coverage Indicator_Import-Expor'!$C$7:$C$223,0))),"")</f>
        <v/>
      </c>
      <c r="J46" s="1083" t="str">
        <f>IFERROR(IF(INDEX('Coverage Indicator_Import-Expor'!O$7:O$223,MATCH($B46,'Coverage Indicator_Import-Expor'!$C$7:$C$223,0))="","",INDEX('Coverage Indicator_Import-Expor'!O$7:O$223,MATCH($B46,'Coverage Indicator_Import-Expor'!$C$7:$C$223,0))),"")</f>
        <v/>
      </c>
      <c r="K46" s="1084" t="str">
        <f>IFERROR(IF(INDEX('Coverage Indicator_Import-Expor'!P$7:P$223,MATCH($B46,'Coverage Indicator_Import-Expor'!$C$7:$C$223,0))="","",INDEX('Coverage Indicator_Import-Expor'!P$7:P$223,MATCH($B46,'Coverage Indicator_Import-Expor'!$C$7:$C$223,0))),"")</f>
        <v/>
      </c>
      <c r="L46" s="1082" t="str">
        <f>IFERROR(IF(INDEX('Coverage Indicator_Import-Expor'!Q$7:Q$223,MATCH($B46,'Coverage Indicator_Import-Expor'!$C$7:$C$223,0))="","",INDEX('Coverage Indicator_Import-Expor'!Q$7:Q$223,MATCH($B46,'Coverage Indicator_Import-Expor'!$C$7:$C$223,0))),"")</f>
        <v/>
      </c>
      <c r="M46" s="1082" t="str">
        <f>IFERROR(IF(INDEX('Coverage Indicator_Import-Expor'!R$7:R$223,MATCH($B46,'Coverage Indicator_Import-Expor'!$C$7:$C$223,0))="","",INDEX('Coverage Indicator_Import-Expor'!R$7:R$223,MATCH($B46,'Coverage Indicator_Import-Expor'!$C$7:$C$223,0))),"")</f>
        <v/>
      </c>
      <c r="N46" s="1083" t="str">
        <f>IFERROR(IF(INDEX('Coverage Indicator_Import-Expor'!S$7:S$223,MATCH($B46,'Coverage Indicator_Import-Expor'!$C$7:$C$223,0))="","",INDEX('Coverage Indicator_Import-Expor'!S$7:S$223,MATCH($B46,'Coverage Indicator_Import-Expor'!$C$7:$C$223,0))),"")</f>
        <v/>
      </c>
      <c r="O46" s="1083" t="str">
        <f>IFERROR(IF(INDEX('Coverage Indicator_Import-Expor'!T$7:T$223,MATCH($B46,'Coverage Indicator_Import-Expor'!$C$7:$C$223,0))="","",INDEX('Coverage Indicator_Import-Expor'!T$7:T$223,MATCH($B46,'Coverage Indicator_Import-Expor'!$C$7:$C$223,0))),"")</f>
        <v/>
      </c>
      <c r="P46" s="1084" t="str">
        <f>IFERROR(IF(INDEX('Coverage Indicator_Import-Expor'!U$7:U$223,MATCH($B46,'Coverage Indicator_Import-Expor'!$C$7:$C$223,0))="","",INDEX('Coverage Indicator_Import-Expor'!U$7:U$223,MATCH($B46,'Coverage Indicator_Import-Expor'!$C$7:$C$223,0))),"")</f>
        <v/>
      </c>
      <c r="Q46" s="1085"/>
      <c r="R46" s="1085"/>
      <c r="S46" s="1086" t="str">
        <f t="shared" si="6"/>
        <v/>
      </c>
      <c r="T46" s="1087"/>
      <c r="U46" s="1088" t="str">
        <f t="shared" si="7"/>
        <v xml:space="preserve"> </v>
      </c>
      <c r="V46" s="1087"/>
      <c r="W46" s="1089" t="str">
        <f t="shared" si="8"/>
        <v>No Results Reported</v>
      </c>
      <c r="X46" s="1085"/>
      <c r="Y46" s="1085"/>
      <c r="Z46" s="1086" t="str">
        <f t="shared" si="9"/>
        <v/>
      </c>
      <c r="AA46" s="1087"/>
      <c r="AB46" s="1088" t="str">
        <f t="shared" si="10"/>
        <v xml:space="preserve"> </v>
      </c>
      <c r="AC46" s="1087"/>
      <c r="AD46" s="1087"/>
      <c r="AE46" s="1089" t="str">
        <f t="shared" si="11"/>
        <v>No Results Reported</v>
      </c>
      <c r="AF46" s="1085"/>
      <c r="AG46" s="1085"/>
      <c r="AH46" s="1086" t="str">
        <f t="shared" si="12"/>
        <v/>
      </c>
      <c r="AI46" s="1088" t="str">
        <f t="shared" si="13"/>
        <v xml:space="preserve"> </v>
      </c>
      <c r="AJ46" s="1087"/>
      <c r="AK46" s="1090" t="str">
        <f t="shared" si="14"/>
        <v>No Results Reported</v>
      </c>
    </row>
    <row r="47" spans="1:37" ht="60" customHeight="1" x14ac:dyDescent="0.2">
      <c r="A47" s="508">
        <f t="shared" si="4"/>
        <v>37</v>
      </c>
      <c r="B47" s="509" t="str">
        <f t="shared" si="5"/>
        <v>Coverage37</v>
      </c>
      <c r="C47" s="1081" t="str">
        <f>IFERROR(INDEX('Coverage Indicator_Import-Expor'!$D$7:$D$223,MATCH(B47,'Coverage Indicator_Import-Expor'!$C$7:$C$223,0)),"")</f>
        <v/>
      </c>
      <c r="D47" s="1082" t="str">
        <f>IFERROR(INDEX('Coverage Indicator_Import-Expor'!$E$7:$E$223,MATCH(B47,'Coverage Indicator_Import-Expor'!$C$7:$C$223,0)),"")</f>
        <v/>
      </c>
      <c r="E47" s="1082" t="str">
        <f>IFERROR(IF(INDEX('Coverage Indicator_Import-Expor'!K$7:K$223,MATCH($B47,'Coverage Indicator_Import-Expor'!$C$7:$C$223,0))="","",INDEX('Coverage Indicator_Import-Expor'!K$7:K$223,MATCH($B47,'Coverage Indicator_Import-Expor'!$C$7:$C$223,0))),"")</f>
        <v/>
      </c>
      <c r="F47" s="1082" t="str">
        <f>IFERROR(IF(INDEX('Coverage Indicator_Import-Expor'!L$7:L$223,MATCH($B47,'Coverage Indicator_Import-Expor'!$C$7:$C$223,0))="","",INDEX('Coverage Indicator_Import-Expor'!L$7:L$223,MATCH($B47,'Coverage Indicator_Import-Expor'!$C$7:$C$223,0))),"")</f>
        <v/>
      </c>
      <c r="G47" s="1082" t="str">
        <f>IFERROR(IF(INDEX('Coverage Indicator_Import-Expor'!AR$7:AR$223,MATCH($B47,'Coverage Indicator_Import-Expor'!$C$7:$C$223,0))="","",INDEX('Coverage Indicator_Import-Expor'!AR$7:AR$223,MATCH($B47,'Coverage Indicator_Import-Expor'!$C$7:$C$223,0))),"")</f>
        <v/>
      </c>
      <c r="H47" s="1082" t="str">
        <f>IFERROR(IF(INDEX('Coverage Indicator_Import-Expor'!AS$7:AS$223,MATCH($B47,'Coverage Indicator_Import-Expor'!$C$7:$C$223,0))="","",INDEX('Coverage Indicator_Import-Expor'!AS$7:AS$223,MATCH($B47,'Coverage Indicator_Import-Expor'!$C$7:$C$223,0))),"")</f>
        <v/>
      </c>
      <c r="I47" s="1083" t="str">
        <f>IFERROR(IF(INDEX('Coverage Indicator_Import-Expor'!N$7:N$223,MATCH($B47,'Coverage Indicator_Import-Expor'!$C$7:$C$223,0))="","",INDEX('Coverage Indicator_Import-Expor'!N$7:N$223,MATCH($B47,'Coverage Indicator_Import-Expor'!$C$7:$C$223,0))),"")</f>
        <v/>
      </c>
      <c r="J47" s="1083" t="str">
        <f>IFERROR(IF(INDEX('Coverage Indicator_Import-Expor'!O$7:O$223,MATCH($B47,'Coverage Indicator_Import-Expor'!$C$7:$C$223,0))="","",INDEX('Coverage Indicator_Import-Expor'!O$7:O$223,MATCH($B47,'Coverage Indicator_Import-Expor'!$C$7:$C$223,0))),"")</f>
        <v/>
      </c>
      <c r="K47" s="1084" t="str">
        <f>IFERROR(IF(INDEX('Coverage Indicator_Import-Expor'!P$7:P$223,MATCH($B47,'Coverage Indicator_Import-Expor'!$C$7:$C$223,0))="","",INDEX('Coverage Indicator_Import-Expor'!P$7:P$223,MATCH($B47,'Coverage Indicator_Import-Expor'!$C$7:$C$223,0))),"")</f>
        <v/>
      </c>
      <c r="L47" s="1082" t="str">
        <f>IFERROR(IF(INDEX('Coverage Indicator_Import-Expor'!Q$7:Q$223,MATCH($B47,'Coverage Indicator_Import-Expor'!$C$7:$C$223,0))="","",INDEX('Coverage Indicator_Import-Expor'!Q$7:Q$223,MATCH($B47,'Coverage Indicator_Import-Expor'!$C$7:$C$223,0))),"")</f>
        <v/>
      </c>
      <c r="M47" s="1082" t="str">
        <f>IFERROR(IF(INDEX('Coverage Indicator_Import-Expor'!R$7:R$223,MATCH($B47,'Coverage Indicator_Import-Expor'!$C$7:$C$223,0))="","",INDEX('Coverage Indicator_Import-Expor'!R$7:R$223,MATCH($B47,'Coverage Indicator_Import-Expor'!$C$7:$C$223,0))),"")</f>
        <v/>
      </c>
      <c r="N47" s="1083" t="str">
        <f>IFERROR(IF(INDEX('Coverage Indicator_Import-Expor'!S$7:S$223,MATCH($B47,'Coverage Indicator_Import-Expor'!$C$7:$C$223,0))="","",INDEX('Coverage Indicator_Import-Expor'!S$7:S$223,MATCH($B47,'Coverage Indicator_Import-Expor'!$C$7:$C$223,0))),"")</f>
        <v/>
      </c>
      <c r="O47" s="1083" t="str">
        <f>IFERROR(IF(INDEX('Coverage Indicator_Import-Expor'!T$7:T$223,MATCH($B47,'Coverage Indicator_Import-Expor'!$C$7:$C$223,0))="","",INDEX('Coverage Indicator_Import-Expor'!T$7:T$223,MATCH($B47,'Coverage Indicator_Import-Expor'!$C$7:$C$223,0))),"")</f>
        <v/>
      </c>
      <c r="P47" s="1084" t="str">
        <f>IFERROR(IF(INDEX('Coverage Indicator_Import-Expor'!U$7:U$223,MATCH($B47,'Coverage Indicator_Import-Expor'!$C$7:$C$223,0))="","",INDEX('Coverage Indicator_Import-Expor'!U$7:U$223,MATCH($B47,'Coverage Indicator_Import-Expor'!$C$7:$C$223,0))),"")</f>
        <v/>
      </c>
      <c r="Q47" s="1085"/>
      <c r="R47" s="1085"/>
      <c r="S47" s="1086" t="str">
        <f t="shared" si="6"/>
        <v/>
      </c>
      <c r="T47" s="1087"/>
      <c r="U47" s="1088" t="str">
        <f t="shared" si="7"/>
        <v xml:space="preserve"> </v>
      </c>
      <c r="V47" s="1087"/>
      <c r="W47" s="1089" t="str">
        <f t="shared" si="8"/>
        <v>No Results Reported</v>
      </c>
      <c r="X47" s="1085"/>
      <c r="Y47" s="1085"/>
      <c r="Z47" s="1086" t="str">
        <f t="shared" si="9"/>
        <v/>
      </c>
      <c r="AA47" s="1087"/>
      <c r="AB47" s="1088" t="str">
        <f t="shared" si="10"/>
        <v xml:space="preserve"> </v>
      </c>
      <c r="AC47" s="1087"/>
      <c r="AD47" s="1087"/>
      <c r="AE47" s="1089" t="str">
        <f t="shared" si="11"/>
        <v>No Results Reported</v>
      </c>
      <c r="AF47" s="1085"/>
      <c r="AG47" s="1085"/>
      <c r="AH47" s="1086" t="str">
        <f t="shared" si="12"/>
        <v/>
      </c>
      <c r="AI47" s="1088" t="str">
        <f t="shared" si="13"/>
        <v xml:space="preserve"> </v>
      </c>
      <c r="AJ47" s="1087"/>
      <c r="AK47" s="1090" t="str">
        <f t="shared" si="14"/>
        <v>No Results Reported</v>
      </c>
    </row>
    <row r="48" spans="1:37" ht="60" customHeight="1" x14ac:dyDescent="0.2">
      <c r="A48" s="508">
        <f t="shared" si="4"/>
        <v>38</v>
      </c>
      <c r="B48" s="509" t="str">
        <f t="shared" si="5"/>
        <v>Coverage38</v>
      </c>
      <c r="C48" s="1081" t="str">
        <f>IFERROR(INDEX('Coverage Indicator_Import-Expor'!$D$7:$D$223,MATCH(B48,'Coverage Indicator_Import-Expor'!$C$7:$C$223,0)),"")</f>
        <v/>
      </c>
      <c r="D48" s="1082" t="str">
        <f>IFERROR(INDEX('Coverage Indicator_Import-Expor'!$E$7:$E$223,MATCH(B48,'Coverage Indicator_Import-Expor'!$C$7:$C$223,0)),"")</f>
        <v/>
      </c>
      <c r="E48" s="1082" t="str">
        <f>IFERROR(IF(INDEX('Coverage Indicator_Import-Expor'!K$7:K$223,MATCH($B48,'Coverage Indicator_Import-Expor'!$C$7:$C$223,0))="","",INDEX('Coverage Indicator_Import-Expor'!K$7:K$223,MATCH($B48,'Coverage Indicator_Import-Expor'!$C$7:$C$223,0))),"")</f>
        <v/>
      </c>
      <c r="F48" s="1082" t="str">
        <f>IFERROR(IF(INDEX('Coverage Indicator_Import-Expor'!L$7:L$223,MATCH($B48,'Coverage Indicator_Import-Expor'!$C$7:$C$223,0))="","",INDEX('Coverage Indicator_Import-Expor'!L$7:L$223,MATCH($B48,'Coverage Indicator_Import-Expor'!$C$7:$C$223,0))),"")</f>
        <v/>
      </c>
      <c r="G48" s="1082" t="str">
        <f>IFERROR(IF(INDEX('Coverage Indicator_Import-Expor'!AR$7:AR$223,MATCH($B48,'Coverage Indicator_Import-Expor'!$C$7:$C$223,0))="","",INDEX('Coverage Indicator_Import-Expor'!AR$7:AR$223,MATCH($B48,'Coverage Indicator_Import-Expor'!$C$7:$C$223,0))),"")</f>
        <v/>
      </c>
      <c r="H48" s="1082" t="str">
        <f>IFERROR(IF(INDEX('Coverage Indicator_Import-Expor'!AS$7:AS$223,MATCH($B48,'Coverage Indicator_Import-Expor'!$C$7:$C$223,0))="","",INDEX('Coverage Indicator_Import-Expor'!AS$7:AS$223,MATCH($B48,'Coverage Indicator_Import-Expor'!$C$7:$C$223,0))),"")</f>
        <v/>
      </c>
      <c r="I48" s="1083" t="str">
        <f>IFERROR(IF(INDEX('Coverage Indicator_Import-Expor'!N$7:N$223,MATCH($B48,'Coverage Indicator_Import-Expor'!$C$7:$C$223,0))="","",INDEX('Coverage Indicator_Import-Expor'!N$7:N$223,MATCH($B48,'Coverage Indicator_Import-Expor'!$C$7:$C$223,0))),"")</f>
        <v/>
      </c>
      <c r="J48" s="1083" t="str">
        <f>IFERROR(IF(INDEX('Coverage Indicator_Import-Expor'!O$7:O$223,MATCH($B48,'Coverage Indicator_Import-Expor'!$C$7:$C$223,0))="","",INDEX('Coverage Indicator_Import-Expor'!O$7:O$223,MATCH($B48,'Coverage Indicator_Import-Expor'!$C$7:$C$223,0))),"")</f>
        <v/>
      </c>
      <c r="K48" s="1084" t="str">
        <f>IFERROR(IF(INDEX('Coverage Indicator_Import-Expor'!P$7:P$223,MATCH($B48,'Coverage Indicator_Import-Expor'!$C$7:$C$223,0))="","",INDEX('Coverage Indicator_Import-Expor'!P$7:P$223,MATCH($B48,'Coverage Indicator_Import-Expor'!$C$7:$C$223,0))),"")</f>
        <v/>
      </c>
      <c r="L48" s="1082" t="str">
        <f>IFERROR(IF(INDEX('Coverage Indicator_Import-Expor'!Q$7:Q$223,MATCH($B48,'Coverage Indicator_Import-Expor'!$C$7:$C$223,0))="","",INDEX('Coverage Indicator_Import-Expor'!Q$7:Q$223,MATCH($B48,'Coverage Indicator_Import-Expor'!$C$7:$C$223,0))),"")</f>
        <v/>
      </c>
      <c r="M48" s="1082" t="str">
        <f>IFERROR(IF(INDEX('Coverage Indicator_Import-Expor'!R$7:R$223,MATCH($B48,'Coverage Indicator_Import-Expor'!$C$7:$C$223,0))="","",INDEX('Coverage Indicator_Import-Expor'!R$7:R$223,MATCH($B48,'Coverage Indicator_Import-Expor'!$C$7:$C$223,0))),"")</f>
        <v/>
      </c>
      <c r="N48" s="1083" t="str">
        <f>IFERROR(IF(INDEX('Coverage Indicator_Import-Expor'!S$7:S$223,MATCH($B48,'Coverage Indicator_Import-Expor'!$C$7:$C$223,0))="","",INDEX('Coverage Indicator_Import-Expor'!S$7:S$223,MATCH($B48,'Coverage Indicator_Import-Expor'!$C$7:$C$223,0))),"")</f>
        <v/>
      </c>
      <c r="O48" s="1083" t="str">
        <f>IFERROR(IF(INDEX('Coverage Indicator_Import-Expor'!T$7:T$223,MATCH($B48,'Coverage Indicator_Import-Expor'!$C$7:$C$223,0))="","",INDEX('Coverage Indicator_Import-Expor'!T$7:T$223,MATCH($B48,'Coverage Indicator_Import-Expor'!$C$7:$C$223,0))),"")</f>
        <v/>
      </c>
      <c r="P48" s="1084" t="str">
        <f>IFERROR(IF(INDEX('Coverage Indicator_Import-Expor'!U$7:U$223,MATCH($B48,'Coverage Indicator_Import-Expor'!$C$7:$C$223,0))="","",INDEX('Coverage Indicator_Import-Expor'!U$7:U$223,MATCH($B48,'Coverage Indicator_Import-Expor'!$C$7:$C$223,0))),"")</f>
        <v/>
      </c>
      <c r="Q48" s="1085"/>
      <c r="R48" s="1085"/>
      <c r="S48" s="1086" t="str">
        <f t="shared" si="6"/>
        <v/>
      </c>
      <c r="T48" s="1087"/>
      <c r="U48" s="1088" t="str">
        <f t="shared" si="7"/>
        <v xml:space="preserve"> </v>
      </c>
      <c r="V48" s="1087"/>
      <c r="W48" s="1089" t="str">
        <f t="shared" si="8"/>
        <v>No Results Reported</v>
      </c>
      <c r="X48" s="1085"/>
      <c r="Y48" s="1085"/>
      <c r="Z48" s="1086" t="str">
        <f t="shared" si="9"/>
        <v/>
      </c>
      <c r="AA48" s="1087"/>
      <c r="AB48" s="1088" t="str">
        <f t="shared" si="10"/>
        <v xml:space="preserve"> </v>
      </c>
      <c r="AC48" s="1087"/>
      <c r="AD48" s="1087"/>
      <c r="AE48" s="1089" t="str">
        <f t="shared" si="11"/>
        <v>No Results Reported</v>
      </c>
      <c r="AF48" s="1085"/>
      <c r="AG48" s="1085"/>
      <c r="AH48" s="1086" t="str">
        <f t="shared" si="12"/>
        <v/>
      </c>
      <c r="AI48" s="1088" t="str">
        <f t="shared" si="13"/>
        <v xml:space="preserve"> </v>
      </c>
      <c r="AJ48" s="1087"/>
      <c r="AK48" s="1090" t="str">
        <f t="shared" si="14"/>
        <v>No Results Reported</v>
      </c>
    </row>
    <row r="49" spans="1:37" ht="60" customHeight="1" x14ac:dyDescent="0.2">
      <c r="A49" s="508">
        <f t="shared" si="4"/>
        <v>39</v>
      </c>
      <c r="B49" s="509" t="str">
        <f t="shared" si="5"/>
        <v>Coverage39</v>
      </c>
      <c r="C49" s="1081" t="str">
        <f>IFERROR(INDEX('Coverage Indicator_Import-Expor'!$D$7:$D$223,MATCH(B49,'Coverage Indicator_Import-Expor'!$C$7:$C$223,0)),"")</f>
        <v/>
      </c>
      <c r="D49" s="1082" t="str">
        <f>IFERROR(INDEX('Coverage Indicator_Import-Expor'!$E$7:$E$223,MATCH(B49,'Coverage Indicator_Import-Expor'!$C$7:$C$223,0)),"")</f>
        <v/>
      </c>
      <c r="E49" s="1082" t="str">
        <f>IFERROR(IF(INDEX('Coverage Indicator_Import-Expor'!K$7:K$223,MATCH($B49,'Coverage Indicator_Import-Expor'!$C$7:$C$223,0))="","",INDEX('Coverage Indicator_Import-Expor'!K$7:K$223,MATCH($B49,'Coverage Indicator_Import-Expor'!$C$7:$C$223,0))),"")</f>
        <v/>
      </c>
      <c r="F49" s="1082" t="str">
        <f>IFERROR(IF(INDEX('Coverage Indicator_Import-Expor'!L$7:L$223,MATCH($B49,'Coverage Indicator_Import-Expor'!$C$7:$C$223,0))="","",INDEX('Coverage Indicator_Import-Expor'!L$7:L$223,MATCH($B49,'Coverage Indicator_Import-Expor'!$C$7:$C$223,0))),"")</f>
        <v/>
      </c>
      <c r="G49" s="1082" t="str">
        <f>IFERROR(IF(INDEX('Coverage Indicator_Import-Expor'!AR$7:AR$223,MATCH($B49,'Coverage Indicator_Import-Expor'!$C$7:$C$223,0))="","",INDEX('Coverage Indicator_Import-Expor'!AR$7:AR$223,MATCH($B49,'Coverage Indicator_Import-Expor'!$C$7:$C$223,0))),"")</f>
        <v/>
      </c>
      <c r="H49" s="1082" t="str">
        <f>IFERROR(IF(INDEX('Coverage Indicator_Import-Expor'!AS$7:AS$223,MATCH($B49,'Coverage Indicator_Import-Expor'!$C$7:$C$223,0))="","",INDEX('Coverage Indicator_Import-Expor'!AS$7:AS$223,MATCH($B49,'Coverage Indicator_Import-Expor'!$C$7:$C$223,0))),"")</f>
        <v/>
      </c>
      <c r="I49" s="1083" t="str">
        <f>IFERROR(IF(INDEX('Coverage Indicator_Import-Expor'!N$7:N$223,MATCH($B49,'Coverage Indicator_Import-Expor'!$C$7:$C$223,0))="","",INDEX('Coverage Indicator_Import-Expor'!N$7:N$223,MATCH($B49,'Coverage Indicator_Import-Expor'!$C$7:$C$223,0))),"")</f>
        <v/>
      </c>
      <c r="J49" s="1083" t="str">
        <f>IFERROR(IF(INDEX('Coverage Indicator_Import-Expor'!O$7:O$223,MATCH($B49,'Coverage Indicator_Import-Expor'!$C$7:$C$223,0))="","",INDEX('Coverage Indicator_Import-Expor'!O$7:O$223,MATCH($B49,'Coverage Indicator_Import-Expor'!$C$7:$C$223,0))),"")</f>
        <v/>
      </c>
      <c r="K49" s="1084" t="str">
        <f>IFERROR(IF(INDEX('Coverage Indicator_Import-Expor'!P$7:P$223,MATCH($B49,'Coverage Indicator_Import-Expor'!$C$7:$C$223,0))="","",INDEX('Coverage Indicator_Import-Expor'!P$7:P$223,MATCH($B49,'Coverage Indicator_Import-Expor'!$C$7:$C$223,0))),"")</f>
        <v/>
      </c>
      <c r="L49" s="1082" t="str">
        <f>IFERROR(IF(INDEX('Coverage Indicator_Import-Expor'!Q$7:Q$223,MATCH($B49,'Coverage Indicator_Import-Expor'!$C$7:$C$223,0))="","",INDEX('Coverage Indicator_Import-Expor'!Q$7:Q$223,MATCH($B49,'Coverage Indicator_Import-Expor'!$C$7:$C$223,0))),"")</f>
        <v/>
      </c>
      <c r="M49" s="1082" t="str">
        <f>IFERROR(IF(INDEX('Coverage Indicator_Import-Expor'!R$7:R$223,MATCH($B49,'Coverage Indicator_Import-Expor'!$C$7:$C$223,0))="","",INDEX('Coverage Indicator_Import-Expor'!R$7:R$223,MATCH($B49,'Coverage Indicator_Import-Expor'!$C$7:$C$223,0))),"")</f>
        <v/>
      </c>
      <c r="N49" s="1083" t="str">
        <f>IFERROR(IF(INDEX('Coverage Indicator_Import-Expor'!S$7:S$223,MATCH($B49,'Coverage Indicator_Import-Expor'!$C$7:$C$223,0))="","",INDEX('Coverage Indicator_Import-Expor'!S$7:S$223,MATCH($B49,'Coverage Indicator_Import-Expor'!$C$7:$C$223,0))),"")</f>
        <v/>
      </c>
      <c r="O49" s="1083" t="str">
        <f>IFERROR(IF(INDEX('Coverage Indicator_Import-Expor'!T$7:T$223,MATCH($B49,'Coverage Indicator_Import-Expor'!$C$7:$C$223,0))="","",INDEX('Coverage Indicator_Import-Expor'!T$7:T$223,MATCH($B49,'Coverage Indicator_Import-Expor'!$C$7:$C$223,0))),"")</f>
        <v/>
      </c>
      <c r="P49" s="1084" t="str">
        <f>IFERROR(IF(INDEX('Coverage Indicator_Import-Expor'!U$7:U$223,MATCH($B49,'Coverage Indicator_Import-Expor'!$C$7:$C$223,0))="","",INDEX('Coverage Indicator_Import-Expor'!U$7:U$223,MATCH($B49,'Coverage Indicator_Import-Expor'!$C$7:$C$223,0))),"")</f>
        <v/>
      </c>
      <c r="Q49" s="1085"/>
      <c r="R49" s="1085"/>
      <c r="S49" s="1086" t="str">
        <f t="shared" si="6"/>
        <v/>
      </c>
      <c r="T49" s="1087"/>
      <c r="U49" s="1088" t="str">
        <f t="shared" si="7"/>
        <v xml:space="preserve"> </v>
      </c>
      <c r="V49" s="1087"/>
      <c r="W49" s="1089" t="str">
        <f t="shared" si="8"/>
        <v>No Results Reported</v>
      </c>
      <c r="X49" s="1085"/>
      <c r="Y49" s="1085"/>
      <c r="Z49" s="1086" t="str">
        <f t="shared" si="9"/>
        <v/>
      </c>
      <c r="AA49" s="1087"/>
      <c r="AB49" s="1088" t="str">
        <f t="shared" si="10"/>
        <v xml:space="preserve"> </v>
      </c>
      <c r="AC49" s="1087"/>
      <c r="AD49" s="1087"/>
      <c r="AE49" s="1089" t="str">
        <f t="shared" si="11"/>
        <v>No Results Reported</v>
      </c>
      <c r="AF49" s="1085"/>
      <c r="AG49" s="1085"/>
      <c r="AH49" s="1086" t="str">
        <f t="shared" si="12"/>
        <v/>
      </c>
      <c r="AI49" s="1088" t="str">
        <f t="shared" si="13"/>
        <v xml:space="preserve"> </v>
      </c>
      <c r="AJ49" s="1087"/>
      <c r="AK49" s="1090" t="str">
        <f t="shared" si="14"/>
        <v>No Results Reported</v>
      </c>
    </row>
    <row r="50" spans="1:37" ht="60" customHeight="1" x14ac:dyDescent="0.2">
      <c r="A50" s="508">
        <f t="shared" si="4"/>
        <v>40</v>
      </c>
      <c r="B50" s="509" t="str">
        <f t="shared" ref="B50:B100" si="15">"Coverage"&amp;A50</f>
        <v>Coverage40</v>
      </c>
      <c r="C50" s="1081" t="str">
        <f>IFERROR(INDEX('Coverage Indicator_Import-Expor'!$D$7:$D$223,MATCH(B50,'Coverage Indicator_Import-Expor'!$C$7:$C$223,0)),"")</f>
        <v/>
      </c>
      <c r="D50" s="1082" t="str">
        <f>IFERROR(INDEX('Coverage Indicator_Import-Expor'!$E$7:$E$223,MATCH(B50,'Coverage Indicator_Import-Expor'!$C$7:$C$223,0)),"")</f>
        <v/>
      </c>
      <c r="E50" s="1082" t="str">
        <f>IFERROR(IF(INDEX('Coverage Indicator_Import-Expor'!K$7:K$223,MATCH($B50,'Coverage Indicator_Import-Expor'!$C$7:$C$223,0))="","",INDEX('Coverage Indicator_Import-Expor'!K$7:K$223,MATCH($B50,'Coverage Indicator_Import-Expor'!$C$7:$C$223,0))),"")</f>
        <v/>
      </c>
      <c r="F50" s="1082" t="str">
        <f>IFERROR(IF(INDEX('Coverage Indicator_Import-Expor'!L$7:L$223,MATCH($B50,'Coverage Indicator_Import-Expor'!$C$7:$C$223,0))="","",INDEX('Coverage Indicator_Import-Expor'!L$7:L$223,MATCH($B50,'Coverage Indicator_Import-Expor'!$C$7:$C$223,0))),"")</f>
        <v/>
      </c>
      <c r="G50" s="1082" t="str">
        <f>IFERROR(IF(INDEX('Coverage Indicator_Import-Expor'!AR$7:AR$223,MATCH($B50,'Coverage Indicator_Import-Expor'!$C$7:$C$223,0))="","",INDEX('Coverage Indicator_Import-Expor'!AR$7:AR$223,MATCH($B50,'Coverage Indicator_Import-Expor'!$C$7:$C$223,0))),"")</f>
        <v/>
      </c>
      <c r="H50" s="1082" t="str">
        <f>IFERROR(IF(INDEX('Coverage Indicator_Import-Expor'!AS$7:AS$223,MATCH($B50,'Coverage Indicator_Import-Expor'!$C$7:$C$223,0))="","",INDEX('Coverage Indicator_Import-Expor'!AS$7:AS$223,MATCH($B50,'Coverage Indicator_Import-Expor'!$C$7:$C$223,0))),"")</f>
        <v/>
      </c>
      <c r="I50" s="1083" t="str">
        <f>IFERROR(IF(INDEX('Coverage Indicator_Import-Expor'!N$7:N$223,MATCH($B50,'Coverage Indicator_Import-Expor'!$C$7:$C$223,0))="","",INDEX('Coverage Indicator_Import-Expor'!N$7:N$223,MATCH($B50,'Coverage Indicator_Import-Expor'!$C$7:$C$223,0))),"")</f>
        <v/>
      </c>
      <c r="J50" s="1083" t="str">
        <f>IFERROR(IF(INDEX('Coverage Indicator_Import-Expor'!O$7:O$223,MATCH($B50,'Coverage Indicator_Import-Expor'!$C$7:$C$223,0))="","",INDEX('Coverage Indicator_Import-Expor'!O$7:O$223,MATCH($B50,'Coverage Indicator_Import-Expor'!$C$7:$C$223,0))),"")</f>
        <v/>
      </c>
      <c r="K50" s="1084" t="str">
        <f>IFERROR(IF(INDEX('Coverage Indicator_Import-Expor'!P$7:P$223,MATCH($B50,'Coverage Indicator_Import-Expor'!$C$7:$C$223,0))="","",INDEX('Coverage Indicator_Import-Expor'!P$7:P$223,MATCH($B50,'Coverage Indicator_Import-Expor'!$C$7:$C$223,0))),"")</f>
        <v/>
      </c>
      <c r="L50" s="1082" t="str">
        <f>IFERROR(IF(INDEX('Coverage Indicator_Import-Expor'!Q$7:Q$223,MATCH($B50,'Coverage Indicator_Import-Expor'!$C$7:$C$223,0))="","",INDEX('Coverage Indicator_Import-Expor'!Q$7:Q$223,MATCH($B50,'Coverage Indicator_Import-Expor'!$C$7:$C$223,0))),"")</f>
        <v/>
      </c>
      <c r="M50" s="1082" t="str">
        <f>IFERROR(IF(INDEX('Coverage Indicator_Import-Expor'!R$7:R$223,MATCH($B50,'Coverage Indicator_Import-Expor'!$C$7:$C$223,0))="","",INDEX('Coverage Indicator_Import-Expor'!R$7:R$223,MATCH($B50,'Coverage Indicator_Import-Expor'!$C$7:$C$223,0))),"")</f>
        <v/>
      </c>
      <c r="N50" s="1083" t="str">
        <f>IFERROR(IF(INDEX('Coverage Indicator_Import-Expor'!S$7:S$223,MATCH($B50,'Coverage Indicator_Import-Expor'!$C$7:$C$223,0))="","",INDEX('Coverage Indicator_Import-Expor'!S$7:S$223,MATCH($B50,'Coverage Indicator_Import-Expor'!$C$7:$C$223,0))),"")</f>
        <v/>
      </c>
      <c r="O50" s="1083" t="str">
        <f>IFERROR(IF(INDEX('Coverage Indicator_Import-Expor'!T$7:T$223,MATCH($B50,'Coverage Indicator_Import-Expor'!$C$7:$C$223,0))="","",INDEX('Coverage Indicator_Import-Expor'!T$7:T$223,MATCH($B50,'Coverage Indicator_Import-Expor'!$C$7:$C$223,0))),"")</f>
        <v/>
      </c>
      <c r="P50" s="1084" t="str">
        <f>IFERROR(IF(INDEX('Coverage Indicator_Import-Expor'!U$7:U$223,MATCH($B50,'Coverage Indicator_Import-Expor'!$C$7:$C$223,0))="","",INDEX('Coverage Indicator_Import-Expor'!U$7:U$223,MATCH($B50,'Coverage Indicator_Import-Expor'!$C$7:$C$223,0))),"")</f>
        <v/>
      </c>
      <c r="Q50" s="1085"/>
      <c r="R50" s="1085"/>
      <c r="S50" s="1086" t="str">
        <f t="shared" ref="S50:S100" si="16">IFERROR((Q50/R50)*100,"")</f>
        <v/>
      </c>
      <c r="T50" s="1087"/>
      <c r="U50" s="1088" t="str">
        <f t="shared" ref="U50:U100" si="17">IFERROR(IF(AND(N50&lt;&gt;"",O50="",Q50&lt;&gt;"",R50=""),IF((Q50/N50)&gt;120%,120%,(Q50/N50)),IF((S50/P50)&gt;120%,120%,(S50/P50)))," ")</f>
        <v xml:space="preserve"> </v>
      </c>
      <c r="V50" s="1087"/>
      <c r="W50" s="1089" t="str">
        <f t="shared" ref="W50:W100" si="18">IF(AND(Q50="",R50="",S50=""),"No Results Reported",IF(AND(N50&lt;&gt;"",O50="",P50="",OR(R50&lt;&gt;"",S50&lt;&gt;"")),"Target contains only a numerator. Please Report only a numerator for the result","Continue"))</f>
        <v>No Results Reported</v>
      </c>
      <c r="X50" s="1085"/>
      <c r="Y50" s="1085"/>
      <c r="Z50" s="1086" t="str">
        <f t="shared" ref="Z50:Z100" si="19">IFERROR((X50/Y50)*100,"")</f>
        <v/>
      </c>
      <c r="AA50" s="1087"/>
      <c r="AB50" s="1088" t="str">
        <f t="shared" ref="AB50:AB100" si="20">IFERROR(IF(AND(N50&lt;&gt;"",O50="",X50&lt;&gt;"",Y50=""),IF((X50/N50)&gt;120%,120%,(X50/N50)),IF((Z50/P50)&gt;120%,120%,(Z50/P50)))," ")</f>
        <v xml:space="preserve"> </v>
      </c>
      <c r="AC50" s="1087"/>
      <c r="AD50" s="1087"/>
      <c r="AE50" s="1089" t="str">
        <f t="shared" ref="AE50:AE100" si="21">IF(AND(X50="",Y50="",Z50=""),"No Results Reported",IF(AND(Q50&lt;&gt;"",R50="",S50="",OR(Y50&lt;&gt;"",Z50&lt;&gt;"")),"Target contains only a numerator. Please Report only a numerator for the result","Continue"))</f>
        <v>No Results Reported</v>
      </c>
      <c r="AF50" s="1085"/>
      <c r="AG50" s="1085"/>
      <c r="AH50" s="1086" t="str">
        <f t="shared" ref="AH50:AH100" si="22">IFERROR((AF50/AG50)*100,"")</f>
        <v/>
      </c>
      <c r="AI50" s="1088" t="str">
        <f t="shared" ref="AI50:AI100" si="23">IFERROR(IF(AND(N50&lt;&gt;"",O50="",AF50&lt;&gt;"",AG50=""),IF((AF50/N50)&gt;120%,120%,(AF50/N50)),IF((AH50/P50)&gt;120%,120%,(AH50/P50)))," ")</f>
        <v xml:space="preserve"> </v>
      </c>
      <c r="AJ50" s="1087"/>
      <c r="AK50" s="1090" t="str">
        <f t="shared" ref="AK50:AK100" si="24">IF(AND(AF50="",AG50="",AH50=""),"No Results Reported",IF(AND(I50&lt;&gt;"",J50="",K50="",OR(AG50&lt;&gt;"",AH50&lt;&gt;"")),"Target contains only a numerator. Please Report only a numerator for the result","Continue"))</f>
        <v>No Results Reported</v>
      </c>
    </row>
    <row r="51" spans="1:37" ht="60" customHeight="1" x14ac:dyDescent="0.2">
      <c r="A51" s="508">
        <f t="shared" si="4"/>
        <v>41</v>
      </c>
      <c r="B51" s="509" t="str">
        <f t="shared" si="15"/>
        <v>Coverage41</v>
      </c>
      <c r="C51" s="1081" t="str">
        <f>IFERROR(INDEX('Coverage Indicator_Import-Expor'!$D$7:$D$223,MATCH(B51,'Coverage Indicator_Import-Expor'!$C$7:$C$223,0)),"")</f>
        <v/>
      </c>
      <c r="D51" s="1082" t="str">
        <f>IFERROR(INDEX('Coverage Indicator_Import-Expor'!$E$7:$E$223,MATCH(B51,'Coverage Indicator_Import-Expor'!$C$7:$C$223,0)),"")</f>
        <v/>
      </c>
      <c r="E51" s="1082" t="str">
        <f>IFERROR(IF(INDEX('Coverage Indicator_Import-Expor'!K$7:K$223,MATCH($B51,'Coverage Indicator_Import-Expor'!$C$7:$C$223,0))="","",INDEX('Coverage Indicator_Import-Expor'!K$7:K$223,MATCH($B51,'Coverage Indicator_Import-Expor'!$C$7:$C$223,0))),"")</f>
        <v/>
      </c>
      <c r="F51" s="1082" t="str">
        <f>IFERROR(IF(INDEX('Coverage Indicator_Import-Expor'!L$7:L$223,MATCH($B51,'Coverage Indicator_Import-Expor'!$C$7:$C$223,0))="","",INDEX('Coverage Indicator_Import-Expor'!L$7:L$223,MATCH($B51,'Coverage Indicator_Import-Expor'!$C$7:$C$223,0))),"")</f>
        <v/>
      </c>
      <c r="G51" s="1082" t="str">
        <f>IFERROR(IF(INDEX('Coverage Indicator_Import-Expor'!AR$7:AR$223,MATCH($B51,'Coverage Indicator_Import-Expor'!$C$7:$C$223,0))="","",INDEX('Coverage Indicator_Import-Expor'!AR$7:AR$223,MATCH($B51,'Coverage Indicator_Import-Expor'!$C$7:$C$223,0))),"")</f>
        <v/>
      </c>
      <c r="H51" s="1082" t="str">
        <f>IFERROR(IF(INDEX('Coverage Indicator_Import-Expor'!AS$7:AS$223,MATCH($B51,'Coverage Indicator_Import-Expor'!$C$7:$C$223,0))="","",INDEX('Coverage Indicator_Import-Expor'!AS$7:AS$223,MATCH($B51,'Coverage Indicator_Import-Expor'!$C$7:$C$223,0))),"")</f>
        <v/>
      </c>
      <c r="I51" s="1083" t="str">
        <f>IFERROR(IF(INDEX('Coverage Indicator_Import-Expor'!N$7:N$223,MATCH($B51,'Coverage Indicator_Import-Expor'!$C$7:$C$223,0))="","",INDEX('Coverage Indicator_Import-Expor'!N$7:N$223,MATCH($B51,'Coverage Indicator_Import-Expor'!$C$7:$C$223,0))),"")</f>
        <v/>
      </c>
      <c r="J51" s="1083" t="str">
        <f>IFERROR(IF(INDEX('Coverage Indicator_Import-Expor'!O$7:O$223,MATCH($B51,'Coverage Indicator_Import-Expor'!$C$7:$C$223,0))="","",INDEX('Coverage Indicator_Import-Expor'!O$7:O$223,MATCH($B51,'Coverage Indicator_Import-Expor'!$C$7:$C$223,0))),"")</f>
        <v/>
      </c>
      <c r="K51" s="1084" t="str">
        <f>IFERROR(IF(INDEX('Coverage Indicator_Import-Expor'!P$7:P$223,MATCH($B51,'Coverage Indicator_Import-Expor'!$C$7:$C$223,0))="","",INDEX('Coverage Indicator_Import-Expor'!P$7:P$223,MATCH($B51,'Coverage Indicator_Import-Expor'!$C$7:$C$223,0))),"")</f>
        <v/>
      </c>
      <c r="L51" s="1082" t="str">
        <f>IFERROR(IF(INDEX('Coverage Indicator_Import-Expor'!Q$7:Q$223,MATCH($B51,'Coverage Indicator_Import-Expor'!$C$7:$C$223,0))="","",INDEX('Coverage Indicator_Import-Expor'!Q$7:Q$223,MATCH($B51,'Coverage Indicator_Import-Expor'!$C$7:$C$223,0))),"")</f>
        <v/>
      </c>
      <c r="M51" s="1082" t="str">
        <f>IFERROR(IF(INDEX('Coverage Indicator_Import-Expor'!R$7:R$223,MATCH($B51,'Coverage Indicator_Import-Expor'!$C$7:$C$223,0))="","",INDEX('Coverage Indicator_Import-Expor'!R$7:R$223,MATCH($B51,'Coverage Indicator_Import-Expor'!$C$7:$C$223,0))),"")</f>
        <v/>
      </c>
      <c r="N51" s="1083" t="str">
        <f>IFERROR(IF(INDEX('Coverage Indicator_Import-Expor'!S$7:S$223,MATCH($B51,'Coverage Indicator_Import-Expor'!$C$7:$C$223,0))="","",INDEX('Coverage Indicator_Import-Expor'!S$7:S$223,MATCH($B51,'Coverage Indicator_Import-Expor'!$C$7:$C$223,0))),"")</f>
        <v/>
      </c>
      <c r="O51" s="1083" t="str">
        <f>IFERROR(IF(INDEX('Coverage Indicator_Import-Expor'!T$7:T$223,MATCH($B51,'Coverage Indicator_Import-Expor'!$C$7:$C$223,0))="","",INDEX('Coverage Indicator_Import-Expor'!T$7:T$223,MATCH($B51,'Coverage Indicator_Import-Expor'!$C$7:$C$223,0))),"")</f>
        <v/>
      </c>
      <c r="P51" s="1084" t="str">
        <f>IFERROR(IF(INDEX('Coverage Indicator_Import-Expor'!U$7:U$223,MATCH($B51,'Coverage Indicator_Import-Expor'!$C$7:$C$223,0))="","",INDEX('Coverage Indicator_Import-Expor'!U$7:U$223,MATCH($B51,'Coverage Indicator_Import-Expor'!$C$7:$C$223,0))),"")</f>
        <v/>
      </c>
      <c r="Q51" s="1085"/>
      <c r="R51" s="1085"/>
      <c r="S51" s="1086" t="str">
        <f t="shared" si="16"/>
        <v/>
      </c>
      <c r="T51" s="1087"/>
      <c r="U51" s="1088" t="str">
        <f t="shared" si="17"/>
        <v xml:space="preserve"> </v>
      </c>
      <c r="V51" s="1087"/>
      <c r="W51" s="1089" t="str">
        <f t="shared" si="18"/>
        <v>No Results Reported</v>
      </c>
      <c r="X51" s="1085"/>
      <c r="Y51" s="1085"/>
      <c r="Z51" s="1086" t="str">
        <f t="shared" si="19"/>
        <v/>
      </c>
      <c r="AA51" s="1087"/>
      <c r="AB51" s="1088" t="str">
        <f t="shared" si="20"/>
        <v xml:space="preserve"> </v>
      </c>
      <c r="AC51" s="1087"/>
      <c r="AD51" s="1087"/>
      <c r="AE51" s="1089" t="str">
        <f t="shared" si="21"/>
        <v>No Results Reported</v>
      </c>
      <c r="AF51" s="1085"/>
      <c r="AG51" s="1085"/>
      <c r="AH51" s="1086" t="str">
        <f t="shared" si="22"/>
        <v/>
      </c>
      <c r="AI51" s="1088" t="str">
        <f t="shared" si="23"/>
        <v xml:space="preserve"> </v>
      </c>
      <c r="AJ51" s="1087"/>
      <c r="AK51" s="1090" t="str">
        <f t="shared" si="24"/>
        <v>No Results Reported</v>
      </c>
    </row>
    <row r="52" spans="1:37" x14ac:dyDescent="0.2">
      <c r="A52" s="508">
        <f t="shared" si="4"/>
        <v>42</v>
      </c>
      <c r="B52" s="509" t="str">
        <f t="shared" si="15"/>
        <v>Coverage42</v>
      </c>
      <c r="C52" s="1081" t="str">
        <f>IFERROR(INDEX('Coverage Indicator_Import-Expor'!$D$7:$D$223,MATCH(B52,'Coverage Indicator_Import-Expor'!$C$7:$C$223,0)),"")</f>
        <v/>
      </c>
      <c r="D52" s="1082" t="str">
        <f>IFERROR(INDEX('Coverage Indicator_Import-Expor'!$E$7:$E$223,MATCH(B52,'Coverage Indicator_Import-Expor'!$C$7:$C$223,0)),"")</f>
        <v/>
      </c>
      <c r="E52" s="1082" t="str">
        <f>IFERROR(IF(INDEX('Coverage Indicator_Import-Expor'!K$7:K$223,MATCH($B52,'Coverage Indicator_Import-Expor'!$C$7:$C$223,0))="","",INDEX('Coverage Indicator_Import-Expor'!K$7:K$223,MATCH($B52,'Coverage Indicator_Import-Expor'!$C$7:$C$223,0))),"")</f>
        <v/>
      </c>
      <c r="F52" s="1082" t="str">
        <f>IFERROR(IF(INDEX('Coverage Indicator_Import-Expor'!L$7:L$223,MATCH($B52,'Coverage Indicator_Import-Expor'!$C$7:$C$223,0))="","",INDEX('Coverage Indicator_Import-Expor'!L$7:L$223,MATCH($B52,'Coverage Indicator_Import-Expor'!$C$7:$C$223,0))),"")</f>
        <v/>
      </c>
      <c r="G52" s="1082" t="str">
        <f>IFERROR(IF(INDEX('Coverage Indicator_Import-Expor'!AR$7:AR$223,MATCH($B52,'Coverage Indicator_Import-Expor'!$C$7:$C$223,0))="","",INDEX('Coverage Indicator_Import-Expor'!AR$7:AR$223,MATCH($B52,'Coverage Indicator_Import-Expor'!$C$7:$C$223,0))),"")</f>
        <v/>
      </c>
      <c r="H52" s="1082" t="str">
        <f>IFERROR(IF(INDEX('Coverage Indicator_Import-Expor'!AS$7:AS$223,MATCH($B52,'Coverage Indicator_Import-Expor'!$C$7:$C$223,0))="","",INDEX('Coverage Indicator_Import-Expor'!AS$7:AS$223,MATCH($B52,'Coverage Indicator_Import-Expor'!$C$7:$C$223,0))),"")</f>
        <v/>
      </c>
      <c r="I52" s="1083" t="str">
        <f>IFERROR(IF(INDEX('Coverage Indicator_Import-Expor'!N$7:N$223,MATCH($B52,'Coverage Indicator_Import-Expor'!$C$7:$C$223,0))="","",INDEX('Coverage Indicator_Import-Expor'!N$7:N$223,MATCH($B52,'Coverage Indicator_Import-Expor'!$C$7:$C$223,0))),"")</f>
        <v/>
      </c>
      <c r="J52" s="1083" t="str">
        <f>IFERROR(IF(INDEX('Coverage Indicator_Import-Expor'!O$7:O$223,MATCH($B52,'Coverage Indicator_Import-Expor'!$C$7:$C$223,0))="","",INDEX('Coverage Indicator_Import-Expor'!O$7:O$223,MATCH($B52,'Coverage Indicator_Import-Expor'!$C$7:$C$223,0))),"")</f>
        <v/>
      </c>
      <c r="K52" s="1084" t="str">
        <f>IFERROR(IF(INDEX('Coverage Indicator_Import-Expor'!P$7:P$223,MATCH($B52,'Coverage Indicator_Import-Expor'!$C$7:$C$223,0))="","",INDEX('Coverage Indicator_Import-Expor'!P$7:P$223,MATCH($B52,'Coverage Indicator_Import-Expor'!$C$7:$C$223,0))),"")</f>
        <v/>
      </c>
      <c r="L52" s="1082" t="str">
        <f>IFERROR(IF(INDEX('Coverage Indicator_Import-Expor'!Q$7:Q$223,MATCH($B52,'Coverage Indicator_Import-Expor'!$C$7:$C$223,0))="","",INDEX('Coverage Indicator_Import-Expor'!Q$7:Q$223,MATCH($B52,'Coverage Indicator_Import-Expor'!$C$7:$C$223,0))),"")</f>
        <v/>
      </c>
      <c r="M52" s="1082" t="str">
        <f>IFERROR(IF(INDEX('Coverage Indicator_Import-Expor'!R$7:R$223,MATCH($B52,'Coverage Indicator_Import-Expor'!$C$7:$C$223,0))="","",INDEX('Coverage Indicator_Import-Expor'!R$7:R$223,MATCH($B52,'Coverage Indicator_Import-Expor'!$C$7:$C$223,0))),"")</f>
        <v/>
      </c>
      <c r="N52" s="1083" t="str">
        <f>IFERROR(IF(INDEX('Coverage Indicator_Import-Expor'!S$7:S$223,MATCH($B52,'Coverage Indicator_Import-Expor'!$C$7:$C$223,0))="","",INDEX('Coverage Indicator_Import-Expor'!S$7:S$223,MATCH($B52,'Coverage Indicator_Import-Expor'!$C$7:$C$223,0))),"")</f>
        <v/>
      </c>
      <c r="O52" s="1083" t="str">
        <f>IFERROR(IF(INDEX('Coverage Indicator_Import-Expor'!T$7:T$223,MATCH($B52,'Coverage Indicator_Import-Expor'!$C$7:$C$223,0))="","",INDEX('Coverage Indicator_Import-Expor'!T$7:T$223,MATCH($B52,'Coverage Indicator_Import-Expor'!$C$7:$C$223,0))),"")</f>
        <v/>
      </c>
      <c r="P52" s="1084" t="str">
        <f>IFERROR(IF(INDEX('Coverage Indicator_Import-Expor'!U$7:U$223,MATCH($B52,'Coverage Indicator_Import-Expor'!$C$7:$C$223,0))="","",INDEX('Coverage Indicator_Import-Expor'!U$7:U$223,MATCH($B52,'Coverage Indicator_Import-Expor'!$C$7:$C$223,0))),"")</f>
        <v/>
      </c>
      <c r="Q52" s="1085"/>
      <c r="R52" s="1085"/>
      <c r="S52" s="1086" t="str">
        <f t="shared" si="16"/>
        <v/>
      </c>
      <c r="T52" s="1087"/>
      <c r="U52" s="1088" t="str">
        <f t="shared" si="17"/>
        <v xml:space="preserve"> </v>
      </c>
      <c r="V52" s="1087"/>
      <c r="W52" s="1089" t="str">
        <f t="shared" si="18"/>
        <v>No Results Reported</v>
      </c>
      <c r="X52" s="1085"/>
      <c r="Y52" s="1085"/>
      <c r="Z52" s="1086" t="str">
        <f t="shared" si="19"/>
        <v/>
      </c>
      <c r="AA52" s="1087"/>
      <c r="AB52" s="1088" t="str">
        <f t="shared" si="20"/>
        <v xml:space="preserve"> </v>
      </c>
      <c r="AC52" s="1087"/>
      <c r="AD52" s="1087"/>
      <c r="AE52" s="1089" t="str">
        <f t="shared" si="21"/>
        <v>No Results Reported</v>
      </c>
      <c r="AF52" s="1085"/>
      <c r="AG52" s="1085"/>
      <c r="AH52" s="1086" t="str">
        <f t="shared" si="22"/>
        <v/>
      </c>
      <c r="AI52" s="1088" t="str">
        <f t="shared" si="23"/>
        <v xml:space="preserve"> </v>
      </c>
      <c r="AJ52" s="1087"/>
      <c r="AK52" s="1090" t="str">
        <f t="shared" si="24"/>
        <v>No Results Reported</v>
      </c>
    </row>
    <row r="53" spans="1:37" x14ac:dyDescent="0.2">
      <c r="A53" s="508">
        <f t="shared" si="4"/>
        <v>43</v>
      </c>
      <c r="B53" s="509" t="str">
        <f t="shared" si="15"/>
        <v>Coverage43</v>
      </c>
      <c r="C53" s="1081" t="str">
        <f>IFERROR(INDEX('Coverage Indicator_Import-Expor'!$D$7:$D$223,MATCH(B53,'Coverage Indicator_Import-Expor'!$C$7:$C$223,0)),"")</f>
        <v/>
      </c>
      <c r="D53" s="1082" t="str">
        <f>IFERROR(INDEX('Coverage Indicator_Import-Expor'!$E$7:$E$223,MATCH(B53,'Coverage Indicator_Import-Expor'!$C$7:$C$223,0)),"")</f>
        <v/>
      </c>
      <c r="E53" s="1082" t="str">
        <f>IFERROR(IF(INDEX('Coverage Indicator_Import-Expor'!K$7:K$223,MATCH($B53,'Coverage Indicator_Import-Expor'!$C$7:$C$223,0))="","",INDEX('Coverage Indicator_Import-Expor'!K$7:K$223,MATCH($B53,'Coverage Indicator_Import-Expor'!$C$7:$C$223,0))),"")</f>
        <v/>
      </c>
      <c r="F53" s="1082" t="str">
        <f>IFERROR(IF(INDEX('Coverage Indicator_Import-Expor'!L$7:L$223,MATCH($B53,'Coverage Indicator_Import-Expor'!$C$7:$C$223,0))="","",INDEX('Coverage Indicator_Import-Expor'!L$7:L$223,MATCH($B53,'Coverage Indicator_Import-Expor'!$C$7:$C$223,0))),"")</f>
        <v/>
      </c>
      <c r="G53" s="1082" t="str">
        <f>IFERROR(IF(INDEX('Coverage Indicator_Import-Expor'!AR$7:AR$223,MATCH($B53,'Coverage Indicator_Import-Expor'!$C$7:$C$223,0))="","",INDEX('Coverage Indicator_Import-Expor'!AR$7:AR$223,MATCH($B53,'Coverage Indicator_Import-Expor'!$C$7:$C$223,0))),"")</f>
        <v/>
      </c>
      <c r="H53" s="1082" t="str">
        <f>IFERROR(IF(INDEX('Coverage Indicator_Import-Expor'!AS$7:AS$223,MATCH($B53,'Coverage Indicator_Import-Expor'!$C$7:$C$223,0))="","",INDEX('Coverage Indicator_Import-Expor'!AS$7:AS$223,MATCH($B53,'Coverage Indicator_Import-Expor'!$C$7:$C$223,0))),"")</f>
        <v/>
      </c>
      <c r="I53" s="1083" t="str">
        <f>IFERROR(IF(INDEX('Coverage Indicator_Import-Expor'!N$7:N$223,MATCH($B53,'Coverage Indicator_Import-Expor'!$C$7:$C$223,0))="","",INDEX('Coverage Indicator_Import-Expor'!N$7:N$223,MATCH($B53,'Coverage Indicator_Import-Expor'!$C$7:$C$223,0))),"")</f>
        <v/>
      </c>
      <c r="J53" s="1083" t="str">
        <f>IFERROR(IF(INDEX('Coverage Indicator_Import-Expor'!O$7:O$223,MATCH($B53,'Coverage Indicator_Import-Expor'!$C$7:$C$223,0))="","",INDEX('Coverage Indicator_Import-Expor'!O$7:O$223,MATCH($B53,'Coverage Indicator_Import-Expor'!$C$7:$C$223,0))),"")</f>
        <v/>
      </c>
      <c r="K53" s="1084" t="str">
        <f>IFERROR(IF(INDEX('Coverage Indicator_Import-Expor'!P$7:P$223,MATCH($B53,'Coverage Indicator_Import-Expor'!$C$7:$C$223,0))="","",INDEX('Coverage Indicator_Import-Expor'!P$7:P$223,MATCH($B53,'Coverage Indicator_Import-Expor'!$C$7:$C$223,0))),"")</f>
        <v/>
      </c>
      <c r="L53" s="1082" t="str">
        <f>IFERROR(IF(INDEX('Coverage Indicator_Import-Expor'!Q$7:Q$223,MATCH($B53,'Coverage Indicator_Import-Expor'!$C$7:$C$223,0))="","",INDEX('Coverage Indicator_Import-Expor'!Q$7:Q$223,MATCH($B53,'Coverage Indicator_Import-Expor'!$C$7:$C$223,0))),"")</f>
        <v/>
      </c>
      <c r="M53" s="1082" t="str">
        <f>IFERROR(IF(INDEX('Coverage Indicator_Import-Expor'!R$7:R$223,MATCH($B53,'Coverage Indicator_Import-Expor'!$C$7:$C$223,0))="","",INDEX('Coverage Indicator_Import-Expor'!R$7:R$223,MATCH($B53,'Coverage Indicator_Import-Expor'!$C$7:$C$223,0))),"")</f>
        <v/>
      </c>
      <c r="N53" s="1083" t="str">
        <f>IFERROR(IF(INDEX('Coverage Indicator_Import-Expor'!S$7:S$223,MATCH($B53,'Coverage Indicator_Import-Expor'!$C$7:$C$223,0))="","",INDEX('Coverage Indicator_Import-Expor'!S$7:S$223,MATCH($B53,'Coverage Indicator_Import-Expor'!$C$7:$C$223,0))),"")</f>
        <v/>
      </c>
      <c r="O53" s="1083" t="str">
        <f>IFERROR(IF(INDEX('Coverage Indicator_Import-Expor'!T$7:T$223,MATCH($B53,'Coverage Indicator_Import-Expor'!$C$7:$C$223,0))="","",INDEX('Coverage Indicator_Import-Expor'!T$7:T$223,MATCH($B53,'Coverage Indicator_Import-Expor'!$C$7:$C$223,0))),"")</f>
        <v/>
      </c>
      <c r="P53" s="1084" t="str">
        <f>IFERROR(IF(INDEX('Coverage Indicator_Import-Expor'!U$7:U$223,MATCH($B53,'Coverage Indicator_Import-Expor'!$C$7:$C$223,0))="","",INDEX('Coverage Indicator_Import-Expor'!U$7:U$223,MATCH($B53,'Coverage Indicator_Import-Expor'!$C$7:$C$223,0))),"")</f>
        <v/>
      </c>
      <c r="Q53" s="1085"/>
      <c r="R53" s="1085"/>
      <c r="S53" s="1086" t="str">
        <f t="shared" si="16"/>
        <v/>
      </c>
      <c r="T53" s="1087"/>
      <c r="U53" s="1088" t="str">
        <f t="shared" si="17"/>
        <v xml:space="preserve"> </v>
      </c>
      <c r="V53" s="1087"/>
      <c r="W53" s="1089" t="str">
        <f t="shared" si="18"/>
        <v>No Results Reported</v>
      </c>
      <c r="X53" s="1085"/>
      <c r="Y53" s="1085"/>
      <c r="Z53" s="1086" t="str">
        <f t="shared" si="19"/>
        <v/>
      </c>
      <c r="AA53" s="1087"/>
      <c r="AB53" s="1088" t="str">
        <f t="shared" si="20"/>
        <v xml:space="preserve"> </v>
      </c>
      <c r="AC53" s="1087"/>
      <c r="AD53" s="1087"/>
      <c r="AE53" s="1089" t="str">
        <f t="shared" si="21"/>
        <v>No Results Reported</v>
      </c>
      <c r="AF53" s="1085"/>
      <c r="AG53" s="1085"/>
      <c r="AH53" s="1086" t="str">
        <f t="shared" si="22"/>
        <v/>
      </c>
      <c r="AI53" s="1088" t="str">
        <f t="shared" si="23"/>
        <v xml:space="preserve"> </v>
      </c>
      <c r="AJ53" s="1087"/>
      <c r="AK53" s="1090" t="str">
        <f t="shared" si="24"/>
        <v>No Results Reported</v>
      </c>
    </row>
    <row r="54" spans="1:37" x14ac:dyDescent="0.2">
      <c r="A54" s="508">
        <f t="shared" si="4"/>
        <v>44</v>
      </c>
      <c r="B54" s="509" t="str">
        <f t="shared" si="15"/>
        <v>Coverage44</v>
      </c>
      <c r="C54" s="1081" t="str">
        <f>IFERROR(INDEX('Coverage Indicator_Import-Expor'!$D$7:$D$223,MATCH(B54,'Coverage Indicator_Import-Expor'!$C$7:$C$223,0)),"")</f>
        <v/>
      </c>
      <c r="D54" s="1082" t="str">
        <f>IFERROR(INDEX('Coverage Indicator_Import-Expor'!$E$7:$E$223,MATCH(B54,'Coverage Indicator_Import-Expor'!$C$7:$C$223,0)),"")</f>
        <v/>
      </c>
      <c r="E54" s="1082" t="str">
        <f>IFERROR(IF(INDEX('Coverage Indicator_Import-Expor'!K$7:K$223,MATCH($B54,'Coverage Indicator_Import-Expor'!$C$7:$C$223,0))="","",INDEX('Coverage Indicator_Import-Expor'!K$7:K$223,MATCH($B54,'Coverage Indicator_Import-Expor'!$C$7:$C$223,0))),"")</f>
        <v/>
      </c>
      <c r="F54" s="1082" t="str">
        <f>IFERROR(IF(INDEX('Coverage Indicator_Import-Expor'!L$7:L$223,MATCH($B54,'Coverage Indicator_Import-Expor'!$C$7:$C$223,0))="","",INDEX('Coverage Indicator_Import-Expor'!L$7:L$223,MATCH($B54,'Coverage Indicator_Import-Expor'!$C$7:$C$223,0))),"")</f>
        <v/>
      </c>
      <c r="G54" s="1082" t="str">
        <f>IFERROR(IF(INDEX('Coverage Indicator_Import-Expor'!AR$7:AR$223,MATCH($B54,'Coverage Indicator_Import-Expor'!$C$7:$C$223,0))="","",INDEX('Coverage Indicator_Import-Expor'!AR$7:AR$223,MATCH($B54,'Coverage Indicator_Import-Expor'!$C$7:$C$223,0))),"")</f>
        <v/>
      </c>
      <c r="H54" s="1082" t="str">
        <f>IFERROR(IF(INDEX('Coverage Indicator_Import-Expor'!AS$7:AS$223,MATCH($B54,'Coverage Indicator_Import-Expor'!$C$7:$C$223,0))="","",INDEX('Coverage Indicator_Import-Expor'!AS$7:AS$223,MATCH($B54,'Coverage Indicator_Import-Expor'!$C$7:$C$223,0))),"")</f>
        <v/>
      </c>
      <c r="I54" s="1083" t="str">
        <f>IFERROR(IF(INDEX('Coverage Indicator_Import-Expor'!N$7:N$223,MATCH($B54,'Coverage Indicator_Import-Expor'!$C$7:$C$223,0))="","",INDEX('Coverage Indicator_Import-Expor'!N$7:N$223,MATCH($B54,'Coverage Indicator_Import-Expor'!$C$7:$C$223,0))),"")</f>
        <v/>
      </c>
      <c r="J54" s="1083" t="str">
        <f>IFERROR(IF(INDEX('Coverage Indicator_Import-Expor'!O$7:O$223,MATCH($B54,'Coverage Indicator_Import-Expor'!$C$7:$C$223,0))="","",INDEX('Coverage Indicator_Import-Expor'!O$7:O$223,MATCH($B54,'Coverage Indicator_Import-Expor'!$C$7:$C$223,0))),"")</f>
        <v/>
      </c>
      <c r="K54" s="1084" t="str">
        <f>IFERROR(IF(INDEX('Coverage Indicator_Import-Expor'!P$7:P$223,MATCH($B54,'Coverage Indicator_Import-Expor'!$C$7:$C$223,0))="","",INDEX('Coverage Indicator_Import-Expor'!P$7:P$223,MATCH($B54,'Coverage Indicator_Import-Expor'!$C$7:$C$223,0))),"")</f>
        <v/>
      </c>
      <c r="L54" s="1082" t="str">
        <f>IFERROR(IF(INDEX('Coverage Indicator_Import-Expor'!Q$7:Q$223,MATCH($B54,'Coverage Indicator_Import-Expor'!$C$7:$C$223,0))="","",INDEX('Coverage Indicator_Import-Expor'!Q$7:Q$223,MATCH($B54,'Coverage Indicator_Import-Expor'!$C$7:$C$223,0))),"")</f>
        <v/>
      </c>
      <c r="M54" s="1082" t="str">
        <f>IFERROR(IF(INDEX('Coverage Indicator_Import-Expor'!R$7:R$223,MATCH($B54,'Coverage Indicator_Import-Expor'!$C$7:$C$223,0))="","",INDEX('Coverage Indicator_Import-Expor'!R$7:R$223,MATCH($B54,'Coverage Indicator_Import-Expor'!$C$7:$C$223,0))),"")</f>
        <v/>
      </c>
      <c r="N54" s="1083" t="str">
        <f>IFERROR(IF(INDEX('Coverage Indicator_Import-Expor'!S$7:S$223,MATCH($B54,'Coverage Indicator_Import-Expor'!$C$7:$C$223,0))="","",INDEX('Coverage Indicator_Import-Expor'!S$7:S$223,MATCH($B54,'Coverage Indicator_Import-Expor'!$C$7:$C$223,0))),"")</f>
        <v/>
      </c>
      <c r="O54" s="1083" t="str">
        <f>IFERROR(IF(INDEX('Coverage Indicator_Import-Expor'!T$7:T$223,MATCH($B54,'Coverage Indicator_Import-Expor'!$C$7:$C$223,0))="","",INDEX('Coverage Indicator_Import-Expor'!T$7:T$223,MATCH($B54,'Coverage Indicator_Import-Expor'!$C$7:$C$223,0))),"")</f>
        <v/>
      </c>
      <c r="P54" s="1084" t="str">
        <f>IFERROR(IF(INDEX('Coverage Indicator_Import-Expor'!U$7:U$223,MATCH($B54,'Coverage Indicator_Import-Expor'!$C$7:$C$223,0))="","",INDEX('Coverage Indicator_Import-Expor'!U$7:U$223,MATCH($B54,'Coverage Indicator_Import-Expor'!$C$7:$C$223,0))),"")</f>
        <v/>
      </c>
      <c r="Q54" s="1085"/>
      <c r="R54" s="1085"/>
      <c r="S54" s="1086" t="str">
        <f t="shared" si="16"/>
        <v/>
      </c>
      <c r="T54" s="1087"/>
      <c r="U54" s="1088" t="str">
        <f t="shared" si="17"/>
        <v xml:space="preserve"> </v>
      </c>
      <c r="V54" s="1087"/>
      <c r="W54" s="1089" t="str">
        <f t="shared" si="18"/>
        <v>No Results Reported</v>
      </c>
      <c r="X54" s="1085"/>
      <c r="Y54" s="1085"/>
      <c r="Z54" s="1086" t="str">
        <f t="shared" si="19"/>
        <v/>
      </c>
      <c r="AA54" s="1087"/>
      <c r="AB54" s="1088" t="str">
        <f t="shared" si="20"/>
        <v xml:space="preserve"> </v>
      </c>
      <c r="AC54" s="1087"/>
      <c r="AD54" s="1087"/>
      <c r="AE54" s="1089" t="str">
        <f t="shared" si="21"/>
        <v>No Results Reported</v>
      </c>
      <c r="AF54" s="1085"/>
      <c r="AG54" s="1085"/>
      <c r="AH54" s="1086" t="str">
        <f t="shared" si="22"/>
        <v/>
      </c>
      <c r="AI54" s="1088" t="str">
        <f t="shared" si="23"/>
        <v xml:space="preserve"> </v>
      </c>
      <c r="AJ54" s="1087"/>
      <c r="AK54" s="1090" t="str">
        <f t="shared" si="24"/>
        <v>No Results Reported</v>
      </c>
    </row>
    <row r="55" spans="1:37" x14ac:dyDescent="0.2">
      <c r="A55" s="508">
        <f t="shared" si="4"/>
        <v>45</v>
      </c>
      <c r="B55" s="509" t="str">
        <f t="shared" si="15"/>
        <v>Coverage45</v>
      </c>
      <c r="C55" s="1081" t="str">
        <f>IFERROR(INDEX('Coverage Indicator_Import-Expor'!$D$7:$D$223,MATCH(B55,'Coverage Indicator_Import-Expor'!$C$7:$C$223,0)),"")</f>
        <v/>
      </c>
      <c r="D55" s="1082" t="str">
        <f>IFERROR(INDEX('Coverage Indicator_Import-Expor'!$E$7:$E$223,MATCH(B55,'Coverage Indicator_Import-Expor'!$C$7:$C$223,0)),"")</f>
        <v/>
      </c>
      <c r="E55" s="1082" t="str">
        <f>IFERROR(IF(INDEX('Coverage Indicator_Import-Expor'!K$7:K$223,MATCH($B55,'Coverage Indicator_Import-Expor'!$C$7:$C$223,0))="","",INDEX('Coverage Indicator_Import-Expor'!K$7:K$223,MATCH($B55,'Coverage Indicator_Import-Expor'!$C$7:$C$223,0))),"")</f>
        <v/>
      </c>
      <c r="F55" s="1082" t="str">
        <f>IFERROR(IF(INDEX('Coverage Indicator_Import-Expor'!L$7:L$223,MATCH($B55,'Coverage Indicator_Import-Expor'!$C$7:$C$223,0))="","",INDEX('Coverage Indicator_Import-Expor'!L$7:L$223,MATCH($B55,'Coverage Indicator_Import-Expor'!$C$7:$C$223,0))),"")</f>
        <v/>
      </c>
      <c r="G55" s="1082" t="str">
        <f>IFERROR(IF(INDEX('Coverage Indicator_Import-Expor'!AR$7:AR$223,MATCH($B55,'Coverage Indicator_Import-Expor'!$C$7:$C$223,0))="","",INDEX('Coverage Indicator_Import-Expor'!AR$7:AR$223,MATCH($B55,'Coverage Indicator_Import-Expor'!$C$7:$C$223,0))),"")</f>
        <v/>
      </c>
      <c r="H55" s="1082" t="str">
        <f>IFERROR(IF(INDEX('Coverage Indicator_Import-Expor'!AS$7:AS$223,MATCH($B55,'Coverage Indicator_Import-Expor'!$C$7:$C$223,0))="","",INDEX('Coverage Indicator_Import-Expor'!AS$7:AS$223,MATCH($B55,'Coverage Indicator_Import-Expor'!$C$7:$C$223,0))),"")</f>
        <v/>
      </c>
      <c r="I55" s="1083" t="str">
        <f>IFERROR(IF(INDEX('Coverage Indicator_Import-Expor'!N$7:N$223,MATCH($B55,'Coverage Indicator_Import-Expor'!$C$7:$C$223,0))="","",INDEX('Coverage Indicator_Import-Expor'!N$7:N$223,MATCH($B55,'Coverage Indicator_Import-Expor'!$C$7:$C$223,0))),"")</f>
        <v/>
      </c>
      <c r="J55" s="1083" t="str">
        <f>IFERROR(IF(INDEX('Coverage Indicator_Import-Expor'!O$7:O$223,MATCH($B55,'Coverage Indicator_Import-Expor'!$C$7:$C$223,0))="","",INDEX('Coverage Indicator_Import-Expor'!O$7:O$223,MATCH($B55,'Coverage Indicator_Import-Expor'!$C$7:$C$223,0))),"")</f>
        <v/>
      </c>
      <c r="K55" s="1084" t="str">
        <f>IFERROR(IF(INDEX('Coverage Indicator_Import-Expor'!P$7:P$223,MATCH($B55,'Coverage Indicator_Import-Expor'!$C$7:$C$223,0))="","",INDEX('Coverage Indicator_Import-Expor'!P$7:P$223,MATCH($B55,'Coverage Indicator_Import-Expor'!$C$7:$C$223,0))),"")</f>
        <v/>
      </c>
      <c r="L55" s="1082" t="str">
        <f>IFERROR(IF(INDEX('Coverage Indicator_Import-Expor'!Q$7:Q$223,MATCH($B55,'Coverage Indicator_Import-Expor'!$C$7:$C$223,0))="","",INDEX('Coverage Indicator_Import-Expor'!Q$7:Q$223,MATCH($B55,'Coverage Indicator_Import-Expor'!$C$7:$C$223,0))),"")</f>
        <v/>
      </c>
      <c r="M55" s="1082" t="str">
        <f>IFERROR(IF(INDEX('Coverage Indicator_Import-Expor'!R$7:R$223,MATCH($B55,'Coverage Indicator_Import-Expor'!$C$7:$C$223,0))="","",INDEX('Coverage Indicator_Import-Expor'!R$7:R$223,MATCH($B55,'Coverage Indicator_Import-Expor'!$C$7:$C$223,0))),"")</f>
        <v/>
      </c>
      <c r="N55" s="1083" t="str">
        <f>IFERROR(IF(INDEX('Coverage Indicator_Import-Expor'!S$7:S$223,MATCH($B55,'Coverage Indicator_Import-Expor'!$C$7:$C$223,0))="","",INDEX('Coverage Indicator_Import-Expor'!S$7:S$223,MATCH($B55,'Coverage Indicator_Import-Expor'!$C$7:$C$223,0))),"")</f>
        <v/>
      </c>
      <c r="O55" s="1083" t="str">
        <f>IFERROR(IF(INDEX('Coverage Indicator_Import-Expor'!T$7:T$223,MATCH($B55,'Coverage Indicator_Import-Expor'!$C$7:$C$223,0))="","",INDEX('Coverage Indicator_Import-Expor'!T$7:T$223,MATCH($B55,'Coverage Indicator_Import-Expor'!$C$7:$C$223,0))),"")</f>
        <v/>
      </c>
      <c r="P55" s="1084" t="str">
        <f>IFERROR(IF(INDEX('Coverage Indicator_Import-Expor'!U$7:U$223,MATCH($B55,'Coverage Indicator_Import-Expor'!$C$7:$C$223,0))="","",INDEX('Coverage Indicator_Import-Expor'!U$7:U$223,MATCH($B55,'Coverage Indicator_Import-Expor'!$C$7:$C$223,0))),"")</f>
        <v/>
      </c>
      <c r="Q55" s="1085"/>
      <c r="R55" s="1085"/>
      <c r="S55" s="1086" t="str">
        <f t="shared" si="16"/>
        <v/>
      </c>
      <c r="T55" s="1087"/>
      <c r="U55" s="1088" t="str">
        <f t="shared" si="17"/>
        <v xml:space="preserve"> </v>
      </c>
      <c r="V55" s="1087"/>
      <c r="W55" s="1089" t="str">
        <f t="shared" si="18"/>
        <v>No Results Reported</v>
      </c>
      <c r="X55" s="1085"/>
      <c r="Y55" s="1085"/>
      <c r="Z55" s="1086" t="str">
        <f t="shared" si="19"/>
        <v/>
      </c>
      <c r="AA55" s="1087"/>
      <c r="AB55" s="1088" t="str">
        <f t="shared" si="20"/>
        <v xml:space="preserve"> </v>
      </c>
      <c r="AC55" s="1087"/>
      <c r="AD55" s="1087"/>
      <c r="AE55" s="1089" t="str">
        <f t="shared" si="21"/>
        <v>No Results Reported</v>
      </c>
      <c r="AF55" s="1085"/>
      <c r="AG55" s="1085"/>
      <c r="AH55" s="1086" t="str">
        <f t="shared" si="22"/>
        <v/>
      </c>
      <c r="AI55" s="1088" t="str">
        <f t="shared" si="23"/>
        <v xml:space="preserve"> </v>
      </c>
      <c r="AJ55" s="1087"/>
      <c r="AK55" s="1090" t="str">
        <f t="shared" si="24"/>
        <v>No Results Reported</v>
      </c>
    </row>
    <row r="56" spans="1:37" x14ac:dyDescent="0.2">
      <c r="A56" s="508">
        <f t="shared" si="4"/>
        <v>46</v>
      </c>
      <c r="B56" s="509" t="str">
        <f t="shared" si="15"/>
        <v>Coverage46</v>
      </c>
      <c r="C56" s="1081" t="str">
        <f>IFERROR(INDEX('Coverage Indicator_Import-Expor'!$D$7:$D$223,MATCH(B56,'Coverage Indicator_Import-Expor'!$C$7:$C$223,0)),"")</f>
        <v/>
      </c>
      <c r="D56" s="1082" t="str">
        <f>IFERROR(INDEX('Coverage Indicator_Import-Expor'!$E$7:$E$223,MATCH(B56,'Coverage Indicator_Import-Expor'!$C$7:$C$223,0)),"")</f>
        <v/>
      </c>
      <c r="E56" s="1082" t="str">
        <f>IFERROR(IF(INDEX('Coverage Indicator_Import-Expor'!K$7:K$223,MATCH($B56,'Coverage Indicator_Import-Expor'!$C$7:$C$223,0))="","",INDEX('Coverage Indicator_Import-Expor'!K$7:K$223,MATCH($B56,'Coverage Indicator_Import-Expor'!$C$7:$C$223,0))),"")</f>
        <v/>
      </c>
      <c r="F56" s="1082" t="str">
        <f>IFERROR(IF(INDEX('Coverage Indicator_Import-Expor'!L$7:L$223,MATCH($B56,'Coverage Indicator_Import-Expor'!$C$7:$C$223,0))="","",INDEX('Coverage Indicator_Import-Expor'!L$7:L$223,MATCH($B56,'Coverage Indicator_Import-Expor'!$C$7:$C$223,0))),"")</f>
        <v/>
      </c>
      <c r="G56" s="1082" t="str">
        <f>IFERROR(IF(INDEX('Coverage Indicator_Import-Expor'!AR$7:AR$223,MATCH($B56,'Coverage Indicator_Import-Expor'!$C$7:$C$223,0))="","",INDEX('Coverage Indicator_Import-Expor'!AR$7:AR$223,MATCH($B56,'Coverage Indicator_Import-Expor'!$C$7:$C$223,0))),"")</f>
        <v/>
      </c>
      <c r="H56" s="1082" t="str">
        <f>IFERROR(IF(INDEX('Coverage Indicator_Import-Expor'!AS$7:AS$223,MATCH($B56,'Coverage Indicator_Import-Expor'!$C$7:$C$223,0))="","",INDEX('Coverage Indicator_Import-Expor'!AS$7:AS$223,MATCH($B56,'Coverage Indicator_Import-Expor'!$C$7:$C$223,0))),"")</f>
        <v/>
      </c>
      <c r="I56" s="1083" t="str">
        <f>IFERROR(IF(INDEX('Coverage Indicator_Import-Expor'!N$7:N$223,MATCH($B56,'Coverage Indicator_Import-Expor'!$C$7:$C$223,0))="","",INDEX('Coverage Indicator_Import-Expor'!N$7:N$223,MATCH($B56,'Coverage Indicator_Import-Expor'!$C$7:$C$223,0))),"")</f>
        <v/>
      </c>
      <c r="J56" s="1083" t="str">
        <f>IFERROR(IF(INDEX('Coverage Indicator_Import-Expor'!O$7:O$223,MATCH($B56,'Coverage Indicator_Import-Expor'!$C$7:$C$223,0))="","",INDEX('Coverage Indicator_Import-Expor'!O$7:O$223,MATCH($B56,'Coverage Indicator_Import-Expor'!$C$7:$C$223,0))),"")</f>
        <v/>
      </c>
      <c r="K56" s="1084" t="str">
        <f>IFERROR(IF(INDEX('Coverage Indicator_Import-Expor'!P$7:P$223,MATCH($B56,'Coverage Indicator_Import-Expor'!$C$7:$C$223,0))="","",INDEX('Coverage Indicator_Import-Expor'!P$7:P$223,MATCH($B56,'Coverage Indicator_Import-Expor'!$C$7:$C$223,0))),"")</f>
        <v/>
      </c>
      <c r="L56" s="1082" t="str">
        <f>IFERROR(IF(INDEX('Coverage Indicator_Import-Expor'!Q$7:Q$223,MATCH($B56,'Coverage Indicator_Import-Expor'!$C$7:$C$223,0))="","",INDEX('Coverage Indicator_Import-Expor'!Q$7:Q$223,MATCH($B56,'Coverage Indicator_Import-Expor'!$C$7:$C$223,0))),"")</f>
        <v/>
      </c>
      <c r="M56" s="1082" t="str">
        <f>IFERROR(IF(INDEX('Coverage Indicator_Import-Expor'!R$7:R$223,MATCH($B56,'Coverage Indicator_Import-Expor'!$C$7:$C$223,0))="","",INDEX('Coverage Indicator_Import-Expor'!R$7:R$223,MATCH($B56,'Coverage Indicator_Import-Expor'!$C$7:$C$223,0))),"")</f>
        <v/>
      </c>
      <c r="N56" s="1083" t="str">
        <f>IFERROR(IF(INDEX('Coverage Indicator_Import-Expor'!S$7:S$223,MATCH($B56,'Coverage Indicator_Import-Expor'!$C$7:$C$223,0))="","",INDEX('Coverage Indicator_Import-Expor'!S$7:S$223,MATCH($B56,'Coverage Indicator_Import-Expor'!$C$7:$C$223,0))),"")</f>
        <v/>
      </c>
      <c r="O56" s="1083" t="str">
        <f>IFERROR(IF(INDEX('Coverage Indicator_Import-Expor'!T$7:T$223,MATCH($B56,'Coverage Indicator_Import-Expor'!$C$7:$C$223,0))="","",INDEX('Coverage Indicator_Import-Expor'!T$7:T$223,MATCH($B56,'Coverage Indicator_Import-Expor'!$C$7:$C$223,0))),"")</f>
        <v/>
      </c>
      <c r="P56" s="1084" t="str">
        <f>IFERROR(IF(INDEX('Coverage Indicator_Import-Expor'!U$7:U$223,MATCH($B56,'Coverage Indicator_Import-Expor'!$C$7:$C$223,0))="","",INDEX('Coverage Indicator_Import-Expor'!U$7:U$223,MATCH($B56,'Coverage Indicator_Import-Expor'!$C$7:$C$223,0))),"")</f>
        <v/>
      </c>
      <c r="Q56" s="1085"/>
      <c r="R56" s="1085"/>
      <c r="S56" s="1086" t="str">
        <f t="shared" si="16"/>
        <v/>
      </c>
      <c r="T56" s="1087"/>
      <c r="U56" s="1088" t="str">
        <f t="shared" si="17"/>
        <v xml:space="preserve"> </v>
      </c>
      <c r="V56" s="1087"/>
      <c r="W56" s="1089" t="str">
        <f t="shared" si="18"/>
        <v>No Results Reported</v>
      </c>
      <c r="X56" s="1085"/>
      <c r="Y56" s="1085"/>
      <c r="Z56" s="1086" t="str">
        <f t="shared" si="19"/>
        <v/>
      </c>
      <c r="AA56" s="1087"/>
      <c r="AB56" s="1088" t="str">
        <f t="shared" si="20"/>
        <v xml:space="preserve"> </v>
      </c>
      <c r="AC56" s="1087"/>
      <c r="AD56" s="1087"/>
      <c r="AE56" s="1089" t="str">
        <f t="shared" si="21"/>
        <v>No Results Reported</v>
      </c>
      <c r="AF56" s="1085"/>
      <c r="AG56" s="1085"/>
      <c r="AH56" s="1086" t="str">
        <f t="shared" si="22"/>
        <v/>
      </c>
      <c r="AI56" s="1088" t="str">
        <f t="shared" si="23"/>
        <v xml:space="preserve"> </v>
      </c>
      <c r="AJ56" s="1087"/>
      <c r="AK56" s="1090" t="str">
        <f t="shared" si="24"/>
        <v>No Results Reported</v>
      </c>
    </row>
    <row r="57" spans="1:37" x14ac:dyDescent="0.2">
      <c r="A57" s="508">
        <f t="shared" si="4"/>
        <v>47</v>
      </c>
      <c r="B57" s="509" t="str">
        <f t="shared" si="15"/>
        <v>Coverage47</v>
      </c>
      <c r="C57" s="1081" t="str">
        <f>IFERROR(INDEX('Coverage Indicator_Import-Expor'!$D$7:$D$223,MATCH(B57,'Coverage Indicator_Import-Expor'!$C$7:$C$223,0)),"")</f>
        <v/>
      </c>
      <c r="D57" s="1082" t="str">
        <f>IFERROR(INDEX('Coverage Indicator_Import-Expor'!$E$7:$E$223,MATCH(B57,'Coverage Indicator_Import-Expor'!$C$7:$C$223,0)),"")</f>
        <v/>
      </c>
      <c r="E57" s="1082" t="str">
        <f>IFERROR(IF(INDEX('Coverage Indicator_Import-Expor'!K$7:K$223,MATCH($B57,'Coverage Indicator_Import-Expor'!$C$7:$C$223,0))="","",INDEX('Coverage Indicator_Import-Expor'!K$7:K$223,MATCH($B57,'Coverage Indicator_Import-Expor'!$C$7:$C$223,0))),"")</f>
        <v/>
      </c>
      <c r="F57" s="1082" t="str">
        <f>IFERROR(IF(INDEX('Coverage Indicator_Import-Expor'!L$7:L$223,MATCH($B57,'Coverage Indicator_Import-Expor'!$C$7:$C$223,0))="","",INDEX('Coverage Indicator_Import-Expor'!L$7:L$223,MATCH($B57,'Coverage Indicator_Import-Expor'!$C$7:$C$223,0))),"")</f>
        <v/>
      </c>
      <c r="G57" s="1082" t="str">
        <f>IFERROR(IF(INDEX('Coverage Indicator_Import-Expor'!AR$7:AR$223,MATCH($B57,'Coverage Indicator_Import-Expor'!$C$7:$C$223,0))="","",INDEX('Coverage Indicator_Import-Expor'!AR$7:AR$223,MATCH($B57,'Coverage Indicator_Import-Expor'!$C$7:$C$223,0))),"")</f>
        <v/>
      </c>
      <c r="H57" s="1082" t="str">
        <f>IFERROR(IF(INDEX('Coverage Indicator_Import-Expor'!AS$7:AS$223,MATCH($B57,'Coverage Indicator_Import-Expor'!$C$7:$C$223,0))="","",INDEX('Coverage Indicator_Import-Expor'!AS$7:AS$223,MATCH($B57,'Coverage Indicator_Import-Expor'!$C$7:$C$223,0))),"")</f>
        <v/>
      </c>
      <c r="I57" s="1083" t="str">
        <f>IFERROR(IF(INDEX('Coverage Indicator_Import-Expor'!N$7:N$223,MATCH($B57,'Coverage Indicator_Import-Expor'!$C$7:$C$223,0))="","",INDEX('Coverage Indicator_Import-Expor'!N$7:N$223,MATCH($B57,'Coverage Indicator_Import-Expor'!$C$7:$C$223,0))),"")</f>
        <v/>
      </c>
      <c r="J57" s="1083" t="str">
        <f>IFERROR(IF(INDEX('Coverage Indicator_Import-Expor'!O$7:O$223,MATCH($B57,'Coverage Indicator_Import-Expor'!$C$7:$C$223,0))="","",INDEX('Coverage Indicator_Import-Expor'!O$7:O$223,MATCH($B57,'Coverage Indicator_Import-Expor'!$C$7:$C$223,0))),"")</f>
        <v/>
      </c>
      <c r="K57" s="1084" t="str">
        <f>IFERROR(IF(INDEX('Coverage Indicator_Import-Expor'!P$7:P$223,MATCH($B57,'Coverage Indicator_Import-Expor'!$C$7:$C$223,0))="","",INDEX('Coverage Indicator_Import-Expor'!P$7:P$223,MATCH($B57,'Coverage Indicator_Import-Expor'!$C$7:$C$223,0))),"")</f>
        <v/>
      </c>
      <c r="L57" s="1082" t="str">
        <f>IFERROR(IF(INDEX('Coverage Indicator_Import-Expor'!Q$7:Q$223,MATCH($B57,'Coverage Indicator_Import-Expor'!$C$7:$C$223,0))="","",INDEX('Coverage Indicator_Import-Expor'!Q$7:Q$223,MATCH($B57,'Coverage Indicator_Import-Expor'!$C$7:$C$223,0))),"")</f>
        <v/>
      </c>
      <c r="M57" s="1082" t="str">
        <f>IFERROR(IF(INDEX('Coverage Indicator_Import-Expor'!R$7:R$223,MATCH($B57,'Coverage Indicator_Import-Expor'!$C$7:$C$223,0))="","",INDEX('Coverage Indicator_Import-Expor'!R$7:R$223,MATCH($B57,'Coverage Indicator_Import-Expor'!$C$7:$C$223,0))),"")</f>
        <v/>
      </c>
      <c r="N57" s="1083" t="str">
        <f>IFERROR(IF(INDEX('Coverage Indicator_Import-Expor'!S$7:S$223,MATCH($B57,'Coverage Indicator_Import-Expor'!$C$7:$C$223,0))="","",INDEX('Coverage Indicator_Import-Expor'!S$7:S$223,MATCH($B57,'Coverage Indicator_Import-Expor'!$C$7:$C$223,0))),"")</f>
        <v/>
      </c>
      <c r="O57" s="1083" t="str">
        <f>IFERROR(IF(INDEX('Coverage Indicator_Import-Expor'!T$7:T$223,MATCH($B57,'Coverage Indicator_Import-Expor'!$C$7:$C$223,0))="","",INDEX('Coverage Indicator_Import-Expor'!T$7:T$223,MATCH($B57,'Coverage Indicator_Import-Expor'!$C$7:$C$223,0))),"")</f>
        <v/>
      </c>
      <c r="P57" s="1084" t="str">
        <f>IFERROR(IF(INDEX('Coverage Indicator_Import-Expor'!U$7:U$223,MATCH($B57,'Coverage Indicator_Import-Expor'!$C$7:$C$223,0))="","",INDEX('Coverage Indicator_Import-Expor'!U$7:U$223,MATCH($B57,'Coverage Indicator_Import-Expor'!$C$7:$C$223,0))),"")</f>
        <v/>
      </c>
      <c r="Q57" s="1085"/>
      <c r="R57" s="1085"/>
      <c r="S57" s="1086" t="str">
        <f t="shared" si="16"/>
        <v/>
      </c>
      <c r="T57" s="1087"/>
      <c r="U57" s="1088" t="str">
        <f t="shared" si="17"/>
        <v xml:space="preserve"> </v>
      </c>
      <c r="V57" s="1087"/>
      <c r="W57" s="1089" t="str">
        <f t="shared" si="18"/>
        <v>No Results Reported</v>
      </c>
      <c r="X57" s="1085"/>
      <c r="Y57" s="1085"/>
      <c r="Z57" s="1086" t="str">
        <f t="shared" si="19"/>
        <v/>
      </c>
      <c r="AA57" s="1087"/>
      <c r="AB57" s="1088" t="str">
        <f t="shared" si="20"/>
        <v xml:space="preserve"> </v>
      </c>
      <c r="AC57" s="1087"/>
      <c r="AD57" s="1087"/>
      <c r="AE57" s="1089" t="str">
        <f t="shared" si="21"/>
        <v>No Results Reported</v>
      </c>
      <c r="AF57" s="1085"/>
      <c r="AG57" s="1085"/>
      <c r="AH57" s="1086" t="str">
        <f t="shared" si="22"/>
        <v/>
      </c>
      <c r="AI57" s="1088" t="str">
        <f t="shared" si="23"/>
        <v xml:space="preserve"> </v>
      </c>
      <c r="AJ57" s="1087"/>
      <c r="AK57" s="1090" t="str">
        <f t="shared" si="24"/>
        <v>No Results Reported</v>
      </c>
    </row>
    <row r="58" spans="1:37" x14ac:dyDescent="0.2">
      <c r="A58" s="508">
        <f t="shared" si="4"/>
        <v>48</v>
      </c>
      <c r="B58" s="509" t="str">
        <f t="shared" si="15"/>
        <v>Coverage48</v>
      </c>
      <c r="C58" s="1081" t="str">
        <f>IFERROR(INDEX('Coverage Indicator_Import-Expor'!$D$7:$D$223,MATCH(B58,'Coverage Indicator_Import-Expor'!$C$7:$C$223,0)),"")</f>
        <v/>
      </c>
      <c r="D58" s="1082" t="str">
        <f>IFERROR(INDEX('Coverage Indicator_Import-Expor'!$E$7:$E$223,MATCH(B58,'Coverage Indicator_Import-Expor'!$C$7:$C$223,0)),"")</f>
        <v/>
      </c>
      <c r="E58" s="1082" t="str">
        <f>IFERROR(IF(INDEX('Coverage Indicator_Import-Expor'!K$7:K$223,MATCH($B58,'Coverage Indicator_Import-Expor'!$C$7:$C$223,0))="","",INDEX('Coverage Indicator_Import-Expor'!K$7:K$223,MATCH($B58,'Coverage Indicator_Import-Expor'!$C$7:$C$223,0))),"")</f>
        <v/>
      </c>
      <c r="F58" s="1082" t="str">
        <f>IFERROR(IF(INDEX('Coverage Indicator_Import-Expor'!L$7:L$223,MATCH($B58,'Coverage Indicator_Import-Expor'!$C$7:$C$223,0))="","",INDEX('Coverage Indicator_Import-Expor'!L$7:L$223,MATCH($B58,'Coverage Indicator_Import-Expor'!$C$7:$C$223,0))),"")</f>
        <v/>
      </c>
      <c r="G58" s="1082" t="str">
        <f>IFERROR(IF(INDEX('Coverage Indicator_Import-Expor'!AR$7:AR$223,MATCH($B58,'Coverage Indicator_Import-Expor'!$C$7:$C$223,0))="","",INDEX('Coverage Indicator_Import-Expor'!AR$7:AR$223,MATCH($B58,'Coverage Indicator_Import-Expor'!$C$7:$C$223,0))),"")</f>
        <v/>
      </c>
      <c r="H58" s="1082" t="str">
        <f>IFERROR(IF(INDEX('Coverage Indicator_Import-Expor'!AS$7:AS$223,MATCH($B58,'Coverage Indicator_Import-Expor'!$C$7:$C$223,0))="","",INDEX('Coverage Indicator_Import-Expor'!AS$7:AS$223,MATCH($B58,'Coverage Indicator_Import-Expor'!$C$7:$C$223,0))),"")</f>
        <v/>
      </c>
      <c r="I58" s="1083" t="str">
        <f>IFERROR(IF(INDEX('Coverage Indicator_Import-Expor'!N$7:N$223,MATCH($B58,'Coverage Indicator_Import-Expor'!$C$7:$C$223,0))="","",INDEX('Coverage Indicator_Import-Expor'!N$7:N$223,MATCH($B58,'Coverage Indicator_Import-Expor'!$C$7:$C$223,0))),"")</f>
        <v/>
      </c>
      <c r="J58" s="1083" t="str">
        <f>IFERROR(IF(INDEX('Coverage Indicator_Import-Expor'!O$7:O$223,MATCH($B58,'Coverage Indicator_Import-Expor'!$C$7:$C$223,0))="","",INDEX('Coverage Indicator_Import-Expor'!O$7:O$223,MATCH($B58,'Coverage Indicator_Import-Expor'!$C$7:$C$223,0))),"")</f>
        <v/>
      </c>
      <c r="K58" s="1084" t="str">
        <f>IFERROR(IF(INDEX('Coverage Indicator_Import-Expor'!P$7:P$223,MATCH($B58,'Coverage Indicator_Import-Expor'!$C$7:$C$223,0))="","",INDEX('Coverage Indicator_Import-Expor'!P$7:P$223,MATCH($B58,'Coverage Indicator_Import-Expor'!$C$7:$C$223,0))),"")</f>
        <v/>
      </c>
      <c r="L58" s="1082" t="str">
        <f>IFERROR(IF(INDEX('Coverage Indicator_Import-Expor'!Q$7:Q$223,MATCH($B58,'Coverage Indicator_Import-Expor'!$C$7:$C$223,0))="","",INDEX('Coverage Indicator_Import-Expor'!Q$7:Q$223,MATCH($B58,'Coverage Indicator_Import-Expor'!$C$7:$C$223,0))),"")</f>
        <v/>
      </c>
      <c r="M58" s="1082" t="str">
        <f>IFERROR(IF(INDEX('Coverage Indicator_Import-Expor'!R$7:R$223,MATCH($B58,'Coverage Indicator_Import-Expor'!$C$7:$C$223,0))="","",INDEX('Coverage Indicator_Import-Expor'!R$7:R$223,MATCH($B58,'Coverage Indicator_Import-Expor'!$C$7:$C$223,0))),"")</f>
        <v/>
      </c>
      <c r="N58" s="1083" t="str">
        <f>IFERROR(IF(INDEX('Coverage Indicator_Import-Expor'!S$7:S$223,MATCH($B58,'Coverage Indicator_Import-Expor'!$C$7:$C$223,0))="","",INDEX('Coverage Indicator_Import-Expor'!S$7:S$223,MATCH($B58,'Coverage Indicator_Import-Expor'!$C$7:$C$223,0))),"")</f>
        <v/>
      </c>
      <c r="O58" s="1083" t="str">
        <f>IFERROR(IF(INDEX('Coverage Indicator_Import-Expor'!T$7:T$223,MATCH($B58,'Coverage Indicator_Import-Expor'!$C$7:$C$223,0))="","",INDEX('Coverage Indicator_Import-Expor'!T$7:T$223,MATCH($B58,'Coverage Indicator_Import-Expor'!$C$7:$C$223,0))),"")</f>
        <v/>
      </c>
      <c r="P58" s="1084" t="str">
        <f>IFERROR(IF(INDEX('Coverage Indicator_Import-Expor'!U$7:U$223,MATCH($B58,'Coverage Indicator_Import-Expor'!$C$7:$C$223,0))="","",INDEX('Coverage Indicator_Import-Expor'!U$7:U$223,MATCH($B58,'Coverage Indicator_Import-Expor'!$C$7:$C$223,0))),"")</f>
        <v/>
      </c>
      <c r="Q58" s="1085"/>
      <c r="R58" s="1085"/>
      <c r="S58" s="1086" t="str">
        <f t="shared" si="16"/>
        <v/>
      </c>
      <c r="T58" s="1087"/>
      <c r="U58" s="1088" t="str">
        <f t="shared" si="17"/>
        <v xml:space="preserve"> </v>
      </c>
      <c r="V58" s="1087"/>
      <c r="W58" s="1089" t="str">
        <f t="shared" si="18"/>
        <v>No Results Reported</v>
      </c>
      <c r="X58" s="1085"/>
      <c r="Y58" s="1085"/>
      <c r="Z58" s="1086" t="str">
        <f t="shared" si="19"/>
        <v/>
      </c>
      <c r="AA58" s="1087"/>
      <c r="AB58" s="1088" t="str">
        <f t="shared" si="20"/>
        <v xml:space="preserve"> </v>
      </c>
      <c r="AC58" s="1087"/>
      <c r="AD58" s="1087"/>
      <c r="AE58" s="1089" t="str">
        <f t="shared" si="21"/>
        <v>No Results Reported</v>
      </c>
      <c r="AF58" s="1085"/>
      <c r="AG58" s="1085"/>
      <c r="AH58" s="1086" t="str">
        <f t="shared" si="22"/>
        <v/>
      </c>
      <c r="AI58" s="1088" t="str">
        <f t="shared" si="23"/>
        <v xml:space="preserve"> </v>
      </c>
      <c r="AJ58" s="1087"/>
      <c r="AK58" s="1090" t="str">
        <f t="shared" si="24"/>
        <v>No Results Reported</v>
      </c>
    </row>
    <row r="59" spans="1:37" x14ac:dyDescent="0.2">
      <c r="A59" s="508">
        <f t="shared" si="4"/>
        <v>49</v>
      </c>
      <c r="B59" s="509" t="str">
        <f t="shared" si="15"/>
        <v>Coverage49</v>
      </c>
      <c r="C59" s="1081" t="str">
        <f>IFERROR(INDEX('Coverage Indicator_Import-Expor'!$D$7:$D$223,MATCH(B59,'Coverage Indicator_Import-Expor'!$C$7:$C$223,0)),"")</f>
        <v/>
      </c>
      <c r="D59" s="1082" t="str">
        <f>IFERROR(INDEX('Coverage Indicator_Import-Expor'!$E$7:$E$223,MATCH(B59,'Coverage Indicator_Import-Expor'!$C$7:$C$223,0)),"")</f>
        <v/>
      </c>
      <c r="E59" s="1082" t="str">
        <f>IFERROR(IF(INDEX('Coverage Indicator_Import-Expor'!K$7:K$223,MATCH($B59,'Coverage Indicator_Import-Expor'!$C$7:$C$223,0))="","",INDEX('Coverage Indicator_Import-Expor'!K$7:K$223,MATCH($B59,'Coverage Indicator_Import-Expor'!$C$7:$C$223,0))),"")</f>
        <v/>
      </c>
      <c r="F59" s="1082" t="str">
        <f>IFERROR(IF(INDEX('Coverage Indicator_Import-Expor'!L$7:L$223,MATCH($B59,'Coverage Indicator_Import-Expor'!$C$7:$C$223,0))="","",INDEX('Coverage Indicator_Import-Expor'!L$7:L$223,MATCH($B59,'Coverage Indicator_Import-Expor'!$C$7:$C$223,0))),"")</f>
        <v/>
      </c>
      <c r="G59" s="1082" t="str">
        <f>IFERROR(IF(INDEX('Coverage Indicator_Import-Expor'!AR$7:AR$223,MATCH($B59,'Coverage Indicator_Import-Expor'!$C$7:$C$223,0))="","",INDEX('Coverage Indicator_Import-Expor'!AR$7:AR$223,MATCH($B59,'Coverage Indicator_Import-Expor'!$C$7:$C$223,0))),"")</f>
        <v/>
      </c>
      <c r="H59" s="1082" t="str">
        <f>IFERROR(IF(INDEX('Coverage Indicator_Import-Expor'!AS$7:AS$223,MATCH($B59,'Coverage Indicator_Import-Expor'!$C$7:$C$223,0))="","",INDEX('Coverage Indicator_Import-Expor'!AS$7:AS$223,MATCH($B59,'Coverage Indicator_Import-Expor'!$C$7:$C$223,0))),"")</f>
        <v/>
      </c>
      <c r="I59" s="1083" t="str">
        <f>IFERROR(IF(INDEX('Coverage Indicator_Import-Expor'!N$7:N$223,MATCH($B59,'Coverage Indicator_Import-Expor'!$C$7:$C$223,0))="","",INDEX('Coverage Indicator_Import-Expor'!N$7:N$223,MATCH($B59,'Coverage Indicator_Import-Expor'!$C$7:$C$223,0))),"")</f>
        <v/>
      </c>
      <c r="J59" s="1083" t="str">
        <f>IFERROR(IF(INDEX('Coverage Indicator_Import-Expor'!O$7:O$223,MATCH($B59,'Coverage Indicator_Import-Expor'!$C$7:$C$223,0))="","",INDEX('Coverage Indicator_Import-Expor'!O$7:O$223,MATCH($B59,'Coverage Indicator_Import-Expor'!$C$7:$C$223,0))),"")</f>
        <v/>
      </c>
      <c r="K59" s="1084" t="str">
        <f>IFERROR(IF(INDEX('Coverage Indicator_Import-Expor'!P$7:P$223,MATCH($B59,'Coverage Indicator_Import-Expor'!$C$7:$C$223,0))="","",INDEX('Coverage Indicator_Import-Expor'!P$7:P$223,MATCH($B59,'Coverage Indicator_Import-Expor'!$C$7:$C$223,0))),"")</f>
        <v/>
      </c>
      <c r="L59" s="1082" t="str">
        <f>IFERROR(IF(INDEX('Coverage Indicator_Import-Expor'!Q$7:Q$223,MATCH($B59,'Coverage Indicator_Import-Expor'!$C$7:$C$223,0))="","",INDEX('Coverage Indicator_Import-Expor'!Q$7:Q$223,MATCH($B59,'Coverage Indicator_Import-Expor'!$C$7:$C$223,0))),"")</f>
        <v/>
      </c>
      <c r="M59" s="1082" t="str">
        <f>IFERROR(IF(INDEX('Coverage Indicator_Import-Expor'!R$7:R$223,MATCH($B59,'Coverage Indicator_Import-Expor'!$C$7:$C$223,0))="","",INDEX('Coverage Indicator_Import-Expor'!R$7:R$223,MATCH($B59,'Coverage Indicator_Import-Expor'!$C$7:$C$223,0))),"")</f>
        <v/>
      </c>
      <c r="N59" s="1083" t="str">
        <f>IFERROR(IF(INDEX('Coverage Indicator_Import-Expor'!S$7:S$223,MATCH($B59,'Coverage Indicator_Import-Expor'!$C$7:$C$223,0))="","",INDEX('Coverage Indicator_Import-Expor'!S$7:S$223,MATCH($B59,'Coverage Indicator_Import-Expor'!$C$7:$C$223,0))),"")</f>
        <v/>
      </c>
      <c r="O59" s="1083" t="str">
        <f>IFERROR(IF(INDEX('Coverage Indicator_Import-Expor'!T$7:T$223,MATCH($B59,'Coverage Indicator_Import-Expor'!$C$7:$C$223,0))="","",INDEX('Coverage Indicator_Import-Expor'!T$7:T$223,MATCH($B59,'Coverage Indicator_Import-Expor'!$C$7:$C$223,0))),"")</f>
        <v/>
      </c>
      <c r="P59" s="1084" t="str">
        <f>IFERROR(IF(INDEX('Coverage Indicator_Import-Expor'!U$7:U$223,MATCH($B59,'Coverage Indicator_Import-Expor'!$C$7:$C$223,0))="","",INDEX('Coverage Indicator_Import-Expor'!U$7:U$223,MATCH($B59,'Coverage Indicator_Import-Expor'!$C$7:$C$223,0))),"")</f>
        <v/>
      </c>
      <c r="Q59" s="1085"/>
      <c r="R59" s="1085"/>
      <c r="S59" s="1086" t="str">
        <f t="shared" si="16"/>
        <v/>
      </c>
      <c r="T59" s="1087"/>
      <c r="U59" s="1088" t="str">
        <f t="shared" si="17"/>
        <v xml:space="preserve"> </v>
      </c>
      <c r="V59" s="1087"/>
      <c r="W59" s="1089" t="str">
        <f t="shared" si="18"/>
        <v>No Results Reported</v>
      </c>
      <c r="X59" s="1085"/>
      <c r="Y59" s="1085"/>
      <c r="Z59" s="1086" t="str">
        <f t="shared" si="19"/>
        <v/>
      </c>
      <c r="AA59" s="1087"/>
      <c r="AB59" s="1088" t="str">
        <f t="shared" si="20"/>
        <v xml:space="preserve"> </v>
      </c>
      <c r="AC59" s="1087"/>
      <c r="AD59" s="1087"/>
      <c r="AE59" s="1089" t="str">
        <f t="shared" si="21"/>
        <v>No Results Reported</v>
      </c>
      <c r="AF59" s="1085"/>
      <c r="AG59" s="1085"/>
      <c r="AH59" s="1086" t="str">
        <f t="shared" si="22"/>
        <v/>
      </c>
      <c r="AI59" s="1088" t="str">
        <f t="shared" si="23"/>
        <v xml:space="preserve"> </v>
      </c>
      <c r="AJ59" s="1087"/>
      <c r="AK59" s="1090" t="str">
        <f t="shared" si="24"/>
        <v>No Results Reported</v>
      </c>
    </row>
    <row r="60" spans="1:37" x14ac:dyDescent="0.2">
      <c r="A60" s="508">
        <f t="shared" si="4"/>
        <v>50</v>
      </c>
      <c r="B60" s="509" t="str">
        <f t="shared" si="15"/>
        <v>Coverage50</v>
      </c>
      <c r="C60" s="1081" t="str">
        <f>IFERROR(INDEX('Coverage Indicator_Import-Expor'!$D$7:$D$223,MATCH(B60,'Coverage Indicator_Import-Expor'!$C$7:$C$223,0)),"")</f>
        <v/>
      </c>
      <c r="D60" s="1082" t="str">
        <f>IFERROR(INDEX('Coverage Indicator_Import-Expor'!$E$7:$E$223,MATCH(B60,'Coverage Indicator_Import-Expor'!$C$7:$C$223,0)),"")</f>
        <v/>
      </c>
      <c r="E60" s="1082" t="str">
        <f>IFERROR(IF(INDEX('Coverage Indicator_Import-Expor'!K$7:K$223,MATCH($B60,'Coverage Indicator_Import-Expor'!$C$7:$C$223,0))="","",INDEX('Coverage Indicator_Import-Expor'!K$7:K$223,MATCH($B60,'Coverage Indicator_Import-Expor'!$C$7:$C$223,0))),"")</f>
        <v/>
      </c>
      <c r="F60" s="1082" t="str">
        <f>IFERROR(IF(INDEX('Coverage Indicator_Import-Expor'!L$7:L$223,MATCH($B60,'Coverage Indicator_Import-Expor'!$C$7:$C$223,0))="","",INDEX('Coverage Indicator_Import-Expor'!L$7:L$223,MATCH($B60,'Coverage Indicator_Import-Expor'!$C$7:$C$223,0))),"")</f>
        <v/>
      </c>
      <c r="G60" s="1082" t="str">
        <f>IFERROR(IF(INDEX('Coverage Indicator_Import-Expor'!AR$7:AR$223,MATCH($B60,'Coverage Indicator_Import-Expor'!$C$7:$C$223,0))="","",INDEX('Coverage Indicator_Import-Expor'!AR$7:AR$223,MATCH($B60,'Coverage Indicator_Import-Expor'!$C$7:$C$223,0))),"")</f>
        <v/>
      </c>
      <c r="H60" s="1082" t="str">
        <f>IFERROR(IF(INDEX('Coverage Indicator_Import-Expor'!AS$7:AS$223,MATCH($B60,'Coverage Indicator_Import-Expor'!$C$7:$C$223,0))="","",INDEX('Coverage Indicator_Import-Expor'!AS$7:AS$223,MATCH($B60,'Coverage Indicator_Import-Expor'!$C$7:$C$223,0))),"")</f>
        <v/>
      </c>
      <c r="I60" s="1083" t="str">
        <f>IFERROR(IF(INDEX('Coverage Indicator_Import-Expor'!N$7:N$223,MATCH($B60,'Coverage Indicator_Import-Expor'!$C$7:$C$223,0))="","",INDEX('Coverage Indicator_Import-Expor'!N$7:N$223,MATCH($B60,'Coverage Indicator_Import-Expor'!$C$7:$C$223,0))),"")</f>
        <v/>
      </c>
      <c r="J60" s="1083" t="str">
        <f>IFERROR(IF(INDEX('Coverage Indicator_Import-Expor'!O$7:O$223,MATCH($B60,'Coverage Indicator_Import-Expor'!$C$7:$C$223,0))="","",INDEX('Coverage Indicator_Import-Expor'!O$7:O$223,MATCH($B60,'Coverage Indicator_Import-Expor'!$C$7:$C$223,0))),"")</f>
        <v/>
      </c>
      <c r="K60" s="1084" t="str">
        <f>IFERROR(IF(INDEX('Coverage Indicator_Import-Expor'!P$7:P$223,MATCH($B60,'Coverage Indicator_Import-Expor'!$C$7:$C$223,0))="","",INDEX('Coverage Indicator_Import-Expor'!P$7:P$223,MATCH($B60,'Coverage Indicator_Import-Expor'!$C$7:$C$223,0))),"")</f>
        <v/>
      </c>
      <c r="L60" s="1082" t="str">
        <f>IFERROR(IF(INDEX('Coverage Indicator_Import-Expor'!Q$7:Q$223,MATCH($B60,'Coverage Indicator_Import-Expor'!$C$7:$C$223,0))="","",INDEX('Coverage Indicator_Import-Expor'!Q$7:Q$223,MATCH($B60,'Coverage Indicator_Import-Expor'!$C$7:$C$223,0))),"")</f>
        <v/>
      </c>
      <c r="M60" s="1082" t="str">
        <f>IFERROR(IF(INDEX('Coverage Indicator_Import-Expor'!R$7:R$223,MATCH($B60,'Coverage Indicator_Import-Expor'!$C$7:$C$223,0))="","",INDEX('Coverage Indicator_Import-Expor'!R$7:R$223,MATCH($B60,'Coverage Indicator_Import-Expor'!$C$7:$C$223,0))),"")</f>
        <v/>
      </c>
      <c r="N60" s="1083" t="str">
        <f>IFERROR(IF(INDEX('Coverage Indicator_Import-Expor'!S$7:S$223,MATCH($B60,'Coverage Indicator_Import-Expor'!$C$7:$C$223,0))="","",INDEX('Coverage Indicator_Import-Expor'!S$7:S$223,MATCH($B60,'Coverage Indicator_Import-Expor'!$C$7:$C$223,0))),"")</f>
        <v/>
      </c>
      <c r="O60" s="1083" t="str">
        <f>IFERROR(IF(INDEX('Coverage Indicator_Import-Expor'!T$7:T$223,MATCH($B60,'Coverage Indicator_Import-Expor'!$C$7:$C$223,0))="","",INDEX('Coverage Indicator_Import-Expor'!T$7:T$223,MATCH($B60,'Coverage Indicator_Import-Expor'!$C$7:$C$223,0))),"")</f>
        <v/>
      </c>
      <c r="P60" s="1084" t="str">
        <f>IFERROR(IF(INDEX('Coverage Indicator_Import-Expor'!U$7:U$223,MATCH($B60,'Coverage Indicator_Import-Expor'!$C$7:$C$223,0))="","",INDEX('Coverage Indicator_Import-Expor'!U$7:U$223,MATCH($B60,'Coverage Indicator_Import-Expor'!$C$7:$C$223,0))),"")</f>
        <v/>
      </c>
      <c r="Q60" s="1085"/>
      <c r="R60" s="1085"/>
      <c r="S60" s="1086" t="str">
        <f t="shared" si="16"/>
        <v/>
      </c>
      <c r="T60" s="1087"/>
      <c r="U60" s="1088" t="str">
        <f t="shared" si="17"/>
        <v xml:space="preserve"> </v>
      </c>
      <c r="V60" s="1087"/>
      <c r="W60" s="1089" t="str">
        <f t="shared" si="18"/>
        <v>No Results Reported</v>
      </c>
      <c r="X60" s="1085"/>
      <c r="Y60" s="1085"/>
      <c r="Z60" s="1086" t="str">
        <f t="shared" si="19"/>
        <v/>
      </c>
      <c r="AA60" s="1087"/>
      <c r="AB60" s="1088" t="str">
        <f t="shared" si="20"/>
        <v xml:space="preserve"> </v>
      </c>
      <c r="AC60" s="1087"/>
      <c r="AD60" s="1087"/>
      <c r="AE60" s="1089" t="str">
        <f t="shared" si="21"/>
        <v>No Results Reported</v>
      </c>
      <c r="AF60" s="1085"/>
      <c r="AG60" s="1085"/>
      <c r="AH60" s="1086" t="str">
        <f t="shared" si="22"/>
        <v/>
      </c>
      <c r="AI60" s="1088" t="str">
        <f t="shared" si="23"/>
        <v xml:space="preserve"> </v>
      </c>
      <c r="AJ60" s="1087"/>
      <c r="AK60" s="1090" t="str">
        <f t="shared" si="24"/>
        <v>No Results Reported</v>
      </c>
    </row>
    <row r="61" spans="1:37" x14ac:dyDescent="0.2">
      <c r="A61" s="508">
        <f t="shared" si="4"/>
        <v>51</v>
      </c>
      <c r="B61" s="509" t="str">
        <f t="shared" si="15"/>
        <v>Coverage51</v>
      </c>
      <c r="C61" s="1081" t="str">
        <f>IFERROR(INDEX('Coverage Indicator_Import-Expor'!$D$7:$D$223,MATCH(B61,'Coverage Indicator_Import-Expor'!$C$7:$C$223,0)),"")</f>
        <v/>
      </c>
      <c r="D61" s="1082" t="str">
        <f>IFERROR(INDEX('Coverage Indicator_Import-Expor'!$E$7:$E$223,MATCH(B61,'Coverage Indicator_Import-Expor'!$C$7:$C$223,0)),"")</f>
        <v/>
      </c>
      <c r="E61" s="1082" t="str">
        <f>IFERROR(IF(INDEX('Coverage Indicator_Import-Expor'!K$7:K$223,MATCH($B61,'Coverage Indicator_Import-Expor'!$C$7:$C$223,0))="","",INDEX('Coverage Indicator_Import-Expor'!K$7:K$223,MATCH($B61,'Coverage Indicator_Import-Expor'!$C$7:$C$223,0))),"")</f>
        <v/>
      </c>
      <c r="F61" s="1082" t="str">
        <f>IFERROR(IF(INDEX('Coverage Indicator_Import-Expor'!L$7:L$223,MATCH($B61,'Coverage Indicator_Import-Expor'!$C$7:$C$223,0))="","",INDEX('Coverage Indicator_Import-Expor'!L$7:L$223,MATCH($B61,'Coverage Indicator_Import-Expor'!$C$7:$C$223,0))),"")</f>
        <v/>
      </c>
      <c r="G61" s="1082" t="str">
        <f>IFERROR(IF(INDEX('Coverage Indicator_Import-Expor'!AR$7:AR$223,MATCH($B61,'Coverage Indicator_Import-Expor'!$C$7:$C$223,0))="","",INDEX('Coverage Indicator_Import-Expor'!AR$7:AR$223,MATCH($B61,'Coverage Indicator_Import-Expor'!$C$7:$C$223,0))),"")</f>
        <v/>
      </c>
      <c r="H61" s="1082" t="str">
        <f>IFERROR(IF(INDEX('Coverage Indicator_Import-Expor'!AS$7:AS$223,MATCH($B61,'Coverage Indicator_Import-Expor'!$C$7:$C$223,0))="","",INDEX('Coverage Indicator_Import-Expor'!AS$7:AS$223,MATCH($B61,'Coverage Indicator_Import-Expor'!$C$7:$C$223,0))),"")</f>
        <v/>
      </c>
      <c r="I61" s="1083" t="str">
        <f>IFERROR(IF(INDEX('Coverage Indicator_Import-Expor'!N$7:N$223,MATCH($B61,'Coverage Indicator_Import-Expor'!$C$7:$C$223,0))="","",INDEX('Coverage Indicator_Import-Expor'!N$7:N$223,MATCH($B61,'Coverage Indicator_Import-Expor'!$C$7:$C$223,0))),"")</f>
        <v/>
      </c>
      <c r="J61" s="1083" t="str">
        <f>IFERROR(IF(INDEX('Coverage Indicator_Import-Expor'!O$7:O$223,MATCH($B61,'Coverage Indicator_Import-Expor'!$C$7:$C$223,0))="","",INDEX('Coverage Indicator_Import-Expor'!O$7:O$223,MATCH($B61,'Coverage Indicator_Import-Expor'!$C$7:$C$223,0))),"")</f>
        <v/>
      </c>
      <c r="K61" s="1084" t="str">
        <f>IFERROR(IF(INDEX('Coverage Indicator_Import-Expor'!P$7:P$223,MATCH($B61,'Coverage Indicator_Import-Expor'!$C$7:$C$223,0))="","",INDEX('Coverage Indicator_Import-Expor'!P$7:P$223,MATCH($B61,'Coverage Indicator_Import-Expor'!$C$7:$C$223,0))),"")</f>
        <v/>
      </c>
      <c r="L61" s="1082" t="str">
        <f>IFERROR(IF(INDEX('Coverage Indicator_Import-Expor'!Q$7:Q$223,MATCH($B61,'Coverage Indicator_Import-Expor'!$C$7:$C$223,0))="","",INDEX('Coverage Indicator_Import-Expor'!Q$7:Q$223,MATCH($B61,'Coverage Indicator_Import-Expor'!$C$7:$C$223,0))),"")</f>
        <v/>
      </c>
      <c r="M61" s="1082" t="str">
        <f>IFERROR(IF(INDEX('Coverage Indicator_Import-Expor'!R$7:R$223,MATCH($B61,'Coverage Indicator_Import-Expor'!$C$7:$C$223,0))="","",INDEX('Coverage Indicator_Import-Expor'!R$7:R$223,MATCH($B61,'Coverage Indicator_Import-Expor'!$C$7:$C$223,0))),"")</f>
        <v/>
      </c>
      <c r="N61" s="1083" t="str">
        <f>IFERROR(IF(INDEX('Coverage Indicator_Import-Expor'!S$7:S$223,MATCH($B61,'Coverage Indicator_Import-Expor'!$C$7:$C$223,0))="","",INDEX('Coverage Indicator_Import-Expor'!S$7:S$223,MATCH($B61,'Coverage Indicator_Import-Expor'!$C$7:$C$223,0))),"")</f>
        <v/>
      </c>
      <c r="O61" s="1083" t="str">
        <f>IFERROR(IF(INDEX('Coverage Indicator_Import-Expor'!T$7:T$223,MATCH($B61,'Coverage Indicator_Import-Expor'!$C$7:$C$223,0))="","",INDEX('Coverage Indicator_Import-Expor'!T$7:T$223,MATCH($B61,'Coverage Indicator_Import-Expor'!$C$7:$C$223,0))),"")</f>
        <v/>
      </c>
      <c r="P61" s="1084" t="str">
        <f>IFERROR(IF(INDEX('Coverage Indicator_Import-Expor'!U$7:U$223,MATCH($B61,'Coverage Indicator_Import-Expor'!$C$7:$C$223,0))="","",INDEX('Coverage Indicator_Import-Expor'!U$7:U$223,MATCH($B61,'Coverage Indicator_Import-Expor'!$C$7:$C$223,0))),"")</f>
        <v/>
      </c>
      <c r="Q61" s="1085"/>
      <c r="R61" s="1085"/>
      <c r="S61" s="1086" t="str">
        <f t="shared" si="16"/>
        <v/>
      </c>
      <c r="T61" s="1087"/>
      <c r="U61" s="1088" t="str">
        <f t="shared" si="17"/>
        <v xml:space="preserve"> </v>
      </c>
      <c r="V61" s="1087"/>
      <c r="W61" s="1089" t="str">
        <f t="shared" si="18"/>
        <v>No Results Reported</v>
      </c>
      <c r="X61" s="1085"/>
      <c r="Y61" s="1085"/>
      <c r="Z61" s="1086" t="str">
        <f t="shared" si="19"/>
        <v/>
      </c>
      <c r="AA61" s="1087"/>
      <c r="AB61" s="1088" t="str">
        <f t="shared" si="20"/>
        <v xml:space="preserve"> </v>
      </c>
      <c r="AC61" s="1087"/>
      <c r="AD61" s="1087"/>
      <c r="AE61" s="1089" t="str">
        <f t="shared" si="21"/>
        <v>No Results Reported</v>
      </c>
      <c r="AF61" s="1085"/>
      <c r="AG61" s="1085"/>
      <c r="AH61" s="1086" t="str">
        <f t="shared" si="22"/>
        <v/>
      </c>
      <c r="AI61" s="1088" t="str">
        <f t="shared" si="23"/>
        <v xml:space="preserve"> </v>
      </c>
      <c r="AJ61" s="1087"/>
      <c r="AK61" s="1090" t="str">
        <f t="shared" si="24"/>
        <v>No Results Reported</v>
      </c>
    </row>
    <row r="62" spans="1:37" x14ac:dyDescent="0.2">
      <c r="A62" s="508">
        <f t="shared" si="4"/>
        <v>52</v>
      </c>
      <c r="B62" s="509" t="str">
        <f t="shared" si="15"/>
        <v>Coverage52</v>
      </c>
      <c r="C62" s="1081" t="str">
        <f>IFERROR(INDEX('Coverage Indicator_Import-Expor'!$D$7:$D$223,MATCH(B62,'Coverage Indicator_Import-Expor'!$C$7:$C$223,0)),"")</f>
        <v/>
      </c>
      <c r="D62" s="1082" t="str">
        <f>IFERROR(INDEX('Coverage Indicator_Import-Expor'!$E$7:$E$223,MATCH(B62,'Coverage Indicator_Import-Expor'!$C$7:$C$223,0)),"")</f>
        <v/>
      </c>
      <c r="E62" s="1082" t="str">
        <f>IFERROR(IF(INDEX('Coverage Indicator_Import-Expor'!K$7:K$223,MATCH($B62,'Coverage Indicator_Import-Expor'!$C$7:$C$223,0))="","",INDEX('Coverage Indicator_Import-Expor'!K$7:K$223,MATCH($B62,'Coverage Indicator_Import-Expor'!$C$7:$C$223,0))),"")</f>
        <v/>
      </c>
      <c r="F62" s="1082" t="str">
        <f>IFERROR(IF(INDEX('Coverage Indicator_Import-Expor'!L$7:L$223,MATCH($B62,'Coverage Indicator_Import-Expor'!$C$7:$C$223,0))="","",INDEX('Coverage Indicator_Import-Expor'!L$7:L$223,MATCH($B62,'Coverage Indicator_Import-Expor'!$C$7:$C$223,0))),"")</f>
        <v/>
      </c>
      <c r="G62" s="1082" t="str">
        <f>IFERROR(IF(INDEX('Coverage Indicator_Import-Expor'!AR$7:AR$223,MATCH($B62,'Coverage Indicator_Import-Expor'!$C$7:$C$223,0))="","",INDEX('Coverage Indicator_Import-Expor'!AR$7:AR$223,MATCH($B62,'Coverage Indicator_Import-Expor'!$C$7:$C$223,0))),"")</f>
        <v/>
      </c>
      <c r="H62" s="1082" t="str">
        <f>IFERROR(IF(INDEX('Coverage Indicator_Import-Expor'!AS$7:AS$223,MATCH($B62,'Coverage Indicator_Import-Expor'!$C$7:$C$223,0))="","",INDEX('Coverage Indicator_Import-Expor'!AS$7:AS$223,MATCH($B62,'Coverage Indicator_Import-Expor'!$C$7:$C$223,0))),"")</f>
        <v/>
      </c>
      <c r="I62" s="1083" t="str">
        <f>IFERROR(IF(INDEX('Coverage Indicator_Import-Expor'!N$7:N$223,MATCH($B62,'Coverage Indicator_Import-Expor'!$C$7:$C$223,0))="","",INDEX('Coverage Indicator_Import-Expor'!N$7:N$223,MATCH($B62,'Coverage Indicator_Import-Expor'!$C$7:$C$223,0))),"")</f>
        <v/>
      </c>
      <c r="J62" s="1083" t="str">
        <f>IFERROR(IF(INDEX('Coverage Indicator_Import-Expor'!O$7:O$223,MATCH($B62,'Coverage Indicator_Import-Expor'!$C$7:$C$223,0))="","",INDEX('Coverage Indicator_Import-Expor'!O$7:O$223,MATCH($B62,'Coverage Indicator_Import-Expor'!$C$7:$C$223,0))),"")</f>
        <v/>
      </c>
      <c r="K62" s="1084" t="str">
        <f>IFERROR(IF(INDEX('Coverage Indicator_Import-Expor'!P$7:P$223,MATCH($B62,'Coverage Indicator_Import-Expor'!$C$7:$C$223,0))="","",INDEX('Coverage Indicator_Import-Expor'!P$7:P$223,MATCH($B62,'Coverage Indicator_Import-Expor'!$C$7:$C$223,0))),"")</f>
        <v/>
      </c>
      <c r="L62" s="1082" t="str">
        <f>IFERROR(IF(INDEX('Coverage Indicator_Import-Expor'!Q$7:Q$223,MATCH($B62,'Coverage Indicator_Import-Expor'!$C$7:$C$223,0))="","",INDEX('Coverage Indicator_Import-Expor'!Q$7:Q$223,MATCH($B62,'Coverage Indicator_Import-Expor'!$C$7:$C$223,0))),"")</f>
        <v/>
      </c>
      <c r="M62" s="1082" t="str">
        <f>IFERROR(IF(INDEX('Coverage Indicator_Import-Expor'!R$7:R$223,MATCH($B62,'Coverage Indicator_Import-Expor'!$C$7:$C$223,0))="","",INDEX('Coverage Indicator_Import-Expor'!R$7:R$223,MATCH($B62,'Coverage Indicator_Import-Expor'!$C$7:$C$223,0))),"")</f>
        <v/>
      </c>
      <c r="N62" s="1083" t="str">
        <f>IFERROR(IF(INDEX('Coverage Indicator_Import-Expor'!S$7:S$223,MATCH($B62,'Coverage Indicator_Import-Expor'!$C$7:$C$223,0))="","",INDEX('Coverage Indicator_Import-Expor'!S$7:S$223,MATCH($B62,'Coverage Indicator_Import-Expor'!$C$7:$C$223,0))),"")</f>
        <v/>
      </c>
      <c r="O62" s="1083" t="str">
        <f>IFERROR(IF(INDEX('Coverage Indicator_Import-Expor'!T$7:T$223,MATCH($B62,'Coverage Indicator_Import-Expor'!$C$7:$C$223,0))="","",INDEX('Coverage Indicator_Import-Expor'!T$7:T$223,MATCH($B62,'Coverage Indicator_Import-Expor'!$C$7:$C$223,0))),"")</f>
        <v/>
      </c>
      <c r="P62" s="1084" t="str">
        <f>IFERROR(IF(INDEX('Coverage Indicator_Import-Expor'!U$7:U$223,MATCH($B62,'Coverage Indicator_Import-Expor'!$C$7:$C$223,0))="","",INDEX('Coverage Indicator_Import-Expor'!U$7:U$223,MATCH($B62,'Coverage Indicator_Import-Expor'!$C$7:$C$223,0))),"")</f>
        <v/>
      </c>
      <c r="Q62" s="1085"/>
      <c r="R62" s="1085"/>
      <c r="S62" s="1086" t="str">
        <f t="shared" si="16"/>
        <v/>
      </c>
      <c r="T62" s="1087"/>
      <c r="U62" s="1088" t="str">
        <f t="shared" si="17"/>
        <v xml:space="preserve"> </v>
      </c>
      <c r="V62" s="1087"/>
      <c r="W62" s="1089" t="str">
        <f t="shared" si="18"/>
        <v>No Results Reported</v>
      </c>
      <c r="X62" s="1085"/>
      <c r="Y62" s="1085"/>
      <c r="Z62" s="1086" t="str">
        <f t="shared" si="19"/>
        <v/>
      </c>
      <c r="AA62" s="1087"/>
      <c r="AB62" s="1088" t="str">
        <f t="shared" si="20"/>
        <v xml:space="preserve"> </v>
      </c>
      <c r="AC62" s="1087"/>
      <c r="AD62" s="1087"/>
      <c r="AE62" s="1089" t="str">
        <f t="shared" si="21"/>
        <v>No Results Reported</v>
      </c>
      <c r="AF62" s="1085"/>
      <c r="AG62" s="1085"/>
      <c r="AH62" s="1086" t="str">
        <f t="shared" si="22"/>
        <v/>
      </c>
      <c r="AI62" s="1088" t="str">
        <f t="shared" si="23"/>
        <v xml:space="preserve"> </v>
      </c>
      <c r="AJ62" s="1087"/>
      <c r="AK62" s="1090" t="str">
        <f t="shared" si="24"/>
        <v>No Results Reported</v>
      </c>
    </row>
    <row r="63" spans="1:37" x14ac:dyDescent="0.2">
      <c r="A63" s="508">
        <f t="shared" si="4"/>
        <v>53</v>
      </c>
      <c r="B63" s="509" t="str">
        <f t="shared" si="15"/>
        <v>Coverage53</v>
      </c>
      <c r="C63" s="1081" t="str">
        <f>IFERROR(INDEX('Coverage Indicator_Import-Expor'!$D$7:$D$223,MATCH(B63,'Coverage Indicator_Import-Expor'!$C$7:$C$223,0)),"")</f>
        <v/>
      </c>
      <c r="D63" s="1082" t="str">
        <f>IFERROR(INDEX('Coverage Indicator_Import-Expor'!$E$7:$E$223,MATCH(B63,'Coverage Indicator_Import-Expor'!$C$7:$C$223,0)),"")</f>
        <v/>
      </c>
      <c r="E63" s="1082" t="str">
        <f>IFERROR(IF(INDEX('Coverage Indicator_Import-Expor'!K$7:K$223,MATCH($B63,'Coverage Indicator_Import-Expor'!$C$7:$C$223,0))="","",INDEX('Coverage Indicator_Import-Expor'!K$7:K$223,MATCH($B63,'Coverage Indicator_Import-Expor'!$C$7:$C$223,0))),"")</f>
        <v/>
      </c>
      <c r="F63" s="1082" t="str">
        <f>IFERROR(IF(INDEX('Coverage Indicator_Import-Expor'!L$7:L$223,MATCH($B63,'Coverage Indicator_Import-Expor'!$C$7:$C$223,0))="","",INDEX('Coverage Indicator_Import-Expor'!L$7:L$223,MATCH($B63,'Coverage Indicator_Import-Expor'!$C$7:$C$223,0))),"")</f>
        <v/>
      </c>
      <c r="G63" s="1082" t="str">
        <f>IFERROR(IF(INDEX('Coverage Indicator_Import-Expor'!AR$7:AR$223,MATCH($B63,'Coverage Indicator_Import-Expor'!$C$7:$C$223,0))="","",INDEX('Coverage Indicator_Import-Expor'!AR$7:AR$223,MATCH($B63,'Coverage Indicator_Import-Expor'!$C$7:$C$223,0))),"")</f>
        <v/>
      </c>
      <c r="H63" s="1082" t="str">
        <f>IFERROR(IF(INDEX('Coverage Indicator_Import-Expor'!AS$7:AS$223,MATCH($B63,'Coverage Indicator_Import-Expor'!$C$7:$C$223,0))="","",INDEX('Coverage Indicator_Import-Expor'!AS$7:AS$223,MATCH($B63,'Coverage Indicator_Import-Expor'!$C$7:$C$223,0))),"")</f>
        <v/>
      </c>
      <c r="I63" s="1083" t="str">
        <f>IFERROR(IF(INDEX('Coverage Indicator_Import-Expor'!N$7:N$223,MATCH($B63,'Coverage Indicator_Import-Expor'!$C$7:$C$223,0))="","",INDEX('Coverage Indicator_Import-Expor'!N$7:N$223,MATCH($B63,'Coverage Indicator_Import-Expor'!$C$7:$C$223,0))),"")</f>
        <v/>
      </c>
      <c r="J63" s="1083" t="str">
        <f>IFERROR(IF(INDEX('Coverage Indicator_Import-Expor'!O$7:O$223,MATCH($B63,'Coverage Indicator_Import-Expor'!$C$7:$C$223,0))="","",INDEX('Coverage Indicator_Import-Expor'!O$7:O$223,MATCH($B63,'Coverage Indicator_Import-Expor'!$C$7:$C$223,0))),"")</f>
        <v/>
      </c>
      <c r="K63" s="1084" t="str">
        <f>IFERROR(IF(INDEX('Coverage Indicator_Import-Expor'!P$7:P$223,MATCH($B63,'Coverage Indicator_Import-Expor'!$C$7:$C$223,0))="","",INDEX('Coverage Indicator_Import-Expor'!P$7:P$223,MATCH($B63,'Coverage Indicator_Import-Expor'!$C$7:$C$223,0))),"")</f>
        <v/>
      </c>
      <c r="L63" s="1082" t="str">
        <f>IFERROR(IF(INDEX('Coverage Indicator_Import-Expor'!Q$7:Q$223,MATCH($B63,'Coverage Indicator_Import-Expor'!$C$7:$C$223,0))="","",INDEX('Coverage Indicator_Import-Expor'!Q$7:Q$223,MATCH($B63,'Coverage Indicator_Import-Expor'!$C$7:$C$223,0))),"")</f>
        <v/>
      </c>
      <c r="M63" s="1082" t="str">
        <f>IFERROR(IF(INDEX('Coverage Indicator_Import-Expor'!R$7:R$223,MATCH($B63,'Coverage Indicator_Import-Expor'!$C$7:$C$223,0))="","",INDEX('Coverage Indicator_Import-Expor'!R$7:R$223,MATCH($B63,'Coverage Indicator_Import-Expor'!$C$7:$C$223,0))),"")</f>
        <v/>
      </c>
      <c r="N63" s="1083" t="str">
        <f>IFERROR(IF(INDEX('Coverage Indicator_Import-Expor'!S$7:S$223,MATCH($B63,'Coverage Indicator_Import-Expor'!$C$7:$C$223,0))="","",INDEX('Coverage Indicator_Import-Expor'!S$7:S$223,MATCH($B63,'Coverage Indicator_Import-Expor'!$C$7:$C$223,0))),"")</f>
        <v/>
      </c>
      <c r="O63" s="1083" t="str">
        <f>IFERROR(IF(INDEX('Coverage Indicator_Import-Expor'!T$7:T$223,MATCH($B63,'Coverage Indicator_Import-Expor'!$C$7:$C$223,0))="","",INDEX('Coverage Indicator_Import-Expor'!T$7:T$223,MATCH($B63,'Coverage Indicator_Import-Expor'!$C$7:$C$223,0))),"")</f>
        <v/>
      </c>
      <c r="P63" s="1084" t="str">
        <f>IFERROR(IF(INDEX('Coverage Indicator_Import-Expor'!U$7:U$223,MATCH($B63,'Coverage Indicator_Import-Expor'!$C$7:$C$223,0))="","",INDEX('Coverage Indicator_Import-Expor'!U$7:U$223,MATCH($B63,'Coverage Indicator_Import-Expor'!$C$7:$C$223,0))),"")</f>
        <v/>
      </c>
      <c r="Q63" s="1085"/>
      <c r="R63" s="1085"/>
      <c r="S63" s="1086" t="str">
        <f t="shared" si="16"/>
        <v/>
      </c>
      <c r="T63" s="1087"/>
      <c r="U63" s="1088" t="str">
        <f t="shared" si="17"/>
        <v xml:space="preserve"> </v>
      </c>
      <c r="V63" s="1087"/>
      <c r="W63" s="1089" t="str">
        <f t="shared" si="18"/>
        <v>No Results Reported</v>
      </c>
      <c r="X63" s="1085"/>
      <c r="Y63" s="1085"/>
      <c r="Z63" s="1086" t="str">
        <f t="shared" si="19"/>
        <v/>
      </c>
      <c r="AA63" s="1087"/>
      <c r="AB63" s="1088" t="str">
        <f t="shared" si="20"/>
        <v xml:space="preserve"> </v>
      </c>
      <c r="AC63" s="1087"/>
      <c r="AD63" s="1087"/>
      <c r="AE63" s="1089" t="str">
        <f t="shared" si="21"/>
        <v>No Results Reported</v>
      </c>
      <c r="AF63" s="1085"/>
      <c r="AG63" s="1085"/>
      <c r="AH63" s="1086" t="str">
        <f t="shared" si="22"/>
        <v/>
      </c>
      <c r="AI63" s="1088" t="str">
        <f t="shared" si="23"/>
        <v xml:space="preserve"> </v>
      </c>
      <c r="AJ63" s="1087"/>
      <c r="AK63" s="1090" t="str">
        <f t="shared" si="24"/>
        <v>No Results Reported</v>
      </c>
    </row>
    <row r="64" spans="1:37" x14ac:dyDescent="0.2">
      <c r="A64" s="508">
        <f t="shared" si="4"/>
        <v>54</v>
      </c>
      <c r="B64" s="509" t="str">
        <f t="shared" si="15"/>
        <v>Coverage54</v>
      </c>
      <c r="C64" s="1081" t="str">
        <f>IFERROR(INDEX('Coverage Indicator_Import-Expor'!$D$7:$D$223,MATCH(B64,'Coverage Indicator_Import-Expor'!$C$7:$C$223,0)),"")</f>
        <v/>
      </c>
      <c r="D64" s="1082" t="str">
        <f>IFERROR(INDEX('Coverage Indicator_Import-Expor'!$E$7:$E$223,MATCH(B64,'Coverage Indicator_Import-Expor'!$C$7:$C$223,0)),"")</f>
        <v/>
      </c>
      <c r="E64" s="1082" t="str">
        <f>IFERROR(IF(INDEX('Coverage Indicator_Import-Expor'!K$7:K$223,MATCH($B64,'Coverage Indicator_Import-Expor'!$C$7:$C$223,0))="","",INDEX('Coverage Indicator_Import-Expor'!K$7:K$223,MATCH($B64,'Coverage Indicator_Import-Expor'!$C$7:$C$223,0))),"")</f>
        <v/>
      </c>
      <c r="F64" s="1082" t="str">
        <f>IFERROR(IF(INDEX('Coverage Indicator_Import-Expor'!L$7:L$223,MATCH($B64,'Coverage Indicator_Import-Expor'!$C$7:$C$223,0))="","",INDEX('Coverage Indicator_Import-Expor'!L$7:L$223,MATCH($B64,'Coverage Indicator_Import-Expor'!$C$7:$C$223,0))),"")</f>
        <v/>
      </c>
      <c r="G64" s="1082" t="str">
        <f>IFERROR(IF(INDEX('Coverage Indicator_Import-Expor'!AR$7:AR$223,MATCH($B64,'Coverage Indicator_Import-Expor'!$C$7:$C$223,0))="","",INDEX('Coverage Indicator_Import-Expor'!AR$7:AR$223,MATCH($B64,'Coverage Indicator_Import-Expor'!$C$7:$C$223,0))),"")</f>
        <v/>
      </c>
      <c r="H64" s="1082" t="str">
        <f>IFERROR(IF(INDEX('Coverage Indicator_Import-Expor'!AS$7:AS$223,MATCH($B64,'Coverage Indicator_Import-Expor'!$C$7:$C$223,0))="","",INDEX('Coverage Indicator_Import-Expor'!AS$7:AS$223,MATCH($B64,'Coverage Indicator_Import-Expor'!$C$7:$C$223,0))),"")</f>
        <v/>
      </c>
      <c r="I64" s="1083" t="str">
        <f>IFERROR(IF(INDEX('Coverage Indicator_Import-Expor'!N$7:N$223,MATCH($B64,'Coverage Indicator_Import-Expor'!$C$7:$C$223,0))="","",INDEX('Coverage Indicator_Import-Expor'!N$7:N$223,MATCH($B64,'Coverage Indicator_Import-Expor'!$C$7:$C$223,0))),"")</f>
        <v/>
      </c>
      <c r="J64" s="1083" t="str">
        <f>IFERROR(IF(INDEX('Coverage Indicator_Import-Expor'!O$7:O$223,MATCH($B64,'Coverage Indicator_Import-Expor'!$C$7:$C$223,0))="","",INDEX('Coverage Indicator_Import-Expor'!O$7:O$223,MATCH($B64,'Coverage Indicator_Import-Expor'!$C$7:$C$223,0))),"")</f>
        <v/>
      </c>
      <c r="K64" s="1084" t="str">
        <f>IFERROR(IF(INDEX('Coverage Indicator_Import-Expor'!P$7:P$223,MATCH($B64,'Coverage Indicator_Import-Expor'!$C$7:$C$223,0))="","",INDEX('Coverage Indicator_Import-Expor'!P$7:P$223,MATCH($B64,'Coverage Indicator_Import-Expor'!$C$7:$C$223,0))),"")</f>
        <v/>
      </c>
      <c r="L64" s="1082" t="str">
        <f>IFERROR(IF(INDEX('Coverage Indicator_Import-Expor'!Q$7:Q$223,MATCH($B64,'Coverage Indicator_Import-Expor'!$C$7:$C$223,0))="","",INDEX('Coverage Indicator_Import-Expor'!Q$7:Q$223,MATCH($B64,'Coverage Indicator_Import-Expor'!$C$7:$C$223,0))),"")</f>
        <v/>
      </c>
      <c r="M64" s="1082" t="str">
        <f>IFERROR(IF(INDEX('Coverage Indicator_Import-Expor'!R$7:R$223,MATCH($B64,'Coverage Indicator_Import-Expor'!$C$7:$C$223,0))="","",INDEX('Coverage Indicator_Import-Expor'!R$7:R$223,MATCH($B64,'Coverage Indicator_Import-Expor'!$C$7:$C$223,0))),"")</f>
        <v/>
      </c>
      <c r="N64" s="1083" t="str">
        <f>IFERROR(IF(INDEX('Coverage Indicator_Import-Expor'!S$7:S$223,MATCH($B64,'Coverage Indicator_Import-Expor'!$C$7:$C$223,0))="","",INDEX('Coverage Indicator_Import-Expor'!S$7:S$223,MATCH($B64,'Coverage Indicator_Import-Expor'!$C$7:$C$223,0))),"")</f>
        <v/>
      </c>
      <c r="O64" s="1083" t="str">
        <f>IFERROR(IF(INDEX('Coverage Indicator_Import-Expor'!T$7:T$223,MATCH($B64,'Coverage Indicator_Import-Expor'!$C$7:$C$223,0))="","",INDEX('Coverage Indicator_Import-Expor'!T$7:T$223,MATCH($B64,'Coverage Indicator_Import-Expor'!$C$7:$C$223,0))),"")</f>
        <v/>
      </c>
      <c r="P64" s="1084" t="str">
        <f>IFERROR(IF(INDEX('Coverage Indicator_Import-Expor'!U$7:U$223,MATCH($B64,'Coverage Indicator_Import-Expor'!$C$7:$C$223,0))="","",INDEX('Coverage Indicator_Import-Expor'!U$7:U$223,MATCH($B64,'Coverage Indicator_Import-Expor'!$C$7:$C$223,0))),"")</f>
        <v/>
      </c>
      <c r="Q64" s="1085"/>
      <c r="R64" s="1085"/>
      <c r="S64" s="1086" t="str">
        <f t="shared" si="16"/>
        <v/>
      </c>
      <c r="T64" s="1087"/>
      <c r="U64" s="1088" t="str">
        <f t="shared" si="17"/>
        <v xml:space="preserve"> </v>
      </c>
      <c r="V64" s="1087"/>
      <c r="W64" s="1089" t="str">
        <f t="shared" si="18"/>
        <v>No Results Reported</v>
      </c>
      <c r="X64" s="1085"/>
      <c r="Y64" s="1085"/>
      <c r="Z64" s="1086" t="str">
        <f t="shared" si="19"/>
        <v/>
      </c>
      <c r="AA64" s="1087"/>
      <c r="AB64" s="1088" t="str">
        <f t="shared" si="20"/>
        <v xml:space="preserve"> </v>
      </c>
      <c r="AC64" s="1087"/>
      <c r="AD64" s="1087"/>
      <c r="AE64" s="1089" t="str">
        <f t="shared" si="21"/>
        <v>No Results Reported</v>
      </c>
      <c r="AF64" s="1085"/>
      <c r="AG64" s="1085"/>
      <c r="AH64" s="1086" t="str">
        <f t="shared" si="22"/>
        <v/>
      </c>
      <c r="AI64" s="1088" t="str">
        <f t="shared" si="23"/>
        <v xml:space="preserve"> </v>
      </c>
      <c r="AJ64" s="1087"/>
      <c r="AK64" s="1090" t="str">
        <f t="shared" si="24"/>
        <v>No Results Reported</v>
      </c>
    </row>
    <row r="65" spans="1:37" x14ac:dyDescent="0.2">
      <c r="A65" s="508">
        <f t="shared" si="4"/>
        <v>55</v>
      </c>
      <c r="B65" s="509" t="str">
        <f t="shared" si="15"/>
        <v>Coverage55</v>
      </c>
      <c r="C65" s="1081" t="str">
        <f>IFERROR(INDEX('Coverage Indicator_Import-Expor'!$D$7:$D$223,MATCH(B65,'Coverage Indicator_Import-Expor'!$C$7:$C$223,0)),"")</f>
        <v/>
      </c>
      <c r="D65" s="1082" t="str">
        <f>IFERROR(INDEX('Coverage Indicator_Import-Expor'!$E$7:$E$223,MATCH(B65,'Coverage Indicator_Import-Expor'!$C$7:$C$223,0)),"")</f>
        <v/>
      </c>
      <c r="E65" s="1082" t="str">
        <f>IFERROR(IF(INDEX('Coverage Indicator_Import-Expor'!K$7:K$223,MATCH($B65,'Coverage Indicator_Import-Expor'!$C$7:$C$223,0))="","",INDEX('Coverage Indicator_Import-Expor'!K$7:K$223,MATCH($B65,'Coverage Indicator_Import-Expor'!$C$7:$C$223,0))),"")</f>
        <v/>
      </c>
      <c r="F65" s="1082" t="str">
        <f>IFERROR(IF(INDEX('Coverage Indicator_Import-Expor'!L$7:L$223,MATCH($B65,'Coverage Indicator_Import-Expor'!$C$7:$C$223,0))="","",INDEX('Coverage Indicator_Import-Expor'!L$7:L$223,MATCH($B65,'Coverage Indicator_Import-Expor'!$C$7:$C$223,0))),"")</f>
        <v/>
      </c>
      <c r="G65" s="1082" t="str">
        <f>IFERROR(IF(INDEX('Coverage Indicator_Import-Expor'!AR$7:AR$223,MATCH($B65,'Coverage Indicator_Import-Expor'!$C$7:$C$223,0))="","",INDEX('Coverage Indicator_Import-Expor'!AR$7:AR$223,MATCH($B65,'Coverage Indicator_Import-Expor'!$C$7:$C$223,0))),"")</f>
        <v/>
      </c>
      <c r="H65" s="1082" t="str">
        <f>IFERROR(IF(INDEX('Coverage Indicator_Import-Expor'!AS$7:AS$223,MATCH($B65,'Coverage Indicator_Import-Expor'!$C$7:$C$223,0))="","",INDEX('Coverage Indicator_Import-Expor'!AS$7:AS$223,MATCH($B65,'Coverage Indicator_Import-Expor'!$C$7:$C$223,0))),"")</f>
        <v/>
      </c>
      <c r="I65" s="1083" t="str">
        <f>IFERROR(IF(INDEX('Coverage Indicator_Import-Expor'!N$7:N$223,MATCH($B65,'Coverage Indicator_Import-Expor'!$C$7:$C$223,0))="","",INDEX('Coverage Indicator_Import-Expor'!N$7:N$223,MATCH($B65,'Coverage Indicator_Import-Expor'!$C$7:$C$223,0))),"")</f>
        <v/>
      </c>
      <c r="J65" s="1083" t="str">
        <f>IFERROR(IF(INDEX('Coverage Indicator_Import-Expor'!O$7:O$223,MATCH($B65,'Coverage Indicator_Import-Expor'!$C$7:$C$223,0))="","",INDEX('Coverage Indicator_Import-Expor'!O$7:O$223,MATCH($B65,'Coverage Indicator_Import-Expor'!$C$7:$C$223,0))),"")</f>
        <v/>
      </c>
      <c r="K65" s="1084" t="str">
        <f>IFERROR(IF(INDEX('Coverage Indicator_Import-Expor'!P$7:P$223,MATCH($B65,'Coverage Indicator_Import-Expor'!$C$7:$C$223,0))="","",INDEX('Coverage Indicator_Import-Expor'!P$7:P$223,MATCH($B65,'Coverage Indicator_Import-Expor'!$C$7:$C$223,0))),"")</f>
        <v/>
      </c>
      <c r="L65" s="1082" t="str">
        <f>IFERROR(IF(INDEX('Coverage Indicator_Import-Expor'!Q$7:Q$223,MATCH($B65,'Coverage Indicator_Import-Expor'!$C$7:$C$223,0))="","",INDEX('Coverage Indicator_Import-Expor'!Q$7:Q$223,MATCH($B65,'Coverage Indicator_Import-Expor'!$C$7:$C$223,0))),"")</f>
        <v/>
      </c>
      <c r="M65" s="1082" t="str">
        <f>IFERROR(IF(INDEX('Coverage Indicator_Import-Expor'!R$7:R$223,MATCH($B65,'Coverage Indicator_Import-Expor'!$C$7:$C$223,0))="","",INDEX('Coverage Indicator_Import-Expor'!R$7:R$223,MATCH($B65,'Coverage Indicator_Import-Expor'!$C$7:$C$223,0))),"")</f>
        <v/>
      </c>
      <c r="N65" s="1083" t="str">
        <f>IFERROR(IF(INDEX('Coverage Indicator_Import-Expor'!S$7:S$223,MATCH($B65,'Coverage Indicator_Import-Expor'!$C$7:$C$223,0))="","",INDEX('Coverage Indicator_Import-Expor'!S$7:S$223,MATCH($B65,'Coverage Indicator_Import-Expor'!$C$7:$C$223,0))),"")</f>
        <v/>
      </c>
      <c r="O65" s="1083" t="str">
        <f>IFERROR(IF(INDEX('Coverage Indicator_Import-Expor'!T$7:T$223,MATCH($B65,'Coverage Indicator_Import-Expor'!$C$7:$C$223,0))="","",INDEX('Coverage Indicator_Import-Expor'!T$7:T$223,MATCH($B65,'Coverage Indicator_Import-Expor'!$C$7:$C$223,0))),"")</f>
        <v/>
      </c>
      <c r="P65" s="1084" t="str">
        <f>IFERROR(IF(INDEX('Coverage Indicator_Import-Expor'!U$7:U$223,MATCH($B65,'Coverage Indicator_Import-Expor'!$C$7:$C$223,0))="","",INDEX('Coverage Indicator_Import-Expor'!U$7:U$223,MATCH($B65,'Coverage Indicator_Import-Expor'!$C$7:$C$223,0))),"")</f>
        <v/>
      </c>
      <c r="Q65" s="1085"/>
      <c r="R65" s="1085"/>
      <c r="S65" s="1086" t="str">
        <f t="shared" si="16"/>
        <v/>
      </c>
      <c r="T65" s="1087"/>
      <c r="U65" s="1088" t="str">
        <f t="shared" si="17"/>
        <v xml:space="preserve"> </v>
      </c>
      <c r="V65" s="1087"/>
      <c r="W65" s="1089" t="str">
        <f t="shared" si="18"/>
        <v>No Results Reported</v>
      </c>
      <c r="X65" s="1085"/>
      <c r="Y65" s="1085"/>
      <c r="Z65" s="1086" t="str">
        <f t="shared" si="19"/>
        <v/>
      </c>
      <c r="AA65" s="1087"/>
      <c r="AB65" s="1088" t="str">
        <f t="shared" si="20"/>
        <v xml:space="preserve"> </v>
      </c>
      <c r="AC65" s="1087"/>
      <c r="AD65" s="1087"/>
      <c r="AE65" s="1089" t="str">
        <f t="shared" si="21"/>
        <v>No Results Reported</v>
      </c>
      <c r="AF65" s="1085"/>
      <c r="AG65" s="1085"/>
      <c r="AH65" s="1086" t="str">
        <f t="shared" si="22"/>
        <v/>
      </c>
      <c r="AI65" s="1088" t="str">
        <f t="shared" si="23"/>
        <v xml:space="preserve"> </v>
      </c>
      <c r="AJ65" s="1087"/>
      <c r="AK65" s="1090" t="str">
        <f t="shared" si="24"/>
        <v>No Results Reported</v>
      </c>
    </row>
    <row r="66" spans="1:37" x14ac:dyDescent="0.2">
      <c r="A66" s="508">
        <f t="shared" si="4"/>
        <v>56</v>
      </c>
      <c r="B66" s="509" t="str">
        <f t="shared" si="15"/>
        <v>Coverage56</v>
      </c>
      <c r="C66" s="1081" t="str">
        <f>IFERROR(INDEX('Coverage Indicator_Import-Expor'!$D$7:$D$223,MATCH(B66,'Coverage Indicator_Import-Expor'!$C$7:$C$223,0)),"")</f>
        <v/>
      </c>
      <c r="D66" s="1082" t="str">
        <f>IFERROR(INDEX('Coverage Indicator_Import-Expor'!$E$7:$E$223,MATCH(B66,'Coverage Indicator_Import-Expor'!$C$7:$C$223,0)),"")</f>
        <v/>
      </c>
      <c r="E66" s="1082" t="str">
        <f>IFERROR(IF(INDEX('Coverage Indicator_Import-Expor'!K$7:K$223,MATCH($B66,'Coverage Indicator_Import-Expor'!$C$7:$C$223,0))="","",INDEX('Coverage Indicator_Import-Expor'!K$7:K$223,MATCH($B66,'Coverage Indicator_Import-Expor'!$C$7:$C$223,0))),"")</f>
        <v/>
      </c>
      <c r="F66" s="1082" t="str">
        <f>IFERROR(IF(INDEX('Coverage Indicator_Import-Expor'!L$7:L$223,MATCH($B66,'Coverage Indicator_Import-Expor'!$C$7:$C$223,0))="","",INDEX('Coverage Indicator_Import-Expor'!L$7:L$223,MATCH($B66,'Coverage Indicator_Import-Expor'!$C$7:$C$223,0))),"")</f>
        <v/>
      </c>
      <c r="G66" s="1082" t="str">
        <f>IFERROR(IF(INDEX('Coverage Indicator_Import-Expor'!AR$7:AR$223,MATCH($B66,'Coverage Indicator_Import-Expor'!$C$7:$C$223,0))="","",INDEX('Coverage Indicator_Import-Expor'!AR$7:AR$223,MATCH($B66,'Coverage Indicator_Import-Expor'!$C$7:$C$223,0))),"")</f>
        <v/>
      </c>
      <c r="H66" s="1082" t="str">
        <f>IFERROR(IF(INDEX('Coverage Indicator_Import-Expor'!AS$7:AS$223,MATCH($B66,'Coverage Indicator_Import-Expor'!$C$7:$C$223,0))="","",INDEX('Coverage Indicator_Import-Expor'!AS$7:AS$223,MATCH($B66,'Coverage Indicator_Import-Expor'!$C$7:$C$223,0))),"")</f>
        <v/>
      </c>
      <c r="I66" s="1083" t="str">
        <f>IFERROR(IF(INDEX('Coverage Indicator_Import-Expor'!N$7:N$223,MATCH($B66,'Coverage Indicator_Import-Expor'!$C$7:$C$223,0))="","",INDEX('Coverage Indicator_Import-Expor'!N$7:N$223,MATCH($B66,'Coverage Indicator_Import-Expor'!$C$7:$C$223,0))),"")</f>
        <v/>
      </c>
      <c r="J66" s="1083" t="str">
        <f>IFERROR(IF(INDEX('Coverage Indicator_Import-Expor'!O$7:O$223,MATCH($B66,'Coverage Indicator_Import-Expor'!$C$7:$C$223,0))="","",INDEX('Coverage Indicator_Import-Expor'!O$7:O$223,MATCH($B66,'Coverage Indicator_Import-Expor'!$C$7:$C$223,0))),"")</f>
        <v/>
      </c>
      <c r="K66" s="1084" t="str">
        <f>IFERROR(IF(INDEX('Coverage Indicator_Import-Expor'!P$7:P$223,MATCH($B66,'Coverage Indicator_Import-Expor'!$C$7:$C$223,0))="","",INDEX('Coverage Indicator_Import-Expor'!P$7:P$223,MATCH($B66,'Coverage Indicator_Import-Expor'!$C$7:$C$223,0))),"")</f>
        <v/>
      </c>
      <c r="L66" s="1082" t="str">
        <f>IFERROR(IF(INDEX('Coverage Indicator_Import-Expor'!Q$7:Q$223,MATCH($B66,'Coverage Indicator_Import-Expor'!$C$7:$C$223,0))="","",INDEX('Coverage Indicator_Import-Expor'!Q$7:Q$223,MATCH($B66,'Coverage Indicator_Import-Expor'!$C$7:$C$223,0))),"")</f>
        <v/>
      </c>
      <c r="M66" s="1082" t="str">
        <f>IFERROR(IF(INDEX('Coverage Indicator_Import-Expor'!R$7:R$223,MATCH($B66,'Coverage Indicator_Import-Expor'!$C$7:$C$223,0))="","",INDEX('Coverage Indicator_Import-Expor'!R$7:R$223,MATCH($B66,'Coverage Indicator_Import-Expor'!$C$7:$C$223,0))),"")</f>
        <v/>
      </c>
      <c r="N66" s="1083" t="str">
        <f>IFERROR(IF(INDEX('Coverage Indicator_Import-Expor'!S$7:S$223,MATCH($B66,'Coverage Indicator_Import-Expor'!$C$7:$C$223,0))="","",INDEX('Coverage Indicator_Import-Expor'!S$7:S$223,MATCH($B66,'Coverage Indicator_Import-Expor'!$C$7:$C$223,0))),"")</f>
        <v/>
      </c>
      <c r="O66" s="1083" t="str">
        <f>IFERROR(IF(INDEX('Coverage Indicator_Import-Expor'!T$7:T$223,MATCH($B66,'Coverage Indicator_Import-Expor'!$C$7:$C$223,0))="","",INDEX('Coverage Indicator_Import-Expor'!T$7:T$223,MATCH($B66,'Coverage Indicator_Import-Expor'!$C$7:$C$223,0))),"")</f>
        <v/>
      </c>
      <c r="P66" s="1084" t="str">
        <f>IFERROR(IF(INDEX('Coverage Indicator_Import-Expor'!U$7:U$223,MATCH($B66,'Coverage Indicator_Import-Expor'!$C$7:$C$223,0))="","",INDEX('Coverage Indicator_Import-Expor'!U$7:U$223,MATCH($B66,'Coverage Indicator_Import-Expor'!$C$7:$C$223,0))),"")</f>
        <v/>
      </c>
      <c r="Q66" s="1085"/>
      <c r="R66" s="1085"/>
      <c r="S66" s="1086" t="str">
        <f t="shared" si="16"/>
        <v/>
      </c>
      <c r="T66" s="1087"/>
      <c r="U66" s="1088" t="str">
        <f t="shared" si="17"/>
        <v xml:space="preserve"> </v>
      </c>
      <c r="V66" s="1087"/>
      <c r="W66" s="1089" t="str">
        <f t="shared" si="18"/>
        <v>No Results Reported</v>
      </c>
      <c r="X66" s="1085"/>
      <c r="Y66" s="1085"/>
      <c r="Z66" s="1086" t="str">
        <f t="shared" si="19"/>
        <v/>
      </c>
      <c r="AA66" s="1087"/>
      <c r="AB66" s="1088" t="str">
        <f t="shared" si="20"/>
        <v xml:space="preserve"> </v>
      </c>
      <c r="AC66" s="1087"/>
      <c r="AD66" s="1087"/>
      <c r="AE66" s="1089" t="str">
        <f t="shared" si="21"/>
        <v>No Results Reported</v>
      </c>
      <c r="AF66" s="1085"/>
      <c r="AG66" s="1085"/>
      <c r="AH66" s="1086" t="str">
        <f t="shared" si="22"/>
        <v/>
      </c>
      <c r="AI66" s="1088" t="str">
        <f t="shared" si="23"/>
        <v xml:space="preserve"> </v>
      </c>
      <c r="AJ66" s="1087"/>
      <c r="AK66" s="1090" t="str">
        <f t="shared" si="24"/>
        <v>No Results Reported</v>
      </c>
    </row>
    <row r="67" spans="1:37" x14ac:dyDescent="0.2">
      <c r="A67" s="508">
        <f t="shared" si="4"/>
        <v>57</v>
      </c>
      <c r="B67" s="509" t="str">
        <f t="shared" si="15"/>
        <v>Coverage57</v>
      </c>
      <c r="C67" s="1081" t="str">
        <f>IFERROR(INDEX('Coverage Indicator_Import-Expor'!$D$7:$D$223,MATCH(B67,'Coverage Indicator_Import-Expor'!$C$7:$C$223,0)),"")</f>
        <v/>
      </c>
      <c r="D67" s="1082" t="str">
        <f>IFERROR(INDEX('Coverage Indicator_Import-Expor'!$E$7:$E$223,MATCH(B67,'Coverage Indicator_Import-Expor'!$C$7:$C$223,0)),"")</f>
        <v/>
      </c>
      <c r="E67" s="1082" t="str">
        <f>IFERROR(IF(INDEX('Coverage Indicator_Import-Expor'!K$7:K$223,MATCH($B67,'Coverage Indicator_Import-Expor'!$C$7:$C$223,0))="","",INDEX('Coverage Indicator_Import-Expor'!K$7:K$223,MATCH($B67,'Coverage Indicator_Import-Expor'!$C$7:$C$223,0))),"")</f>
        <v/>
      </c>
      <c r="F67" s="1082" t="str">
        <f>IFERROR(IF(INDEX('Coverage Indicator_Import-Expor'!L$7:L$223,MATCH($B67,'Coverage Indicator_Import-Expor'!$C$7:$C$223,0))="","",INDEX('Coverage Indicator_Import-Expor'!L$7:L$223,MATCH($B67,'Coverage Indicator_Import-Expor'!$C$7:$C$223,0))),"")</f>
        <v/>
      </c>
      <c r="G67" s="1082" t="str">
        <f>IFERROR(IF(INDEX('Coverage Indicator_Import-Expor'!AR$7:AR$223,MATCH($B67,'Coverage Indicator_Import-Expor'!$C$7:$C$223,0))="","",INDEX('Coverage Indicator_Import-Expor'!AR$7:AR$223,MATCH($B67,'Coverage Indicator_Import-Expor'!$C$7:$C$223,0))),"")</f>
        <v/>
      </c>
      <c r="H67" s="1082" t="str">
        <f>IFERROR(IF(INDEX('Coverage Indicator_Import-Expor'!AS$7:AS$223,MATCH($B67,'Coverage Indicator_Import-Expor'!$C$7:$C$223,0))="","",INDEX('Coverage Indicator_Import-Expor'!AS$7:AS$223,MATCH($B67,'Coverage Indicator_Import-Expor'!$C$7:$C$223,0))),"")</f>
        <v/>
      </c>
      <c r="I67" s="1083" t="str">
        <f>IFERROR(IF(INDEX('Coverage Indicator_Import-Expor'!N$7:N$223,MATCH($B67,'Coverage Indicator_Import-Expor'!$C$7:$C$223,0))="","",INDEX('Coverage Indicator_Import-Expor'!N$7:N$223,MATCH($B67,'Coverage Indicator_Import-Expor'!$C$7:$C$223,0))),"")</f>
        <v/>
      </c>
      <c r="J67" s="1083" t="str">
        <f>IFERROR(IF(INDEX('Coverage Indicator_Import-Expor'!O$7:O$223,MATCH($B67,'Coverage Indicator_Import-Expor'!$C$7:$C$223,0))="","",INDEX('Coverage Indicator_Import-Expor'!O$7:O$223,MATCH($B67,'Coverage Indicator_Import-Expor'!$C$7:$C$223,0))),"")</f>
        <v/>
      </c>
      <c r="K67" s="1084" t="str">
        <f>IFERROR(IF(INDEX('Coverage Indicator_Import-Expor'!P$7:P$223,MATCH($B67,'Coverage Indicator_Import-Expor'!$C$7:$C$223,0))="","",INDEX('Coverage Indicator_Import-Expor'!P$7:P$223,MATCH($B67,'Coverage Indicator_Import-Expor'!$C$7:$C$223,0))),"")</f>
        <v/>
      </c>
      <c r="L67" s="1082" t="str">
        <f>IFERROR(IF(INDEX('Coverage Indicator_Import-Expor'!Q$7:Q$223,MATCH($B67,'Coverage Indicator_Import-Expor'!$C$7:$C$223,0))="","",INDEX('Coverage Indicator_Import-Expor'!Q$7:Q$223,MATCH($B67,'Coverage Indicator_Import-Expor'!$C$7:$C$223,0))),"")</f>
        <v/>
      </c>
      <c r="M67" s="1082" t="str">
        <f>IFERROR(IF(INDEX('Coverage Indicator_Import-Expor'!R$7:R$223,MATCH($B67,'Coverage Indicator_Import-Expor'!$C$7:$C$223,0))="","",INDEX('Coverage Indicator_Import-Expor'!R$7:R$223,MATCH($B67,'Coverage Indicator_Import-Expor'!$C$7:$C$223,0))),"")</f>
        <v/>
      </c>
      <c r="N67" s="1083" t="str">
        <f>IFERROR(IF(INDEX('Coverage Indicator_Import-Expor'!S$7:S$223,MATCH($B67,'Coverage Indicator_Import-Expor'!$C$7:$C$223,0))="","",INDEX('Coverage Indicator_Import-Expor'!S$7:S$223,MATCH($B67,'Coverage Indicator_Import-Expor'!$C$7:$C$223,0))),"")</f>
        <v/>
      </c>
      <c r="O67" s="1083" t="str">
        <f>IFERROR(IF(INDEX('Coverage Indicator_Import-Expor'!T$7:T$223,MATCH($B67,'Coverage Indicator_Import-Expor'!$C$7:$C$223,0))="","",INDEX('Coverage Indicator_Import-Expor'!T$7:T$223,MATCH($B67,'Coverage Indicator_Import-Expor'!$C$7:$C$223,0))),"")</f>
        <v/>
      </c>
      <c r="P67" s="1084" t="str">
        <f>IFERROR(IF(INDEX('Coverage Indicator_Import-Expor'!U$7:U$223,MATCH($B67,'Coverage Indicator_Import-Expor'!$C$7:$C$223,0))="","",INDEX('Coverage Indicator_Import-Expor'!U$7:U$223,MATCH($B67,'Coverage Indicator_Import-Expor'!$C$7:$C$223,0))),"")</f>
        <v/>
      </c>
      <c r="Q67" s="1085"/>
      <c r="R67" s="1085"/>
      <c r="S67" s="1086" t="str">
        <f t="shared" si="16"/>
        <v/>
      </c>
      <c r="T67" s="1087"/>
      <c r="U67" s="1088" t="str">
        <f t="shared" si="17"/>
        <v xml:space="preserve"> </v>
      </c>
      <c r="V67" s="1087"/>
      <c r="W67" s="1089" t="str">
        <f t="shared" si="18"/>
        <v>No Results Reported</v>
      </c>
      <c r="X67" s="1085"/>
      <c r="Y67" s="1085"/>
      <c r="Z67" s="1086" t="str">
        <f t="shared" si="19"/>
        <v/>
      </c>
      <c r="AA67" s="1087"/>
      <c r="AB67" s="1088" t="str">
        <f t="shared" si="20"/>
        <v xml:space="preserve"> </v>
      </c>
      <c r="AC67" s="1087"/>
      <c r="AD67" s="1087"/>
      <c r="AE67" s="1089" t="str">
        <f t="shared" si="21"/>
        <v>No Results Reported</v>
      </c>
      <c r="AF67" s="1085"/>
      <c r="AG67" s="1085"/>
      <c r="AH67" s="1086" t="str">
        <f t="shared" si="22"/>
        <v/>
      </c>
      <c r="AI67" s="1088" t="str">
        <f t="shared" si="23"/>
        <v xml:space="preserve"> </v>
      </c>
      <c r="AJ67" s="1087"/>
      <c r="AK67" s="1090" t="str">
        <f t="shared" si="24"/>
        <v>No Results Reported</v>
      </c>
    </row>
    <row r="68" spans="1:37" x14ac:dyDescent="0.2">
      <c r="A68" s="508">
        <f t="shared" si="4"/>
        <v>58</v>
      </c>
      <c r="B68" s="509" t="str">
        <f t="shared" si="15"/>
        <v>Coverage58</v>
      </c>
      <c r="C68" s="1081" t="str">
        <f>IFERROR(INDEX('Coverage Indicator_Import-Expor'!$D$7:$D$223,MATCH(B68,'Coverage Indicator_Import-Expor'!$C$7:$C$223,0)),"")</f>
        <v/>
      </c>
      <c r="D68" s="1082" t="str">
        <f>IFERROR(INDEX('Coverage Indicator_Import-Expor'!$E$7:$E$223,MATCH(B68,'Coverage Indicator_Import-Expor'!$C$7:$C$223,0)),"")</f>
        <v/>
      </c>
      <c r="E68" s="1082" t="str">
        <f>IFERROR(IF(INDEX('Coverage Indicator_Import-Expor'!K$7:K$223,MATCH($B68,'Coverage Indicator_Import-Expor'!$C$7:$C$223,0))="","",INDEX('Coverage Indicator_Import-Expor'!K$7:K$223,MATCH($B68,'Coverage Indicator_Import-Expor'!$C$7:$C$223,0))),"")</f>
        <v/>
      </c>
      <c r="F68" s="1082" t="str">
        <f>IFERROR(IF(INDEX('Coverage Indicator_Import-Expor'!L$7:L$223,MATCH($B68,'Coverage Indicator_Import-Expor'!$C$7:$C$223,0))="","",INDEX('Coverage Indicator_Import-Expor'!L$7:L$223,MATCH($B68,'Coverage Indicator_Import-Expor'!$C$7:$C$223,0))),"")</f>
        <v/>
      </c>
      <c r="G68" s="1082" t="str">
        <f>IFERROR(IF(INDEX('Coverage Indicator_Import-Expor'!AR$7:AR$223,MATCH($B68,'Coverage Indicator_Import-Expor'!$C$7:$C$223,0))="","",INDEX('Coverage Indicator_Import-Expor'!AR$7:AR$223,MATCH($B68,'Coverage Indicator_Import-Expor'!$C$7:$C$223,0))),"")</f>
        <v/>
      </c>
      <c r="H68" s="1082" t="str">
        <f>IFERROR(IF(INDEX('Coverage Indicator_Import-Expor'!AS$7:AS$223,MATCH($B68,'Coverage Indicator_Import-Expor'!$C$7:$C$223,0))="","",INDEX('Coverage Indicator_Import-Expor'!AS$7:AS$223,MATCH($B68,'Coverage Indicator_Import-Expor'!$C$7:$C$223,0))),"")</f>
        <v/>
      </c>
      <c r="I68" s="1083" t="str">
        <f>IFERROR(IF(INDEX('Coverage Indicator_Import-Expor'!N$7:N$223,MATCH($B68,'Coverage Indicator_Import-Expor'!$C$7:$C$223,0))="","",INDEX('Coverage Indicator_Import-Expor'!N$7:N$223,MATCH($B68,'Coverage Indicator_Import-Expor'!$C$7:$C$223,0))),"")</f>
        <v/>
      </c>
      <c r="J68" s="1083" t="str">
        <f>IFERROR(IF(INDEX('Coverage Indicator_Import-Expor'!O$7:O$223,MATCH($B68,'Coverage Indicator_Import-Expor'!$C$7:$C$223,0))="","",INDEX('Coverage Indicator_Import-Expor'!O$7:O$223,MATCH($B68,'Coverage Indicator_Import-Expor'!$C$7:$C$223,0))),"")</f>
        <v/>
      </c>
      <c r="K68" s="1084" t="str">
        <f>IFERROR(IF(INDEX('Coverage Indicator_Import-Expor'!P$7:P$223,MATCH($B68,'Coverage Indicator_Import-Expor'!$C$7:$C$223,0))="","",INDEX('Coverage Indicator_Import-Expor'!P$7:P$223,MATCH($B68,'Coverage Indicator_Import-Expor'!$C$7:$C$223,0))),"")</f>
        <v/>
      </c>
      <c r="L68" s="1082" t="str">
        <f>IFERROR(IF(INDEX('Coverage Indicator_Import-Expor'!Q$7:Q$223,MATCH($B68,'Coverage Indicator_Import-Expor'!$C$7:$C$223,0))="","",INDEX('Coverage Indicator_Import-Expor'!Q$7:Q$223,MATCH($B68,'Coverage Indicator_Import-Expor'!$C$7:$C$223,0))),"")</f>
        <v/>
      </c>
      <c r="M68" s="1082" t="str">
        <f>IFERROR(IF(INDEX('Coverage Indicator_Import-Expor'!R$7:R$223,MATCH($B68,'Coverage Indicator_Import-Expor'!$C$7:$C$223,0))="","",INDEX('Coverage Indicator_Import-Expor'!R$7:R$223,MATCH($B68,'Coverage Indicator_Import-Expor'!$C$7:$C$223,0))),"")</f>
        <v/>
      </c>
      <c r="N68" s="1083" t="str">
        <f>IFERROR(IF(INDEX('Coverage Indicator_Import-Expor'!S$7:S$223,MATCH($B68,'Coverage Indicator_Import-Expor'!$C$7:$C$223,0))="","",INDEX('Coverage Indicator_Import-Expor'!S$7:S$223,MATCH($B68,'Coverage Indicator_Import-Expor'!$C$7:$C$223,0))),"")</f>
        <v/>
      </c>
      <c r="O68" s="1083" t="str">
        <f>IFERROR(IF(INDEX('Coverage Indicator_Import-Expor'!T$7:T$223,MATCH($B68,'Coverage Indicator_Import-Expor'!$C$7:$C$223,0))="","",INDEX('Coverage Indicator_Import-Expor'!T$7:T$223,MATCH($B68,'Coverage Indicator_Import-Expor'!$C$7:$C$223,0))),"")</f>
        <v/>
      </c>
      <c r="P68" s="1084" t="str">
        <f>IFERROR(IF(INDEX('Coverage Indicator_Import-Expor'!U$7:U$223,MATCH($B68,'Coverage Indicator_Import-Expor'!$C$7:$C$223,0))="","",INDEX('Coverage Indicator_Import-Expor'!U$7:U$223,MATCH($B68,'Coverage Indicator_Import-Expor'!$C$7:$C$223,0))),"")</f>
        <v/>
      </c>
      <c r="Q68" s="1085"/>
      <c r="R68" s="1085"/>
      <c r="S68" s="1086" t="str">
        <f t="shared" si="16"/>
        <v/>
      </c>
      <c r="T68" s="1087"/>
      <c r="U68" s="1088" t="str">
        <f t="shared" si="17"/>
        <v xml:space="preserve"> </v>
      </c>
      <c r="V68" s="1087"/>
      <c r="W68" s="1089" t="str">
        <f t="shared" si="18"/>
        <v>No Results Reported</v>
      </c>
      <c r="X68" s="1085"/>
      <c r="Y68" s="1085"/>
      <c r="Z68" s="1086" t="str">
        <f t="shared" si="19"/>
        <v/>
      </c>
      <c r="AA68" s="1087"/>
      <c r="AB68" s="1088" t="str">
        <f t="shared" si="20"/>
        <v xml:space="preserve"> </v>
      </c>
      <c r="AC68" s="1087"/>
      <c r="AD68" s="1087"/>
      <c r="AE68" s="1089" t="str">
        <f t="shared" si="21"/>
        <v>No Results Reported</v>
      </c>
      <c r="AF68" s="1085"/>
      <c r="AG68" s="1085"/>
      <c r="AH68" s="1086" t="str">
        <f t="shared" si="22"/>
        <v/>
      </c>
      <c r="AI68" s="1088" t="str">
        <f t="shared" si="23"/>
        <v xml:space="preserve"> </v>
      </c>
      <c r="AJ68" s="1087"/>
      <c r="AK68" s="1090" t="str">
        <f t="shared" si="24"/>
        <v>No Results Reported</v>
      </c>
    </row>
    <row r="69" spans="1:37" x14ac:dyDescent="0.2">
      <c r="A69" s="508">
        <f t="shared" si="4"/>
        <v>59</v>
      </c>
      <c r="B69" s="509" t="str">
        <f t="shared" si="15"/>
        <v>Coverage59</v>
      </c>
      <c r="C69" s="1081" t="str">
        <f>IFERROR(INDEX('Coverage Indicator_Import-Expor'!$D$7:$D$223,MATCH(B69,'Coverage Indicator_Import-Expor'!$C$7:$C$223,0)),"")</f>
        <v/>
      </c>
      <c r="D69" s="1082" t="str">
        <f>IFERROR(INDEX('Coverage Indicator_Import-Expor'!$E$7:$E$223,MATCH(B69,'Coverage Indicator_Import-Expor'!$C$7:$C$223,0)),"")</f>
        <v/>
      </c>
      <c r="E69" s="1082" t="str">
        <f>IFERROR(IF(INDEX('Coverage Indicator_Import-Expor'!K$7:K$223,MATCH($B69,'Coverage Indicator_Import-Expor'!$C$7:$C$223,0))="","",INDEX('Coverage Indicator_Import-Expor'!K$7:K$223,MATCH($B69,'Coverage Indicator_Import-Expor'!$C$7:$C$223,0))),"")</f>
        <v/>
      </c>
      <c r="F69" s="1082" t="str">
        <f>IFERROR(IF(INDEX('Coverage Indicator_Import-Expor'!L$7:L$223,MATCH($B69,'Coverage Indicator_Import-Expor'!$C$7:$C$223,0))="","",INDEX('Coverage Indicator_Import-Expor'!L$7:L$223,MATCH($B69,'Coverage Indicator_Import-Expor'!$C$7:$C$223,0))),"")</f>
        <v/>
      </c>
      <c r="G69" s="1082" t="str">
        <f>IFERROR(IF(INDEX('Coverage Indicator_Import-Expor'!AR$7:AR$223,MATCH($B69,'Coverage Indicator_Import-Expor'!$C$7:$C$223,0))="","",INDEX('Coverage Indicator_Import-Expor'!AR$7:AR$223,MATCH($B69,'Coverage Indicator_Import-Expor'!$C$7:$C$223,0))),"")</f>
        <v/>
      </c>
      <c r="H69" s="1082" t="str">
        <f>IFERROR(IF(INDEX('Coverage Indicator_Import-Expor'!AS$7:AS$223,MATCH($B69,'Coverage Indicator_Import-Expor'!$C$7:$C$223,0))="","",INDEX('Coverage Indicator_Import-Expor'!AS$7:AS$223,MATCH($B69,'Coverage Indicator_Import-Expor'!$C$7:$C$223,0))),"")</f>
        <v/>
      </c>
      <c r="I69" s="1083" t="str">
        <f>IFERROR(IF(INDEX('Coverage Indicator_Import-Expor'!N$7:N$223,MATCH($B69,'Coverage Indicator_Import-Expor'!$C$7:$C$223,0))="","",INDEX('Coverage Indicator_Import-Expor'!N$7:N$223,MATCH($B69,'Coverage Indicator_Import-Expor'!$C$7:$C$223,0))),"")</f>
        <v/>
      </c>
      <c r="J69" s="1083" t="str">
        <f>IFERROR(IF(INDEX('Coverage Indicator_Import-Expor'!O$7:O$223,MATCH($B69,'Coverage Indicator_Import-Expor'!$C$7:$C$223,0))="","",INDEX('Coverage Indicator_Import-Expor'!O$7:O$223,MATCH($B69,'Coverage Indicator_Import-Expor'!$C$7:$C$223,0))),"")</f>
        <v/>
      </c>
      <c r="K69" s="1084" t="str">
        <f>IFERROR(IF(INDEX('Coverage Indicator_Import-Expor'!P$7:P$223,MATCH($B69,'Coverage Indicator_Import-Expor'!$C$7:$C$223,0))="","",INDEX('Coverage Indicator_Import-Expor'!P$7:P$223,MATCH($B69,'Coverage Indicator_Import-Expor'!$C$7:$C$223,0))),"")</f>
        <v/>
      </c>
      <c r="L69" s="1082" t="str">
        <f>IFERROR(IF(INDEX('Coverage Indicator_Import-Expor'!Q$7:Q$223,MATCH($B69,'Coverage Indicator_Import-Expor'!$C$7:$C$223,0))="","",INDEX('Coverage Indicator_Import-Expor'!Q$7:Q$223,MATCH($B69,'Coverage Indicator_Import-Expor'!$C$7:$C$223,0))),"")</f>
        <v/>
      </c>
      <c r="M69" s="1082" t="str">
        <f>IFERROR(IF(INDEX('Coverage Indicator_Import-Expor'!R$7:R$223,MATCH($B69,'Coverage Indicator_Import-Expor'!$C$7:$C$223,0))="","",INDEX('Coverage Indicator_Import-Expor'!R$7:R$223,MATCH($B69,'Coverage Indicator_Import-Expor'!$C$7:$C$223,0))),"")</f>
        <v/>
      </c>
      <c r="N69" s="1083" t="str">
        <f>IFERROR(IF(INDEX('Coverage Indicator_Import-Expor'!S$7:S$223,MATCH($B69,'Coverage Indicator_Import-Expor'!$C$7:$C$223,0))="","",INDEX('Coverage Indicator_Import-Expor'!S$7:S$223,MATCH($B69,'Coverage Indicator_Import-Expor'!$C$7:$C$223,0))),"")</f>
        <v/>
      </c>
      <c r="O69" s="1083" t="str">
        <f>IFERROR(IF(INDEX('Coverage Indicator_Import-Expor'!T$7:T$223,MATCH($B69,'Coverage Indicator_Import-Expor'!$C$7:$C$223,0))="","",INDEX('Coverage Indicator_Import-Expor'!T$7:T$223,MATCH($B69,'Coverage Indicator_Import-Expor'!$C$7:$C$223,0))),"")</f>
        <v/>
      </c>
      <c r="P69" s="1084" t="str">
        <f>IFERROR(IF(INDEX('Coverage Indicator_Import-Expor'!U$7:U$223,MATCH($B69,'Coverage Indicator_Import-Expor'!$C$7:$C$223,0))="","",INDEX('Coverage Indicator_Import-Expor'!U$7:U$223,MATCH($B69,'Coverage Indicator_Import-Expor'!$C$7:$C$223,0))),"")</f>
        <v/>
      </c>
      <c r="Q69" s="1085"/>
      <c r="R69" s="1085"/>
      <c r="S69" s="1086" t="str">
        <f t="shared" si="16"/>
        <v/>
      </c>
      <c r="T69" s="1087"/>
      <c r="U69" s="1088" t="str">
        <f t="shared" si="17"/>
        <v xml:space="preserve"> </v>
      </c>
      <c r="V69" s="1087"/>
      <c r="W69" s="1089" t="str">
        <f t="shared" si="18"/>
        <v>No Results Reported</v>
      </c>
      <c r="X69" s="1085"/>
      <c r="Y69" s="1085"/>
      <c r="Z69" s="1086" t="str">
        <f t="shared" si="19"/>
        <v/>
      </c>
      <c r="AA69" s="1087"/>
      <c r="AB69" s="1088" t="str">
        <f t="shared" si="20"/>
        <v xml:space="preserve"> </v>
      </c>
      <c r="AC69" s="1087"/>
      <c r="AD69" s="1087"/>
      <c r="AE69" s="1089" t="str">
        <f t="shared" si="21"/>
        <v>No Results Reported</v>
      </c>
      <c r="AF69" s="1085"/>
      <c r="AG69" s="1085"/>
      <c r="AH69" s="1086" t="str">
        <f t="shared" si="22"/>
        <v/>
      </c>
      <c r="AI69" s="1088" t="str">
        <f t="shared" si="23"/>
        <v xml:space="preserve"> </v>
      </c>
      <c r="AJ69" s="1087"/>
      <c r="AK69" s="1090" t="str">
        <f t="shared" si="24"/>
        <v>No Results Reported</v>
      </c>
    </row>
    <row r="70" spans="1:37" x14ac:dyDescent="0.2">
      <c r="A70" s="508">
        <f t="shared" si="4"/>
        <v>60</v>
      </c>
      <c r="B70" s="509" t="str">
        <f t="shared" si="15"/>
        <v>Coverage60</v>
      </c>
      <c r="C70" s="1081" t="str">
        <f>IFERROR(INDEX('Coverage Indicator_Import-Expor'!$D$7:$D$223,MATCH(B70,'Coverage Indicator_Import-Expor'!$C$7:$C$223,0)),"")</f>
        <v/>
      </c>
      <c r="D70" s="1082" t="str">
        <f>IFERROR(INDEX('Coverage Indicator_Import-Expor'!$E$7:$E$223,MATCH(B70,'Coverage Indicator_Import-Expor'!$C$7:$C$223,0)),"")</f>
        <v/>
      </c>
      <c r="E70" s="1082" t="str">
        <f>IFERROR(IF(INDEX('Coverage Indicator_Import-Expor'!K$7:K$223,MATCH($B70,'Coverage Indicator_Import-Expor'!$C$7:$C$223,0))="","",INDEX('Coverage Indicator_Import-Expor'!K$7:K$223,MATCH($B70,'Coverage Indicator_Import-Expor'!$C$7:$C$223,0))),"")</f>
        <v/>
      </c>
      <c r="F70" s="1082" t="str">
        <f>IFERROR(IF(INDEX('Coverage Indicator_Import-Expor'!L$7:L$223,MATCH($B70,'Coverage Indicator_Import-Expor'!$C$7:$C$223,0))="","",INDEX('Coverage Indicator_Import-Expor'!L$7:L$223,MATCH($B70,'Coverage Indicator_Import-Expor'!$C$7:$C$223,0))),"")</f>
        <v/>
      </c>
      <c r="G70" s="1082" t="str">
        <f>IFERROR(IF(INDEX('Coverage Indicator_Import-Expor'!AR$7:AR$223,MATCH($B70,'Coverage Indicator_Import-Expor'!$C$7:$C$223,0))="","",INDEX('Coverage Indicator_Import-Expor'!AR$7:AR$223,MATCH($B70,'Coverage Indicator_Import-Expor'!$C$7:$C$223,0))),"")</f>
        <v/>
      </c>
      <c r="H70" s="1082" t="str">
        <f>IFERROR(IF(INDEX('Coverage Indicator_Import-Expor'!AS$7:AS$223,MATCH($B70,'Coverage Indicator_Import-Expor'!$C$7:$C$223,0))="","",INDEX('Coverage Indicator_Import-Expor'!AS$7:AS$223,MATCH($B70,'Coverage Indicator_Import-Expor'!$C$7:$C$223,0))),"")</f>
        <v/>
      </c>
      <c r="I70" s="1083" t="str">
        <f>IFERROR(IF(INDEX('Coverage Indicator_Import-Expor'!N$7:N$223,MATCH($B70,'Coverage Indicator_Import-Expor'!$C$7:$C$223,0))="","",INDEX('Coverage Indicator_Import-Expor'!N$7:N$223,MATCH($B70,'Coverage Indicator_Import-Expor'!$C$7:$C$223,0))),"")</f>
        <v/>
      </c>
      <c r="J70" s="1083" t="str">
        <f>IFERROR(IF(INDEX('Coverage Indicator_Import-Expor'!O$7:O$223,MATCH($B70,'Coverage Indicator_Import-Expor'!$C$7:$C$223,0))="","",INDEX('Coverage Indicator_Import-Expor'!O$7:O$223,MATCH($B70,'Coverage Indicator_Import-Expor'!$C$7:$C$223,0))),"")</f>
        <v/>
      </c>
      <c r="K70" s="1084" t="str">
        <f>IFERROR(IF(INDEX('Coverage Indicator_Import-Expor'!P$7:P$223,MATCH($B70,'Coverage Indicator_Import-Expor'!$C$7:$C$223,0))="","",INDEX('Coverage Indicator_Import-Expor'!P$7:P$223,MATCH($B70,'Coverage Indicator_Import-Expor'!$C$7:$C$223,0))),"")</f>
        <v/>
      </c>
      <c r="L70" s="1082" t="str">
        <f>IFERROR(IF(INDEX('Coverage Indicator_Import-Expor'!Q$7:Q$223,MATCH($B70,'Coverage Indicator_Import-Expor'!$C$7:$C$223,0))="","",INDEX('Coverage Indicator_Import-Expor'!Q$7:Q$223,MATCH($B70,'Coverage Indicator_Import-Expor'!$C$7:$C$223,0))),"")</f>
        <v/>
      </c>
      <c r="M70" s="1082" t="str">
        <f>IFERROR(IF(INDEX('Coverage Indicator_Import-Expor'!R$7:R$223,MATCH($B70,'Coverage Indicator_Import-Expor'!$C$7:$C$223,0))="","",INDEX('Coverage Indicator_Import-Expor'!R$7:R$223,MATCH($B70,'Coverage Indicator_Import-Expor'!$C$7:$C$223,0))),"")</f>
        <v/>
      </c>
      <c r="N70" s="1083" t="str">
        <f>IFERROR(IF(INDEX('Coverage Indicator_Import-Expor'!S$7:S$223,MATCH($B70,'Coverage Indicator_Import-Expor'!$C$7:$C$223,0))="","",INDEX('Coverage Indicator_Import-Expor'!S$7:S$223,MATCH($B70,'Coverage Indicator_Import-Expor'!$C$7:$C$223,0))),"")</f>
        <v/>
      </c>
      <c r="O70" s="1083" t="str">
        <f>IFERROR(IF(INDEX('Coverage Indicator_Import-Expor'!T$7:T$223,MATCH($B70,'Coverage Indicator_Import-Expor'!$C$7:$C$223,0))="","",INDEX('Coverage Indicator_Import-Expor'!T$7:T$223,MATCH($B70,'Coverage Indicator_Import-Expor'!$C$7:$C$223,0))),"")</f>
        <v/>
      </c>
      <c r="P70" s="1084" t="str">
        <f>IFERROR(IF(INDEX('Coverage Indicator_Import-Expor'!U$7:U$223,MATCH($B70,'Coverage Indicator_Import-Expor'!$C$7:$C$223,0))="","",INDEX('Coverage Indicator_Import-Expor'!U$7:U$223,MATCH($B70,'Coverage Indicator_Import-Expor'!$C$7:$C$223,0))),"")</f>
        <v/>
      </c>
      <c r="Q70" s="1085"/>
      <c r="R70" s="1085"/>
      <c r="S70" s="1086" t="str">
        <f t="shared" si="16"/>
        <v/>
      </c>
      <c r="T70" s="1087"/>
      <c r="U70" s="1088" t="str">
        <f t="shared" si="17"/>
        <v xml:space="preserve"> </v>
      </c>
      <c r="V70" s="1087"/>
      <c r="W70" s="1089" t="str">
        <f t="shared" si="18"/>
        <v>No Results Reported</v>
      </c>
      <c r="X70" s="1085"/>
      <c r="Y70" s="1085"/>
      <c r="Z70" s="1086" t="str">
        <f t="shared" si="19"/>
        <v/>
      </c>
      <c r="AA70" s="1087"/>
      <c r="AB70" s="1088" t="str">
        <f t="shared" si="20"/>
        <v xml:space="preserve"> </v>
      </c>
      <c r="AC70" s="1087"/>
      <c r="AD70" s="1087"/>
      <c r="AE70" s="1089" t="str">
        <f t="shared" si="21"/>
        <v>No Results Reported</v>
      </c>
      <c r="AF70" s="1085"/>
      <c r="AG70" s="1085"/>
      <c r="AH70" s="1086" t="str">
        <f t="shared" si="22"/>
        <v/>
      </c>
      <c r="AI70" s="1088" t="str">
        <f t="shared" si="23"/>
        <v xml:space="preserve"> </v>
      </c>
      <c r="AJ70" s="1087"/>
      <c r="AK70" s="1090" t="str">
        <f t="shared" si="24"/>
        <v>No Results Reported</v>
      </c>
    </row>
    <row r="71" spans="1:37" x14ac:dyDescent="0.2">
      <c r="A71" s="508">
        <f t="shared" si="4"/>
        <v>61</v>
      </c>
      <c r="B71" s="509" t="str">
        <f t="shared" si="15"/>
        <v>Coverage61</v>
      </c>
      <c r="C71" s="1081" t="str">
        <f>IFERROR(INDEX('Coverage Indicator_Import-Expor'!$D$7:$D$223,MATCH(B71,'Coverage Indicator_Import-Expor'!$C$7:$C$223,0)),"")</f>
        <v/>
      </c>
      <c r="D71" s="1082" t="str">
        <f>IFERROR(INDEX('Coverage Indicator_Import-Expor'!$E$7:$E$223,MATCH(B71,'Coverage Indicator_Import-Expor'!$C$7:$C$223,0)),"")</f>
        <v/>
      </c>
      <c r="E71" s="1082" t="str">
        <f>IFERROR(IF(INDEX('Coverage Indicator_Import-Expor'!K$7:K$223,MATCH($B71,'Coverage Indicator_Import-Expor'!$C$7:$C$223,0))="","",INDEX('Coverage Indicator_Import-Expor'!K$7:K$223,MATCH($B71,'Coverage Indicator_Import-Expor'!$C$7:$C$223,0))),"")</f>
        <v/>
      </c>
      <c r="F71" s="1082" t="str">
        <f>IFERROR(IF(INDEX('Coverage Indicator_Import-Expor'!L$7:L$223,MATCH($B71,'Coverage Indicator_Import-Expor'!$C$7:$C$223,0))="","",INDEX('Coverage Indicator_Import-Expor'!L$7:L$223,MATCH($B71,'Coverage Indicator_Import-Expor'!$C$7:$C$223,0))),"")</f>
        <v/>
      </c>
      <c r="G71" s="1082" t="str">
        <f>IFERROR(IF(INDEX('Coverage Indicator_Import-Expor'!AR$7:AR$223,MATCH($B71,'Coverage Indicator_Import-Expor'!$C$7:$C$223,0))="","",INDEX('Coverage Indicator_Import-Expor'!AR$7:AR$223,MATCH($B71,'Coverage Indicator_Import-Expor'!$C$7:$C$223,0))),"")</f>
        <v/>
      </c>
      <c r="H71" s="1082" t="str">
        <f>IFERROR(IF(INDEX('Coverage Indicator_Import-Expor'!AS$7:AS$223,MATCH($B71,'Coverage Indicator_Import-Expor'!$C$7:$C$223,0))="","",INDEX('Coverage Indicator_Import-Expor'!AS$7:AS$223,MATCH($B71,'Coverage Indicator_Import-Expor'!$C$7:$C$223,0))),"")</f>
        <v/>
      </c>
      <c r="I71" s="1083" t="str">
        <f>IFERROR(IF(INDEX('Coverage Indicator_Import-Expor'!N$7:N$223,MATCH($B71,'Coverage Indicator_Import-Expor'!$C$7:$C$223,0))="","",INDEX('Coverage Indicator_Import-Expor'!N$7:N$223,MATCH($B71,'Coverage Indicator_Import-Expor'!$C$7:$C$223,0))),"")</f>
        <v/>
      </c>
      <c r="J71" s="1083" t="str">
        <f>IFERROR(IF(INDEX('Coverage Indicator_Import-Expor'!O$7:O$223,MATCH($B71,'Coverage Indicator_Import-Expor'!$C$7:$C$223,0))="","",INDEX('Coverage Indicator_Import-Expor'!O$7:O$223,MATCH($B71,'Coverage Indicator_Import-Expor'!$C$7:$C$223,0))),"")</f>
        <v/>
      </c>
      <c r="K71" s="1084" t="str">
        <f>IFERROR(IF(INDEX('Coverage Indicator_Import-Expor'!P$7:P$223,MATCH($B71,'Coverage Indicator_Import-Expor'!$C$7:$C$223,0))="","",INDEX('Coverage Indicator_Import-Expor'!P$7:P$223,MATCH($B71,'Coverage Indicator_Import-Expor'!$C$7:$C$223,0))),"")</f>
        <v/>
      </c>
      <c r="L71" s="1082" t="str">
        <f>IFERROR(IF(INDEX('Coverage Indicator_Import-Expor'!Q$7:Q$223,MATCH($B71,'Coverage Indicator_Import-Expor'!$C$7:$C$223,0))="","",INDEX('Coverage Indicator_Import-Expor'!Q$7:Q$223,MATCH($B71,'Coverage Indicator_Import-Expor'!$C$7:$C$223,0))),"")</f>
        <v/>
      </c>
      <c r="M71" s="1082" t="str">
        <f>IFERROR(IF(INDEX('Coverage Indicator_Import-Expor'!R$7:R$223,MATCH($B71,'Coverage Indicator_Import-Expor'!$C$7:$C$223,0))="","",INDEX('Coverage Indicator_Import-Expor'!R$7:R$223,MATCH($B71,'Coverage Indicator_Import-Expor'!$C$7:$C$223,0))),"")</f>
        <v/>
      </c>
      <c r="N71" s="1083" t="str">
        <f>IFERROR(IF(INDEX('Coverage Indicator_Import-Expor'!S$7:S$223,MATCH($B71,'Coverage Indicator_Import-Expor'!$C$7:$C$223,0))="","",INDEX('Coverage Indicator_Import-Expor'!S$7:S$223,MATCH($B71,'Coverage Indicator_Import-Expor'!$C$7:$C$223,0))),"")</f>
        <v/>
      </c>
      <c r="O71" s="1083" t="str">
        <f>IFERROR(IF(INDEX('Coverage Indicator_Import-Expor'!T$7:T$223,MATCH($B71,'Coverage Indicator_Import-Expor'!$C$7:$C$223,0))="","",INDEX('Coverage Indicator_Import-Expor'!T$7:T$223,MATCH($B71,'Coverage Indicator_Import-Expor'!$C$7:$C$223,0))),"")</f>
        <v/>
      </c>
      <c r="P71" s="1084" t="str">
        <f>IFERROR(IF(INDEX('Coverage Indicator_Import-Expor'!U$7:U$223,MATCH($B71,'Coverage Indicator_Import-Expor'!$C$7:$C$223,0))="","",INDEX('Coverage Indicator_Import-Expor'!U$7:U$223,MATCH($B71,'Coverage Indicator_Import-Expor'!$C$7:$C$223,0))),"")</f>
        <v/>
      </c>
      <c r="Q71" s="1085"/>
      <c r="R71" s="1085"/>
      <c r="S71" s="1086" t="str">
        <f t="shared" si="16"/>
        <v/>
      </c>
      <c r="T71" s="1087"/>
      <c r="U71" s="1088" t="str">
        <f t="shared" si="17"/>
        <v xml:space="preserve"> </v>
      </c>
      <c r="V71" s="1087"/>
      <c r="W71" s="1089" t="str">
        <f t="shared" si="18"/>
        <v>No Results Reported</v>
      </c>
      <c r="X71" s="1085"/>
      <c r="Y71" s="1085"/>
      <c r="Z71" s="1086" t="str">
        <f t="shared" si="19"/>
        <v/>
      </c>
      <c r="AA71" s="1087"/>
      <c r="AB71" s="1088" t="str">
        <f t="shared" si="20"/>
        <v xml:space="preserve"> </v>
      </c>
      <c r="AC71" s="1087"/>
      <c r="AD71" s="1087"/>
      <c r="AE71" s="1089" t="str">
        <f t="shared" si="21"/>
        <v>No Results Reported</v>
      </c>
      <c r="AF71" s="1085"/>
      <c r="AG71" s="1085"/>
      <c r="AH71" s="1086" t="str">
        <f t="shared" si="22"/>
        <v/>
      </c>
      <c r="AI71" s="1088" t="str">
        <f t="shared" si="23"/>
        <v xml:space="preserve"> </v>
      </c>
      <c r="AJ71" s="1087"/>
      <c r="AK71" s="1090" t="str">
        <f t="shared" si="24"/>
        <v>No Results Reported</v>
      </c>
    </row>
    <row r="72" spans="1:37" x14ac:dyDescent="0.2">
      <c r="A72" s="508">
        <f t="shared" si="4"/>
        <v>62</v>
      </c>
      <c r="B72" s="509" t="str">
        <f t="shared" si="15"/>
        <v>Coverage62</v>
      </c>
      <c r="C72" s="1081" t="str">
        <f>IFERROR(INDEX('Coverage Indicator_Import-Expor'!$D$7:$D$223,MATCH(B72,'Coverage Indicator_Import-Expor'!$C$7:$C$223,0)),"")</f>
        <v/>
      </c>
      <c r="D72" s="1082" t="str">
        <f>IFERROR(INDEX('Coverage Indicator_Import-Expor'!$E$7:$E$223,MATCH(B72,'Coverage Indicator_Import-Expor'!$C$7:$C$223,0)),"")</f>
        <v/>
      </c>
      <c r="E72" s="1082" t="str">
        <f>IFERROR(IF(INDEX('Coverage Indicator_Import-Expor'!K$7:K$223,MATCH($B72,'Coverage Indicator_Import-Expor'!$C$7:$C$223,0))="","",INDEX('Coverage Indicator_Import-Expor'!K$7:K$223,MATCH($B72,'Coverage Indicator_Import-Expor'!$C$7:$C$223,0))),"")</f>
        <v/>
      </c>
      <c r="F72" s="1082" t="str">
        <f>IFERROR(IF(INDEX('Coverage Indicator_Import-Expor'!L$7:L$223,MATCH($B72,'Coverage Indicator_Import-Expor'!$C$7:$C$223,0))="","",INDEX('Coverage Indicator_Import-Expor'!L$7:L$223,MATCH($B72,'Coverage Indicator_Import-Expor'!$C$7:$C$223,0))),"")</f>
        <v/>
      </c>
      <c r="G72" s="1082" t="str">
        <f>IFERROR(IF(INDEX('Coverage Indicator_Import-Expor'!AR$7:AR$223,MATCH($B72,'Coverage Indicator_Import-Expor'!$C$7:$C$223,0))="","",INDEX('Coverage Indicator_Import-Expor'!AR$7:AR$223,MATCH($B72,'Coverage Indicator_Import-Expor'!$C$7:$C$223,0))),"")</f>
        <v/>
      </c>
      <c r="H72" s="1082" t="str">
        <f>IFERROR(IF(INDEX('Coverage Indicator_Import-Expor'!AS$7:AS$223,MATCH($B72,'Coverage Indicator_Import-Expor'!$C$7:$C$223,0))="","",INDEX('Coverage Indicator_Import-Expor'!AS$7:AS$223,MATCH($B72,'Coverage Indicator_Import-Expor'!$C$7:$C$223,0))),"")</f>
        <v/>
      </c>
      <c r="I72" s="1083" t="str">
        <f>IFERROR(IF(INDEX('Coverage Indicator_Import-Expor'!N$7:N$223,MATCH($B72,'Coverage Indicator_Import-Expor'!$C$7:$C$223,0))="","",INDEX('Coverage Indicator_Import-Expor'!N$7:N$223,MATCH($B72,'Coverage Indicator_Import-Expor'!$C$7:$C$223,0))),"")</f>
        <v/>
      </c>
      <c r="J72" s="1083" t="str">
        <f>IFERROR(IF(INDEX('Coverage Indicator_Import-Expor'!O$7:O$223,MATCH($B72,'Coverage Indicator_Import-Expor'!$C$7:$C$223,0))="","",INDEX('Coverage Indicator_Import-Expor'!O$7:O$223,MATCH($B72,'Coverage Indicator_Import-Expor'!$C$7:$C$223,0))),"")</f>
        <v/>
      </c>
      <c r="K72" s="1084" t="str">
        <f>IFERROR(IF(INDEX('Coverage Indicator_Import-Expor'!P$7:P$223,MATCH($B72,'Coverage Indicator_Import-Expor'!$C$7:$C$223,0))="","",INDEX('Coverage Indicator_Import-Expor'!P$7:P$223,MATCH($B72,'Coverage Indicator_Import-Expor'!$C$7:$C$223,0))),"")</f>
        <v/>
      </c>
      <c r="L72" s="1082" t="str">
        <f>IFERROR(IF(INDEX('Coverage Indicator_Import-Expor'!Q$7:Q$223,MATCH($B72,'Coverage Indicator_Import-Expor'!$C$7:$C$223,0))="","",INDEX('Coverage Indicator_Import-Expor'!Q$7:Q$223,MATCH($B72,'Coverage Indicator_Import-Expor'!$C$7:$C$223,0))),"")</f>
        <v/>
      </c>
      <c r="M72" s="1082" t="str">
        <f>IFERROR(IF(INDEX('Coverage Indicator_Import-Expor'!R$7:R$223,MATCH($B72,'Coverage Indicator_Import-Expor'!$C$7:$C$223,0))="","",INDEX('Coverage Indicator_Import-Expor'!R$7:R$223,MATCH($B72,'Coverage Indicator_Import-Expor'!$C$7:$C$223,0))),"")</f>
        <v/>
      </c>
      <c r="N72" s="1083" t="str">
        <f>IFERROR(IF(INDEX('Coverage Indicator_Import-Expor'!S$7:S$223,MATCH($B72,'Coverage Indicator_Import-Expor'!$C$7:$C$223,0))="","",INDEX('Coverage Indicator_Import-Expor'!S$7:S$223,MATCH($B72,'Coverage Indicator_Import-Expor'!$C$7:$C$223,0))),"")</f>
        <v/>
      </c>
      <c r="O72" s="1083" t="str">
        <f>IFERROR(IF(INDEX('Coverage Indicator_Import-Expor'!T$7:T$223,MATCH($B72,'Coverage Indicator_Import-Expor'!$C$7:$C$223,0))="","",INDEX('Coverage Indicator_Import-Expor'!T$7:T$223,MATCH($B72,'Coverage Indicator_Import-Expor'!$C$7:$C$223,0))),"")</f>
        <v/>
      </c>
      <c r="P72" s="1084" t="str">
        <f>IFERROR(IF(INDEX('Coverage Indicator_Import-Expor'!U$7:U$223,MATCH($B72,'Coverage Indicator_Import-Expor'!$C$7:$C$223,0))="","",INDEX('Coverage Indicator_Import-Expor'!U$7:U$223,MATCH($B72,'Coverage Indicator_Import-Expor'!$C$7:$C$223,0))),"")</f>
        <v/>
      </c>
      <c r="Q72" s="1085"/>
      <c r="R72" s="1085"/>
      <c r="S72" s="1086" t="str">
        <f t="shared" si="16"/>
        <v/>
      </c>
      <c r="T72" s="1087"/>
      <c r="U72" s="1088" t="str">
        <f t="shared" si="17"/>
        <v xml:space="preserve"> </v>
      </c>
      <c r="V72" s="1087"/>
      <c r="W72" s="1089" t="str">
        <f t="shared" si="18"/>
        <v>No Results Reported</v>
      </c>
      <c r="X72" s="1085"/>
      <c r="Y72" s="1085"/>
      <c r="Z72" s="1086" t="str">
        <f t="shared" si="19"/>
        <v/>
      </c>
      <c r="AA72" s="1087"/>
      <c r="AB72" s="1088" t="str">
        <f t="shared" si="20"/>
        <v xml:space="preserve"> </v>
      </c>
      <c r="AC72" s="1087"/>
      <c r="AD72" s="1087"/>
      <c r="AE72" s="1089" t="str">
        <f t="shared" si="21"/>
        <v>No Results Reported</v>
      </c>
      <c r="AF72" s="1085"/>
      <c r="AG72" s="1085"/>
      <c r="AH72" s="1086" t="str">
        <f t="shared" si="22"/>
        <v/>
      </c>
      <c r="AI72" s="1088" t="str">
        <f t="shared" si="23"/>
        <v xml:space="preserve"> </v>
      </c>
      <c r="AJ72" s="1087"/>
      <c r="AK72" s="1090" t="str">
        <f t="shared" si="24"/>
        <v>No Results Reported</v>
      </c>
    </row>
    <row r="73" spans="1:37" x14ac:dyDescent="0.2">
      <c r="A73" s="508">
        <f t="shared" si="4"/>
        <v>63</v>
      </c>
      <c r="B73" s="509" t="str">
        <f t="shared" si="15"/>
        <v>Coverage63</v>
      </c>
      <c r="C73" s="1081" t="str">
        <f>IFERROR(INDEX('Coverage Indicator_Import-Expor'!$D$7:$D$223,MATCH(B73,'Coverage Indicator_Import-Expor'!$C$7:$C$223,0)),"")</f>
        <v/>
      </c>
      <c r="D73" s="1082" t="str">
        <f>IFERROR(INDEX('Coverage Indicator_Import-Expor'!$E$7:$E$223,MATCH(B73,'Coverage Indicator_Import-Expor'!$C$7:$C$223,0)),"")</f>
        <v/>
      </c>
      <c r="E73" s="1082" t="str">
        <f>IFERROR(IF(INDEX('Coverage Indicator_Import-Expor'!K$7:K$223,MATCH($B73,'Coverage Indicator_Import-Expor'!$C$7:$C$223,0))="","",INDEX('Coverage Indicator_Import-Expor'!K$7:K$223,MATCH($B73,'Coverage Indicator_Import-Expor'!$C$7:$C$223,0))),"")</f>
        <v/>
      </c>
      <c r="F73" s="1082" t="str">
        <f>IFERROR(IF(INDEX('Coverage Indicator_Import-Expor'!L$7:L$223,MATCH($B73,'Coverage Indicator_Import-Expor'!$C$7:$C$223,0))="","",INDEX('Coverage Indicator_Import-Expor'!L$7:L$223,MATCH($B73,'Coverage Indicator_Import-Expor'!$C$7:$C$223,0))),"")</f>
        <v/>
      </c>
      <c r="G73" s="1082" t="str">
        <f>IFERROR(IF(INDEX('Coverage Indicator_Import-Expor'!AR$7:AR$223,MATCH($B73,'Coverage Indicator_Import-Expor'!$C$7:$C$223,0))="","",INDEX('Coverage Indicator_Import-Expor'!AR$7:AR$223,MATCH($B73,'Coverage Indicator_Import-Expor'!$C$7:$C$223,0))),"")</f>
        <v/>
      </c>
      <c r="H73" s="1082" t="str">
        <f>IFERROR(IF(INDEX('Coverage Indicator_Import-Expor'!AS$7:AS$223,MATCH($B73,'Coverage Indicator_Import-Expor'!$C$7:$C$223,0))="","",INDEX('Coverage Indicator_Import-Expor'!AS$7:AS$223,MATCH($B73,'Coverage Indicator_Import-Expor'!$C$7:$C$223,0))),"")</f>
        <v/>
      </c>
      <c r="I73" s="1083" t="str">
        <f>IFERROR(IF(INDEX('Coverage Indicator_Import-Expor'!N$7:N$223,MATCH($B73,'Coverage Indicator_Import-Expor'!$C$7:$C$223,0))="","",INDEX('Coverage Indicator_Import-Expor'!N$7:N$223,MATCH($B73,'Coverage Indicator_Import-Expor'!$C$7:$C$223,0))),"")</f>
        <v/>
      </c>
      <c r="J73" s="1083" t="str">
        <f>IFERROR(IF(INDEX('Coverage Indicator_Import-Expor'!O$7:O$223,MATCH($B73,'Coverage Indicator_Import-Expor'!$C$7:$C$223,0))="","",INDEX('Coverage Indicator_Import-Expor'!O$7:O$223,MATCH($B73,'Coverage Indicator_Import-Expor'!$C$7:$C$223,0))),"")</f>
        <v/>
      </c>
      <c r="K73" s="1084" t="str">
        <f>IFERROR(IF(INDEX('Coverage Indicator_Import-Expor'!P$7:P$223,MATCH($B73,'Coverage Indicator_Import-Expor'!$C$7:$C$223,0))="","",INDEX('Coverage Indicator_Import-Expor'!P$7:P$223,MATCH($B73,'Coverage Indicator_Import-Expor'!$C$7:$C$223,0))),"")</f>
        <v/>
      </c>
      <c r="L73" s="1082" t="str">
        <f>IFERROR(IF(INDEX('Coverage Indicator_Import-Expor'!Q$7:Q$223,MATCH($B73,'Coverage Indicator_Import-Expor'!$C$7:$C$223,0))="","",INDEX('Coverage Indicator_Import-Expor'!Q$7:Q$223,MATCH($B73,'Coverage Indicator_Import-Expor'!$C$7:$C$223,0))),"")</f>
        <v/>
      </c>
      <c r="M73" s="1082" t="str">
        <f>IFERROR(IF(INDEX('Coverage Indicator_Import-Expor'!R$7:R$223,MATCH($B73,'Coverage Indicator_Import-Expor'!$C$7:$C$223,0))="","",INDEX('Coverage Indicator_Import-Expor'!R$7:R$223,MATCH($B73,'Coverage Indicator_Import-Expor'!$C$7:$C$223,0))),"")</f>
        <v/>
      </c>
      <c r="N73" s="1083" t="str">
        <f>IFERROR(IF(INDEX('Coverage Indicator_Import-Expor'!S$7:S$223,MATCH($B73,'Coverage Indicator_Import-Expor'!$C$7:$C$223,0))="","",INDEX('Coverage Indicator_Import-Expor'!S$7:S$223,MATCH($B73,'Coverage Indicator_Import-Expor'!$C$7:$C$223,0))),"")</f>
        <v/>
      </c>
      <c r="O73" s="1083" t="str">
        <f>IFERROR(IF(INDEX('Coverage Indicator_Import-Expor'!T$7:T$223,MATCH($B73,'Coverage Indicator_Import-Expor'!$C$7:$C$223,0))="","",INDEX('Coverage Indicator_Import-Expor'!T$7:T$223,MATCH($B73,'Coverage Indicator_Import-Expor'!$C$7:$C$223,0))),"")</f>
        <v/>
      </c>
      <c r="P73" s="1084" t="str">
        <f>IFERROR(IF(INDEX('Coverage Indicator_Import-Expor'!U$7:U$223,MATCH($B73,'Coverage Indicator_Import-Expor'!$C$7:$C$223,0))="","",INDEX('Coverage Indicator_Import-Expor'!U$7:U$223,MATCH($B73,'Coverage Indicator_Import-Expor'!$C$7:$C$223,0))),"")</f>
        <v/>
      </c>
      <c r="Q73" s="1085"/>
      <c r="R73" s="1085"/>
      <c r="S73" s="1086" t="str">
        <f t="shared" si="16"/>
        <v/>
      </c>
      <c r="T73" s="1087"/>
      <c r="U73" s="1088" t="str">
        <f t="shared" si="17"/>
        <v xml:space="preserve"> </v>
      </c>
      <c r="V73" s="1087"/>
      <c r="W73" s="1089" t="str">
        <f t="shared" si="18"/>
        <v>No Results Reported</v>
      </c>
      <c r="X73" s="1085"/>
      <c r="Y73" s="1085"/>
      <c r="Z73" s="1086" t="str">
        <f t="shared" si="19"/>
        <v/>
      </c>
      <c r="AA73" s="1087"/>
      <c r="AB73" s="1088" t="str">
        <f t="shared" si="20"/>
        <v xml:space="preserve"> </v>
      </c>
      <c r="AC73" s="1087"/>
      <c r="AD73" s="1087"/>
      <c r="AE73" s="1089" t="str">
        <f t="shared" si="21"/>
        <v>No Results Reported</v>
      </c>
      <c r="AF73" s="1085"/>
      <c r="AG73" s="1085"/>
      <c r="AH73" s="1086" t="str">
        <f t="shared" si="22"/>
        <v/>
      </c>
      <c r="AI73" s="1088" t="str">
        <f t="shared" si="23"/>
        <v xml:space="preserve"> </v>
      </c>
      <c r="AJ73" s="1087"/>
      <c r="AK73" s="1090" t="str">
        <f t="shared" si="24"/>
        <v>No Results Reported</v>
      </c>
    </row>
    <row r="74" spans="1:37" x14ac:dyDescent="0.2">
      <c r="A74" s="508">
        <f t="shared" si="4"/>
        <v>64</v>
      </c>
      <c r="B74" s="509" t="str">
        <f t="shared" si="15"/>
        <v>Coverage64</v>
      </c>
      <c r="C74" s="1081" t="str">
        <f>IFERROR(INDEX('Coverage Indicator_Import-Expor'!$D$7:$D$223,MATCH(B74,'Coverage Indicator_Import-Expor'!$C$7:$C$223,0)),"")</f>
        <v/>
      </c>
      <c r="D74" s="1082" t="str">
        <f>IFERROR(INDEX('Coverage Indicator_Import-Expor'!$E$7:$E$223,MATCH(B74,'Coverage Indicator_Import-Expor'!$C$7:$C$223,0)),"")</f>
        <v/>
      </c>
      <c r="E74" s="1082" t="str">
        <f>IFERROR(IF(INDEX('Coverage Indicator_Import-Expor'!K$7:K$223,MATCH($B74,'Coverage Indicator_Import-Expor'!$C$7:$C$223,0))="","",INDEX('Coverage Indicator_Import-Expor'!K$7:K$223,MATCH($B74,'Coverage Indicator_Import-Expor'!$C$7:$C$223,0))),"")</f>
        <v/>
      </c>
      <c r="F74" s="1082" t="str">
        <f>IFERROR(IF(INDEX('Coverage Indicator_Import-Expor'!L$7:L$223,MATCH($B74,'Coverage Indicator_Import-Expor'!$C$7:$C$223,0))="","",INDEX('Coverage Indicator_Import-Expor'!L$7:L$223,MATCH($B74,'Coverage Indicator_Import-Expor'!$C$7:$C$223,0))),"")</f>
        <v/>
      </c>
      <c r="G74" s="1082" t="str">
        <f>IFERROR(IF(INDEX('Coverage Indicator_Import-Expor'!AR$7:AR$223,MATCH($B74,'Coverage Indicator_Import-Expor'!$C$7:$C$223,0))="","",INDEX('Coverage Indicator_Import-Expor'!AR$7:AR$223,MATCH($B74,'Coverage Indicator_Import-Expor'!$C$7:$C$223,0))),"")</f>
        <v/>
      </c>
      <c r="H74" s="1082" t="str">
        <f>IFERROR(IF(INDEX('Coverage Indicator_Import-Expor'!AS$7:AS$223,MATCH($B74,'Coverage Indicator_Import-Expor'!$C$7:$C$223,0))="","",INDEX('Coverage Indicator_Import-Expor'!AS$7:AS$223,MATCH($B74,'Coverage Indicator_Import-Expor'!$C$7:$C$223,0))),"")</f>
        <v/>
      </c>
      <c r="I74" s="1083" t="str">
        <f>IFERROR(IF(INDEX('Coverage Indicator_Import-Expor'!N$7:N$223,MATCH($B74,'Coverage Indicator_Import-Expor'!$C$7:$C$223,0))="","",INDEX('Coverage Indicator_Import-Expor'!N$7:N$223,MATCH($B74,'Coverage Indicator_Import-Expor'!$C$7:$C$223,0))),"")</f>
        <v/>
      </c>
      <c r="J74" s="1083" t="str">
        <f>IFERROR(IF(INDEX('Coverage Indicator_Import-Expor'!O$7:O$223,MATCH($B74,'Coverage Indicator_Import-Expor'!$C$7:$C$223,0))="","",INDEX('Coverage Indicator_Import-Expor'!O$7:O$223,MATCH($B74,'Coverage Indicator_Import-Expor'!$C$7:$C$223,0))),"")</f>
        <v/>
      </c>
      <c r="K74" s="1084" t="str">
        <f>IFERROR(IF(INDEX('Coverage Indicator_Import-Expor'!P$7:P$223,MATCH($B74,'Coverage Indicator_Import-Expor'!$C$7:$C$223,0))="","",INDEX('Coverage Indicator_Import-Expor'!P$7:P$223,MATCH($B74,'Coverage Indicator_Import-Expor'!$C$7:$C$223,0))),"")</f>
        <v/>
      </c>
      <c r="L74" s="1082" t="str">
        <f>IFERROR(IF(INDEX('Coverage Indicator_Import-Expor'!Q$7:Q$223,MATCH($B74,'Coverage Indicator_Import-Expor'!$C$7:$C$223,0))="","",INDEX('Coverage Indicator_Import-Expor'!Q$7:Q$223,MATCH($B74,'Coverage Indicator_Import-Expor'!$C$7:$C$223,0))),"")</f>
        <v/>
      </c>
      <c r="M74" s="1082" t="str">
        <f>IFERROR(IF(INDEX('Coverage Indicator_Import-Expor'!R$7:R$223,MATCH($B74,'Coverage Indicator_Import-Expor'!$C$7:$C$223,0))="","",INDEX('Coverage Indicator_Import-Expor'!R$7:R$223,MATCH($B74,'Coverage Indicator_Import-Expor'!$C$7:$C$223,0))),"")</f>
        <v/>
      </c>
      <c r="N74" s="1083" t="str">
        <f>IFERROR(IF(INDEX('Coverage Indicator_Import-Expor'!S$7:S$223,MATCH($B74,'Coverage Indicator_Import-Expor'!$C$7:$C$223,0))="","",INDEX('Coverage Indicator_Import-Expor'!S$7:S$223,MATCH($B74,'Coverage Indicator_Import-Expor'!$C$7:$C$223,0))),"")</f>
        <v/>
      </c>
      <c r="O74" s="1083" t="str">
        <f>IFERROR(IF(INDEX('Coverage Indicator_Import-Expor'!T$7:T$223,MATCH($B74,'Coverage Indicator_Import-Expor'!$C$7:$C$223,0))="","",INDEX('Coverage Indicator_Import-Expor'!T$7:T$223,MATCH($B74,'Coverage Indicator_Import-Expor'!$C$7:$C$223,0))),"")</f>
        <v/>
      </c>
      <c r="P74" s="1084" t="str">
        <f>IFERROR(IF(INDEX('Coverage Indicator_Import-Expor'!U$7:U$223,MATCH($B74,'Coverage Indicator_Import-Expor'!$C$7:$C$223,0))="","",INDEX('Coverage Indicator_Import-Expor'!U$7:U$223,MATCH($B74,'Coverage Indicator_Import-Expor'!$C$7:$C$223,0))),"")</f>
        <v/>
      </c>
      <c r="Q74" s="1085"/>
      <c r="R74" s="1085"/>
      <c r="S74" s="1086" t="str">
        <f t="shared" si="16"/>
        <v/>
      </c>
      <c r="T74" s="1087"/>
      <c r="U74" s="1088" t="str">
        <f t="shared" si="17"/>
        <v xml:space="preserve"> </v>
      </c>
      <c r="V74" s="1087"/>
      <c r="W74" s="1089" t="str">
        <f t="shared" si="18"/>
        <v>No Results Reported</v>
      </c>
      <c r="X74" s="1085"/>
      <c r="Y74" s="1085"/>
      <c r="Z74" s="1086" t="str">
        <f t="shared" si="19"/>
        <v/>
      </c>
      <c r="AA74" s="1087"/>
      <c r="AB74" s="1088" t="str">
        <f t="shared" si="20"/>
        <v xml:space="preserve"> </v>
      </c>
      <c r="AC74" s="1087"/>
      <c r="AD74" s="1087"/>
      <c r="AE74" s="1089" t="str">
        <f t="shared" si="21"/>
        <v>No Results Reported</v>
      </c>
      <c r="AF74" s="1085"/>
      <c r="AG74" s="1085"/>
      <c r="AH74" s="1086" t="str">
        <f t="shared" si="22"/>
        <v/>
      </c>
      <c r="AI74" s="1088" t="str">
        <f t="shared" si="23"/>
        <v xml:space="preserve"> </v>
      </c>
      <c r="AJ74" s="1087"/>
      <c r="AK74" s="1090" t="str">
        <f t="shared" si="24"/>
        <v>No Results Reported</v>
      </c>
    </row>
    <row r="75" spans="1:37" x14ac:dyDescent="0.2">
      <c r="A75" s="508">
        <f t="shared" si="4"/>
        <v>65</v>
      </c>
      <c r="B75" s="509" t="str">
        <f t="shared" si="15"/>
        <v>Coverage65</v>
      </c>
      <c r="C75" s="1081" t="str">
        <f>IFERROR(INDEX('Coverage Indicator_Import-Expor'!$D$7:$D$223,MATCH(B75,'Coverage Indicator_Import-Expor'!$C$7:$C$223,0)),"")</f>
        <v/>
      </c>
      <c r="D75" s="1082" t="str">
        <f>IFERROR(INDEX('Coverage Indicator_Import-Expor'!$E$7:$E$223,MATCH(B75,'Coverage Indicator_Import-Expor'!$C$7:$C$223,0)),"")</f>
        <v/>
      </c>
      <c r="E75" s="1082" t="str">
        <f>IFERROR(IF(INDEX('Coverage Indicator_Import-Expor'!K$7:K$223,MATCH($B75,'Coverage Indicator_Import-Expor'!$C$7:$C$223,0))="","",INDEX('Coverage Indicator_Import-Expor'!K$7:K$223,MATCH($B75,'Coverage Indicator_Import-Expor'!$C$7:$C$223,0))),"")</f>
        <v/>
      </c>
      <c r="F75" s="1082" t="str">
        <f>IFERROR(IF(INDEX('Coverage Indicator_Import-Expor'!L$7:L$223,MATCH($B75,'Coverage Indicator_Import-Expor'!$C$7:$C$223,0))="","",INDEX('Coverage Indicator_Import-Expor'!L$7:L$223,MATCH($B75,'Coverage Indicator_Import-Expor'!$C$7:$C$223,0))),"")</f>
        <v/>
      </c>
      <c r="G75" s="1082" t="str">
        <f>IFERROR(IF(INDEX('Coverage Indicator_Import-Expor'!AR$7:AR$223,MATCH($B75,'Coverage Indicator_Import-Expor'!$C$7:$C$223,0))="","",INDEX('Coverage Indicator_Import-Expor'!AR$7:AR$223,MATCH($B75,'Coverage Indicator_Import-Expor'!$C$7:$C$223,0))),"")</f>
        <v/>
      </c>
      <c r="H75" s="1082" t="str">
        <f>IFERROR(IF(INDEX('Coverage Indicator_Import-Expor'!AS$7:AS$223,MATCH($B75,'Coverage Indicator_Import-Expor'!$C$7:$C$223,0))="","",INDEX('Coverage Indicator_Import-Expor'!AS$7:AS$223,MATCH($B75,'Coverage Indicator_Import-Expor'!$C$7:$C$223,0))),"")</f>
        <v/>
      </c>
      <c r="I75" s="1083" t="str">
        <f>IFERROR(IF(INDEX('Coverage Indicator_Import-Expor'!N$7:N$223,MATCH($B75,'Coverage Indicator_Import-Expor'!$C$7:$C$223,0))="","",INDEX('Coverage Indicator_Import-Expor'!N$7:N$223,MATCH($B75,'Coverage Indicator_Import-Expor'!$C$7:$C$223,0))),"")</f>
        <v/>
      </c>
      <c r="J75" s="1083" t="str">
        <f>IFERROR(IF(INDEX('Coverage Indicator_Import-Expor'!O$7:O$223,MATCH($B75,'Coverage Indicator_Import-Expor'!$C$7:$C$223,0))="","",INDEX('Coverage Indicator_Import-Expor'!O$7:O$223,MATCH($B75,'Coverage Indicator_Import-Expor'!$C$7:$C$223,0))),"")</f>
        <v/>
      </c>
      <c r="K75" s="1084" t="str">
        <f>IFERROR(IF(INDEX('Coverage Indicator_Import-Expor'!P$7:P$223,MATCH($B75,'Coverage Indicator_Import-Expor'!$C$7:$C$223,0))="","",INDEX('Coverage Indicator_Import-Expor'!P$7:P$223,MATCH($B75,'Coverage Indicator_Import-Expor'!$C$7:$C$223,0))),"")</f>
        <v/>
      </c>
      <c r="L75" s="1082" t="str">
        <f>IFERROR(IF(INDEX('Coverage Indicator_Import-Expor'!Q$7:Q$223,MATCH($B75,'Coverage Indicator_Import-Expor'!$C$7:$C$223,0))="","",INDEX('Coverage Indicator_Import-Expor'!Q$7:Q$223,MATCH($B75,'Coverage Indicator_Import-Expor'!$C$7:$C$223,0))),"")</f>
        <v/>
      </c>
      <c r="M75" s="1082" t="str">
        <f>IFERROR(IF(INDEX('Coverage Indicator_Import-Expor'!R$7:R$223,MATCH($B75,'Coverage Indicator_Import-Expor'!$C$7:$C$223,0))="","",INDEX('Coverage Indicator_Import-Expor'!R$7:R$223,MATCH($B75,'Coverage Indicator_Import-Expor'!$C$7:$C$223,0))),"")</f>
        <v/>
      </c>
      <c r="N75" s="1083" t="str">
        <f>IFERROR(IF(INDEX('Coverage Indicator_Import-Expor'!S$7:S$223,MATCH($B75,'Coverage Indicator_Import-Expor'!$C$7:$C$223,0))="","",INDEX('Coverage Indicator_Import-Expor'!S$7:S$223,MATCH($B75,'Coverage Indicator_Import-Expor'!$C$7:$C$223,0))),"")</f>
        <v/>
      </c>
      <c r="O75" s="1083" t="str">
        <f>IFERROR(IF(INDEX('Coverage Indicator_Import-Expor'!T$7:T$223,MATCH($B75,'Coverage Indicator_Import-Expor'!$C$7:$C$223,0))="","",INDEX('Coverage Indicator_Import-Expor'!T$7:T$223,MATCH($B75,'Coverage Indicator_Import-Expor'!$C$7:$C$223,0))),"")</f>
        <v/>
      </c>
      <c r="P75" s="1084" t="str">
        <f>IFERROR(IF(INDEX('Coverage Indicator_Import-Expor'!U$7:U$223,MATCH($B75,'Coverage Indicator_Import-Expor'!$C$7:$C$223,0))="","",INDEX('Coverage Indicator_Import-Expor'!U$7:U$223,MATCH($B75,'Coverage Indicator_Import-Expor'!$C$7:$C$223,0))),"")</f>
        <v/>
      </c>
      <c r="Q75" s="1085"/>
      <c r="R75" s="1085"/>
      <c r="S75" s="1086" t="str">
        <f t="shared" si="16"/>
        <v/>
      </c>
      <c r="T75" s="1087"/>
      <c r="U75" s="1088" t="str">
        <f t="shared" si="17"/>
        <v xml:space="preserve"> </v>
      </c>
      <c r="V75" s="1087"/>
      <c r="W75" s="1089" t="str">
        <f t="shared" si="18"/>
        <v>No Results Reported</v>
      </c>
      <c r="X75" s="1085"/>
      <c r="Y75" s="1085"/>
      <c r="Z75" s="1086" t="str">
        <f t="shared" si="19"/>
        <v/>
      </c>
      <c r="AA75" s="1087"/>
      <c r="AB75" s="1088" t="str">
        <f t="shared" si="20"/>
        <v xml:space="preserve"> </v>
      </c>
      <c r="AC75" s="1087"/>
      <c r="AD75" s="1087"/>
      <c r="AE75" s="1089" t="str">
        <f t="shared" si="21"/>
        <v>No Results Reported</v>
      </c>
      <c r="AF75" s="1085"/>
      <c r="AG75" s="1085"/>
      <c r="AH75" s="1086" t="str">
        <f t="shared" si="22"/>
        <v/>
      </c>
      <c r="AI75" s="1088" t="str">
        <f t="shared" si="23"/>
        <v xml:space="preserve"> </v>
      </c>
      <c r="AJ75" s="1087"/>
      <c r="AK75" s="1090" t="str">
        <f t="shared" si="24"/>
        <v>No Results Reported</v>
      </c>
    </row>
    <row r="76" spans="1:37" x14ac:dyDescent="0.2">
      <c r="A76" s="508">
        <f t="shared" ref="A76:A100" si="25">A75+1</f>
        <v>66</v>
      </c>
      <c r="B76" s="509" t="str">
        <f t="shared" si="15"/>
        <v>Coverage66</v>
      </c>
      <c r="C76" s="1081" t="str">
        <f>IFERROR(INDEX('Coverage Indicator_Import-Expor'!$D$7:$D$223,MATCH(B76,'Coverage Indicator_Import-Expor'!$C$7:$C$223,0)),"")</f>
        <v/>
      </c>
      <c r="D76" s="1082" t="str">
        <f>IFERROR(INDEX('Coverage Indicator_Import-Expor'!$E$7:$E$223,MATCH(B76,'Coverage Indicator_Import-Expor'!$C$7:$C$223,0)),"")</f>
        <v/>
      </c>
      <c r="E76" s="1082" t="str">
        <f>IFERROR(IF(INDEX('Coverage Indicator_Import-Expor'!K$7:K$223,MATCH($B76,'Coverage Indicator_Import-Expor'!$C$7:$C$223,0))="","",INDEX('Coverage Indicator_Import-Expor'!K$7:K$223,MATCH($B76,'Coverage Indicator_Import-Expor'!$C$7:$C$223,0))),"")</f>
        <v/>
      </c>
      <c r="F76" s="1082" t="str">
        <f>IFERROR(IF(INDEX('Coverage Indicator_Import-Expor'!L$7:L$223,MATCH($B76,'Coverage Indicator_Import-Expor'!$C$7:$C$223,0))="","",INDEX('Coverage Indicator_Import-Expor'!L$7:L$223,MATCH($B76,'Coverage Indicator_Import-Expor'!$C$7:$C$223,0))),"")</f>
        <v/>
      </c>
      <c r="G76" s="1082" t="str">
        <f>IFERROR(IF(INDEX('Coverage Indicator_Import-Expor'!AR$7:AR$223,MATCH($B76,'Coverage Indicator_Import-Expor'!$C$7:$C$223,0))="","",INDEX('Coverage Indicator_Import-Expor'!AR$7:AR$223,MATCH($B76,'Coverage Indicator_Import-Expor'!$C$7:$C$223,0))),"")</f>
        <v/>
      </c>
      <c r="H76" s="1082" t="str">
        <f>IFERROR(IF(INDEX('Coverage Indicator_Import-Expor'!AS$7:AS$223,MATCH($B76,'Coverage Indicator_Import-Expor'!$C$7:$C$223,0))="","",INDEX('Coverage Indicator_Import-Expor'!AS$7:AS$223,MATCH($B76,'Coverage Indicator_Import-Expor'!$C$7:$C$223,0))),"")</f>
        <v/>
      </c>
      <c r="I76" s="1083" t="str">
        <f>IFERROR(IF(INDEX('Coverage Indicator_Import-Expor'!N$7:N$223,MATCH($B76,'Coverage Indicator_Import-Expor'!$C$7:$C$223,0))="","",INDEX('Coverage Indicator_Import-Expor'!N$7:N$223,MATCH($B76,'Coverage Indicator_Import-Expor'!$C$7:$C$223,0))),"")</f>
        <v/>
      </c>
      <c r="J76" s="1083" t="str">
        <f>IFERROR(IF(INDEX('Coverage Indicator_Import-Expor'!O$7:O$223,MATCH($B76,'Coverage Indicator_Import-Expor'!$C$7:$C$223,0))="","",INDEX('Coverage Indicator_Import-Expor'!O$7:O$223,MATCH($B76,'Coverage Indicator_Import-Expor'!$C$7:$C$223,0))),"")</f>
        <v/>
      </c>
      <c r="K76" s="1084" t="str">
        <f>IFERROR(IF(INDEX('Coverage Indicator_Import-Expor'!P$7:P$223,MATCH($B76,'Coverage Indicator_Import-Expor'!$C$7:$C$223,0))="","",INDEX('Coverage Indicator_Import-Expor'!P$7:P$223,MATCH($B76,'Coverage Indicator_Import-Expor'!$C$7:$C$223,0))),"")</f>
        <v/>
      </c>
      <c r="L76" s="1082" t="str">
        <f>IFERROR(IF(INDEX('Coverage Indicator_Import-Expor'!Q$7:Q$223,MATCH($B76,'Coverage Indicator_Import-Expor'!$C$7:$C$223,0))="","",INDEX('Coverage Indicator_Import-Expor'!Q$7:Q$223,MATCH($B76,'Coverage Indicator_Import-Expor'!$C$7:$C$223,0))),"")</f>
        <v/>
      </c>
      <c r="M76" s="1082" t="str">
        <f>IFERROR(IF(INDEX('Coverage Indicator_Import-Expor'!R$7:R$223,MATCH($B76,'Coverage Indicator_Import-Expor'!$C$7:$C$223,0))="","",INDEX('Coverage Indicator_Import-Expor'!R$7:R$223,MATCH($B76,'Coverage Indicator_Import-Expor'!$C$7:$C$223,0))),"")</f>
        <v/>
      </c>
      <c r="N76" s="1083" t="str">
        <f>IFERROR(IF(INDEX('Coverage Indicator_Import-Expor'!S$7:S$223,MATCH($B76,'Coverage Indicator_Import-Expor'!$C$7:$C$223,0))="","",INDEX('Coverage Indicator_Import-Expor'!S$7:S$223,MATCH($B76,'Coverage Indicator_Import-Expor'!$C$7:$C$223,0))),"")</f>
        <v/>
      </c>
      <c r="O76" s="1083" t="str">
        <f>IFERROR(IF(INDEX('Coverage Indicator_Import-Expor'!T$7:T$223,MATCH($B76,'Coverage Indicator_Import-Expor'!$C$7:$C$223,0))="","",INDEX('Coverage Indicator_Import-Expor'!T$7:T$223,MATCH($B76,'Coverage Indicator_Import-Expor'!$C$7:$C$223,0))),"")</f>
        <v/>
      </c>
      <c r="P76" s="1084" t="str">
        <f>IFERROR(IF(INDEX('Coverage Indicator_Import-Expor'!U$7:U$223,MATCH($B76,'Coverage Indicator_Import-Expor'!$C$7:$C$223,0))="","",INDEX('Coverage Indicator_Import-Expor'!U$7:U$223,MATCH($B76,'Coverage Indicator_Import-Expor'!$C$7:$C$223,0))),"")</f>
        <v/>
      </c>
      <c r="Q76" s="1085"/>
      <c r="R76" s="1085"/>
      <c r="S76" s="1086" t="str">
        <f t="shared" si="16"/>
        <v/>
      </c>
      <c r="T76" s="1087"/>
      <c r="U76" s="1088" t="str">
        <f t="shared" si="17"/>
        <v xml:space="preserve"> </v>
      </c>
      <c r="V76" s="1087"/>
      <c r="W76" s="1089" t="str">
        <f t="shared" si="18"/>
        <v>No Results Reported</v>
      </c>
      <c r="X76" s="1085"/>
      <c r="Y76" s="1085"/>
      <c r="Z76" s="1086" t="str">
        <f t="shared" si="19"/>
        <v/>
      </c>
      <c r="AA76" s="1087"/>
      <c r="AB76" s="1088" t="str">
        <f t="shared" si="20"/>
        <v xml:space="preserve"> </v>
      </c>
      <c r="AC76" s="1087"/>
      <c r="AD76" s="1087"/>
      <c r="AE76" s="1089" t="str">
        <f t="shared" si="21"/>
        <v>No Results Reported</v>
      </c>
      <c r="AF76" s="1085"/>
      <c r="AG76" s="1085"/>
      <c r="AH76" s="1086" t="str">
        <f t="shared" si="22"/>
        <v/>
      </c>
      <c r="AI76" s="1088" t="str">
        <f t="shared" si="23"/>
        <v xml:space="preserve"> </v>
      </c>
      <c r="AJ76" s="1087"/>
      <c r="AK76" s="1090" t="str">
        <f t="shared" si="24"/>
        <v>No Results Reported</v>
      </c>
    </row>
    <row r="77" spans="1:37" x14ac:dyDescent="0.2">
      <c r="A77" s="508">
        <f t="shared" si="25"/>
        <v>67</v>
      </c>
      <c r="B77" s="509" t="str">
        <f t="shared" si="15"/>
        <v>Coverage67</v>
      </c>
      <c r="C77" s="1081" t="str">
        <f>IFERROR(INDEX('Coverage Indicator_Import-Expor'!$D$7:$D$223,MATCH(B77,'Coverage Indicator_Import-Expor'!$C$7:$C$223,0)),"")</f>
        <v/>
      </c>
      <c r="D77" s="1082" t="str">
        <f>IFERROR(INDEX('Coverage Indicator_Import-Expor'!$E$7:$E$223,MATCH(B77,'Coverage Indicator_Import-Expor'!$C$7:$C$223,0)),"")</f>
        <v/>
      </c>
      <c r="E77" s="1082" t="str">
        <f>IFERROR(IF(INDEX('Coverage Indicator_Import-Expor'!K$7:K$223,MATCH($B77,'Coverage Indicator_Import-Expor'!$C$7:$C$223,0))="","",INDEX('Coverage Indicator_Import-Expor'!K$7:K$223,MATCH($B77,'Coverage Indicator_Import-Expor'!$C$7:$C$223,0))),"")</f>
        <v/>
      </c>
      <c r="F77" s="1082" t="str">
        <f>IFERROR(IF(INDEX('Coverage Indicator_Import-Expor'!L$7:L$223,MATCH($B77,'Coverage Indicator_Import-Expor'!$C$7:$C$223,0))="","",INDEX('Coverage Indicator_Import-Expor'!L$7:L$223,MATCH($B77,'Coverage Indicator_Import-Expor'!$C$7:$C$223,0))),"")</f>
        <v/>
      </c>
      <c r="G77" s="1082" t="str">
        <f>IFERROR(IF(INDEX('Coverage Indicator_Import-Expor'!AR$7:AR$223,MATCH($B77,'Coverage Indicator_Import-Expor'!$C$7:$C$223,0))="","",INDEX('Coverage Indicator_Import-Expor'!AR$7:AR$223,MATCH($B77,'Coverage Indicator_Import-Expor'!$C$7:$C$223,0))),"")</f>
        <v/>
      </c>
      <c r="H77" s="1082" t="str">
        <f>IFERROR(IF(INDEX('Coverage Indicator_Import-Expor'!AS$7:AS$223,MATCH($B77,'Coverage Indicator_Import-Expor'!$C$7:$C$223,0))="","",INDEX('Coverage Indicator_Import-Expor'!AS$7:AS$223,MATCH($B77,'Coverage Indicator_Import-Expor'!$C$7:$C$223,0))),"")</f>
        <v/>
      </c>
      <c r="I77" s="1083" t="str">
        <f>IFERROR(IF(INDEX('Coverage Indicator_Import-Expor'!N$7:N$223,MATCH($B77,'Coverage Indicator_Import-Expor'!$C$7:$C$223,0))="","",INDEX('Coverage Indicator_Import-Expor'!N$7:N$223,MATCH($B77,'Coverage Indicator_Import-Expor'!$C$7:$C$223,0))),"")</f>
        <v/>
      </c>
      <c r="J77" s="1083" t="str">
        <f>IFERROR(IF(INDEX('Coverage Indicator_Import-Expor'!O$7:O$223,MATCH($B77,'Coverage Indicator_Import-Expor'!$C$7:$C$223,0))="","",INDEX('Coverage Indicator_Import-Expor'!O$7:O$223,MATCH($B77,'Coverage Indicator_Import-Expor'!$C$7:$C$223,0))),"")</f>
        <v/>
      </c>
      <c r="K77" s="1084" t="str">
        <f>IFERROR(IF(INDEX('Coverage Indicator_Import-Expor'!P$7:P$223,MATCH($B77,'Coverage Indicator_Import-Expor'!$C$7:$C$223,0))="","",INDEX('Coverage Indicator_Import-Expor'!P$7:P$223,MATCH($B77,'Coverage Indicator_Import-Expor'!$C$7:$C$223,0))),"")</f>
        <v/>
      </c>
      <c r="L77" s="1082" t="str">
        <f>IFERROR(IF(INDEX('Coverage Indicator_Import-Expor'!Q$7:Q$223,MATCH($B77,'Coverage Indicator_Import-Expor'!$C$7:$C$223,0))="","",INDEX('Coverage Indicator_Import-Expor'!Q$7:Q$223,MATCH($B77,'Coverage Indicator_Import-Expor'!$C$7:$C$223,0))),"")</f>
        <v/>
      </c>
      <c r="M77" s="1082" t="str">
        <f>IFERROR(IF(INDEX('Coverage Indicator_Import-Expor'!R$7:R$223,MATCH($B77,'Coverage Indicator_Import-Expor'!$C$7:$C$223,0))="","",INDEX('Coverage Indicator_Import-Expor'!R$7:R$223,MATCH($B77,'Coverage Indicator_Import-Expor'!$C$7:$C$223,0))),"")</f>
        <v/>
      </c>
      <c r="N77" s="1083" t="str">
        <f>IFERROR(IF(INDEX('Coverage Indicator_Import-Expor'!S$7:S$223,MATCH($B77,'Coverage Indicator_Import-Expor'!$C$7:$C$223,0))="","",INDEX('Coverage Indicator_Import-Expor'!S$7:S$223,MATCH($B77,'Coverage Indicator_Import-Expor'!$C$7:$C$223,0))),"")</f>
        <v/>
      </c>
      <c r="O77" s="1083" t="str">
        <f>IFERROR(IF(INDEX('Coverage Indicator_Import-Expor'!T$7:T$223,MATCH($B77,'Coverage Indicator_Import-Expor'!$C$7:$C$223,0))="","",INDEX('Coverage Indicator_Import-Expor'!T$7:T$223,MATCH($B77,'Coverage Indicator_Import-Expor'!$C$7:$C$223,0))),"")</f>
        <v/>
      </c>
      <c r="P77" s="1084" t="str">
        <f>IFERROR(IF(INDEX('Coverage Indicator_Import-Expor'!U$7:U$223,MATCH($B77,'Coverage Indicator_Import-Expor'!$C$7:$C$223,0))="","",INDEX('Coverage Indicator_Import-Expor'!U$7:U$223,MATCH($B77,'Coverage Indicator_Import-Expor'!$C$7:$C$223,0))),"")</f>
        <v/>
      </c>
      <c r="Q77" s="1085"/>
      <c r="R77" s="1085"/>
      <c r="S77" s="1086" t="str">
        <f t="shared" si="16"/>
        <v/>
      </c>
      <c r="T77" s="1087"/>
      <c r="U77" s="1088" t="str">
        <f t="shared" si="17"/>
        <v xml:space="preserve"> </v>
      </c>
      <c r="V77" s="1087"/>
      <c r="W77" s="1089" t="str">
        <f t="shared" si="18"/>
        <v>No Results Reported</v>
      </c>
      <c r="X77" s="1085"/>
      <c r="Y77" s="1085"/>
      <c r="Z77" s="1086" t="str">
        <f t="shared" si="19"/>
        <v/>
      </c>
      <c r="AA77" s="1087"/>
      <c r="AB77" s="1088" t="str">
        <f t="shared" si="20"/>
        <v xml:space="preserve"> </v>
      </c>
      <c r="AC77" s="1087"/>
      <c r="AD77" s="1087"/>
      <c r="AE77" s="1089" t="str">
        <f t="shared" si="21"/>
        <v>No Results Reported</v>
      </c>
      <c r="AF77" s="1085"/>
      <c r="AG77" s="1085"/>
      <c r="AH77" s="1086" t="str">
        <f t="shared" si="22"/>
        <v/>
      </c>
      <c r="AI77" s="1088" t="str">
        <f t="shared" si="23"/>
        <v xml:space="preserve"> </v>
      </c>
      <c r="AJ77" s="1087"/>
      <c r="AK77" s="1090" t="str">
        <f t="shared" si="24"/>
        <v>No Results Reported</v>
      </c>
    </row>
    <row r="78" spans="1:37" x14ac:dyDescent="0.2">
      <c r="A78" s="508">
        <f t="shared" si="25"/>
        <v>68</v>
      </c>
      <c r="B78" s="509" t="str">
        <f t="shared" si="15"/>
        <v>Coverage68</v>
      </c>
      <c r="C78" s="1081" t="str">
        <f>IFERROR(INDEX('Coverage Indicator_Import-Expor'!$D$7:$D$223,MATCH(B78,'Coverage Indicator_Import-Expor'!$C$7:$C$223,0)),"")</f>
        <v/>
      </c>
      <c r="D78" s="1082" t="str">
        <f>IFERROR(INDEX('Coverage Indicator_Import-Expor'!$E$7:$E$223,MATCH(B78,'Coverage Indicator_Import-Expor'!$C$7:$C$223,0)),"")</f>
        <v/>
      </c>
      <c r="E78" s="1082" t="str">
        <f>IFERROR(IF(INDEX('Coverage Indicator_Import-Expor'!K$7:K$223,MATCH($B78,'Coverage Indicator_Import-Expor'!$C$7:$C$223,0))="","",INDEX('Coverage Indicator_Import-Expor'!K$7:K$223,MATCH($B78,'Coverage Indicator_Import-Expor'!$C$7:$C$223,0))),"")</f>
        <v/>
      </c>
      <c r="F78" s="1082" t="str">
        <f>IFERROR(IF(INDEX('Coverage Indicator_Import-Expor'!L$7:L$223,MATCH($B78,'Coverage Indicator_Import-Expor'!$C$7:$C$223,0))="","",INDEX('Coverage Indicator_Import-Expor'!L$7:L$223,MATCH($B78,'Coverage Indicator_Import-Expor'!$C$7:$C$223,0))),"")</f>
        <v/>
      </c>
      <c r="G78" s="1082" t="str">
        <f>IFERROR(IF(INDEX('Coverage Indicator_Import-Expor'!AR$7:AR$223,MATCH($B78,'Coverage Indicator_Import-Expor'!$C$7:$C$223,0))="","",INDEX('Coverage Indicator_Import-Expor'!AR$7:AR$223,MATCH($B78,'Coverage Indicator_Import-Expor'!$C$7:$C$223,0))),"")</f>
        <v/>
      </c>
      <c r="H78" s="1082" t="str">
        <f>IFERROR(IF(INDEX('Coverage Indicator_Import-Expor'!AS$7:AS$223,MATCH($B78,'Coverage Indicator_Import-Expor'!$C$7:$C$223,0))="","",INDEX('Coverage Indicator_Import-Expor'!AS$7:AS$223,MATCH($B78,'Coverage Indicator_Import-Expor'!$C$7:$C$223,0))),"")</f>
        <v/>
      </c>
      <c r="I78" s="1083" t="str">
        <f>IFERROR(IF(INDEX('Coverage Indicator_Import-Expor'!N$7:N$223,MATCH($B78,'Coverage Indicator_Import-Expor'!$C$7:$C$223,0))="","",INDEX('Coverage Indicator_Import-Expor'!N$7:N$223,MATCH($B78,'Coverage Indicator_Import-Expor'!$C$7:$C$223,0))),"")</f>
        <v/>
      </c>
      <c r="J78" s="1083" t="str">
        <f>IFERROR(IF(INDEX('Coverage Indicator_Import-Expor'!O$7:O$223,MATCH($B78,'Coverage Indicator_Import-Expor'!$C$7:$C$223,0))="","",INDEX('Coverage Indicator_Import-Expor'!O$7:O$223,MATCH($B78,'Coverage Indicator_Import-Expor'!$C$7:$C$223,0))),"")</f>
        <v/>
      </c>
      <c r="K78" s="1084" t="str">
        <f>IFERROR(IF(INDEX('Coverage Indicator_Import-Expor'!P$7:P$223,MATCH($B78,'Coverage Indicator_Import-Expor'!$C$7:$C$223,0))="","",INDEX('Coverage Indicator_Import-Expor'!P$7:P$223,MATCH($B78,'Coverage Indicator_Import-Expor'!$C$7:$C$223,0))),"")</f>
        <v/>
      </c>
      <c r="L78" s="1082" t="str">
        <f>IFERROR(IF(INDEX('Coverage Indicator_Import-Expor'!Q$7:Q$223,MATCH($B78,'Coverage Indicator_Import-Expor'!$C$7:$C$223,0))="","",INDEX('Coverage Indicator_Import-Expor'!Q$7:Q$223,MATCH($B78,'Coverage Indicator_Import-Expor'!$C$7:$C$223,0))),"")</f>
        <v/>
      </c>
      <c r="M78" s="1082" t="str">
        <f>IFERROR(IF(INDEX('Coverage Indicator_Import-Expor'!R$7:R$223,MATCH($B78,'Coverage Indicator_Import-Expor'!$C$7:$C$223,0))="","",INDEX('Coverage Indicator_Import-Expor'!R$7:R$223,MATCH($B78,'Coverage Indicator_Import-Expor'!$C$7:$C$223,0))),"")</f>
        <v/>
      </c>
      <c r="N78" s="1083" t="str">
        <f>IFERROR(IF(INDEX('Coverage Indicator_Import-Expor'!S$7:S$223,MATCH($B78,'Coverage Indicator_Import-Expor'!$C$7:$C$223,0))="","",INDEX('Coverage Indicator_Import-Expor'!S$7:S$223,MATCH($B78,'Coverage Indicator_Import-Expor'!$C$7:$C$223,0))),"")</f>
        <v/>
      </c>
      <c r="O78" s="1083" t="str">
        <f>IFERROR(IF(INDEX('Coverage Indicator_Import-Expor'!T$7:T$223,MATCH($B78,'Coverage Indicator_Import-Expor'!$C$7:$C$223,0))="","",INDEX('Coverage Indicator_Import-Expor'!T$7:T$223,MATCH($B78,'Coverage Indicator_Import-Expor'!$C$7:$C$223,0))),"")</f>
        <v/>
      </c>
      <c r="P78" s="1084" t="str">
        <f>IFERROR(IF(INDEX('Coverage Indicator_Import-Expor'!U$7:U$223,MATCH($B78,'Coverage Indicator_Import-Expor'!$C$7:$C$223,0))="","",INDEX('Coverage Indicator_Import-Expor'!U$7:U$223,MATCH($B78,'Coverage Indicator_Import-Expor'!$C$7:$C$223,0))),"")</f>
        <v/>
      </c>
      <c r="Q78" s="1085"/>
      <c r="R78" s="1085"/>
      <c r="S78" s="1086" t="str">
        <f t="shared" si="16"/>
        <v/>
      </c>
      <c r="T78" s="1087"/>
      <c r="U78" s="1088" t="str">
        <f t="shared" si="17"/>
        <v xml:space="preserve"> </v>
      </c>
      <c r="V78" s="1087"/>
      <c r="W78" s="1089" t="str">
        <f t="shared" si="18"/>
        <v>No Results Reported</v>
      </c>
      <c r="X78" s="1085"/>
      <c r="Y78" s="1085"/>
      <c r="Z78" s="1086" t="str">
        <f t="shared" si="19"/>
        <v/>
      </c>
      <c r="AA78" s="1087"/>
      <c r="AB78" s="1088" t="str">
        <f t="shared" si="20"/>
        <v xml:space="preserve"> </v>
      </c>
      <c r="AC78" s="1087"/>
      <c r="AD78" s="1087"/>
      <c r="AE78" s="1089" t="str">
        <f t="shared" si="21"/>
        <v>No Results Reported</v>
      </c>
      <c r="AF78" s="1085"/>
      <c r="AG78" s="1085"/>
      <c r="AH78" s="1086" t="str">
        <f t="shared" si="22"/>
        <v/>
      </c>
      <c r="AI78" s="1088" t="str">
        <f t="shared" si="23"/>
        <v xml:space="preserve"> </v>
      </c>
      <c r="AJ78" s="1087"/>
      <c r="AK78" s="1090" t="str">
        <f t="shared" si="24"/>
        <v>No Results Reported</v>
      </c>
    </row>
    <row r="79" spans="1:37" x14ac:dyDescent="0.2">
      <c r="A79" s="508">
        <f t="shared" si="25"/>
        <v>69</v>
      </c>
      <c r="B79" s="509" t="str">
        <f t="shared" si="15"/>
        <v>Coverage69</v>
      </c>
      <c r="C79" s="1081" t="str">
        <f>IFERROR(INDEX('Coverage Indicator_Import-Expor'!$D$7:$D$223,MATCH(B79,'Coverage Indicator_Import-Expor'!$C$7:$C$223,0)),"")</f>
        <v/>
      </c>
      <c r="D79" s="1082" t="str">
        <f>IFERROR(INDEX('Coverage Indicator_Import-Expor'!$E$7:$E$223,MATCH(B79,'Coverage Indicator_Import-Expor'!$C$7:$C$223,0)),"")</f>
        <v/>
      </c>
      <c r="E79" s="1082" t="str">
        <f>IFERROR(IF(INDEX('Coverage Indicator_Import-Expor'!K$7:K$223,MATCH($B79,'Coverage Indicator_Import-Expor'!$C$7:$C$223,0))="","",INDEX('Coverage Indicator_Import-Expor'!K$7:K$223,MATCH($B79,'Coverage Indicator_Import-Expor'!$C$7:$C$223,0))),"")</f>
        <v/>
      </c>
      <c r="F79" s="1082" t="str">
        <f>IFERROR(IF(INDEX('Coverage Indicator_Import-Expor'!L$7:L$223,MATCH($B79,'Coverage Indicator_Import-Expor'!$C$7:$C$223,0))="","",INDEX('Coverage Indicator_Import-Expor'!L$7:L$223,MATCH($B79,'Coverage Indicator_Import-Expor'!$C$7:$C$223,0))),"")</f>
        <v/>
      </c>
      <c r="G79" s="1082" t="str">
        <f>IFERROR(IF(INDEX('Coverage Indicator_Import-Expor'!AR$7:AR$223,MATCH($B79,'Coverage Indicator_Import-Expor'!$C$7:$C$223,0))="","",INDEX('Coverage Indicator_Import-Expor'!AR$7:AR$223,MATCH($B79,'Coverage Indicator_Import-Expor'!$C$7:$C$223,0))),"")</f>
        <v/>
      </c>
      <c r="H79" s="1082" t="str">
        <f>IFERROR(IF(INDEX('Coverage Indicator_Import-Expor'!AS$7:AS$223,MATCH($B79,'Coverage Indicator_Import-Expor'!$C$7:$C$223,0))="","",INDEX('Coverage Indicator_Import-Expor'!AS$7:AS$223,MATCH($B79,'Coverage Indicator_Import-Expor'!$C$7:$C$223,0))),"")</f>
        <v/>
      </c>
      <c r="I79" s="1083" t="str">
        <f>IFERROR(IF(INDEX('Coverage Indicator_Import-Expor'!N$7:N$223,MATCH($B79,'Coverage Indicator_Import-Expor'!$C$7:$C$223,0))="","",INDEX('Coverage Indicator_Import-Expor'!N$7:N$223,MATCH($B79,'Coverage Indicator_Import-Expor'!$C$7:$C$223,0))),"")</f>
        <v/>
      </c>
      <c r="J79" s="1083" t="str">
        <f>IFERROR(IF(INDEX('Coverage Indicator_Import-Expor'!O$7:O$223,MATCH($B79,'Coverage Indicator_Import-Expor'!$C$7:$C$223,0))="","",INDEX('Coverage Indicator_Import-Expor'!O$7:O$223,MATCH($B79,'Coverage Indicator_Import-Expor'!$C$7:$C$223,0))),"")</f>
        <v/>
      </c>
      <c r="K79" s="1084" t="str">
        <f>IFERROR(IF(INDEX('Coverage Indicator_Import-Expor'!P$7:P$223,MATCH($B79,'Coverage Indicator_Import-Expor'!$C$7:$C$223,0))="","",INDEX('Coverage Indicator_Import-Expor'!P$7:P$223,MATCH($B79,'Coverage Indicator_Import-Expor'!$C$7:$C$223,0))),"")</f>
        <v/>
      </c>
      <c r="L79" s="1082" t="str">
        <f>IFERROR(IF(INDEX('Coverage Indicator_Import-Expor'!Q$7:Q$223,MATCH($B79,'Coverage Indicator_Import-Expor'!$C$7:$C$223,0))="","",INDEX('Coverage Indicator_Import-Expor'!Q$7:Q$223,MATCH($B79,'Coverage Indicator_Import-Expor'!$C$7:$C$223,0))),"")</f>
        <v/>
      </c>
      <c r="M79" s="1082" t="str">
        <f>IFERROR(IF(INDEX('Coverage Indicator_Import-Expor'!R$7:R$223,MATCH($B79,'Coverage Indicator_Import-Expor'!$C$7:$C$223,0))="","",INDEX('Coverage Indicator_Import-Expor'!R$7:R$223,MATCH($B79,'Coverage Indicator_Import-Expor'!$C$7:$C$223,0))),"")</f>
        <v/>
      </c>
      <c r="N79" s="1083" t="str">
        <f>IFERROR(IF(INDEX('Coverage Indicator_Import-Expor'!S$7:S$223,MATCH($B79,'Coverage Indicator_Import-Expor'!$C$7:$C$223,0))="","",INDEX('Coverage Indicator_Import-Expor'!S$7:S$223,MATCH($B79,'Coverage Indicator_Import-Expor'!$C$7:$C$223,0))),"")</f>
        <v/>
      </c>
      <c r="O79" s="1083" t="str">
        <f>IFERROR(IF(INDEX('Coverage Indicator_Import-Expor'!T$7:T$223,MATCH($B79,'Coverage Indicator_Import-Expor'!$C$7:$C$223,0))="","",INDEX('Coverage Indicator_Import-Expor'!T$7:T$223,MATCH($B79,'Coverage Indicator_Import-Expor'!$C$7:$C$223,0))),"")</f>
        <v/>
      </c>
      <c r="P79" s="1084" t="str">
        <f>IFERROR(IF(INDEX('Coverage Indicator_Import-Expor'!U$7:U$223,MATCH($B79,'Coverage Indicator_Import-Expor'!$C$7:$C$223,0))="","",INDEX('Coverage Indicator_Import-Expor'!U$7:U$223,MATCH($B79,'Coverage Indicator_Import-Expor'!$C$7:$C$223,0))),"")</f>
        <v/>
      </c>
      <c r="Q79" s="1085"/>
      <c r="R79" s="1085"/>
      <c r="S79" s="1086" t="str">
        <f t="shared" si="16"/>
        <v/>
      </c>
      <c r="T79" s="1087"/>
      <c r="U79" s="1088" t="str">
        <f t="shared" si="17"/>
        <v xml:space="preserve"> </v>
      </c>
      <c r="V79" s="1087"/>
      <c r="W79" s="1089" t="str">
        <f t="shared" si="18"/>
        <v>No Results Reported</v>
      </c>
      <c r="X79" s="1085"/>
      <c r="Y79" s="1085"/>
      <c r="Z79" s="1086" t="str">
        <f t="shared" si="19"/>
        <v/>
      </c>
      <c r="AA79" s="1087"/>
      <c r="AB79" s="1088" t="str">
        <f t="shared" si="20"/>
        <v xml:space="preserve"> </v>
      </c>
      <c r="AC79" s="1087"/>
      <c r="AD79" s="1087"/>
      <c r="AE79" s="1089" t="str">
        <f t="shared" si="21"/>
        <v>No Results Reported</v>
      </c>
      <c r="AF79" s="1085"/>
      <c r="AG79" s="1085"/>
      <c r="AH79" s="1086" t="str">
        <f t="shared" si="22"/>
        <v/>
      </c>
      <c r="AI79" s="1088" t="str">
        <f t="shared" si="23"/>
        <v xml:space="preserve"> </v>
      </c>
      <c r="AJ79" s="1087"/>
      <c r="AK79" s="1090" t="str">
        <f t="shared" si="24"/>
        <v>No Results Reported</v>
      </c>
    </row>
    <row r="80" spans="1:37" x14ac:dyDescent="0.2">
      <c r="A80" s="508">
        <f t="shared" si="25"/>
        <v>70</v>
      </c>
      <c r="B80" s="509" t="str">
        <f t="shared" si="15"/>
        <v>Coverage70</v>
      </c>
      <c r="C80" s="1081" t="str">
        <f>IFERROR(INDEX('Coverage Indicator_Import-Expor'!$D$7:$D$223,MATCH(B80,'Coverage Indicator_Import-Expor'!$C$7:$C$223,0)),"")</f>
        <v/>
      </c>
      <c r="D80" s="1082" t="str">
        <f>IFERROR(INDEX('Coverage Indicator_Import-Expor'!$E$7:$E$223,MATCH(B80,'Coverage Indicator_Import-Expor'!$C$7:$C$223,0)),"")</f>
        <v/>
      </c>
      <c r="E80" s="1082" t="str">
        <f>IFERROR(IF(INDEX('Coverage Indicator_Import-Expor'!K$7:K$223,MATCH($B80,'Coverage Indicator_Import-Expor'!$C$7:$C$223,0))="","",INDEX('Coverage Indicator_Import-Expor'!K$7:K$223,MATCH($B80,'Coverage Indicator_Import-Expor'!$C$7:$C$223,0))),"")</f>
        <v/>
      </c>
      <c r="F80" s="1082" t="str">
        <f>IFERROR(IF(INDEX('Coverage Indicator_Import-Expor'!L$7:L$223,MATCH($B80,'Coverage Indicator_Import-Expor'!$C$7:$C$223,0))="","",INDEX('Coverage Indicator_Import-Expor'!L$7:L$223,MATCH($B80,'Coverage Indicator_Import-Expor'!$C$7:$C$223,0))),"")</f>
        <v/>
      </c>
      <c r="G80" s="1082" t="str">
        <f>IFERROR(IF(INDEX('Coverage Indicator_Import-Expor'!AR$7:AR$223,MATCH($B80,'Coverage Indicator_Import-Expor'!$C$7:$C$223,0))="","",INDEX('Coverage Indicator_Import-Expor'!AR$7:AR$223,MATCH($B80,'Coverage Indicator_Import-Expor'!$C$7:$C$223,0))),"")</f>
        <v/>
      </c>
      <c r="H80" s="1082" t="str">
        <f>IFERROR(IF(INDEX('Coverage Indicator_Import-Expor'!AS$7:AS$223,MATCH($B80,'Coverage Indicator_Import-Expor'!$C$7:$C$223,0))="","",INDEX('Coverage Indicator_Import-Expor'!AS$7:AS$223,MATCH($B80,'Coverage Indicator_Import-Expor'!$C$7:$C$223,0))),"")</f>
        <v/>
      </c>
      <c r="I80" s="1083" t="str">
        <f>IFERROR(IF(INDEX('Coverage Indicator_Import-Expor'!N$7:N$223,MATCH($B80,'Coverage Indicator_Import-Expor'!$C$7:$C$223,0))="","",INDEX('Coverage Indicator_Import-Expor'!N$7:N$223,MATCH($B80,'Coverage Indicator_Import-Expor'!$C$7:$C$223,0))),"")</f>
        <v/>
      </c>
      <c r="J80" s="1083" t="str">
        <f>IFERROR(IF(INDEX('Coverage Indicator_Import-Expor'!O$7:O$223,MATCH($B80,'Coverage Indicator_Import-Expor'!$C$7:$C$223,0))="","",INDEX('Coverage Indicator_Import-Expor'!O$7:O$223,MATCH($B80,'Coverage Indicator_Import-Expor'!$C$7:$C$223,0))),"")</f>
        <v/>
      </c>
      <c r="K80" s="1084" t="str">
        <f>IFERROR(IF(INDEX('Coverage Indicator_Import-Expor'!P$7:P$223,MATCH($B80,'Coverage Indicator_Import-Expor'!$C$7:$C$223,0))="","",INDEX('Coverage Indicator_Import-Expor'!P$7:P$223,MATCH($B80,'Coverage Indicator_Import-Expor'!$C$7:$C$223,0))),"")</f>
        <v/>
      </c>
      <c r="L80" s="1082" t="str">
        <f>IFERROR(IF(INDEX('Coverage Indicator_Import-Expor'!Q$7:Q$223,MATCH($B80,'Coverage Indicator_Import-Expor'!$C$7:$C$223,0))="","",INDEX('Coverage Indicator_Import-Expor'!Q$7:Q$223,MATCH($B80,'Coverage Indicator_Import-Expor'!$C$7:$C$223,0))),"")</f>
        <v/>
      </c>
      <c r="M80" s="1082" t="str">
        <f>IFERROR(IF(INDEX('Coverage Indicator_Import-Expor'!R$7:R$223,MATCH($B80,'Coverage Indicator_Import-Expor'!$C$7:$C$223,0))="","",INDEX('Coverage Indicator_Import-Expor'!R$7:R$223,MATCH($B80,'Coverage Indicator_Import-Expor'!$C$7:$C$223,0))),"")</f>
        <v/>
      </c>
      <c r="N80" s="1083" t="str">
        <f>IFERROR(IF(INDEX('Coverage Indicator_Import-Expor'!S$7:S$223,MATCH($B80,'Coverage Indicator_Import-Expor'!$C$7:$C$223,0))="","",INDEX('Coverage Indicator_Import-Expor'!S$7:S$223,MATCH($B80,'Coverage Indicator_Import-Expor'!$C$7:$C$223,0))),"")</f>
        <v/>
      </c>
      <c r="O80" s="1083" t="str">
        <f>IFERROR(IF(INDEX('Coverage Indicator_Import-Expor'!T$7:T$223,MATCH($B80,'Coverage Indicator_Import-Expor'!$C$7:$C$223,0))="","",INDEX('Coverage Indicator_Import-Expor'!T$7:T$223,MATCH($B80,'Coverage Indicator_Import-Expor'!$C$7:$C$223,0))),"")</f>
        <v/>
      </c>
      <c r="P80" s="1084" t="str">
        <f>IFERROR(IF(INDEX('Coverage Indicator_Import-Expor'!U$7:U$223,MATCH($B80,'Coverage Indicator_Import-Expor'!$C$7:$C$223,0))="","",INDEX('Coverage Indicator_Import-Expor'!U$7:U$223,MATCH($B80,'Coverage Indicator_Import-Expor'!$C$7:$C$223,0))),"")</f>
        <v/>
      </c>
      <c r="Q80" s="1085"/>
      <c r="R80" s="1085"/>
      <c r="S80" s="1086" t="str">
        <f t="shared" si="16"/>
        <v/>
      </c>
      <c r="T80" s="1087"/>
      <c r="U80" s="1088" t="str">
        <f t="shared" si="17"/>
        <v xml:space="preserve"> </v>
      </c>
      <c r="V80" s="1087"/>
      <c r="W80" s="1089" t="str">
        <f t="shared" si="18"/>
        <v>No Results Reported</v>
      </c>
      <c r="X80" s="1085"/>
      <c r="Y80" s="1085"/>
      <c r="Z80" s="1086" t="str">
        <f t="shared" si="19"/>
        <v/>
      </c>
      <c r="AA80" s="1087"/>
      <c r="AB80" s="1088" t="str">
        <f t="shared" si="20"/>
        <v xml:space="preserve"> </v>
      </c>
      <c r="AC80" s="1087"/>
      <c r="AD80" s="1087"/>
      <c r="AE80" s="1089" t="str">
        <f t="shared" si="21"/>
        <v>No Results Reported</v>
      </c>
      <c r="AF80" s="1085"/>
      <c r="AG80" s="1085"/>
      <c r="AH80" s="1086" t="str">
        <f t="shared" si="22"/>
        <v/>
      </c>
      <c r="AI80" s="1088" t="str">
        <f t="shared" si="23"/>
        <v xml:space="preserve"> </v>
      </c>
      <c r="AJ80" s="1087"/>
      <c r="AK80" s="1090" t="str">
        <f t="shared" si="24"/>
        <v>No Results Reported</v>
      </c>
    </row>
    <row r="81" spans="1:37" x14ac:dyDescent="0.2">
      <c r="A81" s="508">
        <f t="shared" si="25"/>
        <v>71</v>
      </c>
      <c r="B81" s="509" t="str">
        <f t="shared" si="15"/>
        <v>Coverage71</v>
      </c>
      <c r="C81" s="1081" t="str">
        <f>IFERROR(INDEX('Coverage Indicator_Import-Expor'!$D$7:$D$223,MATCH(B81,'Coverage Indicator_Import-Expor'!$C$7:$C$223,0)),"")</f>
        <v/>
      </c>
      <c r="D81" s="1082" t="str">
        <f>IFERROR(INDEX('Coverage Indicator_Import-Expor'!$E$7:$E$223,MATCH(B81,'Coverage Indicator_Import-Expor'!$C$7:$C$223,0)),"")</f>
        <v/>
      </c>
      <c r="E81" s="1082" t="str">
        <f>IFERROR(IF(INDEX('Coverage Indicator_Import-Expor'!K$7:K$223,MATCH($B81,'Coverage Indicator_Import-Expor'!$C$7:$C$223,0))="","",INDEX('Coverage Indicator_Import-Expor'!K$7:K$223,MATCH($B81,'Coverage Indicator_Import-Expor'!$C$7:$C$223,0))),"")</f>
        <v/>
      </c>
      <c r="F81" s="1082" t="str">
        <f>IFERROR(IF(INDEX('Coverage Indicator_Import-Expor'!L$7:L$223,MATCH($B81,'Coverage Indicator_Import-Expor'!$C$7:$C$223,0))="","",INDEX('Coverage Indicator_Import-Expor'!L$7:L$223,MATCH($B81,'Coverage Indicator_Import-Expor'!$C$7:$C$223,0))),"")</f>
        <v/>
      </c>
      <c r="G81" s="1082" t="str">
        <f>IFERROR(IF(INDEX('Coverage Indicator_Import-Expor'!AR$7:AR$223,MATCH($B81,'Coverage Indicator_Import-Expor'!$C$7:$C$223,0))="","",INDEX('Coverage Indicator_Import-Expor'!AR$7:AR$223,MATCH($B81,'Coverage Indicator_Import-Expor'!$C$7:$C$223,0))),"")</f>
        <v/>
      </c>
      <c r="H81" s="1082" t="str">
        <f>IFERROR(IF(INDEX('Coverage Indicator_Import-Expor'!AS$7:AS$223,MATCH($B81,'Coverage Indicator_Import-Expor'!$C$7:$C$223,0))="","",INDEX('Coverage Indicator_Import-Expor'!AS$7:AS$223,MATCH($B81,'Coverage Indicator_Import-Expor'!$C$7:$C$223,0))),"")</f>
        <v/>
      </c>
      <c r="I81" s="1083" t="str">
        <f>IFERROR(IF(INDEX('Coverage Indicator_Import-Expor'!N$7:N$223,MATCH($B81,'Coverage Indicator_Import-Expor'!$C$7:$C$223,0))="","",INDEX('Coverage Indicator_Import-Expor'!N$7:N$223,MATCH($B81,'Coverage Indicator_Import-Expor'!$C$7:$C$223,0))),"")</f>
        <v/>
      </c>
      <c r="J81" s="1083" t="str">
        <f>IFERROR(IF(INDEX('Coverage Indicator_Import-Expor'!O$7:O$223,MATCH($B81,'Coverage Indicator_Import-Expor'!$C$7:$C$223,0))="","",INDEX('Coverage Indicator_Import-Expor'!O$7:O$223,MATCH($B81,'Coverage Indicator_Import-Expor'!$C$7:$C$223,0))),"")</f>
        <v/>
      </c>
      <c r="K81" s="1084" t="str">
        <f>IFERROR(IF(INDEX('Coverage Indicator_Import-Expor'!P$7:P$223,MATCH($B81,'Coverage Indicator_Import-Expor'!$C$7:$C$223,0))="","",INDEX('Coverage Indicator_Import-Expor'!P$7:P$223,MATCH($B81,'Coverage Indicator_Import-Expor'!$C$7:$C$223,0))),"")</f>
        <v/>
      </c>
      <c r="L81" s="1082" t="str">
        <f>IFERROR(IF(INDEX('Coverage Indicator_Import-Expor'!Q$7:Q$223,MATCH($B81,'Coverage Indicator_Import-Expor'!$C$7:$C$223,0))="","",INDEX('Coverage Indicator_Import-Expor'!Q$7:Q$223,MATCH($B81,'Coverage Indicator_Import-Expor'!$C$7:$C$223,0))),"")</f>
        <v/>
      </c>
      <c r="M81" s="1082" t="str">
        <f>IFERROR(IF(INDEX('Coverage Indicator_Import-Expor'!R$7:R$223,MATCH($B81,'Coverage Indicator_Import-Expor'!$C$7:$C$223,0))="","",INDEX('Coverage Indicator_Import-Expor'!R$7:R$223,MATCH($B81,'Coverage Indicator_Import-Expor'!$C$7:$C$223,0))),"")</f>
        <v/>
      </c>
      <c r="N81" s="1083" t="str">
        <f>IFERROR(IF(INDEX('Coverage Indicator_Import-Expor'!S$7:S$223,MATCH($B81,'Coverage Indicator_Import-Expor'!$C$7:$C$223,0))="","",INDEX('Coverage Indicator_Import-Expor'!S$7:S$223,MATCH($B81,'Coverage Indicator_Import-Expor'!$C$7:$C$223,0))),"")</f>
        <v/>
      </c>
      <c r="O81" s="1083" t="str">
        <f>IFERROR(IF(INDEX('Coverage Indicator_Import-Expor'!T$7:T$223,MATCH($B81,'Coverage Indicator_Import-Expor'!$C$7:$C$223,0))="","",INDEX('Coverage Indicator_Import-Expor'!T$7:T$223,MATCH($B81,'Coverage Indicator_Import-Expor'!$C$7:$C$223,0))),"")</f>
        <v/>
      </c>
      <c r="P81" s="1084" t="str">
        <f>IFERROR(IF(INDEX('Coverage Indicator_Import-Expor'!U$7:U$223,MATCH($B81,'Coverage Indicator_Import-Expor'!$C$7:$C$223,0))="","",INDEX('Coverage Indicator_Import-Expor'!U$7:U$223,MATCH($B81,'Coverage Indicator_Import-Expor'!$C$7:$C$223,0))),"")</f>
        <v/>
      </c>
      <c r="Q81" s="1085"/>
      <c r="R81" s="1085"/>
      <c r="S81" s="1086" t="str">
        <f t="shared" si="16"/>
        <v/>
      </c>
      <c r="T81" s="1087"/>
      <c r="U81" s="1088" t="str">
        <f t="shared" si="17"/>
        <v xml:space="preserve"> </v>
      </c>
      <c r="V81" s="1087"/>
      <c r="W81" s="1089" t="str">
        <f t="shared" si="18"/>
        <v>No Results Reported</v>
      </c>
      <c r="X81" s="1085"/>
      <c r="Y81" s="1085"/>
      <c r="Z81" s="1086" t="str">
        <f t="shared" si="19"/>
        <v/>
      </c>
      <c r="AA81" s="1087"/>
      <c r="AB81" s="1088" t="str">
        <f t="shared" si="20"/>
        <v xml:space="preserve"> </v>
      </c>
      <c r="AC81" s="1087"/>
      <c r="AD81" s="1087"/>
      <c r="AE81" s="1089" t="str">
        <f t="shared" si="21"/>
        <v>No Results Reported</v>
      </c>
      <c r="AF81" s="1085"/>
      <c r="AG81" s="1085"/>
      <c r="AH81" s="1086" t="str">
        <f t="shared" si="22"/>
        <v/>
      </c>
      <c r="AI81" s="1088" t="str">
        <f t="shared" si="23"/>
        <v xml:space="preserve"> </v>
      </c>
      <c r="AJ81" s="1087"/>
      <c r="AK81" s="1090" t="str">
        <f t="shared" si="24"/>
        <v>No Results Reported</v>
      </c>
    </row>
    <row r="82" spans="1:37" x14ac:dyDescent="0.2">
      <c r="A82" s="508">
        <f t="shared" si="25"/>
        <v>72</v>
      </c>
      <c r="B82" s="509" t="str">
        <f t="shared" si="15"/>
        <v>Coverage72</v>
      </c>
      <c r="C82" s="1081" t="str">
        <f>IFERROR(INDEX('Coverage Indicator_Import-Expor'!$D$7:$D$223,MATCH(B82,'Coverage Indicator_Import-Expor'!$C$7:$C$223,0)),"")</f>
        <v/>
      </c>
      <c r="D82" s="1082" t="str">
        <f>IFERROR(INDEX('Coverage Indicator_Import-Expor'!$E$7:$E$223,MATCH(B82,'Coverage Indicator_Import-Expor'!$C$7:$C$223,0)),"")</f>
        <v/>
      </c>
      <c r="E82" s="1082" t="str">
        <f>IFERROR(IF(INDEX('Coverage Indicator_Import-Expor'!K$7:K$223,MATCH($B82,'Coverage Indicator_Import-Expor'!$C$7:$C$223,0))="","",INDEX('Coverage Indicator_Import-Expor'!K$7:K$223,MATCH($B82,'Coverage Indicator_Import-Expor'!$C$7:$C$223,0))),"")</f>
        <v/>
      </c>
      <c r="F82" s="1082" t="str">
        <f>IFERROR(IF(INDEX('Coverage Indicator_Import-Expor'!L$7:L$223,MATCH($B82,'Coverage Indicator_Import-Expor'!$C$7:$C$223,0))="","",INDEX('Coverage Indicator_Import-Expor'!L$7:L$223,MATCH($B82,'Coverage Indicator_Import-Expor'!$C$7:$C$223,0))),"")</f>
        <v/>
      </c>
      <c r="G82" s="1082" t="str">
        <f>IFERROR(IF(INDEX('Coverage Indicator_Import-Expor'!AR$7:AR$223,MATCH($B82,'Coverage Indicator_Import-Expor'!$C$7:$C$223,0))="","",INDEX('Coverage Indicator_Import-Expor'!AR$7:AR$223,MATCH($B82,'Coverage Indicator_Import-Expor'!$C$7:$C$223,0))),"")</f>
        <v/>
      </c>
      <c r="H82" s="1082" t="str">
        <f>IFERROR(IF(INDEX('Coverage Indicator_Import-Expor'!AS$7:AS$223,MATCH($B82,'Coverage Indicator_Import-Expor'!$C$7:$C$223,0))="","",INDEX('Coverage Indicator_Import-Expor'!AS$7:AS$223,MATCH($B82,'Coverage Indicator_Import-Expor'!$C$7:$C$223,0))),"")</f>
        <v/>
      </c>
      <c r="I82" s="1083" t="str">
        <f>IFERROR(IF(INDEX('Coverage Indicator_Import-Expor'!N$7:N$223,MATCH($B82,'Coverage Indicator_Import-Expor'!$C$7:$C$223,0))="","",INDEX('Coverage Indicator_Import-Expor'!N$7:N$223,MATCH($B82,'Coverage Indicator_Import-Expor'!$C$7:$C$223,0))),"")</f>
        <v/>
      </c>
      <c r="J82" s="1083" t="str">
        <f>IFERROR(IF(INDEX('Coverage Indicator_Import-Expor'!O$7:O$223,MATCH($B82,'Coverage Indicator_Import-Expor'!$C$7:$C$223,0))="","",INDEX('Coverage Indicator_Import-Expor'!O$7:O$223,MATCH($B82,'Coverage Indicator_Import-Expor'!$C$7:$C$223,0))),"")</f>
        <v/>
      </c>
      <c r="K82" s="1084" t="str">
        <f>IFERROR(IF(INDEX('Coverage Indicator_Import-Expor'!P$7:P$223,MATCH($B82,'Coverage Indicator_Import-Expor'!$C$7:$C$223,0))="","",INDEX('Coverage Indicator_Import-Expor'!P$7:P$223,MATCH($B82,'Coverage Indicator_Import-Expor'!$C$7:$C$223,0))),"")</f>
        <v/>
      </c>
      <c r="L82" s="1082" t="str">
        <f>IFERROR(IF(INDEX('Coverage Indicator_Import-Expor'!Q$7:Q$223,MATCH($B82,'Coverage Indicator_Import-Expor'!$C$7:$C$223,0))="","",INDEX('Coverage Indicator_Import-Expor'!Q$7:Q$223,MATCH($B82,'Coverage Indicator_Import-Expor'!$C$7:$C$223,0))),"")</f>
        <v/>
      </c>
      <c r="M82" s="1082" t="str">
        <f>IFERROR(IF(INDEX('Coverage Indicator_Import-Expor'!R$7:R$223,MATCH($B82,'Coverage Indicator_Import-Expor'!$C$7:$C$223,0))="","",INDEX('Coverage Indicator_Import-Expor'!R$7:R$223,MATCH($B82,'Coverage Indicator_Import-Expor'!$C$7:$C$223,0))),"")</f>
        <v/>
      </c>
      <c r="N82" s="1083" t="str">
        <f>IFERROR(IF(INDEX('Coverage Indicator_Import-Expor'!S$7:S$223,MATCH($B82,'Coverage Indicator_Import-Expor'!$C$7:$C$223,0))="","",INDEX('Coverage Indicator_Import-Expor'!S$7:S$223,MATCH($B82,'Coverage Indicator_Import-Expor'!$C$7:$C$223,0))),"")</f>
        <v/>
      </c>
      <c r="O82" s="1083" t="str">
        <f>IFERROR(IF(INDEX('Coverage Indicator_Import-Expor'!T$7:T$223,MATCH($B82,'Coverage Indicator_Import-Expor'!$C$7:$C$223,0))="","",INDEX('Coverage Indicator_Import-Expor'!T$7:T$223,MATCH($B82,'Coverage Indicator_Import-Expor'!$C$7:$C$223,0))),"")</f>
        <v/>
      </c>
      <c r="P82" s="1084" t="str">
        <f>IFERROR(IF(INDEX('Coverage Indicator_Import-Expor'!U$7:U$223,MATCH($B82,'Coverage Indicator_Import-Expor'!$C$7:$C$223,0))="","",INDEX('Coverage Indicator_Import-Expor'!U$7:U$223,MATCH($B82,'Coverage Indicator_Import-Expor'!$C$7:$C$223,0))),"")</f>
        <v/>
      </c>
      <c r="Q82" s="1085"/>
      <c r="R82" s="1085"/>
      <c r="S82" s="1086" t="str">
        <f t="shared" si="16"/>
        <v/>
      </c>
      <c r="T82" s="1087"/>
      <c r="U82" s="1088" t="str">
        <f t="shared" si="17"/>
        <v xml:space="preserve"> </v>
      </c>
      <c r="V82" s="1087"/>
      <c r="W82" s="1089" t="str">
        <f t="shared" si="18"/>
        <v>No Results Reported</v>
      </c>
      <c r="X82" s="1085"/>
      <c r="Y82" s="1085"/>
      <c r="Z82" s="1086" t="str">
        <f t="shared" si="19"/>
        <v/>
      </c>
      <c r="AA82" s="1087"/>
      <c r="AB82" s="1088" t="str">
        <f t="shared" si="20"/>
        <v xml:space="preserve"> </v>
      </c>
      <c r="AC82" s="1087"/>
      <c r="AD82" s="1087"/>
      <c r="AE82" s="1089" t="str">
        <f t="shared" si="21"/>
        <v>No Results Reported</v>
      </c>
      <c r="AF82" s="1085"/>
      <c r="AG82" s="1085"/>
      <c r="AH82" s="1086" t="str">
        <f t="shared" si="22"/>
        <v/>
      </c>
      <c r="AI82" s="1088" t="str">
        <f t="shared" si="23"/>
        <v xml:space="preserve"> </v>
      </c>
      <c r="AJ82" s="1087"/>
      <c r="AK82" s="1090" t="str">
        <f t="shared" si="24"/>
        <v>No Results Reported</v>
      </c>
    </row>
    <row r="83" spans="1:37" x14ac:dyDescent="0.2">
      <c r="A83" s="508">
        <f t="shared" si="25"/>
        <v>73</v>
      </c>
      <c r="B83" s="509" t="str">
        <f t="shared" si="15"/>
        <v>Coverage73</v>
      </c>
      <c r="C83" s="1081" t="str">
        <f>IFERROR(INDEX('Coverage Indicator_Import-Expor'!$D$7:$D$223,MATCH(B83,'Coverage Indicator_Import-Expor'!$C$7:$C$223,0)),"")</f>
        <v/>
      </c>
      <c r="D83" s="1082" t="str">
        <f>IFERROR(INDEX('Coverage Indicator_Import-Expor'!$E$7:$E$223,MATCH(B83,'Coverage Indicator_Import-Expor'!$C$7:$C$223,0)),"")</f>
        <v/>
      </c>
      <c r="E83" s="1082" t="str">
        <f>IFERROR(IF(INDEX('Coverage Indicator_Import-Expor'!K$7:K$223,MATCH($B83,'Coverage Indicator_Import-Expor'!$C$7:$C$223,0))="","",INDEX('Coverage Indicator_Import-Expor'!K$7:K$223,MATCH($B83,'Coverage Indicator_Import-Expor'!$C$7:$C$223,0))),"")</f>
        <v/>
      </c>
      <c r="F83" s="1082" t="str">
        <f>IFERROR(IF(INDEX('Coverage Indicator_Import-Expor'!L$7:L$223,MATCH($B83,'Coverage Indicator_Import-Expor'!$C$7:$C$223,0))="","",INDEX('Coverage Indicator_Import-Expor'!L$7:L$223,MATCH($B83,'Coverage Indicator_Import-Expor'!$C$7:$C$223,0))),"")</f>
        <v/>
      </c>
      <c r="G83" s="1082" t="str">
        <f>IFERROR(IF(INDEX('Coverage Indicator_Import-Expor'!AR$7:AR$223,MATCH($B83,'Coverage Indicator_Import-Expor'!$C$7:$C$223,0))="","",INDEX('Coverage Indicator_Import-Expor'!AR$7:AR$223,MATCH($B83,'Coverage Indicator_Import-Expor'!$C$7:$C$223,0))),"")</f>
        <v/>
      </c>
      <c r="H83" s="1082" t="str">
        <f>IFERROR(IF(INDEX('Coverage Indicator_Import-Expor'!AS$7:AS$223,MATCH($B83,'Coverage Indicator_Import-Expor'!$C$7:$C$223,0))="","",INDEX('Coverage Indicator_Import-Expor'!AS$7:AS$223,MATCH($B83,'Coverage Indicator_Import-Expor'!$C$7:$C$223,0))),"")</f>
        <v/>
      </c>
      <c r="I83" s="1083" t="str">
        <f>IFERROR(IF(INDEX('Coverage Indicator_Import-Expor'!N$7:N$223,MATCH($B83,'Coverage Indicator_Import-Expor'!$C$7:$C$223,0))="","",INDEX('Coverage Indicator_Import-Expor'!N$7:N$223,MATCH($B83,'Coverage Indicator_Import-Expor'!$C$7:$C$223,0))),"")</f>
        <v/>
      </c>
      <c r="J83" s="1083" t="str">
        <f>IFERROR(IF(INDEX('Coverage Indicator_Import-Expor'!O$7:O$223,MATCH($B83,'Coverage Indicator_Import-Expor'!$C$7:$C$223,0))="","",INDEX('Coverage Indicator_Import-Expor'!O$7:O$223,MATCH($B83,'Coverage Indicator_Import-Expor'!$C$7:$C$223,0))),"")</f>
        <v/>
      </c>
      <c r="K83" s="1084" t="str">
        <f>IFERROR(IF(INDEX('Coverage Indicator_Import-Expor'!P$7:P$223,MATCH($B83,'Coverage Indicator_Import-Expor'!$C$7:$C$223,0))="","",INDEX('Coverage Indicator_Import-Expor'!P$7:P$223,MATCH($B83,'Coverage Indicator_Import-Expor'!$C$7:$C$223,0))),"")</f>
        <v/>
      </c>
      <c r="L83" s="1082" t="str">
        <f>IFERROR(IF(INDEX('Coverage Indicator_Import-Expor'!Q$7:Q$223,MATCH($B83,'Coverage Indicator_Import-Expor'!$C$7:$C$223,0))="","",INDEX('Coverage Indicator_Import-Expor'!Q$7:Q$223,MATCH($B83,'Coverage Indicator_Import-Expor'!$C$7:$C$223,0))),"")</f>
        <v/>
      </c>
      <c r="M83" s="1082" t="str">
        <f>IFERROR(IF(INDEX('Coverage Indicator_Import-Expor'!R$7:R$223,MATCH($B83,'Coverage Indicator_Import-Expor'!$C$7:$C$223,0))="","",INDEX('Coverage Indicator_Import-Expor'!R$7:R$223,MATCH($B83,'Coverage Indicator_Import-Expor'!$C$7:$C$223,0))),"")</f>
        <v/>
      </c>
      <c r="N83" s="1083" t="str">
        <f>IFERROR(IF(INDEX('Coverage Indicator_Import-Expor'!S$7:S$223,MATCH($B83,'Coverage Indicator_Import-Expor'!$C$7:$C$223,0))="","",INDEX('Coverage Indicator_Import-Expor'!S$7:S$223,MATCH($B83,'Coverage Indicator_Import-Expor'!$C$7:$C$223,0))),"")</f>
        <v/>
      </c>
      <c r="O83" s="1083" t="str">
        <f>IFERROR(IF(INDEX('Coverage Indicator_Import-Expor'!T$7:T$223,MATCH($B83,'Coverage Indicator_Import-Expor'!$C$7:$C$223,0))="","",INDEX('Coverage Indicator_Import-Expor'!T$7:T$223,MATCH($B83,'Coverage Indicator_Import-Expor'!$C$7:$C$223,0))),"")</f>
        <v/>
      </c>
      <c r="P83" s="1084" t="str">
        <f>IFERROR(IF(INDEX('Coverage Indicator_Import-Expor'!U$7:U$223,MATCH($B83,'Coverage Indicator_Import-Expor'!$C$7:$C$223,0))="","",INDEX('Coverage Indicator_Import-Expor'!U$7:U$223,MATCH($B83,'Coverage Indicator_Import-Expor'!$C$7:$C$223,0))),"")</f>
        <v/>
      </c>
      <c r="Q83" s="1085"/>
      <c r="R83" s="1085"/>
      <c r="S83" s="1086" t="str">
        <f t="shared" si="16"/>
        <v/>
      </c>
      <c r="T83" s="1087"/>
      <c r="U83" s="1088" t="str">
        <f t="shared" si="17"/>
        <v xml:space="preserve"> </v>
      </c>
      <c r="V83" s="1087"/>
      <c r="W83" s="1089" t="str">
        <f t="shared" si="18"/>
        <v>No Results Reported</v>
      </c>
      <c r="X83" s="1085"/>
      <c r="Y83" s="1085"/>
      <c r="Z83" s="1086" t="str">
        <f t="shared" si="19"/>
        <v/>
      </c>
      <c r="AA83" s="1087"/>
      <c r="AB83" s="1088" t="str">
        <f t="shared" si="20"/>
        <v xml:space="preserve"> </v>
      </c>
      <c r="AC83" s="1087"/>
      <c r="AD83" s="1087"/>
      <c r="AE83" s="1089" t="str">
        <f t="shared" si="21"/>
        <v>No Results Reported</v>
      </c>
      <c r="AF83" s="1085"/>
      <c r="AG83" s="1085"/>
      <c r="AH83" s="1086" t="str">
        <f t="shared" si="22"/>
        <v/>
      </c>
      <c r="AI83" s="1088" t="str">
        <f t="shared" si="23"/>
        <v xml:space="preserve"> </v>
      </c>
      <c r="AJ83" s="1087"/>
      <c r="AK83" s="1090" t="str">
        <f t="shared" si="24"/>
        <v>No Results Reported</v>
      </c>
    </row>
    <row r="84" spans="1:37" x14ac:dyDescent="0.2">
      <c r="A84" s="508">
        <f t="shared" si="25"/>
        <v>74</v>
      </c>
      <c r="B84" s="509" t="str">
        <f t="shared" si="15"/>
        <v>Coverage74</v>
      </c>
      <c r="C84" s="1081" t="str">
        <f>IFERROR(INDEX('Coverage Indicator_Import-Expor'!$D$7:$D$223,MATCH(B84,'Coverage Indicator_Import-Expor'!$C$7:$C$223,0)),"")</f>
        <v/>
      </c>
      <c r="D84" s="1082" t="str">
        <f>IFERROR(INDEX('Coverage Indicator_Import-Expor'!$E$7:$E$223,MATCH(B84,'Coverage Indicator_Import-Expor'!$C$7:$C$223,0)),"")</f>
        <v/>
      </c>
      <c r="E84" s="1082" t="str">
        <f>IFERROR(IF(INDEX('Coverage Indicator_Import-Expor'!K$7:K$223,MATCH($B84,'Coverage Indicator_Import-Expor'!$C$7:$C$223,0))="","",INDEX('Coverage Indicator_Import-Expor'!K$7:K$223,MATCH($B84,'Coverage Indicator_Import-Expor'!$C$7:$C$223,0))),"")</f>
        <v/>
      </c>
      <c r="F84" s="1082" t="str">
        <f>IFERROR(IF(INDEX('Coverage Indicator_Import-Expor'!L$7:L$223,MATCH($B84,'Coverage Indicator_Import-Expor'!$C$7:$C$223,0))="","",INDEX('Coverage Indicator_Import-Expor'!L$7:L$223,MATCH($B84,'Coverage Indicator_Import-Expor'!$C$7:$C$223,0))),"")</f>
        <v/>
      </c>
      <c r="G84" s="1082" t="str">
        <f>IFERROR(IF(INDEX('Coverage Indicator_Import-Expor'!AR$7:AR$223,MATCH($B84,'Coverage Indicator_Import-Expor'!$C$7:$C$223,0))="","",INDEX('Coverage Indicator_Import-Expor'!AR$7:AR$223,MATCH($B84,'Coverage Indicator_Import-Expor'!$C$7:$C$223,0))),"")</f>
        <v/>
      </c>
      <c r="H84" s="1082" t="str">
        <f>IFERROR(IF(INDEX('Coverage Indicator_Import-Expor'!AS$7:AS$223,MATCH($B84,'Coverage Indicator_Import-Expor'!$C$7:$C$223,0))="","",INDEX('Coverage Indicator_Import-Expor'!AS$7:AS$223,MATCH($B84,'Coverage Indicator_Import-Expor'!$C$7:$C$223,0))),"")</f>
        <v/>
      </c>
      <c r="I84" s="1083" t="str">
        <f>IFERROR(IF(INDEX('Coverage Indicator_Import-Expor'!N$7:N$223,MATCH($B84,'Coverage Indicator_Import-Expor'!$C$7:$C$223,0))="","",INDEX('Coverage Indicator_Import-Expor'!N$7:N$223,MATCH($B84,'Coverage Indicator_Import-Expor'!$C$7:$C$223,0))),"")</f>
        <v/>
      </c>
      <c r="J84" s="1083" t="str">
        <f>IFERROR(IF(INDEX('Coverage Indicator_Import-Expor'!O$7:O$223,MATCH($B84,'Coverage Indicator_Import-Expor'!$C$7:$C$223,0))="","",INDEX('Coverage Indicator_Import-Expor'!O$7:O$223,MATCH($B84,'Coverage Indicator_Import-Expor'!$C$7:$C$223,0))),"")</f>
        <v/>
      </c>
      <c r="K84" s="1084" t="str">
        <f>IFERROR(IF(INDEX('Coverage Indicator_Import-Expor'!P$7:P$223,MATCH($B84,'Coverage Indicator_Import-Expor'!$C$7:$C$223,0))="","",INDEX('Coverage Indicator_Import-Expor'!P$7:P$223,MATCH($B84,'Coverage Indicator_Import-Expor'!$C$7:$C$223,0))),"")</f>
        <v/>
      </c>
      <c r="L84" s="1082" t="str">
        <f>IFERROR(IF(INDEX('Coverage Indicator_Import-Expor'!Q$7:Q$223,MATCH($B84,'Coverage Indicator_Import-Expor'!$C$7:$C$223,0))="","",INDEX('Coverage Indicator_Import-Expor'!Q$7:Q$223,MATCH($B84,'Coverage Indicator_Import-Expor'!$C$7:$C$223,0))),"")</f>
        <v/>
      </c>
      <c r="M84" s="1082" t="str">
        <f>IFERROR(IF(INDEX('Coverage Indicator_Import-Expor'!R$7:R$223,MATCH($B84,'Coverage Indicator_Import-Expor'!$C$7:$C$223,0))="","",INDEX('Coverage Indicator_Import-Expor'!R$7:R$223,MATCH($B84,'Coverage Indicator_Import-Expor'!$C$7:$C$223,0))),"")</f>
        <v/>
      </c>
      <c r="N84" s="1083" t="str">
        <f>IFERROR(IF(INDEX('Coverage Indicator_Import-Expor'!S$7:S$223,MATCH($B84,'Coverage Indicator_Import-Expor'!$C$7:$C$223,0))="","",INDEX('Coverage Indicator_Import-Expor'!S$7:S$223,MATCH($B84,'Coverage Indicator_Import-Expor'!$C$7:$C$223,0))),"")</f>
        <v/>
      </c>
      <c r="O84" s="1083" t="str">
        <f>IFERROR(IF(INDEX('Coverage Indicator_Import-Expor'!T$7:T$223,MATCH($B84,'Coverage Indicator_Import-Expor'!$C$7:$C$223,0))="","",INDEX('Coverage Indicator_Import-Expor'!T$7:T$223,MATCH($B84,'Coverage Indicator_Import-Expor'!$C$7:$C$223,0))),"")</f>
        <v/>
      </c>
      <c r="P84" s="1084" t="str">
        <f>IFERROR(IF(INDEX('Coverage Indicator_Import-Expor'!U$7:U$223,MATCH($B84,'Coverage Indicator_Import-Expor'!$C$7:$C$223,0))="","",INDEX('Coverage Indicator_Import-Expor'!U$7:U$223,MATCH($B84,'Coverage Indicator_Import-Expor'!$C$7:$C$223,0))),"")</f>
        <v/>
      </c>
      <c r="Q84" s="1085"/>
      <c r="R84" s="1085"/>
      <c r="S84" s="1086" t="str">
        <f t="shared" si="16"/>
        <v/>
      </c>
      <c r="T84" s="1087"/>
      <c r="U84" s="1088" t="str">
        <f t="shared" si="17"/>
        <v xml:space="preserve"> </v>
      </c>
      <c r="V84" s="1087"/>
      <c r="W84" s="1089" t="str">
        <f t="shared" si="18"/>
        <v>No Results Reported</v>
      </c>
      <c r="X84" s="1085"/>
      <c r="Y84" s="1085"/>
      <c r="Z84" s="1086" t="str">
        <f t="shared" si="19"/>
        <v/>
      </c>
      <c r="AA84" s="1087"/>
      <c r="AB84" s="1088" t="str">
        <f t="shared" si="20"/>
        <v xml:space="preserve"> </v>
      </c>
      <c r="AC84" s="1087"/>
      <c r="AD84" s="1087"/>
      <c r="AE84" s="1089" t="str">
        <f t="shared" si="21"/>
        <v>No Results Reported</v>
      </c>
      <c r="AF84" s="1085"/>
      <c r="AG84" s="1085"/>
      <c r="AH84" s="1086" t="str">
        <f t="shared" si="22"/>
        <v/>
      </c>
      <c r="AI84" s="1088" t="str">
        <f t="shared" si="23"/>
        <v xml:space="preserve"> </v>
      </c>
      <c r="AJ84" s="1087"/>
      <c r="AK84" s="1090" t="str">
        <f t="shared" si="24"/>
        <v>No Results Reported</v>
      </c>
    </row>
    <row r="85" spans="1:37" x14ac:dyDescent="0.2">
      <c r="A85" s="508">
        <f t="shared" si="25"/>
        <v>75</v>
      </c>
      <c r="B85" s="509" t="str">
        <f t="shared" si="15"/>
        <v>Coverage75</v>
      </c>
      <c r="C85" s="1081" t="str">
        <f>IFERROR(INDEX('Coverage Indicator_Import-Expor'!$D$7:$D$223,MATCH(B85,'Coverage Indicator_Import-Expor'!$C$7:$C$223,0)),"")</f>
        <v/>
      </c>
      <c r="D85" s="1082" t="str">
        <f>IFERROR(INDEX('Coverage Indicator_Import-Expor'!$E$7:$E$223,MATCH(B85,'Coverage Indicator_Import-Expor'!$C$7:$C$223,0)),"")</f>
        <v/>
      </c>
      <c r="E85" s="1082" t="str">
        <f>IFERROR(IF(INDEX('Coverage Indicator_Import-Expor'!K$7:K$223,MATCH($B85,'Coverage Indicator_Import-Expor'!$C$7:$C$223,0))="","",INDEX('Coverage Indicator_Import-Expor'!K$7:K$223,MATCH($B85,'Coverage Indicator_Import-Expor'!$C$7:$C$223,0))),"")</f>
        <v/>
      </c>
      <c r="F85" s="1082" t="str">
        <f>IFERROR(IF(INDEX('Coverage Indicator_Import-Expor'!L$7:L$223,MATCH($B85,'Coverage Indicator_Import-Expor'!$C$7:$C$223,0))="","",INDEX('Coverage Indicator_Import-Expor'!L$7:L$223,MATCH($B85,'Coverage Indicator_Import-Expor'!$C$7:$C$223,0))),"")</f>
        <v/>
      </c>
      <c r="G85" s="1082" t="str">
        <f>IFERROR(IF(INDEX('Coverage Indicator_Import-Expor'!AR$7:AR$223,MATCH($B85,'Coverage Indicator_Import-Expor'!$C$7:$C$223,0))="","",INDEX('Coverage Indicator_Import-Expor'!AR$7:AR$223,MATCH($B85,'Coverage Indicator_Import-Expor'!$C$7:$C$223,0))),"")</f>
        <v/>
      </c>
      <c r="H85" s="1082" t="str">
        <f>IFERROR(IF(INDEX('Coverage Indicator_Import-Expor'!AS$7:AS$223,MATCH($B85,'Coverage Indicator_Import-Expor'!$C$7:$C$223,0))="","",INDEX('Coverage Indicator_Import-Expor'!AS$7:AS$223,MATCH($B85,'Coverage Indicator_Import-Expor'!$C$7:$C$223,0))),"")</f>
        <v/>
      </c>
      <c r="I85" s="1083" t="str">
        <f>IFERROR(IF(INDEX('Coverage Indicator_Import-Expor'!N$7:N$223,MATCH($B85,'Coverage Indicator_Import-Expor'!$C$7:$C$223,0))="","",INDEX('Coverage Indicator_Import-Expor'!N$7:N$223,MATCH($B85,'Coverage Indicator_Import-Expor'!$C$7:$C$223,0))),"")</f>
        <v/>
      </c>
      <c r="J85" s="1083" t="str">
        <f>IFERROR(IF(INDEX('Coverage Indicator_Import-Expor'!O$7:O$223,MATCH($B85,'Coverage Indicator_Import-Expor'!$C$7:$C$223,0))="","",INDEX('Coverage Indicator_Import-Expor'!O$7:O$223,MATCH($B85,'Coverage Indicator_Import-Expor'!$C$7:$C$223,0))),"")</f>
        <v/>
      </c>
      <c r="K85" s="1084" t="str">
        <f>IFERROR(IF(INDEX('Coverage Indicator_Import-Expor'!P$7:P$223,MATCH($B85,'Coverage Indicator_Import-Expor'!$C$7:$C$223,0))="","",INDEX('Coverage Indicator_Import-Expor'!P$7:P$223,MATCH($B85,'Coverage Indicator_Import-Expor'!$C$7:$C$223,0))),"")</f>
        <v/>
      </c>
      <c r="L85" s="1082" t="str">
        <f>IFERROR(IF(INDEX('Coverage Indicator_Import-Expor'!Q$7:Q$223,MATCH($B85,'Coverage Indicator_Import-Expor'!$C$7:$C$223,0))="","",INDEX('Coverage Indicator_Import-Expor'!Q$7:Q$223,MATCH($B85,'Coverage Indicator_Import-Expor'!$C$7:$C$223,0))),"")</f>
        <v/>
      </c>
      <c r="M85" s="1082" t="str">
        <f>IFERROR(IF(INDEX('Coverage Indicator_Import-Expor'!R$7:R$223,MATCH($B85,'Coverage Indicator_Import-Expor'!$C$7:$C$223,0))="","",INDEX('Coverage Indicator_Import-Expor'!R$7:R$223,MATCH($B85,'Coverage Indicator_Import-Expor'!$C$7:$C$223,0))),"")</f>
        <v/>
      </c>
      <c r="N85" s="1083" t="str">
        <f>IFERROR(IF(INDEX('Coverage Indicator_Import-Expor'!S$7:S$223,MATCH($B85,'Coverage Indicator_Import-Expor'!$C$7:$C$223,0))="","",INDEX('Coverage Indicator_Import-Expor'!S$7:S$223,MATCH($B85,'Coverage Indicator_Import-Expor'!$C$7:$C$223,0))),"")</f>
        <v/>
      </c>
      <c r="O85" s="1083" t="str">
        <f>IFERROR(IF(INDEX('Coverage Indicator_Import-Expor'!T$7:T$223,MATCH($B85,'Coverage Indicator_Import-Expor'!$C$7:$C$223,0))="","",INDEX('Coverage Indicator_Import-Expor'!T$7:T$223,MATCH($B85,'Coverage Indicator_Import-Expor'!$C$7:$C$223,0))),"")</f>
        <v/>
      </c>
      <c r="P85" s="1084" t="str">
        <f>IFERROR(IF(INDEX('Coverage Indicator_Import-Expor'!U$7:U$223,MATCH($B85,'Coverage Indicator_Import-Expor'!$C$7:$C$223,0))="","",INDEX('Coverage Indicator_Import-Expor'!U$7:U$223,MATCH($B85,'Coverage Indicator_Import-Expor'!$C$7:$C$223,0))),"")</f>
        <v/>
      </c>
      <c r="Q85" s="1085"/>
      <c r="R85" s="1085"/>
      <c r="S85" s="1086" t="str">
        <f t="shared" si="16"/>
        <v/>
      </c>
      <c r="T85" s="1087"/>
      <c r="U85" s="1088" t="str">
        <f t="shared" si="17"/>
        <v xml:space="preserve"> </v>
      </c>
      <c r="V85" s="1087"/>
      <c r="W85" s="1089" t="str">
        <f t="shared" si="18"/>
        <v>No Results Reported</v>
      </c>
      <c r="X85" s="1085"/>
      <c r="Y85" s="1085"/>
      <c r="Z85" s="1086" t="str">
        <f t="shared" si="19"/>
        <v/>
      </c>
      <c r="AA85" s="1087"/>
      <c r="AB85" s="1088" t="str">
        <f t="shared" si="20"/>
        <v xml:space="preserve"> </v>
      </c>
      <c r="AC85" s="1087"/>
      <c r="AD85" s="1087"/>
      <c r="AE85" s="1089" t="str">
        <f t="shared" si="21"/>
        <v>No Results Reported</v>
      </c>
      <c r="AF85" s="1085"/>
      <c r="AG85" s="1085"/>
      <c r="AH85" s="1086" t="str">
        <f t="shared" si="22"/>
        <v/>
      </c>
      <c r="AI85" s="1088" t="str">
        <f t="shared" si="23"/>
        <v xml:space="preserve"> </v>
      </c>
      <c r="AJ85" s="1087"/>
      <c r="AK85" s="1090" t="str">
        <f t="shared" si="24"/>
        <v>No Results Reported</v>
      </c>
    </row>
    <row r="86" spans="1:37" x14ac:dyDescent="0.2">
      <c r="A86" s="508">
        <f t="shared" si="25"/>
        <v>76</v>
      </c>
      <c r="B86" s="509" t="str">
        <f t="shared" si="15"/>
        <v>Coverage76</v>
      </c>
      <c r="C86" s="1081" t="str">
        <f>IFERROR(INDEX('Coverage Indicator_Import-Expor'!$D$7:$D$223,MATCH(B86,'Coverage Indicator_Import-Expor'!$C$7:$C$223,0)),"")</f>
        <v/>
      </c>
      <c r="D86" s="1082" t="str">
        <f>IFERROR(INDEX('Coverage Indicator_Import-Expor'!$E$7:$E$223,MATCH(B86,'Coverage Indicator_Import-Expor'!$C$7:$C$223,0)),"")</f>
        <v/>
      </c>
      <c r="E86" s="1082" t="str">
        <f>IFERROR(IF(INDEX('Coverage Indicator_Import-Expor'!K$7:K$223,MATCH($B86,'Coverage Indicator_Import-Expor'!$C$7:$C$223,0))="","",INDEX('Coverage Indicator_Import-Expor'!K$7:K$223,MATCH($B86,'Coverage Indicator_Import-Expor'!$C$7:$C$223,0))),"")</f>
        <v/>
      </c>
      <c r="F86" s="1082" t="str">
        <f>IFERROR(IF(INDEX('Coverage Indicator_Import-Expor'!L$7:L$223,MATCH($B86,'Coverage Indicator_Import-Expor'!$C$7:$C$223,0))="","",INDEX('Coverage Indicator_Import-Expor'!L$7:L$223,MATCH($B86,'Coverage Indicator_Import-Expor'!$C$7:$C$223,0))),"")</f>
        <v/>
      </c>
      <c r="G86" s="1082" t="str">
        <f>IFERROR(IF(INDEX('Coverage Indicator_Import-Expor'!AR$7:AR$223,MATCH($B86,'Coverage Indicator_Import-Expor'!$C$7:$C$223,0))="","",INDEX('Coverage Indicator_Import-Expor'!AR$7:AR$223,MATCH($B86,'Coverage Indicator_Import-Expor'!$C$7:$C$223,0))),"")</f>
        <v/>
      </c>
      <c r="H86" s="1082" t="str">
        <f>IFERROR(IF(INDEX('Coverage Indicator_Import-Expor'!AS$7:AS$223,MATCH($B86,'Coverage Indicator_Import-Expor'!$C$7:$C$223,0))="","",INDEX('Coverage Indicator_Import-Expor'!AS$7:AS$223,MATCH($B86,'Coverage Indicator_Import-Expor'!$C$7:$C$223,0))),"")</f>
        <v/>
      </c>
      <c r="I86" s="1083" t="str">
        <f>IFERROR(IF(INDEX('Coverage Indicator_Import-Expor'!N$7:N$223,MATCH($B86,'Coverage Indicator_Import-Expor'!$C$7:$C$223,0))="","",INDEX('Coverage Indicator_Import-Expor'!N$7:N$223,MATCH($B86,'Coverage Indicator_Import-Expor'!$C$7:$C$223,0))),"")</f>
        <v/>
      </c>
      <c r="J86" s="1083" t="str">
        <f>IFERROR(IF(INDEX('Coverage Indicator_Import-Expor'!O$7:O$223,MATCH($B86,'Coverage Indicator_Import-Expor'!$C$7:$C$223,0))="","",INDEX('Coverage Indicator_Import-Expor'!O$7:O$223,MATCH($B86,'Coverage Indicator_Import-Expor'!$C$7:$C$223,0))),"")</f>
        <v/>
      </c>
      <c r="K86" s="1084" t="str">
        <f>IFERROR(IF(INDEX('Coverage Indicator_Import-Expor'!P$7:P$223,MATCH($B86,'Coverage Indicator_Import-Expor'!$C$7:$C$223,0))="","",INDEX('Coverage Indicator_Import-Expor'!P$7:P$223,MATCH($B86,'Coverage Indicator_Import-Expor'!$C$7:$C$223,0))),"")</f>
        <v/>
      </c>
      <c r="L86" s="1082" t="str">
        <f>IFERROR(IF(INDEX('Coverage Indicator_Import-Expor'!Q$7:Q$223,MATCH($B86,'Coverage Indicator_Import-Expor'!$C$7:$C$223,0))="","",INDEX('Coverage Indicator_Import-Expor'!Q$7:Q$223,MATCH($B86,'Coverage Indicator_Import-Expor'!$C$7:$C$223,0))),"")</f>
        <v/>
      </c>
      <c r="M86" s="1082" t="str">
        <f>IFERROR(IF(INDEX('Coverage Indicator_Import-Expor'!R$7:R$223,MATCH($B86,'Coverage Indicator_Import-Expor'!$C$7:$C$223,0))="","",INDEX('Coverage Indicator_Import-Expor'!R$7:R$223,MATCH($B86,'Coverage Indicator_Import-Expor'!$C$7:$C$223,0))),"")</f>
        <v/>
      </c>
      <c r="N86" s="1083" t="str">
        <f>IFERROR(IF(INDEX('Coverage Indicator_Import-Expor'!S$7:S$223,MATCH($B86,'Coverage Indicator_Import-Expor'!$C$7:$C$223,0))="","",INDEX('Coverage Indicator_Import-Expor'!S$7:S$223,MATCH($B86,'Coverage Indicator_Import-Expor'!$C$7:$C$223,0))),"")</f>
        <v/>
      </c>
      <c r="O86" s="1083" t="str">
        <f>IFERROR(IF(INDEX('Coverage Indicator_Import-Expor'!T$7:T$223,MATCH($B86,'Coverage Indicator_Import-Expor'!$C$7:$C$223,0))="","",INDEX('Coverage Indicator_Import-Expor'!T$7:T$223,MATCH($B86,'Coverage Indicator_Import-Expor'!$C$7:$C$223,0))),"")</f>
        <v/>
      </c>
      <c r="P86" s="1084" t="str">
        <f>IFERROR(IF(INDEX('Coverage Indicator_Import-Expor'!U$7:U$223,MATCH($B86,'Coverage Indicator_Import-Expor'!$C$7:$C$223,0))="","",INDEX('Coverage Indicator_Import-Expor'!U$7:U$223,MATCH($B86,'Coverage Indicator_Import-Expor'!$C$7:$C$223,0))),"")</f>
        <v/>
      </c>
      <c r="Q86" s="1085"/>
      <c r="R86" s="1085"/>
      <c r="S86" s="1086" t="str">
        <f t="shared" si="16"/>
        <v/>
      </c>
      <c r="T86" s="1087"/>
      <c r="U86" s="1088" t="str">
        <f t="shared" si="17"/>
        <v xml:space="preserve"> </v>
      </c>
      <c r="V86" s="1087"/>
      <c r="W86" s="1089" t="str">
        <f t="shared" si="18"/>
        <v>No Results Reported</v>
      </c>
      <c r="X86" s="1085"/>
      <c r="Y86" s="1085"/>
      <c r="Z86" s="1086" t="str">
        <f t="shared" si="19"/>
        <v/>
      </c>
      <c r="AA86" s="1087"/>
      <c r="AB86" s="1088" t="str">
        <f t="shared" si="20"/>
        <v xml:space="preserve"> </v>
      </c>
      <c r="AC86" s="1087"/>
      <c r="AD86" s="1087"/>
      <c r="AE86" s="1089" t="str">
        <f t="shared" si="21"/>
        <v>No Results Reported</v>
      </c>
      <c r="AF86" s="1085"/>
      <c r="AG86" s="1085"/>
      <c r="AH86" s="1086" t="str">
        <f t="shared" si="22"/>
        <v/>
      </c>
      <c r="AI86" s="1088" t="str">
        <f t="shared" si="23"/>
        <v xml:space="preserve"> </v>
      </c>
      <c r="AJ86" s="1087"/>
      <c r="AK86" s="1090" t="str">
        <f t="shared" si="24"/>
        <v>No Results Reported</v>
      </c>
    </row>
    <row r="87" spans="1:37" x14ac:dyDescent="0.2">
      <c r="A87" s="508">
        <f t="shared" si="25"/>
        <v>77</v>
      </c>
      <c r="B87" s="509" t="str">
        <f t="shared" si="15"/>
        <v>Coverage77</v>
      </c>
      <c r="C87" s="1081" t="str">
        <f>IFERROR(INDEX('Coverage Indicator_Import-Expor'!$D$7:$D$223,MATCH(B87,'Coverage Indicator_Import-Expor'!$C$7:$C$223,0)),"")</f>
        <v/>
      </c>
      <c r="D87" s="1082" t="str">
        <f>IFERROR(INDEX('Coverage Indicator_Import-Expor'!$E$7:$E$223,MATCH(B87,'Coverage Indicator_Import-Expor'!$C$7:$C$223,0)),"")</f>
        <v/>
      </c>
      <c r="E87" s="1082" t="str">
        <f>IFERROR(IF(INDEX('Coverage Indicator_Import-Expor'!K$7:K$223,MATCH($B87,'Coverage Indicator_Import-Expor'!$C$7:$C$223,0))="","",INDEX('Coverage Indicator_Import-Expor'!K$7:K$223,MATCH($B87,'Coverage Indicator_Import-Expor'!$C$7:$C$223,0))),"")</f>
        <v/>
      </c>
      <c r="F87" s="1082" t="str">
        <f>IFERROR(IF(INDEX('Coverage Indicator_Import-Expor'!L$7:L$223,MATCH($B87,'Coverage Indicator_Import-Expor'!$C$7:$C$223,0))="","",INDEX('Coverage Indicator_Import-Expor'!L$7:L$223,MATCH($B87,'Coverage Indicator_Import-Expor'!$C$7:$C$223,0))),"")</f>
        <v/>
      </c>
      <c r="G87" s="1082" t="str">
        <f>IFERROR(IF(INDEX('Coverage Indicator_Import-Expor'!AR$7:AR$223,MATCH($B87,'Coverage Indicator_Import-Expor'!$C$7:$C$223,0))="","",INDEX('Coverage Indicator_Import-Expor'!AR$7:AR$223,MATCH($B87,'Coverage Indicator_Import-Expor'!$C$7:$C$223,0))),"")</f>
        <v/>
      </c>
      <c r="H87" s="1082" t="str">
        <f>IFERROR(IF(INDEX('Coverage Indicator_Import-Expor'!AS$7:AS$223,MATCH($B87,'Coverage Indicator_Import-Expor'!$C$7:$C$223,0))="","",INDEX('Coverage Indicator_Import-Expor'!AS$7:AS$223,MATCH($B87,'Coverage Indicator_Import-Expor'!$C$7:$C$223,0))),"")</f>
        <v/>
      </c>
      <c r="I87" s="1083" t="str">
        <f>IFERROR(IF(INDEX('Coverage Indicator_Import-Expor'!N$7:N$223,MATCH($B87,'Coverage Indicator_Import-Expor'!$C$7:$C$223,0))="","",INDEX('Coverage Indicator_Import-Expor'!N$7:N$223,MATCH($B87,'Coverage Indicator_Import-Expor'!$C$7:$C$223,0))),"")</f>
        <v/>
      </c>
      <c r="J87" s="1083" t="str">
        <f>IFERROR(IF(INDEX('Coverage Indicator_Import-Expor'!O$7:O$223,MATCH($B87,'Coverage Indicator_Import-Expor'!$C$7:$C$223,0))="","",INDEX('Coverage Indicator_Import-Expor'!O$7:O$223,MATCH($B87,'Coverage Indicator_Import-Expor'!$C$7:$C$223,0))),"")</f>
        <v/>
      </c>
      <c r="K87" s="1084" t="str">
        <f>IFERROR(IF(INDEX('Coverage Indicator_Import-Expor'!P$7:P$223,MATCH($B87,'Coverage Indicator_Import-Expor'!$C$7:$C$223,0))="","",INDEX('Coverage Indicator_Import-Expor'!P$7:P$223,MATCH($B87,'Coverage Indicator_Import-Expor'!$C$7:$C$223,0))),"")</f>
        <v/>
      </c>
      <c r="L87" s="1082" t="str">
        <f>IFERROR(IF(INDEX('Coverage Indicator_Import-Expor'!Q$7:Q$223,MATCH($B87,'Coverage Indicator_Import-Expor'!$C$7:$C$223,0))="","",INDEX('Coverage Indicator_Import-Expor'!Q$7:Q$223,MATCH($B87,'Coverage Indicator_Import-Expor'!$C$7:$C$223,0))),"")</f>
        <v/>
      </c>
      <c r="M87" s="1082" t="str">
        <f>IFERROR(IF(INDEX('Coverage Indicator_Import-Expor'!R$7:R$223,MATCH($B87,'Coverage Indicator_Import-Expor'!$C$7:$C$223,0))="","",INDEX('Coverage Indicator_Import-Expor'!R$7:R$223,MATCH($B87,'Coverage Indicator_Import-Expor'!$C$7:$C$223,0))),"")</f>
        <v/>
      </c>
      <c r="N87" s="1083" t="str">
        <f>IFERROR(IF(INDEX('Coverage Indicator_Import-Expor'!S$7:S$223,MATCH($B87,'Coverage Indicator_Import-Expor'!$C$7:$C$223,0))="","",INDEX('Coverage Indicator_Import-Expor'!S$7:S$223,MATCH($B87,'Coverage Indicator_Import-Expor'!$C$7:$C$223,0))),"")</f>
        <v/>
      </c>
      <c r="O87" s="1083" t="str">
        <f>IFERROR(IF(INDEX('Coverage Indicator_Import-Expor'!T$7:T$223,MATCH($B87,'Coverage Indicator_Import-Expor'!$C$7:$C$223,0))="","",INDEX('Coverage Indicator_Import-Expor'!T$7:T$223,MATCH($B87,'Coverage Indicator_Import-Expor'!$C$7:$C$223,0))),"")</f>
        <v/>
      </c>
      <c r="P87" s="1084" t="str">
        <f>IFERROR(IF(INDEX('Coverage Indicator_Import-Expor'!U$7:U$223,MATCH($B87,'Coverage Indicator_Import-Expor'!$C$7:$C$223,0))="","",INDEX('Coverage Indicator_Import-Expor'!U$7:U$223,MATCH($B87,'Coverage Indicator_Import-Expor'!$C$7:$C$223,0))),"")</f>
        <v/>
      </c>
      <c r="Q87" s="1085"/>
      <c r="R87" s="1085"/>
      <c r="S87" s="1086" t="str">
        <f t="shared" si="16"/>
        <v/>
      </c>
      <c r="T87" s="1087"/>
      <c r="U87" s="1088" t="str">
        <f t="shared" si="17"/>
        <v xml:space="preserve"> </v>
      </c>
      <c r="V87" s="1087"/>
      <c r="W87" s="1089" t="str">
        <f t="shared" si="18"/>
        <v>No Results Reported</v>
      </c>
      <c r="X87" s="1085"/>
      <c r="Y87" s="1085"/>
      <c r="Z87" s="1086" t="str">
        <f t="shared" si="19"/>
        <v/>
      </c>
      <c r="AA87" s="1087"/>
      <c r="AB87" s="1088" t="str">
        <f t="shared" si="20"/>
        <v xml:space="preserve"> </v>
      </c>
      <c r="AC87" s="1087"/>
      <c r="AD87" s="1087"/>
      <c r="AE87" s="1089" t="str">
        <f t="shared" si="21"/>
        <v>No Results Reported</v>
      </c>
      <c r="AF87" s="1085"/>
      <c r="AG87" s="1085"/>
      <c r="AH87" s="1086" t="str">
        <f t="shared" si="22"/>
        <v/>
      </c>
      <c r="AI87" s="1088" t="str">
        <f t="shared" si="23"/>
        <v xml:space="preserve"> </v>
      </c>
      <c r="AJ87" s="1087"/>
      <c r="AK87" s="1090" t="str">
        <f t="shared" si="24"/>
        <v>No Results Reported</v>
      </c>
    </row>
    <row r="88" spans="1:37" x14ac:dyDescent="0.2">
      <c r="A88" s="508">
        <f t="shared" si="25"/>
        <v>78</v>
      </c>
      <c r="B88" s="509" t="str">
        <f t="shared" si="15"/>
        <v>Coverage78</v>
      </c>
      <c r="C88" s="1081" t="str">
        <f>IFERROR(INDEX('Coverage Indicator_Import-Expor'!$D$7:$D$223,MATCH(B88,'Coverage Indicator_Import-Expor'!$C$7:$C$223,0)),"")</f>
        <v/>
      </c>
      <c r="D88" s="1082" t="str">
        <f>IFERROR(INDEX('Coverage Indicator_Import-Expor'!$E$7:$E$223,MATCH(B88,'Coverage Indicator_Import-Expor'!$C$7:$C$223,0)),"")</f>
        <v/>
      </c>
      <c r="E88" s="1082" t="str">
        <f>IFERROR(IF(INDEX('Coverage Indicator_Import-Expor'!K$7:K$223,MATCH($B88,'Coverage Indicator_Import-Expor'!$C$7:$C$223,0))="","",INDEX('Coverage Indicator_Import-Expor'!K$7:K$223,MATCH($B88,'Coverage Indicator_Import-Expor'!$C$7:$C$223,0))),"")</f>
        <v/>
      </c>
      <c r="F88" s="1082" t="str">
        <f>IFERROR(IF(INDEX('Coverage Indicator_Import-Expor'!L$7:L$223,MATCH($B88,'Coverage Indicator_Import-Expor'!$C$7:$C$223,0))="","",INDEX('Coverage Indicator_Import-Expor'!L$7:L$223,MATCH($B88,'Coverage Indicator_Import-Expor'!$C$7:$C$223,0))),"")</f>
        <v/>
      </c>
      <c r="G88" s="1082" t="str">
        <f>IFERROR(IF(INDEX('Coverage Indicator_Import-Expor'!AR$7:AR$223,MATCH($B88,'Coverage Indicator_Import-Expor'!$C$7:$C$223,0))="","",INDEX('Coverage Indicator_Import-Expor'!AR$7:AR$223,MATCH($B88,'Coverage Indicator_Import-Expor'!$C$7:$C$223,0))),"")</f>
        <v/>
      </c>
      <c r="H88" s="1082" t="str">
        <f>IFERROR(IF(INDEX('Coverage Indicator_Import-Expor'!AS$7:AS$223,MATCH($B88,'Coverage Indicator_Import-Expor'!$C$7:$C$223,0))="","",INDEX('Coverage Indicator_Import-Expor'!AS$7:AS$223,MATCH($B88,'Coverage Indicator_Import-Expor'!$C$7:$C$223,0))),"")</f>
        <v/>
      </c>
      <c r="I88" s="1083" t="str">
        <f>IFERROR(IF(INDEX('Coverage Indicator_Import-Expor'!N$7:N$223,MATCH($B88,'Coverage Indicator_Import-Expor'!$C$7:$C$223,0))="","",INDEX('Coverage Indicator_Import-Expor'!N$7:N$223,MATCH($B88,'Coverage Indicator_Import-Expor'!$C$7:$C$223,0))),"")</f>
        <v/>
      </c>
      <c r="J88" s="1083" t="str">
        <f>IFERROR(IF(INDEX('Coverage Indicator_Import-Expor'!O$7:O$223,MATCH($B88,'Coverage Indicator_Import-Expor'!$C$7:$C$223,0))="","",INDEX('Coverage Indicator_Import-Expor'!O$7:O$223,MATCH($B88,'Coverage Indicator_Import-Expor'!$C$7:$C$223,0))),"")</f>
        <v/>
      </c>
      <c r="K88" s="1084" t="str">
        <f>IFERROR(IF(INDEX('Coverage Indicator_Import-Expor'!P$7:P$223,MATCH($B88,'Coverage Indicator_Import-Expor'!$C$7:$C$223,0))="","",INDEX('Coverage Indicator_Import-Expor'!P$7:P$223,MATCH($B88,'Coverage Indicator_Import-Expor'!$C$7:$C$223,0))),"")</f>
        <v/>
      </c>
      <c r="L88" s="1082" t="str">
        <f>IFERROR(IF(INDEX('Coverage Indicator_Import-Expor'!Q$7:Q$223,MATCH($B88,'Coverage Indicator_Import-Expor'!$C$7:$C$223,0))="","",INDEX('Coverage Indicator_Import-Expor'!Q$7:Q$223,MATCH($B88,'Coverage Indicator_Import-Expor'!$C$7:$C$223,0))),"")</f>
        <v/>
      </c>
      <c r="M88" s="1082" t="str">
        <f>IFERROR(IF(INDEX('Coverage Indicator_Import-Expor'!R$7:R$223,MATCH($B88,'Coverage Indicator_Import-Expor'!$C$7:$C$223,0))="","",INDEX('Coverage Indicator_Import-Expor'!R$7:R$223,MATCH($B88,'Coverage Indicator_Import-Expor'!$C$7:$C$223,0))),"")</f>
        <v/>
      </c>
      <c r="N88" s="1083" t="str">
        <f>IFERROR(IF(INDEX('Coverage Indicator_Import-Expor'!S$7:S$223,MATCH($B88,'Coverage Indicator_Import-Expor'!$C$7:$C$223,0))="","",INDEX('Coverage Indicator_Import-Expor'!S$7:S$223,MATCH($B88,'Coverage Indicator_Import-Expor'!$C$7:$C$223,0))),"")</f>
        <v/>
      </c>
      <c r="O88" s="1083" t="str">
        <f>IFERROR(IF(INDEX('Coverage Indicator_Import-Expor'!T$7:T$223,MATCH($B88,'Coverage Indicator_Import-Expor'!$C$7:$C$223,0))="","",INDEX('Coverage Indicator_Import-Expor'!T$7:T$223,MATCH($B88,'Coverage Indicator_Import-Expor'!$C$7:$C$223,0))),"")</f>
        <v/>
      </c>
      <c r="P88" s="1084" t="str">
        <f>IFERROR(IF(INDEX('Coverage Indicator_Import-Expor'!U$7:U$223,MATCH($B88,'Coverage Indicator_Import-Expor'!$C$7:$C$223,0))="","",INDEX('Coverage Indicator_Import-Expor'!U$7:U$223,MATCH($B88,'Coverage Indicator_Import-Expor'!$C$7:$C$223,0))),"")</f>
        <v/>
      </c>
      <c r="Q88" s="1085"/>
      <c r="R88" s="1085"/>
      <c r="S88" s="1086" t="str">
        <f t="shared" si="16"/>
        <v/>
      </c>
      <c r="T88" s="1087"/>
      <c r="U88" s="1088" t="str">
        <f t="shared" si="17"/>
        <v xml:space="preserve"> </v>
      </c>
      <c r="V88" s="1087"/>
      <c r="W88" s="1089" t="str">
        <f t="shared" si="18"/>
        <v>No Results Reported</v>
      </c>
      <c r="X88" s="1085"/>
      <c r="Y88" s="1085"/>
      <c r="Z88" s="1086" t="str">
        <f t="shared" si="19"/>
        <v/>
      </c>
      <c r="AA88" s="1087"/>
      <c r="AB88" s="1088" t="str">
        <f t="shared" si="20"/>
        <v xml:space="preserve"> </v>
      </c>
      <c r="AC88" s="1087"/>
      <c r="AD88" s="1087"/>
      <c r="AE88" s="1089" t="str">
        <f t="shared" si="21"/>
        <v>No Results Reported</v>
      </c>
      <c r="AF88" s="1085"/>
      <c r="AG88" s="1085"/>
      <c r="AH88" s="1086" t="str">
        <f t="shared" si="22"/>
        <v/>
      </c>
      <c r="AI88" s="1088" t="str">
        <f t="shared" si="23"/>
        <v xml:space="preserve"> </v>
      </c>
      <c r="AJ88" s="1087"/>
      <c r="AK88" s="1090" t="str">
        <f t="shared" si="24"/>
        <v>No Results Reported</v>
      </c>
    </row>
    <row r="89" spans="1:37" x14ac:dyDescent="0.2">
      <c r="A89" s="508">
        <f t="shared" si="25"/>
        <v>79</v>
      </c>
      <c r="B89" s="509" t="str">
        <f t="shared" si="15"/>
        <v>Coverage79</v>
      </c>
      <c r="C89" s="1081" t="str">
        <f>IFERROR(INDEX('Coverage Indicator_Import-Expor'!$D$7:$D$223,MATCH(B89,'Coverage Indicator_Import-Expor'!$C$7:$C$223,0)),"")</f>
        <v/>
      </c>
      <c r="D89" s="1082" t="str">
        <f>IFERROR(INDEX('Coverage Indicator_Import-Expor'!$E$7:$E$223,MATCH(B89,'Coverage Indicator_Import-Expor'!$C$7:$C$223,0)),"")</f>
        <v/>
      </c>
      <c r="E89" s="1082" t="str">
        <f>IFERROR(IF(INDEX('Coverage Indicator_Import-Expor'!K$7:K$223,MATCH($B89,'Coverage Indicator_Import-Expor'!$C$7:$C$223,0))="","",INDEX('Coverage Indicator_Import-Expor'!K$7:K$223,MATCH($B89,'Coverage Indicator_Import-Expor'!$C$7:$C$223,0))),"")</f>
        <v/>
      </c>
      <c r="F89" s="1082" t="str">
        <f>IFERROR(IF(INDEX('Coverage Indicator_Import-Expor'!L$7:L$223,MATCH($B89,'Coverage Indicator_Import-Expor'!$C$7:$C$223,0))="","",INDEX('Coverage Indicator_Import-Expor'!L$7:L$223,MATCH($B89,'Coverage Indicator_Import-Expor'!$C$7:$C$223,0))),"")</f>
        <v/>
      </c>
      <c r="G89" s="1082" t="str">
        <f>IFERROR(IF(INDEX('Coverage Indicator_Import-Expor'!AR$7:AR$223,MATCH($B89,'Coverage Indicator_Import-Expor'!$C$7:$C$223,0))="","",INDEX('Coverage Indicator_Import-Expor'!AR$7:AR$223,MATCH($B89,'Coverage Indicator_Import-Expor'!$C$7:$C$223,0))),"")</f>
        <v/>
      </c>
      <c r="H89" s="1082" t="str">
        <f>IFERROR(IF(INDEX('Coverage Indicator_Import-Expor'!AS$7:AS$223,MATCH($B89,'Coverage Indicator_Import-Expor'!$C$7:$C$223,0))="","",INDEX('Coverage Indicator_Import-Expor'!AS$7:AS$223,MATCH($B89,'Coverage Indicator_Import-Expor'!$C$7:$C$223,0))),"")</f>
        <v/>
      </c>
      <c r="I89" s="1083" t="str">
        <f>IFERROR(IF(INDEX('Coverage Indicator_Import-Expor'!N$7:N$223,MATCH($B89,'Coverage Indicator_Import-Expor'!$C$7:$C$223,0))="","",INDEX('Coverage Indicator_Import-Expor'!N$7:N$223,MATCH($B89,'Coverage Indicator_Import-Expor'!$C$7:$C$223,0))),"")</f>
        <v/>
      </c>
      <c r="J89" s="1083" t="str">
        <f>IFERROR(IF(INDEX('Coverage Indicator_Import-Expor'!O$7:O$223,MATCH($B89,'Coverage Indicator_Import-Expor'!$C$7:$C$223,0))="","",INDEX('Coverage Indicator_Import-Expor'!O$7:O$223,MATCH($B89,'Coverage Indicator_Import-Expor'!$C$7:$C$223,0))),"")</f>
        <v/>
      </c>
      <c r="K89" s="1084" t="str">
        <f>IFERROR(IF(INDEX('Coverage Indicator_Import-Expor'!P$7:P$223,MATCH($B89,'Coverage Indicator_Import-Expor'!$C$7:$C$223,0))="","",INDEX('Coverage Indicator_Import-Expor'!P$7:P$223,MATCH($B89,'Coverage Indicator_Import-Expor'!$C$7:$C$223,0))),"")</f>
        <v/>
      </c>
      <c r="L89" s="1082" t="str">
        <f>IFERROR(IF(INDEX('Coverage Indicator_Import-Expor'!Q$7:Q$223,MATCH($B89,'Coverage Indicator_Import-Expor'!$C$7:$C$223,0))="","",INDEX('Coverage Indicator_Import-Expor'!Q$7:Q$223,MATCH($B89,'Coverage Indicator_Import-Expor'!$C$7:$C$223,0))),"")</f>
        <v/>
      </c>
      <c r="M89" s="1082" t="str">
        <f>IFERROR(IF(INDEX('Coverage Indicator_Import-Expor'!R$7:R$223,MATCH($B89,'Coverage Indicator_Import-Expor'!$C$7:$C$223,0))="","",INDEX('Coverage Indicator_Import-Expor'!R$7:R$223,MATCH($B89,'Coverage Indicator_Import-Expor'!$C$7:$C$223,0))),"")</f>
        <v/>
      </c>
      <c r="N89" s="1083" t="str">
        <f>IFERROR(IF(INDEX('Coverage Indicator_Import-Expor'!S$7:S$223,MATCH($B89,'Coverage Indicator_Import-Expor'!$C$7:$C$223,0))="","",INDEX('Coverage Indicator_Import-Expor'!S$7:S$223,MATCH($B89,'Coverage Indicator_Import-Expor'!$C$7:$C$223,0))),"")</f>
        <v/>
      </c>
      <c r="O89" s="1083" t="str">
        <f>IFERROR(IF(INDEX('Coverage Indicator_Import-Expor'!T$7:T$223,MATCH($B89,'Coverage Indicator_Import-Expor'!$C$7:$C$223,0))="","",INDEX('Coverage Indicator_Import-Expor'!T$7:T$223,MATCH($B89,'Coverage Indicator_Import-Expor'!$C$7:$C$223,0))),"")</f>
        <v/>
      </c>
      <c r="P89" s="1084" t="str">
        <f>IFERROR(IF(INDEX('Coverage Indicator_Import-Expor'!U$7:U$223,MATCH($B89,'Coverage Indicator_Import-Expor'!$C$7:$C$223,0))="","",INDEX('Coverage Indicator_Import-Expor'!U$7:U$223,MATCH($B89,'Coverage Indicator_Import-Expor'!$C$7:$C$223,0))),"")</f>
        <v/>
      </c>
      <c r="Q89" s="1085"/>
      <c r="R89" s="1085"/>
      <c r="S89" s="1086" t="str">
        <f t="shared" si="16"/>
        <v/>
      </c>
      <c r="T89" s="1087"/>
      <c r="U89" s="1088" t="str">
        <f t="shared" si="17"/>
        <v xml:space="preserve"> </v>
      </c>
      <c r="V89" s="1087"/>
      <c r="W89" s="1089" t="str">
        <f t="shared" si="18"/>
        <v>No Results Reported</v>
      </c>
      <c r="X89" s="1085"/>
      <c r="Y89" s="1085"/>
      <c r="Z89" s="1086" t="str">
        <f t="shared" si="19"/>
        <v/>
      </c>
      <c r="AA89" s="1087"/>
      <c r="AB89" s="1088" t="str">
        <f t="shared" si="20"/>
        <v xml:space="preserve"> </v>
      </c>
      <c r="AC89" s="1087"/>
      <c r="AD89" s="1087"/>
      <c r="AE89" s="1089" t="str">
        <f t="shared" si="21"/>
        <v>No Results Reported</v>
      </c>
      <c r="AF89" s="1085"/>
      <c r="AG89" s="1085"/>
      <c r="AH89" s="1086" t="str">
        <f t="shared" si="22"/>
        <v/>
      </c>
      <c r="AI89" s="1088" t="str">
        <f t="shared" si="23"/>
        <v xml:space="preserve"> </v>
      </c>
      <c r="AJ89" s="1087"/>
      <c r="AK89" s="1090" t="str">
        <f t="shared" si="24"/>
        <v>No Results Reported</v>
      </c>
    </row>
    <row r="90" spans="1:37" x14ac:dyDescent="0.2">
      <c r="A90" s="508">
        <f t="shared" si="25"/>
        <v>80</v>
      </c>
      <c r="B90" s="509" t="str">
        <f t="shared" si="15"/>
        <v>Coverage80</v>
      </c>
      <c r="C90" s="1081" t="str">
        <f>IFERROR(INDEX('Coverage Indicator_Import-Expor'!$D$7:$D$223,MATCH(B90,'Coverage Indicator_Import-Expor'!$C$7:$C$223,0)),"")</f>
        <v/>
      </c>
      <c r="D90" s="1082" t="str">
        <f>IFERROR(INDEX('Coverage Indicator_Import-Expor'!$E$7:$E$223,MATCH(B90,'Coverage Indicator_Import-Expor'!$C$7:$C$223,0)),"")</f>
        <v/>
      </c>
      <c r="E90" s="1082" t="str">
        <f>IFERROR(IF(INDEX('Coverage Indicator_Import-Expor'!K$7:K$223,MATCH($B90,'Coverage Indicator_Import-Expor'!$C$7:$C$223,0))="","",INDEX('Coverage Indicator_Import-Expor'!K$7:K$223,MATCH($B90,'Coverage Indicator_Import-Expor'!$C$7:$C$223,0))),"")</f>
        <v/>
      </c>
      <c r="F90" s="1082" t="str">
        <f>IFERROR(IF(INDEX('Coverage Indicator_Import-Expor'!L$7:L$223,MATCH($B90,'Coverage Indicator_Import-Expor'!$C$7:$C$223,0))="","",INDEX('Coverage Indicator_Import-Expor'!L$7:L$223,MATCH($B90,'Coverage Indicator_Import-Expor'!$C$7:$C$223,0))),"")</f>
        <v/>
      </c>
      <c r="G90" s="1082" t="str">
        <f>IFERROR(IF(INDEX('Coverage Indicator_Import-Expor'!AR$7:AR$223,MATCH($B90,'Coverage Indicator_Import-Expor'!$C$7:$C$223,0))="","",INDEX('Coverage Indicator_Import-Expor'!AR$7:AR$223,MATCH($B90,'Coverage Indicator_Import-Expor'!$C$7:$C$223,0))),"")</f>
        <v/>
      </c>
      <c r="H90" s="1082" t="str">
        <f>IFERROR(IF(INDEX('Coverage Indicator_Import-Expor'!AS$7:AS$223,MATCH($B90,'Coverage Indicator_Import-Expor'!$C$7:$C$223,0))="","",INDEX('Coverage Indicator_Import-Expor'!AS$7:AS$223,MATCH($B90,'Coverage Indicator_Import-Expor'!$C$7:$C$223,0))),"")</f>
        <v/>
      </c>
      <c r="I90" s="1083" t="str">
        <f>IFERROR(IF(INDEX('Coverage Indicator_Import-Expor'!N$7:N$223,MATCH($B90,'Coverage Indicator_Import-Expor'!$C$7:$C$223,0))="","",INDEX('Coverage Indicator_Import-Expor'!N$7:N$223,MATCH($B90,'Coverage Indicator_Import-Expor'!$C$7:$C$223,0))),"")</f>
        <v/>
      </c>
      <c r="J90" s="1083" t="str">
        <f>IFERROR(IF(INDEX('Coverage Indicator_Import-Expor'!O$7:O$223,MATCH($B90,'Coverage Indicator_Import-Expor'!$C$7:$C$223,0))="","",INDEX('Coverage Indicator_Import-Expor'!O$7:O$223,MATCH($B90,'Coverage Indicator_Import-Expor'!$C$7:$C$223,0))),"")</f>
        <v/>
      </c>
      <c r="K90" s="1084" t="str">
        <f>IFERROR(IF(INDEX('Coverage Indicator_Import-Expor'!P$7:P$223,MATCH($B90,'Coverage Indicator_Import-Expor'!$C$7:$C$223,0))="","",INDEX('Coverage Indicator_Import-Expor'!P$7:P$223,MATCH($B90,'Coverage Indicator_Import-Expor'!$C$7:$C$223,0))),"")</f>
        <v/>
      </c>
      <c r="L90" s="1082" t="str">
        <f>IFERROR(IF(INDEX('Coverage Indicator_Import-Expor'!Q$7:Q$223,MATCH($B90,'Coverage Indicator_Import-Expor'!$C$7:$C$223,0))="","",INDEX('Coverage Indicator_Import-Expor'!Q$7:Q$223,MATCH($B90,'Coverage Indicator_Import-Expor'!$C$7:$C$223,0))),"")</f>
        <v/>
      </c>
      <c r="M90" s="1082" t="str">
        <f>IFERROR(IF(INDEX('Coverage Indicator_Import-Expor'!R$7:R$223,MATCH($B90,'Coverage Indicator_Import-Expor'!$C$7:$C$223,0))="","",INDEX('Coverage Indicator_Import-Expor'!R$7:R$223,MATCH($B90,'Coverage Indicator_Import-Expor'!$C$7:$C$223,0))),"")</f>
        <v/>
      </c>
      <c r="N90" s="1083" t="str">
        <f>IFERROR(IF(INDEX('Coverage Indicator_Import-Expor'!S$7:S$223,MATCH($B90,'Coverage Indicator_Import-Expor'!$C$7:$C$223,0))="","",INDEX('Coverage Indicator_Import-Expor'!S$7:S$223,MATCH($B90,'Coverage Indicator_Import-Expor'!$C$7:$C$223,0))),"")</f>
        <v/>
      </c>
      <c r="O90" s="1083" t="str">
        <f>IFERROR(IF(INDEX('Coverage Indicator_Import-Expor'!T$7:T$223,MATCH($B90,'Coverage Indicator_Import-Expor'!$C$7:$C$223,0))="","",INDEX('Coverage Indicator_Import-Expor'!T$7:T$223,MATCH($B90,'Coverage Indicator_Import-Expor'!$C$7:$C$223,0))),"")</f>
        <v/>
      </c>
      <c r="P90" s="1084" t="str">
        <f>IFERROR(IF(INDEX('Coverage Indicator_Import-Expor'!U$7:U$223,MATCH($B90,'Coverage Indicator_Import-Expor'!$C$7:$C$223,0))="","",INDEX('Coverage Indicator_Import-Expor'!U$7:U$223,MATCH($B90,'Coverage Indicator_Import-Expor'!$C$7:$C$223,0))),"")</f>
        <v/>
      </c>
      <c r="Q90" s="1085"/>
      <c r="R90" s="1085"/>
      <c r="S90" s="1086" t="str">
        <f t="shared" si="16"/>
        <v/>
      </c>
      <c r="T90" s="1087"/>
      <c r="U90" s="1088" t="str">
        <f t="shared" si="17"/>
        <v xml:space="preserve"> </v>
      </c>
      <c r="V90" s="1087"/>
      <c r="W90" s="1089" t="str">
        <f t="shared" si="18"/>
        <v>No Results Reported</v>
      </c>
      <c r="X90" s="1085"/>
      <c r="Y90" s="1085"/>
      <c r="Z90" s="1086" t="str">
        <f t="shared" si="19"/>
        <v/>
      </c>
      <c r="AA90" s="1087"/>
      <c r="AB90" s="1088" t="str">
        <f t="shared" si="20"/>
        <v xml:space="preserve"> </v>
      </c>
      <c r="AC90" s="1087"/>
      <c r="AD90" s="1087"/>
      <c r="AE90" s="1089" t="str">
        <f t="shared" si="21"/>
        <v>No Results Reported</v>
      </c>
      <c r="AF90" s="1085"/>
      <c r="AG90" s="1085"/>
      <c r="AH90" s="1086" t="str">
        <f t="shared" si="22"/>
        <v/>
      </c>
      <c r="AI90" s="1088" t="str">
        <f t="shared" si="23"/>
        <v xml:space="preserve"> </v>
      </c>
      <c r="AJ90" s="1087"/>
      <c r="AK90" s="1090" t="str">
        <f t="shared" si="24"/>
        <v>No Results Reported</v>
      </c>
    </row>
    <row r="91" spans="1:37" x14ac:dyDescent="0.2">
      <c r="A91" s="508">
        <f t="shared" si="25"/>
        <v>81</v>
      </c>
      <c r="B91" s="509" t="str">
        <f t="shared" si="15"/>
        <v>Coverage81</v>
      </c>
      <c r="C91" s="1081" t="str">
        <f>IFERROR(INDEX('Coverage Indicator_Import-Expor'!$D$7:$D$223,MATCH(B91,'Coverage Indicator_Import-Expor'!$C$7:$C$223,0)),"")</f>
        <v/>
      </c>
      <c r="D91" s="1082" t="str">
        <f>IFERROR(INDEX('Coverage Indicator_Import-Expor'!$E$7:$E$223,MATCH(B91,'Coverage Indicator_Import-Expor'!$C$7:$C$223,0)),"")</f>
        <v/>
      </c>
      <c r="E91" s="1082" t="str">
        <f>IFERROR(IF(INDEX('Coverage Indicator_Import-Expor'!K$7:K$223,MATCH($B91,'Coverage Indicator_Import-Expor'!$C$7:$C$223,0))="","",INDEX('Coverage Indicator_Import-Expor'!K$7:K$223,MATCH($B91,'Coverage Indicator_Import-Expor'!$C$7:$C$223,0))),"")</f>
        <v/>
      </c>
      <c r="F91" s="1082" t="str">
        <f>IFERROR(IF(INDEX('Coverage Indicator_Import-Expor'!L$7:L$223,MATCH($B91,'Coverage Indicator_Import-Expor'!$C$7:$C$223,0))="","",INDEX('Coverage Indicator_Import-Expor'!L$7:L$223,MATCH($B91,'Coverage Indicator_Import-Expor'!$C$7:$C$223,0))),"")</f>
        <v/>
      </c>
      <c r="G91" s="1082" t="str">
        <f>IFERROR(IF(INDEX('Coverage Indicator_Import-Expor'!AR$7:AR$223,MATCH($B91,'Coverage Indicator_Import-Expor'!$C$7:$C$223,0))="","",INDEX('Coverage Indicator_Import-Expor'!AR$7:AR$223,MATCH($B91,'Coverage Indicator_Import-Expor'!$C$7:$C$223,0))),"")</f>
        <v/>
      </c>
      <c r="H91" s="1082" t="str">
        <f>IFERROR(IF(INDEX('Coverage Indicator_Import-Expor'!AS$7:AS$223,MATCH($B91,'Coverage Indicator_Import-Expor'!$C$7:$C$223,0))="","",INDEX('Coverage Indicator_Import-Expor'!AS$7:AS$223,MATCH($B91,'Coverage Indicator_Import-Expor'!$C$7:$C$223,0))),"")</f>
        <v/>
      </c>
      <c r="I91" s="1083" t="str">
        <f>IFERROR(IF(INDEX('Coverage Indicator_Import-Expor'!N$7:N$223,MATCH($B91,'Coverage Indicator_Import-Expor'!$C$7:$C$223,0))="","",INDEX('Coverage Indicator_Import-Expor'!N$7:N$223,MATCH($B91,'Coverage Indicator_Import-Expor'!$C$7:$C$223,0))),"")</f>
        <v/>
      </c>
      <c r="J91" s="1083" t="str">
        <f>IFERROR(IF(INDEX('Coverage Indicator_Import-Expor'!O$7:O$223,MATCH($B91,'Coverage Indicator_Import-Expor'!$C$7:$C$223,0))="","",INDEX('Coverage Indicator_Import-Expor'!O$7:O$223,MATCH($B91,'Coverage Indicator_Import-Expor'!$C$7:$C$223,0))),"")</f>
        <v/>
      </c>
      <c r="K91" s="1084" t="str">
        <f>IFERROR(IF(INDEX('Coverage Indicator_Import-Expor'!P$7:P$223,MATCH($B91,'Coverage Indicator_Import-Expor'!$C$7:$C$223,0))="","",INDEX('Coverage Indicator_Import-Expor'!P$7:P$223,MATCH($B91,'Coverage Indicator_Import-Expor'!$C$7:$C$223,0))),"")</f>
        <v/>
      </c>
      <c r="L91" s="1082" t="str">
        <f>IFERROR(IF(INDEX('Coverage Indicator_Import-Expor'!Q$7:Q$223,MATCH($B91,'Coverage Indicator_Import-Expor'!$C$7:$C$223,0))="","",INDEX('Coverage Indicator_Import-Expor'!Q$7:Q$223,MATCH($B91,'Coverage Indicator_Import-Expor'!$C$7:$C$223,0))),"")</f>
        <v/>
      </c>
      <c r="M91" s="1082" t="str">
        <f>IFERROR(IF(INDEX('Coverage Indicator_Import-Expor'!R$7:R$223,MATCH($B91,'Coverage Indicator_Import-Expor'!$C$7:$C$223,0))="","",INDEX('Coverage Indicator_Import-Expor'!R$7:R$223,MATCH($B91,'Coverage Indicator_Import-Expor'!$C$7:$C$223,0))),"")</f>
        <v/>
      </c>
      <c r="N91" s="1083" t="str">
        <f>IFERROR(IF(INDEX('Coverage Indicator_Import-Expor'!S$7:S$223,MATCH($B91,'Coverage Indicator_Import-Expor'!$C$7:$C$223,0))="","",INDEX('Coverage Indicator_Import-Expor'!S$7:S$223,MATCH($B91,'Coverage Indicator_Import-Expor'!$C$7:$C$223,0))),"")</f>
        <v/>
      </c>
      <c r="O91" s="1083" t="str">
        <f>IFERROR(IF(INDEX('Coverage Indicator_Import-Expor'!T$7:T$223,MATCH($B91,'Coverage Indicator_Import-Expor'!$C$7:$C$223,0))="","",INDEX('Coverage Indicator_Import-Expor'!T$7:T$223,MATCH($B91,'Coverage Indicator_Import-Expor'!$C$7:$C$223,0))),"")</f>
        <v/>
      </c>
      <c r="P91" s="1084" t="str">
        <f>IFERROR(IF(INDEX('Coverage Indicator_Import-Expor'!U$7:U$223,MATCH($B91,'Coverage Indicator_Import-Expor'!$C$7:$C$223,0))="","",INDEX('Coverage Indicator_Import-Expor'!U$7:U$223,MATCH($B91,'Coverage Indicator_Import-Expor'!$C$7:$C$223,0))),"")</f>
        <v/>
      </c>
      <c r="Q91" s="1085"/>
      <c r="R91" s="1085"/>
      <c r="S91" s="1086" t="str">
        <f t="shared" si="16"/>
        <v/>
      </c>
      <c r="T91" s="1087"/>
      <c r="U91" s="1088" t="str">
        <f t="shared" si="17"/>
        <v xml:space="preserve"> </v>
      </c>
      <c r="V91" s="1087"/>
      <c r="W91" s="1089" t="str">
        <f t="shared" si="18"/>
        <v>No Results Reported</v>
      </c>
      <c r="X91" s="1085"/>
      <c r="Y91" s="1085"/>
      <c r="Z91" s="1086" t="str">
        <f t="shared" si="19"/>
        <v/>
      </c>
      <c r="AA91" s="1087"/>
      <c r="AB91" s="1088" t="str">
        <f t="shared" si="20"/>
        <v xml:space="preserve"> </v>
      </c>
      <c r="AC91" s="1087"/>
      <c r="AD91" s="1087"/>
      <c r="AE91" s="1089" t="str">
        <f t="shared" si="21"/>
        <v>No Results Reported</v>
      </c>
      <c r="AF91" s="1085"/>
      <c r="AG91" s="1085"/>
      <c r="AH91" s="1086" t="str">
        <f t="shared" si="22"/>
        <v/>
      </c>
      <c r="AI91" s="1088" t="str">
        <f t="shared" si="23"/>
        <v xml:space="preserve"> </v>
      </c>
      <c r="AJ91" s="1087"/>
      <c r="AK91" s="1090" t="str">
        <f t="shared" si="24"/>
        <v>No Results Reported</v>
      </c>
    </row>
    <row r="92" spans="1:37" x14ac:dyDescent="0.2">
      <c r="A92" s="508">
        <f t="shared" si="25"/>
        <v>82</v>
      </c>
      <c r="B92" s="509" t="str">
        <f t="shared" si="15"/>
        <v>Coverage82</v>
      </c>
      <c r="C92" s="1081" t="str">
        <f>IFERROR(INDEX('Coverage Indicator_Import-Expor'!$D$7:$D$223,MATCH(B92,'Coverage Indicator_Import-Expor'!$C$7:$C$223,0)),"")</f>
        <v/>
      </c>
      <c r="D92" s="1082" t="str">
        <f>IFERROR(INDEX('Coverage Indicator_Import-Expor'!$E$7:$E$223,MATCH(B92,'Coverage Indicator_Import-Expor'!$C$7:$C$223,0)),"")</f>
        <v/>
      </c>
      <c r="E92" s="1082" t="str">
        <f>IFERROR(IF(INDEX('Coverage Indicator_Import-Expor'!K$7:K$223,MATCH($B92,'Coverage Indicator_Import-Expor'!$C$7:$C$223,0))="","",INDEX('Coverage Indicator_Import-Expor'!K$7:K$223,MATCH($B92,'Coverage Indicator_Import-Expor'!$C$7:$C$223,0))),"")</f>
        <v/>
      </c>
      <c r="F92" s="1082" t="str">
        <f>IFERROR(IF(INDEX('Coverage Indicator_Import-Expor'!L$7:L$223,MATCH($B92,'Coverage Indicator_Import-Expor'!$C$7:$C$223,0))="","",INDEX('Coverage Indicator_Import-Expor'!L$7:L$223,MATCH($B92,'Coverage Indicator_Import-Expor'!$C$7:$C$223,0))),"")</f>
        <v/>
      </c>
      <c r="G92" s="1082" t="str">
        <f>IFERROR(IF(INDEX('Coverage Indicator_Import-Expor'!AR$7:AR$223,MATCH($B92,'Coverage Indicator_Import-Expor'!$C$7:$C$223,0))="","",INDEX('Coverage Indicator_Import-Expor'!AR$7:AR$223,MATCH($B92,'Coverage Indicator_Import-Expor'!$C$7:$C$223,0))),"")</f>
        <v/>
      </c>
      <c r="H92" s="1082" t="str">
        <f>IFERROR(IF(INDEX('Coverage Indicator_Import-Expor'!AS$7:AS$223,MATCH($B92,'Coverage Indicator_Import-Expor'!$C$7:$C$223,0))="","",INDEX('Coverage Indicator_Import-Expor'!AS$7:AS$223,MATCH($B92,'Coverage Indicator_Import-Expor'!$C$7:$C$223,0))),"")</f>
        <v/>
      </c>
      <c r="I92" s="1083" t="str">
        <f>IFERROR(IF(INDEX('Coverage Indicator_Import-Expor'!N$7:N$223,MATCH($B92,'Coverage Indicator_Import-Expor'!$C$7:$C$223,0))="","",INDEX('Coverage Indicator_Import-Expor'!N$7:N$223,MATCH($B92,'Coverage Indicator_Import-Expor'!$C$7:$C$223,0))),"")</f>
        <v/>
      </c>
      <c r="J92" s="1083" t="str">
        <f>IFERROR(IF(INDEX('Coverage Indicator_Import-Expor'!O$7:O$223,MATCH($B92,'Coverage Indicator_Import-Expor'!$C$7:$C$223,0))="","",INDEX('Coverage Indicator_Import-Expor'!O$7:O$223,MATCH($B92,'Coverage Indicator_Import-Expor'!$C$7:$C$223,0))),"")</f>
        <v/>
      </c>
      <c r="K92" s="1084" t="str">
        <f>IFERROR(IF(INDEX('Coverage Indicator_Import-Expor'!P$7:P$223,MATCH($B92,'Coverage Indicator_Import-Expor'!$C$7:$C$223,0))="","",INDEX('Coverage Indicator_Import-Expor'!P$7:P$223,MATCH($B92,'Coverage Indicator_Import-Expor'!$C$7:$C$223,0))),"")</f>
        <v/>
      </c>
      <c r="L92" s="1082" t="str">
        <f>IFERROR(IF(INDEX('Coverage Indicator_Import-Expor'!Q$7:Q$223,MATCH($B92,'Coverage Indicator_Import-Expor'!$C$7:$C$223,0))="","",INDEX('Coverage Indicator_Import-Expor'!Q$7:Q$223,MATCH($B92,'Coverage Indicator_Import-Expor'!$C$7:$C$223,0))),"")</f>
        <v/>
      </c>
      <c r="M92" s="1082" t="str">
        <f>IFERROR(IF(INDEX('Coverage Indicator_Import-Expor'!R$7:R$223,MATCH($B92,'Coverage Indicator_Import-Expor'!$C$7:$C$223,0))="","",INDEX('Coverage Indicator_Import-Expor'!R$7:R$223,MATCH($B92,'Coverage Indicator_Import-Expor'!$C$7:$C$223,0))),"")</f>
        <v/>
      </c>
      <c r="N92" s="1083" t="str">
        <f>IFERROR(IF(INDEX('Coverage Indicator_Import-Expor'!S$7:S$223,MATCH($B92,'Coverage Indicator_Import-Expor'!$C$7:$C$223,0))="","",INDEX('Coverage Indicator_Import-Expor'!S$7:S$223,MATCH($B92,'Coverage Indicator_Import-Expor'!$C$7:$C$223,0))),"")</f>
        <v/>
      </c>
      <c r="O92" s="1083" t="str">
        <f>IFERROR(IF(INDEX('Coverage Indicator_Import-Expor'!T$7:T$223,MATCH($B92,'Coverage Indicator_Import-Expor'!$C$7:$C$223,0))="","",INDEX('Coverage Indicator_Import-Expor'!T$7:T$223,MATCH($B92,'Coverage Indicator_Import-Expor'!$C$7:$C$223,0))),"")</f>
        <v/>
      </c>
      <c r="P92" s="1084" t="str">
        <f>IFERROR(IF(INDEX('Coverage Indicator_Import-Expor'!U$7:U$223,MATCH($B92,'Coverage Indicator_Import-Expor'!$C$7:$C$223,0))="","",INDEX('Coverage Indicator_Import-Expor'!U$7:U$223,MATCH($B92,'Coverage Indicator_Import-Expor'!$C$7:$C$223,0))),"")</f>
        <v/>
      </c>
      <c r="Q92" s="1085"/>
      <c r="R92" s="1085"/>
      <c r="S92" s="1086" t="str">
        <f t="shared" si="16"/>
        <v/>
      </c>
      <c r="T92" s="1087"/>
      <c r="U92" s="1088" t="str">
        <f t="shared" si="17"/>
        <v xml:space="preserve"> </v>
      </c>
      <c r="V92" s="1087"/>
      <c r="W92" s="1089" t="str">
        <f t="shared" si="18"/>
        <v>No Results Reported</v>
      </c>
      <c r="X92" s="1085"/>
      <c r="Y92" s="1085"/>
      <c r="Z92" s="1086" t="str">
        <f t="shared" si="19"/>
        <v/>
      </c>
      <c r="AA92" s="1087"/>
      <c r="AB92" s="1088" t="str">
        <f t="shared" si="20"/>
        <v xml:space="preserve"> </v>
      </c>
      <c r="AC92" s="1087"/>
      <c r="AD92" s="1087"/>
      <c r="AE92" s="1089" t="str">
        <f t="shared" si="21"/>
        <v>No Results Reported</v>
      </c>
      <c r="AF92" s="1085"/>
      <c r="AG92" s="1085"/>
      <c r="AH92" s="1086" t="str">
        <f t="shared" si="22"/>
        <v/>
      </c>
      <c r="AI92" s="1088" t="str">
        <f t="shared" si="23"/>
        <v xml:space="preserve"> </v>
      </c>
      <c r="AJ92" s="1087"/>
      <c r="AK92" s="1090" t="str">
        <f t="shared" si="24"/>
        <v>No Results Reported</v>
      </c>
    </row>
    <row r="93" spans="1:37" x14ac:dyDescent="0.2">
      <c r="A93" s="508">
        <f t="shared" si="25"/>
        <v>83</v>
      </c>
      <c r="B93" s="509" t="str">
        <f t="shared" si="15"/>
        <v>Coverage83</v>
      </c>
      <c r="C93" s="1081" t="str">
        <f>IFERROR(INDEX('Coverage Indicator_Import-Expor'!$D$7:$D$223,MATCH(B93,'Coverage Indicator_Import-Expor'!$C$7:$C$223,0)),"")</f>
        <v/>
      </c>
      <c r="D93" s="1082" t="str">
        <f>IFERROR(INDEX('Coverage Indicator_Import-Expor'!$E$7:$E$223,MATCH(B93,'Coverage Indicator_Import-Expor'!$C$7:$C$223,0)),"")</f>
        <v/>
      </c>
      <c r="E93" s="1082" t="str">
        <f>IFERROR(IF(INDEX('Coverage Indicator_Import-Expor'!K$7:K$223,MATCH($B93,'Coverage Indicator_Import-Expor'!$C$7:$C$223,0))="","",INDEX('Coverage Indicator_Import-Expor'!K$7:K$223,MATCH($B93,'Coverage Indicator_Import-Expor'!$C$7:$C$223,0))),"")</f>
        <v/>
      </c>
      <c r="F93" s="1082" t="str">
        <f>IFERROR(IF(INDEX('Coverage Indicator_Import-Expor'!L$7:L$223,MATCH($B93,'Coverage Indicator_Import-Expor'!$C$7:$C$223,0))="","",INDEX('Coverage Indicator_Import-Expor'!L$7:L$223,MATCH($B93,'Coverage Indicator_Import-Expor'!$C$7:$C$223,0))),"")</f>
        <v/>
      </c>
      <c r="G93" s="1082" t="str">
        <f>IFERROR(IF(INDEX('Coverage Indicator_Import-Expor'!AR$7:AR$223,MATCH($B93,'Coverage Indicator_Import-Expor'!$C$7:$C$223,0))="","",INDEX('Coverage Indicator_Import-Expor'!AR$7:AR$223,MATCH($B93,'Coverage Indicator_Import-Expor'!$C$7:$C$223,0))),"")</f>
        <v/>
      </c>
      <c r="H93" s="1082" t="str">
        <f>IFERROR(IF(INDEX('Coverage Indicator_Import-Expor'!AS$7:AS$223,MATCH($B93,'Coverage Indicator_Import-Expor'!$C$7:$C$223,0))="","",INDEX('Coverage Indicator_Import-Expor'!AS$7:AS$223,MATCH($B93,'Coverage Indicator_Import-Expor'!$C$7:$C$223,0))),"")</f>
        <v/>
      </c>
      <c r="I93" s="1083" t="str">
        <f>IFERROR(IF(INDEX('Coverage Indicator_Import-Expor'!N$7:N$223,MATCH($B93,'Coverage Indicator_Import-Expor'!$C$7:$C$223,0))="","",INDEX('Coverage Indicator_Import-Expor'!N$7:N$223,MATCH($B93,'Coverage Indicator_Import-Expor'!$C$7:$C$223,0))),"")</f>
        <v/>
      </c>
      <c r="J93" s="1083" t="str">
        <f>IFERROR(IF(INDEX('Coverage Indicator_Import-Expor'!O$7:O$223,MATCH($B93,'Coverage Indicator_Import-Expor'!$C$7:$C$223,0))="","",INDEX('Coverage Indicator_Import-Expor'!O$7:O$223,MATCH($B93,'Coverage Indicator_Import-Expor'!$C$7:$C$223,0))),"")</f>
        <v/>
      </c>
      <c r="K93" s="1084" t="str">
        <f>IFERROR(IF(INDEX('Coverage Indicator_Import-Expor'!P$7:P$223,MATCH($B93,'Coverage Indicator_Import-Expor'!$C$7:$C$223,0))="","",INDEX('Coverage Indicator_Import-Expor'!P$7:P$223,MATCH($B93,'Coverage Indicator_Import-Expor'!$C$7:$C$223,0))),"")</f>
        <v/>
      </c>
      <c r="L93" s="1082" t="str">
        <f>IFERROR(IF(INDEX('Coverage Indicator_Import-Expor'!Q$7:Q$223,MATCH($B93,'Coverage Indicator_Import-Expor'!$C$7:$C$223,0))="","",INDEX('Coverage Indicator_Import-Expor'!Q$7:Q$223,MATCH($B93,'Coverage Indicator_Import-Expor'!$C$7:$C$223,0))),"")</f>
        <v/>
      </c>
      <c r="M93" s="1082" t="str">
        <f>IFERROR(IF(INDEX('Coverage Indicator_Import-Expor'!R$7:R$223,MATCH($B93,'Coverage Indicator_Import-Expor'!$C$7:$C$223,0))="","",INDEX('Coverage Indicator_Import-Expor'!R$7:R$223,MATCH($B93,'Coverage Indicator_Import-Expor'!$C$7:$C$223,0))),"")</f>
        <v/>
      </c>
      <c r="N93" s="1083" t="str">
        <f>IFERROR(IF(INDEX('Coverage Indicator_Import-Expor'!S$7:S$223,MATCH($B93,'Coverage Indicator_Import-Expor'!$C$7:$C$223,0))="","",INDEX('Coverage Indicator_Import-Expor'!S$7:S$223,MATCH($B93,'Coverage Indicator_Import-Expor'!$C$7:$C$223,0))),"")</f>
        <v/>
      </c>
      <c r="O93" s="1083" t="str">
        <f>IFERROR(IF(INDEX('Coverage Indicator_Import-Expor'!T$7:T$223,MATCH($B93,'Coverage Indicator_Import-Expor'!$C$7:$C$223,0))="","",INDEX('Coverage Indicator_Import-Expor'!T$7:T$223,MATCH($B93,'Coverage Indicator_Import-Expor'!$C$7:$C$223,0))),"")</f>
        <v/>
      </c>
      <c r="P93" s="1084" t="str">
        <f>IFERROR(IF(INDEX('Coverage Indicator_Import-Expor'!U$7:U$223,MATCH($B93,'Coverage Indicator_Import-Expor'!$C$7:$C$223,0))="","",INDEX('Coverage Indicator_Import-Expor'!U$7:U$223,MATCH($B93,'Coverage Indicator_Import-Expor'!$C$7:$C$223,0))),"")</f>
        <v/>
      </c>
      <c r="Q93" s="1085"/>
      <c r="R93" s="1085"/>
      <c r="S93" s="1086" t="str">
        <f t="shared" si="16"/>
        <v/>
      </c>
      <c r="T93" s="1087"/>
      <c r="U93" s="1088" t="str">
        <f t="shared" si="17"/>
        <v xml:space="preserve"> </v>
      </c>
      <c r="V93" s="1087"/>
      <c r="W93" s="1089" t="str">
        <f t="shared" si="18"/>
        <v>No Results Reported</v>
      </c>
      <c r="X93" s="1085"/>
      <c r="Y93" s="1085"/>
      <c r="Z93" s="1086" t="str">
        <f t="shared" si="19"/>
        <v/>
      </c>
      <c r="AA93" s="1087"/>
      <c r="AB93" s="1088" t="str">
        <f t="shared" si="20"/>
        <v xml:space="preserve"> </v>
      </c>
      <c r="AC93" s="1087"/>
      <c r="AD93" s="1087"/>
      <c r="AE93" s="1089" t="str">
        <f t="shared" si="21"/>
        <v>No Results Reported</v>
      </c>
      <c r="AF93" s="1085"/>
      <c r="AG93" s="1085"/>
      <c r="AH93" s="1086" t="str">
        <f t="shared" si="22"/>
        <v/>
      </c>
      <c r="AI93" s="1088" t="str">
        <f t="shared" si="23"/>
        <v xml:space="preserve"> </v>
      </c>
      <c r="AJ93" s="1087"/>
      <c r="AK93" s="1090" t="str">
        <f t="shared" si="24"/>
        <v>No Results Reported</v>
      </c>
    </row>
    <row r="94" spans="1:37" x14ac:dyDescent="0.2">
      <c r="A94" s="508">
        <f t="shared" si="25"/>
        <v>84</v>
      </c>
      <c r="B94" s="509" t="str">
        <f t="shared" si="15"/>
        <v>Coverage84</v>
      </c>
      <c r="C94" s="1081" t="str">
        <f>IFERROR(INDEX('Coverage Indicator_Import-Expor'!$D$7:$D$223,MATCH(B94,'Coverage Indicator_Import-Expor'!$C$7:$C$223,0)),"")</f>
        <v/>
      </c>
      <c r="D94" s="1082" t="str">
        <f>IFERROR(INDEX('Coverage Indicator_Import-Expor'!$E$7:$E$223,MATCH(B94,'Coverage Indicator_Import-Expor'!$C$7:$C$223,0)),"")</f>
        <v/>
      </c>
      <c r="E94" s="1082" t="str">
        <f>IFERROR(IF(INDEX('Coverage Indicator_Import-Expor'!K$7:K$223,MATCH($B94,'Coverage Indicator_Import-Expor'!$C$7:$C$223,0))="","",INDEX('Coverage Indicator_Import-Expor'!K$7:K$223,MATCH($B94,'Coverage Indicator_Import-Expor'!$C$7:$C$223,0))),"")</f>
        <v/>
      </c>
      <c r="F94" s="1082" t="str">
        <f>IFERROR(IF(INDEX('Coverage Indicator_Import-Expor'!L$7:L$223,MATCH($B94,'Coverage Indicator_Import-Expor'!$C$7:$C$223,0))="","",INDEX('Coverage Indicator_Import-Expor'!L$7:L$223,MATCH($B94,'Coverage Indicator_Import-Expor'!$C$7:$C$223,0))),"")</f>
        <v/>
      </c>
      <c r="G94" s="1082" t="str">
        <f>IFERROR(IF(INDEX('Coverage Indicator_Import-Expor'!AR$7:AR$223,MATCH($B94,'Coverage Indicator_Import-Expor'!$C$7:$C$223,0))="","",INDEX('Coverage Indicator_Import-Expor'!AR$7:AR$223,MATCH($B94,'Coverage Indicator_Import-Expor'!$C$7:$C$223,0))),"")</f>
        <v/>
      </c>
      <c r="H94" s="1082" t="str">
        <f>IFERROR(IF(INDEX('Coverage Indicator_Import-Expor'!AS$7:AS$223,MATCH($B94,'Coverage Indicator_Import-Expor'!$C$7:$C$223,0))="","",INDEX('Coverage Indicator_Import-Expor'!AS$7:AS$223,MATCH($B94,'Coverage Indicator_Import-Expor'!$C$7:$C$223,0))),"")</f>
        <v/>
      </c>
      <c r="I94" s="1083" t="str">
        <f>IFERROR(IF(INDEX('Coverage Indicator_Import-Expor'!N$7:N$223,MATCH($B94,'Coverage Indicator_Import-Expor'!$C$7:$C$223,0))="","",INDEX('Coverage Indicator_Import-Expor'!N$7:N$223,MATCH($B94,'Coverage Indicator_Import-Expor'!$C$7:$C$223,0))),"")</f>
        <v/>
      </c>
      <c r="J94" s="1083" t="str">
        <f>IFERROR(IF(INDEX('Coverage Indicator_Import-Expor'!O$7:O$223,MATCH($B94,'Coverage Indicator_Import-Expor'!$C$7:$C$223,0))="","",INDEX('Coverage Indicator_Import-Expor'!O$7:O$223,MATCH($B94,'Coverage Indicator_Import-Expor'!$C$7:$C$223,0))),"")</f>
        <v/>
      </c>
      <c r="K94" s="1084" t="str">
        <f>IFERROR(IF(INDEX('Coverage Indicator_Import-Expor'!P$7:P$223,MATCH($B94,'Coverage Indicator_Import-Expor'!$C$7:$C$223,0))="","",INDEX('Coverage Indicator_Import-Expor'!P$7:P$223,MATCH($B94,'Coverage Indicator_Import-Expor'!$C$7:$C$223,0))),"")</f>
        <v/>
      </c>
      <c r="L94" s="1082" t="str">
        <f>IFERROR(IF(INDEX('Coverage Indicator_Import-Expor'!Q$7:Q$223,MATCH($B94,'Coverage Indicator_Import-Expor'!$C$7:$C$223,0))="","",INDEX('Coverage Indicator_Import-Expor'!Q$7:Q$223,MATCH($B94,'Coverage Indicator_Import-Expor'!$C$7:$C$223,0))),"")</f>
        <v/>
      </c>
      <c r="M94" s="1082" t="str">
        <f>IFERROR(IF(INDEX('Coverage Indicator_Import-Expor'!R$7:R$223,MATCH($B94,'Coverage Indicator_Import-Expor'!$C$7:$C$223,0))="","",INDEX('Coverage Indicator_Import-Expor'!R$7:R$223,MATCH($B94,'Coverage Indicator_Import-Expor'!$C$7:$C$223,0))),"")</f>
        <v/>
      </c>
      <c r="N94" s="1083" t="str">
        <f>IFERROR(IF(INDEX('Coverage Indicator_Import-Expor'!S$7:S$223,MATCH($B94,'Coverage Indicator_Import-Expor'!$C$7:$C$223,0))="","",INDEX('Coverage Indicator_Import-Expor'!S$7:S$223,MATCH($B94,'Coverage Indicator_Import-Expor'!$C$7:$C$223,0))),"")</f>
        <v/>
      </c>
      <c r="O94" s="1083" t="str">
        <f>IFERROR(IF(INDEX('Coverage Indicator_Import-Expor'!T$7:T$223,MATCH($B94,'Coverage Indicator_Import-Expor'!$C$7:$C$223,0))="","",INDEX('Coverage Indicator_Import-Expor'!T$7:T$223,MATCH($B94,'Coverage Indicator_Import-Expor'!$C$7:$C$223,0))),"")</f>
        <v/>
      </c>
      <c r="P94" s="1084" t="str">
        <f>IFERROR(IF(INDEX('Coverage Indicator_Import-Expor'!U$7:U$223,MATCH($B94,'Coverage Indicator_Import-Expor'!$C$7:$C$223,0))="","",INDEX('Coverage Indicator_Import-Expor'!U$7:U$223,MATCH($B94,'Coverage Indicator_Import-Expor'!$C$7:$C$223,0))),"")</f>
        <v/>
      </c>
      <c r="Q94" s="1085"/>
      <c r="R94" s="1085"/>
      <c r="S94" s="1086" t="str">
        <f t="shared" si="16"/>
        <v/>
      </c>
      <c r="T94" s="1087"/>
      <c r="U94" s="1088" t="str">
        <f t="shared" si="17"/>
        <v xml:space="preserve"> </v>
      </c>
      <c r="V94" s="1087"/>
      <c r="W94" s="1089" t="str">
        <f t="shared" si="18"/>
        <v>No Results Reported</v>
      </c>
      <c r="X94" s="1085"/>
      <c r="Y94" s="1085"/>
      <c r="Z94" s="1086" t="str">
        <f t="shared" si="19"/>
        <v/>
      </c>
      <c r="AA94" s="1087"/>
      <c r="AB94" s="1088" t="str">
        <f t="shared" si="20"/>
        <v xml:space="preserve"> </v>
      </c>
      <c r="AC94" s="1087"/>
      <c r="AD94" s="1087"/>
      <c r="AE94" s="1089" t="str">
        <f t="shared" si="21"/>
        <v>No Results Reported</v>
      </c>
      <c r="AF94" s="1085"/>
      <c r="AG94" s="1085"/>
      <c r="AH94" s="1086" t="str">
        <f t="shared" si="22"/>
        <v/>
      </c>
      <c r="AI94" s="1088" t="str">
        <f t="shared" si="23"/>
        <v xml:space="preserve"> </v>
      </c>
      <c r="AJ94" s="1087"/>
      <c r="AK94" s="1090" t="str">
        <f t="shared" si="24"/>
        <v>No Results Reported</v>
      </c>
    </row>
    <row r="95" spans="1:37" x14ac:dyDescent="0.2">
      <c r="A95" s="508">
        <f t="shared" si="25"/>
        <v>85</v>
      </c>
      <c r="B95" s="509" t="str">
        <f t="shared" si="15"/>
        <v>Coverage85</v>
      </c>
      <c r="C95" s="1081" t="str">
        <f>IFERROR(INDEX('Coverage Indicator_Import-Expor'!$D$7:$D$223,MATCH(B95,'Coverage Indicator_Import-Expor'!$C$7:$C$223,0)),"")</f>
        <v/>
      </c>
      <c r="D95" s="1082" t="str">
        <f>IFERROR(INDEX('Coverage Indicator_Import-Expor'!$E$7:$E$223,MATCH(B95,'Coverage Indicator_Import-Expor'!$C$7:$C$223,0)),"")</f>
        <v/>
      </c>
      <c r="E95" s="1082" t="str">
        <f>IFERROR(IF(INDEX('Coverage Indicator_Import-Expor'!K$7:K$223,MATCH($B95,'Coverage Indicator_Import-Expor'!$C$7:$C$223,0))="","",INDEX('Coverage Indicator_Import-Expor'!K$7:K$223,MATCH($B95,'Coverage Indicator_Import-Expor'!$C$7:$C$223,0))),"")</f>
        <v/>
      </c>
      <c r="F95" s="1082" t="str">
        <f>IFERROR(IF(INDEX('Coverage Indicator_Import-Expor'!L$7:L$223,MATCH($B95,'Coverage Indicator_Import-Expor'!$C$7:$C$223,0))="","",INDEX('Coverage Indicator_Import-Expor'!L$7:L$223,MATCH($B95,'Coverage Indicator_Import-Expor'!$C$7:$C$223,0))),"")</f>
        <v/>
      </c>
      <c r="G95" s="1082" t="str">
        <f>IFERROR(IF(INDEX('Coverage Indicator_Import-Expor'!AR$7:AR$223,MATCH($B95,'Coverage Indicator_Import-Expor'!$C$7:$C$223,0))="","",INDEX('Coverage Indicator_Import-Expor'!AR$7:AR$223,MATCH($B95,'Coverage Indicator_Import-Expor'!$C$7:$C$223,0))),"")</f>
        <v/>
      </c>
      <c r="H95" s="1082" t="str">
        <f>IFERROR(IF(INDEX('Coverage Indicator_Import-Expor'!AS$7:AS$223,MATCH($B95,'Coverage Indicator_Import-Expor'!$C$7:$C$223,0))="","",INDEX('Coverage Indicator_Import-Expor'!AS$7:AS$223,MATCH($B95,'Coverage Indicator_Import-Expor'!$C$7:$C$223,0))),"")</f>
        <v/>
      </c>
      <c r="I95" s="1083" t="str">
        <f>IFERROR(IF(INDEX('Coverage Indicator_Import-Expor'!N$7:N$223,MATCH($B95,'Coverage Indicator_Import-Expor'!$C$7:$C$223,0))="","",INDEX('Coverage Indicator_Import-Expor'!N$7:N$223,MATCH($B95,'Coverage Indicator_Import-Expor'!$C$7:$C$223,0))),"")</f>
        <v/>
      </c>
      <c r="J95" s="1083" t="str">
        <f>IFERROR(IF(INDEX('Coverage Indicator_Import-Expor'!O$7:O$223,MATCH($B95,'Coverage Indicator_Import-Expor'!$C$7:$C$223,0))="","",INDEX('Coverage Indicator_Import-Expor'!O$7:O$223,MATCH($B95,'Coverage Indicator_Import-Expor'!$C$7:$C$223,0))),"")</f>
        <v/>
      </c>
      <c r="K95" s="1084" t="str">
        <f>IFERROR(IF(INDEX('Coverage Indicator_Import-Expor'!P$7:P$223,MATCH($B95,'Coverage Indicator_Import-Expor'!$C$7:$C$223,0))="","",INDEX('Coverage Indicator_Import-Expor'!P$7:P$223,MATCH($B95,'Coverage Indicator_Import-Expor'!$C$7:$C$223,0))),"")</f>
        <v/>
      </c>
      <c r="L95" s="1082" t="str">
        <f>IFERROR(IF(INDEX('Coverage Indicator_Import-Expor'!Q$7:Q$223,MATCH($B95,'Coverage Indicator_Import-Expor'!$C$7:$C$223,0))="","",INDEX('Coverage Indicator_Import-Expor'!Q$7:Q$223,MATCH($B95,'Coverage Indicator_Import-Expor'!$C$7:$C$223,0))),"")</f>
        <v/>
      </c>
      <c r="M95" s="1082" t="str">
        <f>IFERROR(IF(INDEX('Coverage Indicator_Import-Expor'!R$7:R$223,MATCH($B95,'Coverage Indicator_Import-Expor'!$C$7:$C$223,0))="","",INDEX('Coverage Indicator_Import-Expor'!R$7:R$223,MATCH($B95,'Coverage Indicator_Import-Expor'!$C$7:$C$223,0))),"")</f>
        <v/>
      </c>
      <c r="N95" s="1083" t="str">
        <f>IFERROR(IF(INDEX('Coverage Indicator_Import-Expor'!S$7:S$223,MATCH($B95,'Coverage Indicator_Import-Expor'!$C$7:$C$223,0))="","",INDEX('Coverage Indicator_Import-Expor'!S$7:S$223,MATCH($B95,'Coverage Indicator_Import-Expor'!$C$7:$C$223,0))),"")</f>
        <v/>
      </c>
      <c r="O95" s="1083" t="str">
        <f>IFERROR(IF(INDEX('Coverage Indicator_Import-Expor'!T$7:T$223,MATCH($B95,'Coverage Indicator_Import-Expor'!$C$7:$C$223,0))="","",INDEX('Coverage Indicator_Import-Expor'!T$7:T$223,MATCH($B95,'Coverage Indicator_Import-Expor'!$C$7:$C$223,0))),"")</f>
        <v/>
      </c>
      <c r="P95" s="1084" t="str">
        <f>IFERROR(IF(INDEX('Coverage Indicator_Import-Expor'!U$7:U$223,MATCH($B95,'Coverage Indicator_Import-Expor'!$C$7:$C$223,0))="","",INDEX('Coverage Indicator_Import-Expor'!U$7:U$223,MATCH($B95,'Coverage Indicator_Import-Expor'!$C$7:$C$223,0))),"")</f>
        <v/>
      </c>
      <c r="Q95" s="1085"/>
      <c r="R95" s="1085"/>
      <c r="S95" s="1086" t="str">
        <f t="shared" si="16"/>
        <v/>
      </c>
      <c r="T95" s="1087"/>
      <c r="U95" s="1088" t="str">
        <f t="shared" si="17"/>
        <v xml:space="preserve"> </v>
      </c>
      <c r="V95" s="1087"/>
      <c r="W95" s="1089" t="str">
        <f t="shared" si="18"/>
        <v>No Results Reported</v>
      </c>
      <c r="X95" s="1085"/>
      <c r="Y95" s="1085"/>
      <c r="Z95" s="1086" t="str">
        <f t="shared" si="19"/>
        <v/>
      </c>
      <c r="AA95" s="1087"/>
      <c r="AB95" s="1088" t="str">
        <f t="shared" si="20"/>
        <v xml:space="preserve"> </v>
      </c>
      <c r="AC95" s="1087"/>
      <c r="AD95" s="1087"/>
      <c r="AE95" s="1089" t="str">
        <f t="shared" si="21"/>
        <v>No Results Reported</v>
      </c>
      <c r="AF95" s="1085"/>
      <c r="AG95" s="1085"/>
      <c r="AH95" s="1086" t="str">
        <f t="shared" si="22"/>
        <v/>
      </c>
      <c r="AI95" s="1088" t="str">
        <f t="shared" si="23"/>
        <v xml:space="preserve"> </v>
      </c>
      <c r="AJ95" s="1087"/>
      <c r="AK95" s="1090" t="str">
        <f t="shared" si="24"/>
        <v>No Results Reported</v>
      </c>
    </row>
    <row r="96" spans="1:37" x14ac:dyDescent="0.2">
      <c r="A96" s="508">
        <f t="shared" si="25"/>
        <v>86</v>
      </c>
      <c r="B96" s="509" t="str">
        <f t="shared" si="15"/>
        <v>Coverage86</v>
      </c>
      <c r="C96" s="1081" t="str">
        <f>IFERROR(INDEX('Coverage Indicator_Import-Expor'!$D$7:$D$223,MATCH(B96,'Coverage Indicator_Import-Expor'!$C$7:$C$223,0)),"")</f>
        <v/>
      </c>
      <c r="D96" s="1082" t="str">
        <f>IFERROR(INDEX('Coverage Indicator_Import-Expor'!$E$7:$E$223,MATCH(B96,'Coverage Indicator_Import-Expor'!$C$7:$C$223,0)),"")</f>
        <v/>
      </c>
      <c r="E96" s="1082" t="str">
        <f>IFERROR(IF(INDEX('Coverage Indicator_Import-Expor'!K$7:K$223,MATCH($B96,'Coverage Indicator_Import-Expor'!$C$7:$C$223,0))="","",INDEX('Coverage Indicator_Import-Expor'!K$7:K$223,MATCH($B96,'Coverage Indicator_Import-Expor'!$C$7:$C$223,0))),"")</f>
        <v/>
      </c>
      <c r="F96" s="1082" t="str">
        <f>IFERROR(IF(INDEX('Coverage Indicator_Import-Expor'!L$7:L$223,MATCH($B96,'Coverage Indicator_Import-Expor'!$C$7:$C$223,0))="","",INDEX('Coverage Indicator_Import-Expor'!L$7:L$223,MATCH($B96,'Coverage Indicator_Import-Expor'!$C$7:$C$223,0))),"")</f>
        <v/>
      </c>
      <c r="G96" s="1082" t="str">
        <f>IFERROR(IF(INDEX('Coverage Indicator_Import-Expor'!AR$7:AR$223,MATCH($B96,'Coverage Indicator_Import-Expor'!$C$7:$C$223,0))="","",INDEX('Coverage Indicator_Import-Expor'!AR$7:AR$223,MATCH($B96,'Coverage Indicator_Import-Expor'!$C$7:$C$223,0))),"")</f>
        <v/>
      </c>
      <c r="H96" s="1082" t="str">
        <f>IFERROR(IF(INDEX('Coverage Indicator_Import-Expor'!AS$7:AS$223,MATCH($B96,'Coverage Indicator_Import-Expor'!$C$7:$C$223,0))="","",INDEX('Coverage Indicator_Import-Expor'!AS$7:AS$223,MATCH($B96,'Coverage Indicator_Import-Expor'!$C$7:$C$223,0))),"")</f>
        <v/>
      </c>
      <c r="I96" s="1083" t="str">
        <f>IFERROR(IF(INDEX('Coverage Indicator_Import-Expor'!N$7:N$223,MATCH($B96,'Coverage Indicator_Import-Expor'!$C$7:$C$223,0))="","",INDEX('Coverage Indicator_Import-Expor'!N$7:N$223,MATCH($B96,'Coverage Indicator_Import-Expor'!$C$7:$C$223,0))),"")</f>
        <v/>
      </c>
      <c r="J96" s="1083" t="str">
        <f>IFERROR(IF(INDEX('Coverage Indicator_Import-Expor'!O$7:O$223,MATCH($B96,'Coverage Indicator_Import-Expor'!$C$7:$C$223,0))="","",INDEX('Coverage Indicator_Import-Expor'!O$7:O$223,MATCH($B96,'Coverage Indicator_Import-Expor'!$C$7:$C$223,0))),"")</f>
        <v/>
      </c>
      <c r="K96" s="1084" t="str">
        <f>IFERROR(IF(INDEX('Coverage Indicator_Import-Expor'!P$7:P$223,MATCH($B96,'Coverage Indicator_Import-Expor'!$C$7:$C$223,0))="","",INDEX('Coverage Indicator_Import-Expor'!P$7:P$223,MATCH($B96,'Coverage Indicator_Import-Expor'!$C$7:$C$223,0))),"")</f>
        <v/>
      </c>
      <c r="L96" s="1082" t="str">
        <f>IFERROR(IF(INDEX('Coverage Indicator_Import-Expor'!Q$7:Q$223,MATCH($B96,'Coverage Indicator_Import-Expor'!$C$7:$C$223,0))="","",INDEX('Coverage Indicator_Import-Expor'!Q$7:Q$223,MATCH($B96,'Coverage Indicator_Import-Expor'!$C$7:$C$223,0))),"")</f>
        <v/>
      </c>
      <c r="M96" s="1082" t="str">
        <f>IFERROR(IF(INDEX('Coverage Indicator_Import-Expor'!R$7:R$223,MATCH($B96,'Coverage Indicator_Import-Expor'!$C$7:$C$223,0))="","",INDEX('Coverage Indicator_Import-Expor'!R$7:R$223,MATCH($B96,'Coverage Indicator_Import-Expor'!$C$7:$C$223,0))),"")</f>
        <v/>
      </c>
      <c r="N96" s="1083" t="str">
        <f>IFERROR(IF(INDEX('Coverage Indicator_Import-Expor'!S$7:S$223,MATCH($B96,'Coverage Indicator_Import-Expor'!$C$7:$C$223,0))="","",INDEX('Coverage Indicator_Import-Expor'!S$7:S$223,MATCH($B96,'Coverage Indicator_Import-Expor'!$C$7:$C$223,0))),"")</f>
        <v/>
      </c>
      <c r="O96" s="1083" t="str">
        <f>IFERROR(IF(INDEX('Coverage Indicator_Import-Expor'!T$7:T$223,MATCH($B96,'Coverage Indicator_Import-Expor'!$C$7:$C$223,0))="","",INDEX('Coverage Indicator_Import-Expor'!T$7:T$223,MATCH($B96,'Coverage Indicator_Import-Expor'!$C$7:$C$223,0))),"")</f>
        <v/>
      </c>
      <c r="P96" s="1084" t="str">
        <f>IFERROR(IF(INDEX('Coverage Indicator_Import-Expor'!U$7:U$223,MATCH($B96,'Coverage Indicator_Import-Expor'!$C$7:$C$223,0))="","",INDEX('Coverage Indicator_Import-Expor'!U$7:U$223,MATCH($B96,'Coverage Indicator_Import-Expor'!$C$7:$C$223,0))),"")</f>
        <v/>
      </c>
      <c r="Q96" s="1085"/>
      <c r="R96" s="1085"/>
      <c r="S96" s="1086" t="str">
        <f t="shared" si="16"/>
        <v/>
      </c>
      <c r="T96" s="1087"/>
      <c r="U96" s="1088" t="str">
        <f t="shared" si="17"/>
        <v xml:space="preserve"> </v>
      </c>
      <c r="V96" s="1087"/>
      <c r="W96" s="1089" t="str">
        <f t="shared" si="18"/>
        <v>No Results Reported</v>
      </c>
      <c r="X96" s="1085"/>
      <c r="Y96" s="1085"/>
      <c r="Z96" s="1086" t="str">
        <f t="shared" si="19"/>
        <v/>
      </c>
      <c r="AA96" s="1087"/>
      <c r="AB96" s="1088" t="str">
        <f t="shared" si="20"/>
        <v xml:space="preserve"> </v>
      </c>
      <c r="AC96" s="1087"/>
      <c r="AD96" s="1087"/>
      <c r="AE96" s="1089" t="str">
        <f t="shared" si="21"/>
        <v>No Results Reported</v>
      </c>
      <c r="AF96" s="1085"/>
      <c r="AG96" s="1085"/>
      <c r="AH96" s="1086" t="str">
        <f t="shared" si="22"/>
        <v/>
      </c>
      <c r="AI96" s="1088" t="str">
        <f t="shared" si="23"/>
        <v xml:space="preserve"> </v>
      </c>
      <c r="AJ96" s="1087"/>
      <c r="AK96" s="1090" t="str">
        <f t="shared" si="24"/>
        <v>No Results Reported</v>
      </c>
    </row>
    <row r="97" spans="1:37" x14ac:dyDescent="0.2">
      <c r="A97" s="508">
        <f t="shared" si="25"/>
        <v>87</v>
      </c>
      <c r="B97" s="509" t="str">
        <f t="shared" si="15"/>
        <v>Coverage87</v>
      </c>
      <c r="C97" s="1081" t="str">
        <f>IFERROR(INDEX('Coverage Indicator_Import-Expor'!$D$7:$D$223,MATCH(B97,'Coverage Indicator_Import-Expor'!$C$7:$C$223,0)),"")</f>
        <v/>
      </c>
      <c r="D97" s="1082" t="str">
        <f>IFERROR(INDEX('Coverage Indicator_Import-Expor'!$E$7:$E$223,MATCH(B97,'Coverage Indicator_Import-Expor'!$C$7:$C$223,0)),"")</f>
        <v/>
      </c>
      <c r="E97" s="1082" t="str">
        <f>IFERROR(IF(INDEX('Coverage Indicator_Import-Expor'!K$7:K$223,MATCH($B97,'Coverage Indicator_Import-Expor'!$C$7:$C$223,0))="","",INDEX('Coverage Indicator_Import-Expor'!K$7:K$223,MATCH($B97,'Coverage Indicator_Import-Expor'!$C$7:$C$223,0))),"")</f>
        <v/>
      </c>
      <c r="F97" s="1082" t="str">
        <f>IFERROR(IF(INDEX('Coverage Indicator_Import-Expor'!L$7:L$223,MATCH($B97,'Coverage Indicator_Import-Expor'!$C$7:$C$223,0))="","",INDEX('Coverage Indicator_Import-Expor'!L$7:L$223,MATCH($B97,'Coverage Indicator_Import-Expor'!$C$7:$C$223,0))),"")</f>
        <v/>
      </c>
      <c r="G97" s="1082" t="str">
        <f>IFERROR(IF(INDEX('Coverage Indicator_Import-Expor'!AR$7:AR$223,MATCH($B97,'Coverage Indicator_Import-Expor'!$C$7:$C$223,0))="","",INDEX('Coverage Indicator_Import-Expor'!AR$7:AR$223,MATCH($B97,'Coverage Indicator_Import-Expor'!$C$7:$C$223,0))),"")</f>
        <v/>
      </c>
      <c r="H97" s="1082" t="str">
        <f>IFERROR(IF(INDEX('Coverage Indicator_Import-Expor'!AS$7:AS$223,MATCH($B97,'Coverage Indicator_Import-Expor'!$C$7:$C$223,0))="","",INDEX('Coverage Indicator_Import-Expor'!AS$7:AS$223,MATCH($B97,'Coverage Indicator_Import-Expor'!$C$7:$C$223,0))),"")</f>
        <v/>
      </c>
      <c r="I97" s="1083" t="str">
        <f>IFERROR(IF(INDEX('Coverage Indicator_Import-Expor'!N$7:N$223,MATCH($B97,'Coverage Indicator_Import-Expor'!$C$7:$C$223,0))="","",INDEX('Coverage Indicator_Import-Expor'!N$7:N$223,MATCH($B97,'Coverage Indicator_Import-Expor'!$C$7:$C$223,0))),"")</f>
        <v/>
      </c>
      <c r="J97" s="1083" t="str">
        <f>IFERROR(IF(INDEX('Coverage Indicator_Import-Expor'!O$7:O$223,MATCH($B97,'Coverage Indicator_Import-Expor'!$C$7:$C$223,0))="","",INDEX('Coverage Indicator_Import-Expor'!O$7:O$223,MATCH($B97,'Coverage Indicator_Import-Expor'!$C$7:$C$223,0))),"")</f>
        <v/>
      </c>
      <c r="K97" s="1084" t="str">
        <f>IFERROR(IF(INDEX('Coverage Indicator_Import-Expor'!P$7:P$223,MATCH($B97,'Coverage Indicator_Import-Expor'!$C$7:$C$223,0))="","",INDEX('Coverage Indicator_Import-Expor'!P$7:P$223,MATCH($B97,'Coverage Indicator_Import-Expor'!$C$7:$C$223,0))),"")</f>
        <v/>
      </c>
      <c r="L97" s="1082" t="str">
        <f>IFERROR(IF(INDEX('Coverage Indicator_Import-Expor'!Q$7:Q$223,MATCH($B97,'Coverage Indicator_Import-Expor'!$C$7:$C$223,0))="","",INDEX('Coverage Indicator_Import-Expor'!Q$7:Q$223,MATCH($B97,'Coverage Indicator_Import-Expor'!$C$7:$C$223,0))),"")</f>
        <v/>
      </c>
      <c r="M97" s="1082" t="str">
        <f>IFERROR(IF(INDEX('Coverage Indicator_Import-Expor'!R$7:R$223,MATCH($B97,'Coverage Indicator_Import-Expor'!$C$7:$C$223,0))="","",INDEX('Coverage Indicator_Import-Expor'!R$7:R$223,MATCH($B97,'Coverage Indicator_Import-Expor'!$C$7:$C$223,0))),"")</f>
        <v/>
      </c>
      <c r="N97" s="1083" t="str">
        <f>IFERROR(IF(INDEX('Coverage Indicator_Import-Expor'!S$7:S$223,MATCH($B97,'Coverage Indicator_Import-Expor'!$C$7:$C$223,0))="","",INDEX('Coverage Indicator_Import-Expor'!S$7:S$223,MATCH($B97,'Coverage Indicator_Import-Expor'!$C$7:$C$223,0))),"")</f>
        <v/>
      </c>
      <c r="O97" s="1083" t="str">
        <f>IFERROR(IF(INDEX('Coverage Indicator_Import-Expor'!T$7:T$223,MATCH($B97,'Coverage Indicator_Import-Expor'!$C$7:$C$223,0))="","",INDEX('Coverage Indicator_Import-Expor'!T$7:T$223,MATCH($B97,'Coverage Indicator_Import-Expor'!$C$7:$C$223,0))),"")</f>
        <v/>
      </c>
      <c r="P97" s="1084" t="str">
        <f>IFERROR(IF(INDEX('Coverage Indicator_Import-Expor'!U$7:U$223,MATCH($B97,'Coverage Indicator_Import-Expor'!$C$7:$C$223,0))="","",INDEX('Coverage Indicator_Import-Expor'!U$7:U$223,MATCH($B97,'Coverage Indicator_Import-Expor'!$C$7:$C$223,0))),"")</f>
        <v/>
      </c>
      <c r="Q97" s="1085"/>
      <c r="R97" s="1085"/>
      <c r="S97" s="1086" t="str">
        <f t="shared" si="16"/>
        <v/>
      </c>
      <c r="T97" s="1087"/>
      <c r="U97" s="1088" t="str">
        <f t="shared" si="17"/>
        <v xml:space="preserve"> </v>
      </c>
      <c r="V97" s="1087"/>
      <c r="W97" s="1089" t="str">
        <f t="shared" si="18"/>
        <v>No Results Reported</v>
      </c>
      <c r="X97" s="1085"/>
      <c r="Y97" s="1085"/>
      <c r="Z97" s="1086" t="str">
        <f t="shared" si="19"/>
        <v/>
      </c>
      <c r="AA97" s="1087"/>
      <c r="AB97" s="1088" t="str">
        <f t="shared" si="20"/>
        <v xml:space="preserve"> </v>
      </c>
      <c r="AC97" s="1087"/>
      <c r="AD97" s="1087"/>
      <c r="AE97" s="1089" t="str">
        <f t="shared" si="21"/>
        <v>No Results Reported</v>
      </c>
      <c r="AF97" s="1085"/>
      <c r="AG97" s="1085"/>
      <c r="AH97" s="1086" t="str">
        <f t="shared" si="22"/>
        <v/>
      </c>
      <c r="AI97" s="1088" t="str">
        <f t="shared" si="23"/>
        <v xml:space="preserve"> </v>
      </c>
      <c r="AJ97" s="1087"/>
      <c r="AK97" s="1090" t="str">
        <f t="shared" si="24"/>
        <v>No Results Reported</v>
      </c>
    </row>
    <row r="98" spans="1:37" x14ac:dyDescent="0.2">
      <c r="A98" s="508">
        <f t="shared" si="25"/>
        <v>88</v>
      </c>
      <c r="B98" s="509" t="str">
        <f t="shared" si="15"/>
        <v>Coverage88</v>
      </c>
      <c r="C98" s="1081" t="str">
        <f>IFERROR(INDEX('Coverage Indicator_Import-Expor'!$D$7:$D$223,MATCH(B98,'Coverage Indicator_Import-Expor'!$C$7:$C$223,0)),"")</f>
        <v/>
      </c>
      <c r="D98" s="1082" t="str">
        <f>IFERROR(INDEX('Coverage Indicator_Import-Expor'!$E$7:$E$223,MATCH(B98,'Coverage Indicator_Import-Expor'!$C$7:$C$223,0)),"")</f>
        <v/>
      </c>
      <c r="E98" s="1082" t="str">
        <f>IFERROR(IF(INDEX('Coverage Indicator_Import-Expor'!K$7:K$223,MATCH($B98,'Coverage Indicator_Import-Expor'!$C$7:$C$223,0))="","",INDEX('Coverage Indicator_Import-Expor'!K$7:K$223,MATCH($B98,'Coverage Indicator_Import-Expor'!$C$7:$C$223,0))),"")</f>
        <v/>
      </c>
      <c r="F98" s="1082" t="str">
        <f>IFERROR(IF(INDEX('Coverage Indicator_Import-Expor'!L$7:L$223,MATCH($B98,'Coverage Indicator_Import-Expor'!$C$7:$C$223,0))="","",INDEX('Coverage Indicator_Import-Expor'!L$7:L$223,MATCH($B98,'Coverage Indicator_Import-Expor'!$C$7:$C$223,0))),"")</f>
        <v/>
      </c>
      <c r="G98" s="1082" t="str">
        <f>IFERROR(IF(INDEX('Coverage Indicator_Import-Expor'!AR$7:AR$223,MATCH($B98,'Coverage Indicator_Import-Expor'!$C$7:$C$223,0))="","",INDEX('Coverage Indicator_Import-Expor'!AR$7:AR$223,MATCH($B98,'Coverage Indicator_Import-Expor'!$C$7:$C$223,0))),"")</f>
        <v/>
      </c>
      <c r="H98" s="1082" t="str">
        <f>IFERROR(IF(INDEX('Coverage Indicator_Import-Expor'!AS$7:AS$223,MATCH($B98,'Coverage Indicator_Import-Expor'!$C$7:$C$223,0))="","",INDEX('Coverage Indicator_Import-Expor'!AS$7:AS$223,MATCH($B98,'Coverage Indicator_Import-Expor'!$C$7:$C$223,0))),"")</f>
        <v/>
      </c>
      <c r="I98" s="1083" t="str">
        <f>IFERROR(IF(INDEX('Coverage Indicator_Import-Expor'!N$7:N$223,MATCH($B98,'Coverage Indicator_Import-Expor'!$C$7:$C$223,0))="","",INDEX('Coverage Indicator_Import-Expor'!N$7:N$223,MATCH($B98,'Coverage Indicator_Import-Expor'!$C$7:$C$223,0))),"")</f>
        <v/>
      </c>
      <c r="J98" s="1083" t="str">
        <f>IFERROR(IF(INDEX('Coverage Indicator_Import-Expor'!O$7:O$223,MATCH($B98,'Coverage Indicator_Import-Expor'!$C$7:$C$223,0))="","",INDEX('Coverage Indicator_Import-Expor'!O$7:O$223,MATCH($B98,'Coverage Indicator_Import-Expor'!$C$7:$C$223,0))),"")</f>
        <v/>
      </c>
      <c r="K98" s="1084" t="str">
        <f>IFERROR(IF(INDEX('Coverage Indicator_Import-Expor'!P$7:P$223,MATCH($B98,'Coverage Indicator_Import-Expor'!$C$7:$C$223,0))="","",INDEX('Coverage Indicator_Import-Expor'!P$7:P$223,MATCH($B98,'Coverage Indicator_Import-Expor'!$C$7:$C$223,0))),"")</f>
        <v/>
      </c>
      <c r="L98" s="1082" t="str">
        <f>IFERROR(IF(INDEX('Coverage Indicator_Import-Expor'!Q$7:Q$223,MATCH($B98,'Coverage Indicator_Import-Expor'!$C$7:$C$223,0))="","",INDEX('Coverage Indicator_Import-Expor'!Q$7:Q$223,MATCH($B98,'Coverage Indicator_Import-Expor'!$C$7:$C$223,0))),"")</f>
        <v/>
      </c>
      <c r="M98" s="1082" t="str">
        <f>IFERROR(IF(INDEX('Coverage Indicator_Import-Expor'!R$7:R$223,MATCH($B98,'Coverage Indicator_Import-Expor'!$C$7:$C$223,0))="","",INDEX('Coverage Indicator_Import-Expor'!R$7:R$223,MATCH($B98,'Coverage Indicator_Import-Expor'!$C$7:$C$223,0))),"")</f>
        <v/>
      </c>
      <c r="N98" s="1083" t="str">
        <f>IFERROR(IF(INDEX('Coverage Indicator_Import-Expor'!S$7:S$223,MATCH($B98,'Coverage Indicator_Import-Expor'!$C$7:$C$223,0))="","",INDEX('Coverage Indicator_Import-Expor'!S$7:S$223,MATCH($B98,'Coverage Indicator_Import-Expor'!$C$7:$C$223,0))),"")</f>
        <v/>
      </c>
      <c r="O98" s="1083" t="str">
        <f>IFERROR(IF(INDEX('Coverage Indicator_Import-Expor'!T$7:T$223,MATCH($B98,'Coverage Indicator_Import-Expor'!$C$7:$C$223,0))="","",INDEX('Coverage Indicator_Import-Expor'!T$7:T$223,MATCH($B98,'Coverage Indicator_Import-Expor'!$C$7:$C$223,0))),"")</f>
        <v/>
      </c>
      <c r="P98" s="1084" t="str">
        <f>IFERROR(IF(INDEX('Coverage Indicator_Import-Expor'!U$7:U$223,MATCH($B98,'Coverage Indicator_Import-Expor'!$C$7:$C$223,0))="","",INDEX('Coverage Indicator_Import-Expor'!U$7:U$223,MATCH($B98,'Coverage Indicator_Import-Expor'!$C$7:$C$223,0))),"")</f>
        <v/>
      </c>
      <c r="Q98" s="1085"/>
      <c r="R98" s="1085"/>
      <c r="S98" s="1086" t="str">
        <f t="shared" si="16"/>
        <v/>
      </c>
      <c r="T98" s="1087"/>
      <c r="U98" s="1088" t="str">
        <f t="shared" si="17"/>
        <v xml:space="preserve"> </v>
      </c>
      <c r="V98" s="1087"/>
      <c r="W98" s="1089" t="str">
        <f t="shared" si="18"/>
        <v>No Results Reported</v>
      </c>
      <c r="X98" s="1085"/>
      <c r="Y98" s="1085"/>
      <c r="Z98" s="1086" t="str">
        <f t="shared" si="19"/>
        <v/>
      </c>
      <c r="AA98" s="1087"/>
      <c r="AB98" s="1088" t="str">
        <f t="shared" si="20"/>
        <v xml:space="preserve"> </v>
      </c>
      <c r="AC98" s="1087"/>
      <c r="AD98" s="1087"/>
      <c r="AE98" s="1089" t="str">
        <f t="shared" si="21"/>
        <v>No Results Reported</v>
      </c>
      <c r="AF98" s="1085"/>
      <c r="AG98" s="1085"/>
      <c r="AH98" s="1086" t="str">
        <f t="shared" si="22"/>
        <v/>
      </c>
      <c r="AI98" s="1088" t="str">
        <f t="shared" si="23"/>
        <v xml:space="preserve"> </v>
      </c>
      <c r="AJ98" s="1087"/>
      <c r="AK98" s="1090" t="str">
        <f t="shared" si="24"/>
        <v>No Results Reported</v>
      </c>
    </row>
    <row r="99" spans="1:37" x14ac:dyDescent="0.2">
      <c r="A99" s="508">
        <f t="shared" si="25"/>
        <v>89</v>
      </c>
      <c r="B99" s="509" t="str">
        <f t="shared" si="15"/>
        <v>Coverage89</v>
      </c>
      <c r="C99" s="1081" t="str">
        <f>IFERROR(INDEX('Coverage Indicator_Import-Expor'!$D$7:$D$223,MATCH(B99,'Coverage Indicator_Import-Expor'!$C$7:$C$223,0)),"")</f>
        <v/>
      </c>
      <c r="D99" s="1082" t="str">
        <f>IFERROR(INDEX('Coverage Indicator_Import-Expor'!$E$7:$E$223,MATCH(B99,'Coverage Indicator_Import-Expor'!$C$7:$C$223,0)),"")</f>
        <v/>
      </c>
      <c r="E99" s="1082" t="str">
        <f>IFERROR(IF(INDEX('Coverage Indicator_Import-Expor'!K$7:K$223,MATCH($B99,'Coverage Indicator_Import-Expor'!$C$7:$C$223,0))="","",INDEX('Coverage Indicator_Import-Expor'!K$7:K$223,MATCH($B99,'Coverage Indicator_Import-Expor'!$C$7:$C$223,0))),"")</f>
        <v/>
      </c>
      <c r="F99" s="1082" t="str">
        <f>IFERROR(IF(INDEX('Coverage Indicator_Import-Expor'!L$7:L$223,MATCH($B99,'Coverage Indicator_Import-Expor'!$C$7:$C$223,0))="","",INDEX('Coverage Indicator_Import-Expor'!L$7:L$223,MATCH($B99,'Coverage Indicator_Import-Expor'!$C$7:$C$223,0))),"")</f>
        <v/>
      </c>
      <c r="G99" s="1082" t="str">
        <f>IFERROR(IF(INDEX('Coverage Indicator_Import-Expor'!AR$7:AR$223,MATCH($B99,'Coverage Indicator_Import-Expor'!$C$7:$C$223,0))="","",INDEX('Coverage Indicator_Import-Expor'!AR$7:AR$223,MATCH($B99,'Coverage Indicator_Import-Expor'!$C$7:$C$223,0))),"")</f>
        <v/>
      </c>
      <c r="H99" s="1082" t="str">
        <f>IFERROR(IF(INDEX('Coverage Indicator_Import-Expor'!AS$7:AS$223,MATCH($B99,'Coverage Indicator_Import-Expor'!$C$7:$C$223,0))="","",INDEX('Coverage Indicator_Import-Expor'!AS$7:AS$223,MATCH($B99,'Coverage Indicator_Import-Expor'!$C$7:$C$223,0))),"")</f>
        <v/>
      </c>
      <c r="I99" s="1083" t="str">
        <f>IFERROR(IF(INDEX('Coverage Indicator_Import-Expor'!N$7:N$223,MATCH($B99,'Coverage Indicator_Import-Expor'!$C$7:$C$223,0))="","",INDEX('Coverage Indicator_Import-Expor'!N$7:N$223,MATCH($B99,'Coverage Indicator_Import-Expor'!$C$7:$C$223,0))),"")</f>
        <v/>
      </c>
      <c r="J99" s="1083" t="str">
        <f>IFERROR(IF(INDEX('Coverage Indicator_Import-Expor'!O$7:O$223,MATCH($B99,'Coverage Indicator_Import-Expor'!$C$7:$C$223,0))="","",INDEX('Coverage Indicator_Import-Expor'!O$7:O$223,MATCH($B99,'Coverage Indicator_Import-Expor'!$C$7:$C$223,0))),"")</f>
        <v/>
      </c>
      <c r="K99" s="1084" t="str">
        <f>IFERROR(IF(INDEX('Coverage Indicator_Import-Expor'!P$7:P$223,MATCH($B99,'Coverage Indicator_Import-Expor'!$C$7:$C$223,0))="","",INDEX('Coverage Indicator_Import-Expor'!P$7:P$223,MATCH($B99,'Coverage Indicator_Import-Expor'!$C$7:$C$223,0))),"")</f>
        <v/>
      </c>
      <c r="L99" s="1082" t="str">
        <f>IFERROR(IF(INDEX('Coverage Indicator_Import-Expor'!Q$7:Q$223,MATCH($B99,'Coverage Indicator_Import-Expor'!$C$7:$C$223,0))="","",INDEX('Coverage Indicator_Import-Expor'!Q$7:Q$223,MATCH($B99,'Coverage Indicator_Import-Expor'!$C$7:$C$223,0))),"")</f>
        <v/>
      </c>
      <c r="M99" s="1082" t="str">
        <f>IFERROR(IF(INDEX('Coverage Indicator_Import-Expor'!R$7:R$223,MATCH($B99,'Coverage Indicator_Import-Expor'!$C$7:$C$223,0))="","",INDEX('Coverage Indicator_Import-Expor'!R$7:R$223,MATCH($B99,'Coverage Indicator_Import-Expor'!$C$7:$C$223,0))),"")</f>
        <v/>
      </c>
      <c r="N99" s="1083" t="str">
        <f>IFERROR(IF(INDEX('Coverage Indicator_Import-Expor'!S$7:S$223,MATCH($B99,'Coverage Indicator_Import-Expor'!$C$7:$C$223,0))="","",INDEX('Coverage Indicator_Import-Expor'!S$7:S$223,MATCH($B99,'Coverage Indicator_Import-Expor'!$C$7:$C$223,0))),"")</f>
        <v/>
      </c>
      <c r="O99" s="1083" t="str">
        <f>IFERROR(IF(INDEX('Coverage Indicator_Import-Expor'!T$7:T$223,MATCH($B99,'Coverage Indicator_Import-Expor'!$C$7:$C$223,0))="","",INDEX('Coverage Indicator_Import-Expor'!T$7:T$223,MATCH($B99,'Coverage Indicator_Import-Expor'!$C$7:$C$223,0))),"")</f>
        <v/>
      </c>
      <c r="P99" s="1084" t="str">
        <f>IFERROR(IF(INDEX('Coverage Indicator_Import-Expor'!U$7:U$223,MATCH($B99,'Coverage Indicator_Import-Expor'!$C$7:$C$223,0))="","",INDEX('Coverage Indicator_Import-Expor'!U$7:U$223,MATCH($B99,'Coverage Indicator_Import-Expor'!$C$7:$C$223,0))),"")</f>
        <v/>
      </c>
      <c r="Q99" s="1085"/>
      <c r="R99" s="1085"/>
      <c r="S99" s="1086" t="str">
        <f t="shared" si="16"/>
        <v/>
      </c>
      <c r="T99" s="1087"/>
      <c r="U99" s="1088" t="str">
        <f t="shared" si="17"/>
        <v xml:space="preserve"> </v>
      </c>
      <c r="V99" s="1087"/>
      <c r="W99" s="1089" t="str">
        <f t="shared" si="18"/>
        <v>No Results Reported</v>
      </c>
      <c r="X99" s="1085"/>
      <c r="Y99" s="1085"/>
      <c r="Z99" s="1086" t="str">
        <f t="shared" si="19"/>
        <v/>
      </c>
      <c r="AA99" s="1087"/>
      <c r="AB99" s="1088" t="str">
        <f t="shared" si="20"/>
        <v xml:space="preserve"> </v>
      </c>
      <c r="AC99" s="1087"/>
      <c r="AD99" s="1087"/>
      <c r="AE99" s="1089" t="str">
        <f t="shared" si="21"/>
        <v>No Results Reported</v>
      </c>
      <c r="AF99" s="1085"/>
      <c r="AG99" s="1085"/>
      <c r="AH99" s="1086" t="str">
        <f t="shared" si="22"/>
        <v/>
      </c>
      <c r="AI99" s="1088" t="str">
        <f t="shared" si="23"/>
        <v xml:space="preserve"> </v>
      </c>
      <c r="AJ99" s="1087"/>
      <c r="AK99" s="1090" t="str">
        <f t="shared" si="24"/>
        <v>No Results Reported</v>
      </c>
    </row>
    <row r="100" spans="1:37" ht="15.75" thickBot="1" x14ac:dyDescent="0.25">
      <c r="A100" s="508">
        <f t="shared" si="25"/>
        <v>90</v>
      </c>
      <c r="B100" s="509" t="str">
        <f t="shared" si="15"/>
        <v>Coverage90</v>
      </c>
      <c r="C100" s="1091" t="str">
        <f>IFERROR(INDEX('Coverage Indicator_Import-Expor'!$D$7:$D$223,MATCH(B100,'Coverage Indicator_Import-Expor'!$C$7:$C$223,0)),"")</f>
        <v/>
      </c>
      <c r="D100" s="1092" t="str">
        <f>IFERROR(INDEX('Coverage Indicator_Import-Expor'!$E$7:$E$223,MATCH(B100,'Coverage Indicator_Import-Expor'!$C$7:$C$223,0)),"")</f>
        <v/>
      </c>
      <c r="E100" s="1092" t="str">
        <f>IFERROR(IF(INDEX('Coverage Indicator_Import-Expor'!K$7:K$223,MATCH($B100,'Coverage Indicator_Import-Expor'!$C$7:$C$223,0))="","",INDEX('Coverage Indicator_Import-Expor'!K$7:K$223,MATCH($B100,'Coverage Indicator_Import-Expor'!$C$7:$C$223,0))),"")</f>
        <v/>
      </c>
      <c r="F100" s="1092" t="str">
        <f>IFERROR(IF(INDEX('Coverage Indicator_Import-Expor'!L$7:L$223,MATCH($B100,'Coverage Indicator_Import-Expor'!$C$7:$C$223,0))="","",INDEX('Coverage Indicator_Import-Expor'!L$7:L$223,MATCH($B100,'Coverage Indicator_Import-Expor'!$C$7:$C$223,0))),"")</f>
        <v/>
      </c>
      <c r="G100" s="1092" t="str">
        <f>IFERROR(IF(INDEX('Coverage Indicator_Import-Expor'!AR$7:AR$223,MATCH($B100,'Coverage Indicator_Import-Expor'!$C$7:$C$223,0))="","",INDEX('Coverage Indicator_Import-Expor'!AR$7:AR$223,MATCH($B100,'Coverage Indicator_Import-Expor'!$C$7:$C$223,0))),"")</f>
        <v/>
      </c>
      <c r="H100" s="1092" t="str">
        <f>IFERROR(IF(INDEX('Coverage Indicator_Import-Expor'!AS$7:AS$223,MATCH($B100,'Coverage Indicator_Import-Expor'!$C$7:$C$223,0))="","",INDEX('Coverage Indicator_Import-Expor'!AS$7:AS$223,MATCH($B100,'Coverage Indicator_Import-Expor'!$C$7:$C$223,0))),"")</f>
        <v/>
      </c>
      <c r="I100" s="1093" t="str">
        <f>IFERROR(IF(INDEX('Coverage Indicator_Import-Expor'!N$7:N$223,MATCH($B100,'Coverage Indicator_Import-Expor'!$C$7:$C$223,0))="","",INDEX('Coverage Indicator_Import-Expor'!N$7:N$223,MATCH($B100,'Coverage Indicator_Import-Expor'!$C$7:$C$223,0))),"")</f>
        <v/>
      </c>
      <c r="J100" s="1093" t="str">
        <f>IFERROR(IF(INDEX('Coverage Indicator_Import-Expor'!O$7:O$223,MATCH($B100,'Coverage Indicator_Import-Expor'!$C$7:$C$223,0))="","",INDEX('Coverage Indicator_Import-Expor'!O$7:O$223,MATCH($B100,'Coverage Indicator_Import-Expor'!$C$7:$C$223,0))),"")</f>
        <v/>
      </c>
      <c r="K100" s="1094" t="str">
        <f>IFERROR(IF(INDEX('Coverage Indicator_Import-Expor'!P$7:P$223,MATCH($B100,'Coverage Indicator_Import-Expor'!$C$7:$C$223,0))="","",INDEX('Coverage Indicator_Import-Expor'!P$7:P$223,MATCH($B100,'Coverage Indicator_Import-Expor'!$C$7:$C$223,0))),"")</f>
        <v/>
      </c>
      <c r="L100" s="1092" t="str">
        <f>IFERROR(IF(INDEX('Coverage Indicator_Import-Expor'!Q$7:Q$223,MATCH($B100,'Coverage Indicator_Import-Expor'!$C$7:$C$223,0))="","",INDEX('Coverage Indicator_Import-Expor'!Q$7:Q$223,MATCH($B100,'Coverage Indicator_Import-Expor'!$C$7:$C$223,0))),"")</f>
        <v/>
      </c>
      <c r="M100" s="1092" t="str">
        <f>IFERROR(IF(INDEX('Coverage Indicator_Import-Expor'!R$7:R$223,MATCH($B100,'Coverage Indicator_Import-Expor'!$C$7:$C$223,0))="","",INDEX('Coverage Indicator_Import-Expor'!R$7:R$223,MATCH($B100,'Coverage Indicator_Import-Expor'!$C$7:$C$223,0))),"")</f>
        <v/>
      </c>
      <c r="N100" s="1093" t="str">
        <f>IFERROR(IF(INDEX('Coverage Indicator_Import-Expor'!S$7:S$223,MATCH($B100,'Coverage Indicator_Import-Expor'!$C$7:$C$223,0))="","",INDEX('Coverage Indicator_Import-Expor'!S$7:S$223,MATCH($B100,'Coverage Indicator_Import-Expor'!$C$7:$C$223,0))),"")</f>
        <v/>
      </c>
      <c r="O100" s="1093" t="str">
        <f>IFERROR(IF(INDEX('Coverage Indicator_Import-Expor'!T$7:T$223,MATCH($B100,'Coverage Indicator_Import-Expor'!$C$7:$C$223,0))="","",INDEX('Coverage Indicator_Import-Expor'!T$7:T$223,MATCH($B100,'Coverage Indicator_Import-Expor'!$C$7:$C$223,0))),"")</f>
        <v/>
      </c>
      <c r="P100" s="1094" t="str">
        <f>IFERROR(IF(INDEX('Coverage Indicator_Import-Expor'!U$7:U$223,MATCH($B100,'Coverage Indicator_Import-Expor'!$C$7:$C$223,0))="","",INDEX('Coverage Indicator_Import-Expor'!U$7:U$223,MATCH($B100,'Coverage Indicator_Import-Expor'!$C$7:$C$223,0))),"")</f>
        <v/>
      </c>
      <c r="Q100" s="1095"/>
      <c r="R100" s="1095"/>
      <c r="S100" s="1096" t="str">
        <f t="shared" si="16"/>
        <v/>
      </c>
      <c r="T100" s="1097"/>
      <c r="U100" s="1098" t="str">
        <f t="shared" si="17"/>
        <v xml:space="preserve"> </v>
      </c>
      <c r="V100" s="1097"/>
      <c r="W100" s="1099" t="str">
        <f t="shared" si="18"/>
        <v>No Results Reported</v>
      </c>
      <c r="X100" s="1095"/>
      <c r="Y100" s="1095"/>
      <c r="Z100" s="1096" t="str">
        <f t="shared" si="19"/>
        <v/>
      </c>
      <c r="AA100" s="1097"/>
      <c r="AB100" s="1098" t="str">
        <f t="shared" si="20"/>
        <v xml:space="preserve"> </v>
      </c>
      <c r="AC100" s="1097"/>
      <c r="AD100" s="1097"/>
      <c r="AE100" s="1099" t="str">
        <f t="shared" si="21"/>
        <v>No Results Reported</v>
      </c>
      <c r="AF100" s="1095"/>
      <c r="AG100" s="1095"/>
      <c r="AH100" s="1096" t="str">
        <f t="shared" si="22"/>
        <v/>
      </c>
      <c r="AI100" s="1098" t="str">
        <f t="shared" si="23"/>
        <v xml:space="preserve"> </v>
      </c>
      <c r="AJ100" s="1097"/>
      <c r="AK100" s="1100" t="str">
        <f t="shared" si="24"/>
        <v>No Results Reported</v>
      </c>
    </row>
  </sheetData>
  <sheetProtection algorithmName="SHA-512" hashValue="6Yk1hXo3PCQuJOA7PG5Ftx1aYELOfBgMRPo7yv6W/yoeh+7+qAHd4BQzQAMzAwRvSSJBaVurrHDoEN0dEE0TSg==" saltValue="1SZRJUXqlmk7OY6e2bvhmw==" spinCount="100000" sheet="1" formatColumns="0" formatRows="0" autoFilter="0"/>
  <autoFilter ref="C9:AK51" xr:uid="{00000000-0009-0000-0000-000008000000}">
    <filterColumn colId="6" showButton="0"/>
    <filterColumn colId="7" showButton="0"/>
    <filterColumn colId="8" showButton="0"/>
    <filterColumn colId="9" showButton="0"/>
    <filterColumn colId="11" showButton="0"/>
    <filterColumn colId="12" showButton="0"/>
    <filterColumn colId="14" showButton="0"/>
    <filterColumn colId="15" showButton="0"/>
    <filterColumn colId="21" showButton="0"/>
    <filterColumn colId="22" showButton="0"/>
    <filterColumn colId="29" showButton="0"/>
    <filterColumn colId="30" showButton="0"/>
  </autoFilter>
  <mergeCells count="23">
    <mergeCell ref="AJ9:AJ10"/>
    <mergeCell ref="AK9:AK10"/>
    <mergeCell ref="F9:F10"/>
    <mergeCell ref="G9:G10"/>
    <mergeCell ref="N9:P9"/>
    <mergeCell ref="AA9:AA10"/>
    <mergeCell ref="AI9:AI10"/>
    <mergeCell ref="I9:M9"/>
    <mergeCell ref="X9:Z9"/>
    <mergeCell ref="AB9:AB10"/>
    <mergeCell ref="AC9:AC10"/>
    <mergeCell ref="AD9:AD10"/>
    <mergeCell ref="AE9:AE10"/>
    <mergeCell ref="AF9:AH9"/>
    <mergeCell ref="Q9:S9"/>
    <mergeCell ref="T9:T10"/>
    <mergeCell ref="U9:U10"/>
    <mergeCell ref="V9:V10"/>
    <mergeCell ref="W9:W10"/>
    <mergeCell ref="C5:AD5"/>
    <mergeCell ref="C9:C10"/>
    <mergeCell ref="D9:D10"/>
    <mergeCell ref="H9:H10"/>
  </mergeCells>
  <dataValidations count="2">
    <dataValidation type="list" allowBlank="1" showInputMessage="1" showErrorMessage="1" sqref="AA11:AA100 T11:T100" xr:uid="{00000000-0002-0000-0800-000000000000}">
      <formula1>Source</formula1>
    </dataValidation>
    <dataValidation type="list" allowBlank="1" showInputMessage="1" showErrorMessage="1" sqref="AC11:AC100" xr:uid="{00000000-0002-0000-0800-000001000000}">
      <formula1>Verification_Method</formula1>
    </dataValidation>
  </dataValidations>
  <pageMargins left="0.7" right="0.7" top="0.75" bottom="0.75" header="0.3" footer="0.3"/>
  <pageSetup paperSize="8" scale="34" orientation="landscape" r:id="rId1"/>
  <colBreaks count="1" manualBreakCount="1">
    <brk id="30" max="5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2022-03-31T10:00:00+00:00</UNDPPublishedDate>
    <UNDPCountryTaxHTField0 xmlns="1ed4137b-41b2-488b-8250-6d369ec27664">
      <Terms xmlns="http://schemas.microsoft.com/office/infopath/2007/PartnerControls"/>
    </UNDPCountryTaxHTField0>
    <UndpOUCode xmlns="1ed4137b-41b2-488b-8250-6d369ec27664">BDI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TermInfo xmlns="http://schemas.microsoft.com/office/infopath/2007/PartnerControls">
          <TermName xmlns="http://schemas.microsoft.com/office/infopath/2007/PartnerControls">HIV/AIDS</TermName>
          <TermId xmlns="http://schemas.microsoft.com/office/infopath/2007/PartnerControls">06c8a9ff-5bcd-4667-b6f0-aa4daaf2f82b</TermId>
        </TermInfo>
      </Term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Progress Report</TermName>
          <TermId xmlns="http://schemas.microsoft.com/office/infopath/2007/PartnerControls">03c70d0e-c75e-4cfb-8288-e692640ede14</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Document_x0020_Coverage_x0020_Period_x0020_Start_x0020_Date xmlns="f1161f5b-24a3-4c2d-bc81-44cb9325e8ee" xsi:nil="true"/>
    <Document_x0020_Coverage_x0020_Period_x0020_End_x0020_Date xmlns="f1161f5b-24a3-4c2d-bc81-44cb9325e8ee">2019-12-31T05:00:00+00:00</Document_x0020_Coverage_x0020_Period_x0020_End_x0020_Date>
    <Project_x0020_Number xmlns="f1161f5b-24a3-4c2d-bc81-44cb9325e8ee" xsi:nil="true"/>
    <Project_x0020_Manager xmlns="f1161f5b-24a3-4c2d-bc81-44cb9325e8ee" xsi:nil="true"/>
    <TaxCatchAll xmlns="1ed4137b-41b2-488b-8250-6d369ec27664">
      <Value>1112</Value>
      <Value>1183</Value>
      <Value>233</Value>
      <Value>303</Value>
      <Value>763</Value>
    </TaxCatchAll>
    <c4e2ab2cc9354bbf9064eeb465a566ea xmlns="1ed4137b-41b2-488b-8250-6d369ec27664">
      <Terms xmlns="http://schemas.microsoft.com/office/infopath/2007/PartnerControls"/>
    </c4e2ab2cc9354bbf9064eeb465a566ea>
    <UndpProjectNo xmlns="1ed4137b-41b2-488b-8250-6d369ec27664">00107254</UndpProjectNo>
    <UndpDocStatus xmlns="1ed4137b-41b2-488b-8250-6d369ec27664">Final</UndpDocStatus>
    <Outcome1 xmlns="f1161f5b-24a3-4c2d-bc81-44cb9325e8ee" xsi:nil="true"/>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French</TermName>
          <TermId xmlns="http://schemas.microsoft.com/office/infopath/2007/PartnerControls">946783f8-cd0b-41e2-848e-7777f631248e</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BDI</TermName>
          <TermId xmlns="http://schemas.microsoft.com/office/infopath/2007/PartnerControls">f9feb202-df34-4b8a-8dc4-5a622eda4141</TermId>
        </TermInfo>
      </Terms>
    </gc6531b704974d528487414686b72f6f>
    <_dlc_DocId xmlns="f1161f5b-24a3-4c2d-bc81-44cb9325e8ee">ATLASPDC-4-158409</_dlc_DocId>
    <_dlc_DocIdUrl xmlns="f1161f5b-24a3-4c2d-bc81-44cb9325e8ee">
      <Url>https://info.undp.org/docs/pdc/_layouts/DocIdRedir.aspx?ID=ATLASPDC-4-158409</Url>
      <Description>ATLASPDC-4-158409</Description>
    </_dlc_DocIdUrl>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2.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8e6c43a-9e99-4bdd-9574-a0fa4ea3b61e" ContentTypeId="0x010100F075C04BA242A84ABD3293E3AD35CDA4"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457A601-EC76-4170-94F7-A3F8D027550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53525DB-4389-4CA7-8EF7-A8006380D7E5}"/>
</file>

<file path=customXml/itemProps3.xml><?xml version="1.0" encoding="utf-8"?>
<ds:datastoreItem xmlns:ds="http://schemas.openxmlformats.org/officeDocument/2006/customXml" ds:itemID="{73F3405A-5C13-4D7A-9116-C9EBD4191193}">
  <ds:schemaRefs>
    <ds:schemaRef ds:uri="http://schemas.microsoft.com/sharepoint/v3/contenttype/forms"/>
  </ds:schemaRefs>
</ds:datastoreItem>
</file>

<file path=customXml/itemProps4.xml><?xml version="1.0" encoding="utf-8"?>
<ds:datastoreItem xmlns:ds="http://schemas.openxmlformats.org/officeDocument/2006/customXml" ds:itemID="{55DEE4D3-6BBA-4AC0-B4B3-E1D1569C00B1}"/>
</file>

<file path=customXml/itemProps5.xml><?xml version="1.0" encoding="utf-8"?>
<ds:datastoreItem xmlns:ds="http://schemas.openxmlformats.org/officeDocument/2006/customXml" ds:itemID="{40CC218F-DB40-4578-80D3-0DE9C2989B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671</vt:i4>
      </vt:variant>
    </vt:vector>
  </HeadingPairs>
  <TitlesOfParts>
    <vt:vector size="694" baseType="lpstr">
      <vt:lpstr>CoverSheet</vt:lpstr>
      <vt:lpstr>Impact Outcome Indicators_1A</vt:lpstr>
      <vt:lpstr>Disaggregation_1A</vt:lpstr>
      <vt:lpstr>Coverage Indicators_1B</vt:lpstr>
      <vt:lpstr>Disaggregation_1B</vt:lpstr>
      <vt:lpstr>WPTM_1C</vt:lpstr>
      <vt:lpstr>PR Cash Reconciliation_2A,B,C,D</vt:lpstr>
      <vt:lpstr>Commitments_Obligations</vt:lpstr>
      <vt:lpstr>SR_Cash Reconciliation_2E</vt:lpstr>
      <vt:lpstr>Budget Variance_2F</vt:lpstr>
      <vt:lpstr>Procurement_3</vt:lpstr>
      <vt:lpstr>Grant Management_4</vt:lpstr>
      <vt:lpstr>PR-LFA Evaluation_5</vt:lpstr>
      <vt:lpstr>LFA_Findings&amp;Recommendations_6</vt:lpstr>
      <vt:lpstr>PR Expenditure_7A</vt:lpstr>
      <vt:lpstr>LFA Expenditure_7B</vt:lpstr>
      <vt:lpstr>Cash Forecast_8A</vt:lpstr>
      <vt:lpstr>Request and Recommendation_8B</vt:lpstr>
      <vt:lpstr>PR Authorization_9A</vt:lpstr>
      <vt:lpstr>LFA Authorization_9B</vt:lpstr>
      <vt:lpstr>Free Sheet 1</vt:lpstr>
      <vt:lpstr>Free Sheet 2</vt:lpstr>
      <vt:lpstr>Free Sheet 3</vt:lpstr>
      <vt:lpstr>_00656359_ada8_4ce2_bf51_035d16c6fd90</vt:lpstr>
      <vt:lpstr>_01406ff2_e16d_4932_b832_47b799fc9507</vt:lpstr>
      <vt:lpstr>_0141f30a_1bda_4e7b_b23f_c11e4c3878c3</vt:lpstr>
      <vt:lpstr>_01553cd3_5252_416c_9953_74831d317aba</vt:lpstr>
      <vt:lpstr>_02912521_0b43_4c3c_866b_1c6adb0b8370</vt:lpstr>
      <vt:lpstr>_0327b588_8b5b_4e58_80b5_9e06554c358d</vt:lpstr>
      <vt:lpstr>_05475789_7f63_4b42_a8d3_754d059fae13</vt:lpstr>
      <vt:lpstr>_05ae6b4c_8a79_4f2a_940b_52b038610abe</vt:lpstr>
      <vt:lpstr>_05b2cca9_362f_4656_b85e_11308018b8f0</vt:lpstr>
      <vt:lpstr>_070fb797_aed2_4d65_84a1_3ac9a17705f9</vt:lpstr>
      <vt:lpstr>_074406a6_9f65_42b3_92f4_c246c46f1d4e</vt:lpstr>
      <vt:lpstr>_07d07788_53f3_42dc_af09_f4c1e70f8cbf</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_0a0ef441_fa06_421d_a362_f3c5a1d7c3d1</vt:lpstr>
      <vt:lpstr>_0a21be75_005f_49bf_8dc2_7541a5f57183</vt:lpstr>
      <vt:lpstr>_0b112b2b_8a4f_483f_a4e4_b3610e3b717b</vt:lpstr>
      <vt:lpstr>_0b135c67_1c6a_4fdb_baea_37434c368f84</vt:lpstr>
      <vt:lpstr>_0b6ee104_083c_458c_a9b9_d1e97e312d5e</vt:lpstr>
      <vt:lpstr>_0bec7603_fdb2_42b1_9783_4021d95c09c6</vt:lpstr>
      <vt:lpstr>_0c44e245_383f_41d7_b7d3_24a364f41102</vt:lpstr>
      <vt:lpstr>_0c88e02d_cbc7_4489_aa7c_39232da45873</vt:lpstr>
      <vt:lpstr>_0caf6ba5_f725_440a_bfe8_b3724603a6f7</vt:lpstr>
      <vt:lpstr>_0d1ecc22_3e57_433c_a39f_965e120e07ae</vt:lpstr>
      <vt:lpstr>_0d7b8060_6b1d_4b61_bc35_56a8d0029564</vt:lpstr>
      <vt:lpstr>_0d8c55aa_0232_4040_bf6b_1677c5968d72</vt:lpstr>
      <vt:lpstr>_0daf50ff_cea5_4ae9_9e94_8eb2d1ef3290</vt:lpstr>
      <vt:lpstr>_0e99807a_7c17_4530_9ce4_8de4c57849a0</vt:lpstr>
      <vt:lpstr>_0ed15a52_51d6_4e18_a593_5b70eeddc0c8</vt:lpstr>
      <vt:lpstr>_0f2e5778_eb01_43a7_9417_e4225e212817</vt:lpstr>
      <vt:lpstr>_0f9b3032_1824_47f9_aad3_aef42f932e3d</vt:lpstr>
      <vt:lpstr>_1029a232_1fbe_4092_a9bc_318f9dbeaf0b</vt:lpstr>
      <vt:lpstr>_105125ca_2e55_46e3_9190_da75b122365c</vt:lpstr>
      <vt:lpstr>_11223981_3d98_4014_9318_23d602404e72</vt:lpstr>
      <vt:lpstr>_1135407e_3848_4333_8536_2d1fda7b9c28</vt:lpstr>
      <vt:lpstr>_12334347_765e_43ae_9b91_78d55f334f56</vt:lpstr>
      <vt:lpstr>_129ed1db_6eb8_4725_b4c4_6fad16af7eb4</vt:lpstr>
      <vt:lpstr>_13607070_e3d1_4770_a7bb_df7432a88972</vt:lpstr>
      <vt:lpstr>_13623d36_4ea1_4a14_9c22_7b18c761ad1e</vt:lpstr>
      <vt:lpstr>_143f9b9f_23de_4865_8cd8_817b7bcc5e64</vt:lpstr>
      <vt:lpstr>_14441241_0a61_4072_a184_3ef9135ffcbd</vt:lpstr>
      <vt:lpstr>_14847a21_6b94_4ff7_9bad_9e587be6968c</vt:lpstr>
      <vt:lpstr>_14fbf9ac_cb0e_4e14_ba59_f2adf5041008</vt:lpstr>
      <vt:lpstr>_1626435f_f8f3_4e34_8828_9cb3387d4e54</vt:lpstr>
      <vt:lpstr>_170fbd6d_9ba5_4aad_8548_b3f0139cfea8</vt:lpstr>
      <vt:lpstr>_1718b805_29b9_4728_b82f_46c70c29c038</vt:lpstr>
      <vt:lpstr>_171940e8_2f8c_42bc_8327_eda88166f808</vt:lpstr>
      <vt:lpstr>_17950811_8f21_4fbf_a246_b3e20c374635</vt:lpstr>
      <vt:lpstr>_185822bb_dd30_4a31_b325_a7bf1838a27b</vt:lpstr>
      <vt:lpstr>_18a06664_422a_4afd_8776_c9cd2f3a8102</vt:lpstr>
      <vt:lpstr>_18b57c31_f947_492d_9f7f_a627afd2c154</vt:lpstr>
      <vt:lpstr>_195f7ba2_8968_4d6e_a1b8_ee9325ccce1a</vt:lpstr>
      <vt:lpstr>_1a328457_5024_47f5_b1f5_b97cfe9f64a0</vt:lpstr>
      <vt:lpstr>_1ac3c7d2_806e_4c97_8424_99bba43d19c1</vt:lpstr>
      <vt:lpstr>_1b1ac468_cdc2_4a65_8e7a_c32632f19e95</vt:lpstr>
      <vt:lpstr>_1b687059_c6f5_4c5e_b04e_29b4b6ea8f69</vt:lpstr>
      <vt:lpstr>_1b9029a9_74ec_4182_88cb_4b64a38e6bee</vt:lpstr>
      <vt:lpstr>_1b9bea90_ee83_40ec_b916_b0edf4a2377b</vt:lpstr>
      <vt:lpstr>_1c12bfc2_41c8_4c56_8c9f_396f5701dc1c</vt:lpstr>
      <vt:lpstr>_1c4cb1f5_d705_4e51_a6e6_4039dab7da50</vt:lpstr>
      <vt:lpstr>_1cd791f8_3a8d_42f3_9590_05eeb856d94e</vt:lpstr>
      <vt:lpstr>_1dbe0d83_14a6_46d6_90f4_c43e8d4682fe</vt:lpstr>
      <vt:lpstr>_1dcfda05_d441_4ab9_9932_0c95814531aa</vt:lpstr>
      <vt:lpstr>_1ef01e70_f2f4_41f6_a0a3_3c5ddf646171</vt:lpstr>
      <vt:lpstr>_1fcd9b57_761d_4ab7_9f05_36647a9c35a0</vt:lpstr>
      <vt:lpstr>_201b1312_52af_4ba3_94ed_10acbd9db3df</vt:lpstr>
      <vt:lpstr>_20222c2a_abb7_4305_9e48_140775b91fe4</vt:lpstr>
      <vt:lpstr>_2074f1a6_5f45_432c_9efa_e96a9f7f55c6</vt:lpstr>
      <vt:lpstr>_20a104cf_6657_4cb6_b893_d2aace223d23</vt:lpstr>
      <vt:lpstr>_20bb13c0_da12_45ad_81e3_33df6711de12</vt:lpstr>
      <vt:lpstr>_2121eb47_16f0_4b47_aaa7_284b45596274</vt:lpstr>
      <vt:lpstr>_21333751_d338_4344_a072_e14d2e2e9102</vt:lpstr>
      <vt:lpstr>_214c5a75_5671_4063_9662_ea86abeb5df7</vt:lpstr>
      <vt:lpstr>_21b23461_406a_48ed_8518_8e08b427ade2</vt:lpstr>
      <vt:lpstr>_21d92fbb_4471_48d2_8351_b7c85bacdd13</vt:lpstr>
      <vt:lpstr>_21e8dd9c_1182_4d8a_95c8_480e6057fedf</vt:lpstr>
      <vt:lpstr>_225a89c6_e451_428b_a723_b309c9dc807f</vt:lpstr>
      <vt:lpstr>_2409e943_3a2a_4b6e_959e_084f142e2999</vt:lpstr>
      <vt:lpstr>_24836fcd_dd9a_4dfd_b3c1_9e742ab8b176</vt:lpstr>
      <vt:lpstr>_24954601_8e6c_4e6b_aa13_a5012957ffdf</vt:lpstr>
      <vt:lpstr>_2545b19c_cee8_4d82_80b0_5c1c0ca8f522</vt:lpstr>
      <vt:lpstr>_2551a12e_ad59_4cb2_b9f2_8371c7fca93e</vt:lpstr>
      <vt:lpstr>_26128106_a245_468c_800b_6839140b17d4</vt:lpstr>
      <vt:lpstr>_268e643c_67e6_419c_b49f_c914eb64c9a4</vt:lpstr>
      <vt:lpstr>_277fd514_579f_408c_a5e1_422cdb70415f</vt:lpstr>
      <vt:lpstr>_27900eac_0f37_4785_96d5_887119dcf122</vt:lpstr>
      <vt:lpstr>_2793ee74_cca9_4f84_9776_51daeee7feae</vt:lpstr>
      <vt:lpstr>_27fc07ef_9568_4392_b7cc_0a4fcecb32c0</vt:lpstr>
      <vt:lpstr>_2854b75f_de22_4f75_a225_deb5ebacc2aa</vt:lpstr>
      <vt:lpstr>_2891a3cb_3306_43d9_81d9_657e089ae725</vt:lpstr>
      <vt:lpstr>_28c573da_f5e1_4a40_957b_1efa6a406ef7</vt:lpstr>
      <vt:lpstr>_28f46fc6_3776_4d20_bdfe_84abbf039dc2</vt:lpstr>
      <vt:lpstr>_293f38f1_c088_4a23_962a_1bd45db5bc6f</vt:lpstr>
      <vt:lpstr>_29e662c7_9b05_470b_8f4a_a5a649012a52</vt:lpstr>
      <vt:lpstr>_2a5297bd_0cee_445b_9389_6a43dfa4d07a</vt:lpstr>
      <vt:lpstr>_2ab217bd_27c1_4438_bcf7_eddd201bd6a2</vt:lpstr>
      <vt:lpstr>_2ad6cae4_3ca1_4d56_8254_5383fef09c2c</vt:lpstr>
      <vt:lpstr>_2b209038_1439_4aeb_851f_f9c243d33972</vt:lpstr>
      <vt:lpstr>_2b9f3dc5_febe_4ad2_a38f_1ec6199abe74</vt:lpstr>
      <vt:lpstr>_2bb82f93_a867_4bd0_a226_d2fb33a8fd9d</vt:lpstr>
      <vt:lpstr>_2c8e9b40_6677_4f03_871e_7506c67a3653</vt:lpstr>
      <vt:lpstr>_2c9a24d0_c2a5_4238_957d_1c80a08a89a6</vt:lpstr>
      <vt:lpstr>_2cff41ba_bbe6_4f63_9bba_1bdc47c05fe8</vt:lpstr>
      <vt:lpstr>_2d56be7b_70a6_416b_869a_437b58f62220</vt:lpstr>
      <vt:lpstr>_2d8843e9_caa9_45c8_ad6b_e3cbea8aaace</vt:lpstr>
      <vt:lpstr>_2e1eeb6d_1773_49b0_968f_226093e22e23</vt:lpstr>
      <vt:lpstr>_2e235cee_5610_49dd_8d7e_928b9ed81fbb</vt:lpstr>
      <vt:lpstr>_2e36653e_265b_4f9f_9280_ded56491cef2</vt:lpstr>
      <vt:lpstr>_2f02ad9e_eed1_4325_8c86_b1b0d521ea83</vt:lpstr>
      <vt:lpstr>_2fd2dc5f_1324_44b8_b7f2_39c49660ec46</vt:lpstr>
      <vt:lpstr>_2fe607dc_45cd_435f_b49d_0d131cb45988</vt:lpstr>
      <vt:lpstr>_310c2671_4dab_4f0e_92da_ab05d4876813</vt:lpstr>
      <vt:lpstr>_3140b78f_9fc6_4242_9a5e_96f9b7a42c68</vt:lpstr>
      <vt:lpstr>_31bfde86_9229_452b_b6da_55dd8752cef9</vt:lpstr>
      <vt:lpstr>_31c25739_6c1f_49a1_8461_4262413183c9</vt:lpstr>
      <vt:lpstr>_320563ef_9917_45da_80eb_546a22839264</vt:lpstr>
      <vt:lpstr>_332f0239_e996_4331_92ad_d33a023b7c0e</vt:lpstr>
      <vt:lpstr>_339a2c0f_14e9_4701_a07d_b03d4699f82e</vt:lpstr>
      <vt:lpstr>_343cabac_1b02_4d00_8e12_981387ac4a3b</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_36c5f8ef_c37e_4053_9973_1bd8d68cf884</vt:lpstr>
      <vt:lpstr>_37dfa970_fbcc_4626_b151_58dc302ac5da</vt:lpstr>
      <vt:lpstr>_37e6fcb2_9017_498f_940c_eb69cf86e1ec</vt:lpstr>
      <vt:lpstr>_382e8f16_f2c2_4c3c_bfe0_202df788f67d</vt:lpstr>
      <vt:lpstr>_38e4d6cd_9280_468a_a9f8_2ab59f3de20d</vt:lpstr>
      <vt:lpstr>_3ab30b9b_2a1d_4a5c_80a5_afaf581a93af</vt:lpstr>
      <vt:lpstr>_3ae900a5_4560_48e6_8491_77798b497646</vt:lpstr>
      <vt:lpstr>_3b12fcce_1aba_43d8_9910_d0e180553217</vt:lpstr>
      <vt:lpstr>_3b59ca28_5fec_4321_b19b_3042d743ce39</vt:lpstr>
      <vt:lpstr>_3b8076c0_7c65_482c_b909_74ecec7bceff</vt:lpstr>
      <vt:lpstr>_3bf7b960_7d5e_4379_beff_df6d04ae34b4</vt:lpstr>
      <vt:lpstr>_3c21d77e_148a_4e35_b6d0_c6e9e74f0bb3</vt:lpstr>
      <vt:lpstr>_3c534f5b_a3d8_4c03_9c93_e1c83fbb3ce7</vt:lpstr>
      <vt:lpstr>_3cc94486_0931_44b4_986f_6aa4f56675af</vt:lpstr>
      <vt:lpstr>_3ce55712_0be2_41fa_b6ef_3873952e12fa</vt:lpstr>
      <vt:lpstr>_3d468dd6_697d_442f_8d43_3bb4d085f855</vt:lpstr>
      <vt:lpstr>_3d6ba683_5c25_42a9_b1a3_b465262324af</vt:lpstr>
      <vt:lpstr>_3ee5444a_525c_4417_a3a4_1332eac573d6</vt:lpstr>
      <vt:lpstr>_408022ab_d3e7_4779_a908_dec0eb44ec26</vt:lpstr>
      <vt:lpstr>_408c9ba4_b790_4b95_bed5_c7192f1bc8d9</vt:lpstr>
      <vt:lpstr>_409df221_33fe_43d1_ad9f_16c5711f20c6</vt:lpstr>
      <vt:lpstr>_4197ecec_09fa_4727_ba77_eca143f7c2f8</vt:lpstr>
      <vt:lpstr>_41a4b362_f3bc_422f_acfe_6809d25f8090</vt:lpstr>
      <vt:lpstr>_41afbf48_5efc_41e8_b92f_03c923fbf347</vt:lpstr>
      <vt:lpstr>_41d7ddd6_615b_45cc_bbd0_ec5406c0620a</vt:lpstr>
      <vt:lpstr>_430aac1b_7ad8_4763_abc8_168518890023</vt:lpstr>
      <vt:lpstr>_431b5fa0_4026_494a_854c_dbabfec42481</vt:lpstr>
      <vt:lpstr>_43bc67ab_a2dd_4a32_a150_b7acc6e5ffaf</vt:lpstr>
      <vt:lpstr>_440729e3_c3c6_4fce_a61e_3fc937d26fb6</vt:lpstr>
      <vt:lpstr>_44acb674_c0c6_42f7_a999_e916978f0e9c</vt:lpstr>
      <vt:lpstr>_44bef7dd_6adb_4ae1_a56c_804bba53ee64</vt:lpstr>
      <vt:lpstr>_44d37288_5e43_48e6_a9cc_80a3f02fc40f</vt:lpstr>
      <vt:lpstr>_45047549_c7b1_41f1_8959_f6e0a9d6e769</vt:lpstr>
      <vt:lpstr>_4577f587_bd3f_48cc_851e_02ed340afd05</vt:lpstr>
      <vt:lpstr>_45d34a7e_836a_4d0f_8c84_ca6c6816fc15</vt:lpstr>
      <vt:lpstr>_46d98dec_383c_449f_bf79_504ab2e94d96</vt:lpstr>
      <vt:lpstr>_472152fb_ad7d_40fc_b316_c6125e39742e</vt:lpstr>
      <vt:lpstr>_473d0c17_79b8_4ae9_840b_40ef173444d3</vt:lpstr>
      <vt:lpstr>_477df971_5dc0_470d_b4ca_a3dbe53706b4</vt:lpstr>
      <vt:lpstr>_47dd440d_c688_4c7b_8d45_f1fdbd02c1b1</vt:lpstr>
      <vt:lpstr>_48409d15_1531_4343_8398_16635cbe54cd</vt:lpstr>
      <vt:lpstr>_48cf273e_cb1f_4349_aede_76bf01bfb509</vt:lpstr>
      <vt:lpstr>_49530cbe_7d64_46dc_be4d_1ed9f42dd883</vt:lpstr>
      <vt:lpstr>_495db900_455a_4bc2_aca1_3b6808717d83</vt:lpstr>
      <vt:lpstr>_4a6b6982_96c4_403d_b0fc_f13c0db1f554</vt:lpstr>
      <vt:lpstr>_4a75ab29_2fba_488b_a5b9_64b6d1ec36c1</vt:lpstr>
      <vt:lpstr>_4b138a8f_d07c_4c2b_9f1c_4499d68cd42b</vt:lpstr>
      <vt:lpstr>_4ba29a9d_6e35_4803_84ae_80d82bf6aecc</vt:lpstr>
      <vt:lpstr>_4bc7cdd4_03b6_4a6a_ab5b_738b9773495d</vt:lpstr>
      <vt:lpstr>_4d22760f_f31e_44f7_a654_229afe124c9a</vt:lpstr>
      <vt:lpstr>_4d482caa_c6f0_4d6b_ba08_8e97bb199a2e</vt:lpstr>
      <vt:lpstr>_4d65f825_3de6_47dd_8e80_2cab2c068f8d</vt:lpstr>
      <vt:lpstr>_4dc694bb_178a_485f_a8f4_9948de60c83c</vt:lpstr>
      <vt:lpstr>_4ec9aff3_11c2_471f_861b_fc5182d84154</vt:lpstr>
      <vt:lpstr>_4f456bcc_4dda_4dc2_87cf_7e2ab8e4867f</vt:lpstr>
      <vt:lpstr>_4f5811c1_5588_48a1_be93_78a426e0a604</vt:lpstr>
      <vt:lpstr>_4f5ee1fb_5201_450f_b26c_2776346ecc3d</vt:lpstr>
      <vt:lpstr>_4fa7df54_4167_4d88_aa7f_6973f7b2c1de</vt:lpstr>
      <vt:lpstr>_4fed4e45_bb0e_458a_8148_e2f5656b2815</vt:lpstr>
      <vt:lpstr>_501b05f2_beee_4ff1_8d06_8e7cf61aaffe</vt:lpstr>
      <vt:lpstr>_507593e0_2c04_4cfd_bc33_b4c2361e5094</vt:lpstr>
      <vt:lpstr>_50b676cf_ec77_495f_a473_ec355371ed87</vt:lpstr>
      <vt:lpstr>_50e2a485_5ff9_4f65_a100_deef7ba48988</vt:lpstr>
      <vt:lpstr>_519f9de0_7fc8_4fb0_ac5c_a278b2d8846d</vt:lpstr>
      <vt:lpstr>_52054bef_b420_4327_add4_fa798d04017c</vt:lpstr>
      <vt:lpstr>_52198f87_9b21_45a3_973b_e963d8c11efc</vt:lpstr>
      <vt:lpstr>_5263d6c3_0889_447c_ad7d_e8d05cea5264</vt:lpstr>
      <vt:lpstr>_52889bae_171b_4de4_bd34_96a5732b47d7</vt:lpstr>
      <vt:lpstr>_52a64c96_0651_490b_a0d1_d681cb10288a</vt:lpstr>
      <vt:lpstr>_52b17fa4_18ae_499c_aece_a2f9d0bf20f7</vt:lpstr>
      <vt:lpstr>_52dc1b0f_6bac_44a5_97f3_5263253491ab</vt:lpstr>
      <vt:lpstr>_5336a174_86b3_4f90_81f4_b7b40a63ee91</vt:lpstr>
      <vt:lpstr>_5348887a_8eba_4149_8bd8_2b8164f6f0bc</vt:lpstr>
      <vt:lpstr>_535b5cb1_fd11_41c5_b65a_9dc1431e8c5a</vt:lpstr>
      <vt:lpstr>_53b4b445_e255_42e1_96d7_2168b648f5d4</vt:lpstr>
      <vt:lpstr>_541bf5f2_6e5c_42bb_b573_4dabdb837ccb</vt:lpstr>
      <vt:lpstr>_5437c5e6_8ca8_44cb_9e38_ca3176cdf015</vt:lpstr>
      <vt:lpstr>_55595928_0560_4be9_877a_bd5bc82a9a7d</vt:lpstr>
      <vt:lpstr>_565efadb_7821_4a23_a6f4_f732180d5e8d</vt:lpstr>
      <vt:lpstr>_56e9ed4a_d3e8_4433_9839_17e8bf465c29</vt:lpstr>
      <vt:lpstr>_5712e44f_dc61_44b4_a26d_ab094dd70c64</vt:lpstr>
      <vt:lpstr>_57236569_1ca7_4417_85fd_435883c78c65</vt:lpstr>
      <vt:lpstr>_57288ebb_302e_4bae_850c_0e0a4a5c1f7f</vt:lpstr>
      <vt:lpstr>_57989068_bae5_4f72_a2cd_07dcef5a0f9d</vt:lpstr>
      <vt:lpstr>_58688753_2269_4706_aa76_811072f7bc41</vt:lpstr>
      <vt:lpstr>_5964bf2a_f817_48ff_9e06_7e56e0638f86</vt:lpstr>
      <vt:lpstr>_597e8d3d_32ee_45e3_8e2d_d65638857605</vt:lpstr>
      <vt:lpstr>_5bdd450e_2459_43a5_b105_fb959e94136f</vt:lpstr>
      <vt:lpstr>_5c28ac45_35fb_4591_bd80_c9f95a8ca23a</vt:lpstr>
      <vt:lpstr>_5d18f182_f698_44f0_aed5_04a8dd506275</vt:lpstr>
      <vt:lpstr>_5e40e79f_519f_4568_95c5_d8ab14aef9db</vt:lpstr>
      <vt:lpstr>_5e551a34_038c_4c2d_bc82_a379518df6b5</vt:lpstr>
      <vt:lpstr>_5edf1531_f3e5_4e0a_bd34_5ac93f7d7ae8</vt:lpstr>
      <vt:lpstr>_5f30ac0f_9168_4505_b03b_45ef2c5c9822</vt:lpstr>
      <vt:lpstr>_5f428323_9197_4912_8b29_c91f320a2f34</vt:lpstr>
      <vt:lpstr>_5f94f414_579a_4f00_93d8_b3a903cc0460</vt:lpstr>
      <vt:lpstr>_5fc8d853_c679_4a06_bfcf_5a675070866e</vt:lpstr>
      <vt:lpstr>_60976000_ae62_452e_bfd0_374454389f85</vt:lpstr>
      <vt:lpstr>_610e3fb5_5a62_4ece_b8f4_199dbf408fa1</vt:lpstr>
      <vt:lpstr>_613ce52f_39d4_4b5e_b7c2_e543527f0aab</vt:lpstr>
      <vt:lpstr>_6185a387_212d_4c63_bdd3_ff6ea6d83529</vt:lpstr>
      <vt:lpstr>_61adcfad_564c_4ecb_95db_42dd5dcb05ce</vt:lpstr>
      <vt:lpstr>_623bdfdb_1527_496a_a91f_015812650e10</vt:lpstr>
      <vt:lpstr>_627ca42b_04e2_43b0_9dd3_6a366d7df9ec</vt:lpstr>
      <vt:lpstr>_63454265_3248_4db3_b9bf_b1ec2b9e58a7</vt:lpstr>
      <vt:lpstr>_63513477_0cc3_44cf_84ab_1a7dd71fcbc6</vt:lpstr>
      <vt:lpstr>_65451ff8_d6f9_443b_a146_6383585874f8</vt:lpstr>
      <vt:lpstr>_66241d40_fd19_4d9c_a228_2b1a72cf88e9</vt:lpstr>
      <vt:lpstr>_6650be55_c255_4b6d_ac4c_5b38cbe5b001</vt:lpstr>
      <vt:lpstr>_66f743f8_2ef5_4ccb_9d3b_6c6eda3703bf</vt:lpstr>
      <vt:lpstr>_678802fe_7e9d_48d3_b774_928685b080ec</vt:lpstr>
      <vt:lpstr>_67b58063_9bea_4748_a15f_138a3786f110</vt:lpstr>
      <vt:lpstr>_680ad8f9_9d02_4aeb_99ab_17766228eaa1</vt:lpstr>
      <vt:lpstr>_6834d968_c6d7_436e_a9ac_2de78f18e8d7</vt:lpstr>
      <vt:lpstr>_6925a659_4279_47ee_9a50_4867b4ac0252</vt:lpstr>
      <vt:lpstr>_6934972c_41d5_4939_8b99_40efdebcda1e</vt:lpstr>
      <vt:lpstr>_69cf8864_db61_4ee2_b62a_20d0a6f7afc7</vt:lpstr>
      <vt:lpstr>_69e738ec_0700_48e5_8002_a63b407578e9</vt:lpstr>
      <vt:lpstr>_6a157f31_945d_4b0f_930b_f53beefc2033</vt:lpstr>
      <vt:lpstr>_6b12ded8_b9ab_41d4_886b_f4ad8c0ce8fc</vt:lpstr>
      <vt:lpstr>_6b21f6a6_a3d0_4f35_81b4_9ae97f96d70c</vt:lpstr>
      <vt:lpstr>_6b55a2ec_c9cd_4f5a_8bba_903cf09663c2</vt:lpstr>
      <vt:lpstr>_6b6e13da_6252_4fdc_b103_637a53070bb9</vt:lpstr>
      <vt:lpstr>_6b719f39_1663_426e_838d_d860f92f2308</vt:lpstr>
      <vt:lpstr>_6c33d3db_5d78_4df9_9d73_7ad4d9358049</vt:lpstr>
      <vt:lpstr>_6d036d43_bea7_4cee_a3d7_d036c46ef46d</vt:lpstr>
      <vt:lpstr>_6d5b3777_03ae_4be7_8f94_e74e2c9b8070</vt:lpstr>
      <vt:lpstr>_6dd5f3b2_76a5_4885_ab3a_261d32dee719</vt:lpstr>
      <vt:lpstr>_6e0cad89_1375_46d6_85a6_28db613ac88a</vt:lpstr>
      <vt:lpstr>_6e57f82c_17b1_4fda_abfb_0f2e22d44f1c</vt:lpstr>
      <vt:lpstr>_6e63c362_5fe1_416d_9f41_7ad582955221</vt:lpstr>
      <vt:lpstr>_6e8071c8_c4ae_4b61_9592_a8a77c0b7472</vt:lpstr>
      <vt:lpstr>_6eacce5f_389e_40c4_9df5_f019b7962a91</vt:lpstr>
      <vt:lpstr>_6ecf7e83_bf38_48ce_9f75_06e710f915b2</vt:lpstr>
      <vt:lpstr>_6ef9ab1f_6e6d_4e39_b2db_7a45030174c1</vt:lpstr>
      <vt:lpstr>_6f487020_123a_43cf_85d6_29245451544e</vt:lpstr>
      <vt:lpstr>_701490a0_c8d0_4d61_91f4_83c13fe6ed3d</vt:lpstr>
      <vt:lpstr>_70506951_a1a6_4f1e_99f8_1267b00320f7</vt:lpstr>
      <vt:lpstr>_70566cd6_c835_4289_91d0_08a3c9c26817</vt:lpstr>
      <vt:lpstr>_707f850a_c07b_4b54_a665_c0f12479c030</vt:lpstr>
      <vt:lpstr>_714a1110_07ce_4897_90da_b0009b6f3c7d</vt:lpstr>
      <vt:lpstr>_714b8e8a_042a_45e3_ad3e_2dd6e788da1c</vt:lpstr>
      <vt:lpstr>_7162822c_3f75_49af_ae42_7e03489b400d</vt:lpstr>
      <vt:lpstr>_71a7092b_e923_4657_9540_e8cd93553ad4</vt:lpstr>
      <vt:lpstr>_722e9836_0a25_4f0a_a0ae_efa18a2948e0</vt:lpstr>
      <vt:lpstr>_72556b6e_a0e8_40c3_a842_b12f64c6871e</vt:lpstr>
      <vt:lpstr>_7268c752_e187_487c_ae1f_8d8e309992e6</vt:lpstr>
      <vt:lpstr>_73eaac44_276b_4bd8_afcd_7fbc9741f007</vt:lpstr>
      <vt:lpstr>_74873009_7e38_4b0c_9ff7_5d16181137fa</vt:lpstr>
      <vt:lpstr>_753b25ee_8603_4b51_ab70_af6d128e1c67</vt:lpstr>
      <vt:lpstr>_7565ba9e_befa_4561_9280_faee51a22254</vt:lpstr>
      <vt:lpstr>_7570528c_86d3_4cd3_99c6_e66d45eaf78a</vt:lpstr>
      <vt:lpstr>_757bbdaf_a251_4e14_80bf_570115bbd806</vt:lpstr>
      <vt:lpstr>_75ac4799_f046_4f3a_82c4_f3e1c519a0c6</vt:lpstr>
      <vt:lpstr>_7779e57c_3bed_4aa2_9bfb_51a715fb2b5f</vt:lpstr>
      <vt:lpstr>_7813fafd_b269_4d04_a45c_afac5be852b0</vt:lpstr>
      <vt:lpstr>_787ff88b_a183_4cb5_bc2b_2e8e0b979e76</vt:lpstr>
      <vt:lpstr>_78bfad15_335d_4773_9ea3_22dbf845ec19</vt:lpstr>
      <vt:lpstr>_79022082_d3d2_4108_89c1_64832a18b4bf</vt:lpstr>
      <vt:lpstr>_79035320_bad6_47bc_8a61_1bcb6b4baab8</vt:lpstr>
      <vt:lpstr>_791c5822_dba9_4243_b810_c7debba87c9d</vt:lpstr>
      <vt:lpstr>_7a37da6d_557e_498a_b45a_45e538c7c953</vt:lpstr>
      <vt:lpstr>_7a428d4c_4a03_4517_a855_fd15ab3e70e6</vt:lpstr>
      <vt:lpstr>_7a81d0c5_d1ef_45e4_a825_b7f0c84481c8</vt:lpstr>
      <vt:lpstr>_7a9db33a_b396_4e3d_801a_808fb2e6434c</vt:lpstr>
      <vt:lpstr>_7b228704_0b7d_4fb6_ad6d_ec11fd6ca43e</vt:lpstr>
      <vt:lpstr>_7bebb4a9_96b4_4bf7_a9bf_df97a4d5a18b</vt:lpstr>
      <vt:lpstr>_7c9346fa_4733_469d_9036_151df2985791</vt:lpstr>
      <vt:lpstr>_7d06a65e_780e_4a94_b66d_6fb9f9e77f5a</vt:lpstr>
      <vt:lpstr>_7de2c6e1_0d3f_4ff9_8a70_503e84eb4988</vt:lpstr>
      <vt:lpstr>_7e306497_8a26_45c9_9ebd_fd72770df537</vt:lpstr>
      <vt:lpstr>_7f322098_a2c9_4f4f_b089_d02adca9a751</vt:lpstr>
      <vt:lpstr>_7f58e83f_15cc_4916_9c7c_178f10eba2bc</vt:lpstr>
      <vt:lpstr>_7f9e1529_2908_49a2_8acb_9352161fca84</vt:lpstr>
      <vt:lpstr>_8011a3f0_bdce_48f5_910d_54f4bb117c23</vt:lpstr>
      <vt:lpstr>_802c7c9d_99a5_4cbc_9792_1d7f4106a506</vt:lpstr>
      <vt:lpstr>_803b0ec6_ba51_4d34_99a9_9e92dcff52b7</vt:lpstr>
      <vt:lpstr>_80a61ef2_e922_4de9_ba0c_69186e929029</vt:lpstr>
      <vt:lpstr>_81493a42_01f0_4e58_beda_232c41e9af32</vt:lpstr>
      <vt:lpstr>_81be5b15_31f3_4e68_8178_437ca3b96a38</vt:lpstr>
      <vt:lpstr>_821a99a0_960d_4b7e_b8bf_7115b6e846fa</vt:lpstr>
      <vt:lpstr>_82b0cfea_bc94_40ca_b758_9e97c5660e44</vt:lpstr>
      <vt:lpstr>_82bb00ac_8c4a_4cd7_84b6_e02f35f60bac</vt:lpstr>
      <vt:lpstr>_837007a5_4cc7_4865_8bc0_f6e19e17c48d</vt:lpstr>
      <vt:lpstr>_83e1ee3f_bcec_4ca2_b8db_25777425bbec</vt:lpstr>
      <vt:lpstr>_84cd37a2_09e0_4158_b7ef_391f6df7c768</vt:lpstr>
      <vt:lpstr>_851bd1dc_0ff5_47b8_afb2_6ad15d068d02</vt:lpstr>
      <vt:lpstr>_8530f2c7_dd02_45e9_bd41_e6eddc22b9c7</vt:lpstr>
      <vt:lpstr>_8634e574_8191_4364_a720_0e0b4b2266ba</vt:lpstr>
      <vt:lpstr>_867e0d0e_5535_4d68_9b9a_3d74442b4a14</vt:lpstr>
      <vt:lpstr>_86862528_02bf_45a2_992c_739412d2e901</vt:lpstr>
      <vt:lpstr>_86f2dfad_9490_48ce_ad8c_8d0217c95a23</vt:lpstr>
      <vt:lpstr>_878b3111_c470_4e7f_9c43_e3d2ad59e41c</vt:lpstr>
      <vt:lpstr>_88939632_4e82_482c_b58b_2926e6e6319b</vt:lpstr>
      <vt:lpstr>_89fb7e59_34f8_4e2b_a646_59d1e86de0b9</vt:lpstr>
      <vt:lpstr>_8ae31e70_a27c_44ae_8725_1ebb73838f5b</vt:lpstr>
      <vt:lpstr>_8ccbcc82_3f76_4302_a2db_361f5f5b6e86</vt:lpstr>
      <vt:lpstr>_8cdd7412_b22d_44d3_8ec0_8b8d2691c568</vt:lpstr>
      <vt:lpstr>_8dbad7af_66b9_4864_9095_29d573d6dbcd</vt:lpstr>
      <vt:lpstr>_8e023779_91f3_4941_8ea6_8b93848e08ab</vt:lpstr>
      <vt:lpstr>_8ea4fb0f_668b_4ce7_be9c_6b23dd2aeb87</vt:lpstr>
      <vt:lpstr>_8ebe7255_4945_49ff_a4ae_52831126b49a</vt:lpstr>
      <vt:lpstr>_8ee811b0_f840_4860_8f13_c2034ddc0bf5</vt:lpstr>
      <vt:lpstr>_8ef32e09_df30_424b_9feb_f1e4caee2f06</vt:lpstr>
      <vt:lpstr>_903dca89_26fd_4a4e_9a18_29033ee7365c</vt:lpstr>
      <vt:lpstr>_904bbc6d_3100_44ea_bb67_7c7bb0b6b8eb</vt:lpstr>
      <vt:lpstr>_90af6756_4847_4b58_bff3_9a6e124483ea</vt:lpstr>
      <vt:lpstr>_91372bc4_151c_471b_b3cc_72b9232bd0b3</vt:lpstr>
      <vt:lpstr>_913ff54d_49ce_48d1_a2c3_f80669d36837</vt:lpstr>
      <vt:lpstr>_916d0e87_3ca0_4bb2_8a22_f5171202f2bc</vt:lpstr>
      <vt:lpstr>_918478d7_b215_42d8_aff0_de2eda91af03</vt:lpstr>
      <vt:lpstr>_91a560c9_2c62_48ed_85e4_44811e19b8b8</vt:lpstr>
      <vt:lpstr>_92853b6c_3001_41e6_a203_eca37b9b7da2</vt:lpstr>
      <vt:lpstr>_929dc0e7_2ff6_40aa_ab32_942235c392de</vt:lpstr>
      <vt:lpstr>_93fb57ea_977f_4441_8030_f00390ec26a1</vt:lpstr>
      <vt:lpstr>_94db21c7_c958_49e2_9dbc_5a4aeaad8ab8</vt:lpstr>
      <vt:lpstr>_952895f5_a58d_450f_8b04_5e10eb66a9bb</vt:lpstr>
      <vt:lpstr>_95496991_4e79_4834_9a3d_e94e6ee33295</vt:lpstr>
      <vt:lpstr>_96216c52_3538_4325_8126_72dc62827a1b</vt:lpstr>
      <vt:lpstr>_96256379_c718_4181_bf73_973e478593e9</vt:lpstr>
      <vt:lpstr>_967730a3_91b4_4004_9fcb_63018a16119d</vt:lpstr>
      <vt:lpstr>_97ae640e_1da8_44bd_8afb_a3377cf0daef</vt:lpstr>
      <vt:lpstr>_982c43d0_8831_49b9_9e1a_1be56ebefa3a</vt:lpstr>
      <vt:lpstr>_9835f238_52ec_4e0a_99ce_1ef1c89b9777</vt:lpstr>
      <vt:lpstr>_98ea11c4_d506_48e8_a3ec_3c854deab218</vt:lpstr>
      <vt:lpstr>_99763322_db0d_42bb_a4c0_24b913373b81</vt:lpstr>
      <vt:lpstr>_99e27692_a199_46c2_b415_80e4c984f65b</vt:lpstr>
      <vt:lpstr>_9a0157b9_7f98_4288_b80a_b04b7c04d49f</vt:lpstr>
      <vt:lpstr>_9abe3826_5ff6_4721_b451_4c70f3820124</vt:lpstr>
      <vt:lpstr>_9af627e5_abec_4455_855e_4f8fc06a30e2</vt:lpstr>
      <vt:lpstr>_9c40e61e_0516_444c_87ad_54d38ce2b666</vt:lpstr>
      <vt:lpstr>_9c43eb49_271e_490b_9865_056296ec43b4</vt:lpstr>
      <vt:lpstr>_9c5b61f9_8dbb_43e7_b314_90d1996f060f</vt:lpstr>
      <vt:lpstr>_9cf94b37_886d_453a_b059_da5488baf1e2</vt:lpstr>
      <vt:lpstr>_9dde933d_22e2_46f8_a29c_722bba867063</vt:lpstr>
      <vt:lpstr>_9f7ec0d9_8a4d_4bd6_9961_b57e500006ca</vt:lpstr>
      <vt:lpstr>_9fa0cd09_00bb_439b_bc3d_5c5a815ba6fc</vt:lpstr>
      <vt:lpstr>_9fce8f4e_eefa_4e29_bf9d_4a4144fa921f</vt:lpstr>
      <vt:lpstr>_a14b36a6_14d7_4205_b67e_ef33bc3a5036</vt:lpstr>
      <vt:lpstr>_a1abe75b_a507_43b9_a541_8f3bcf9a48fb</vt:lpstr>
      <vt:lpstr>_a22893e8_3225_4a39_954e_e68fa6d9b0b8</vt:lpstr>
      <vt:lpstr>_a23fe999_dc9b_4213_bccb_5c568ed4b039</vt:lpstr>
      <vt:lpstr>_a2857c43_ccfe_45c1_a2a7_bc56bcfe6778</vt:lpstr>
      <vt:lpstr>_a2aaa526_cf11_4922_85a7_9854e82e9502</vt:lpstr>
      <vt:lpstr>_a3fa33e3_07de_4eb6_b887_60216f0ee76c</vt:lpstr>
      <vt:lpstr>_a44e3768_6d83_4529_86aa_fbe88f50c1d2</vt:lpstr>
      <vt:lpstr>_a5a76272_69b1_42b6_b763_8f95ba59ec2f</vt:lpstr>
      <vt:lpstr>_a5f4b763_02ba_490b_bdf2_075ab2f779e9</vt:lpstr>
      <vt:lpstr>_a5f4cda3_c18f_42a5_b519_90eec3da07fb</vt:lpstr>
      <vt:lpstr>_a5fc1271_d4b7_497b_9bd4_4a8f37306cc7</vt:lpstr>
      <vt:lpstr>_a60abff5_0f4c_41d2_9828_7d3090a17cbf</vt:lpstr>
      <vt:lpstr>_a6611be2_bac6_4d94_b5a4_7bbcf175e5f2</vt:lpstr>
      <vt:lpstr>_a76f074b_9d94_4d0d_98fb_afe277ad1e23</vt:lpstr>
      <vt:lpstr>_a77d8694_d870_45fa_bcbd_e06d24d74b95</vt:lpstr>
      <vt:lpstr>_a7c2f89e_a66c_4d30_8a86_597d6360be7b</vt:lpstr>
      <vt:lpstr>_a7ffe0d7_744c_4862_87e2_b2bf0533330e</vt:lpstr>
      <vt:lpstr>_a817ac8d_c187_421e_9188_86f7a0c2dca7</vt:lpstr>
      <vt:lpstr>_a885e521_1554_4dd5_9eec_868a0a914fa1</vt:lpstr>
      <vt:lpstr>_a89122c7_e052_476b_818f_e3953cf2fbb2</vt:lpstr>
      <vt:lpstr>_a8da9045_3946_4e4d_bcbd_22a78f8f822d</vt:lpstr>
      <vt:lpstr>_a94da0e9_edd8_4c95_9cac_99b226f116f2</vt:lpstr>
      <vt:lpstr>_aa2d0228_61bd_43df_b14c_892ebeb9a987</vt:lpstr>
      <vt:lpstr>_aae5995c_f9cd_459d_a3d8_3202590baa40</vt:lpstr>
      <vt:lpstr>_ab1461bb_110c_4386_91ba_f4df2ceec177</vt:lpstr>
      <vt:lpstr>_ab242d07_534b_4707_8ee1_84320b5935c4</vt:lpstr>
      <vt:lpstr>_acb39a84_4b53_4a4d_add1_72f573a4bd1b</vt:lpstr>
      <vt:lpstr>_ad22d3ea_23dd_4b9b_beb9_3d48444973d9</vt:lpstr>
      <vt:lpstr>_add56880_214e_4467_a781_1be0dd9550b7</vt:lpstr>
      <vt:lpstr>_adfa2069_54bd_49dd_aff7_58a515100443</vt:lpstr>
      <vt:lpstr>_ae9a2a01_8185_4a39_a817_1c3af401cf73</vt:lpstr>
      <vt:lpstr>_aec1a272_c9a6_4aee_a850_bef1de45940d</vt:lpstr>
      <vt:lpstr>_af573a1f_b2d3_48c8_8613_0e4e90e8c1a0</vt:lpstr>
      <vt:lpstr>_af9ed7e9_1f65_41a0_9cba_145514afe9cb</vt:lpstr>
      <vt:lpstr>_afa1d7f1_07c5_4c9c_bad0_0b92824b78e5</vt:lpstr>
      <vt:lpstr>_b1625f64_eaeb_40bb_ad1b_ec1363ab1548</vt:lpstr>
      <vt:lpstr>_b261651c_e6fe_469e_a74c_95794370d1d2</vt:lpstr>
      <vt:lpstr>_b2735405_dd56_44ce_9ea7_7c9dcc4cf6e1</vt:lpstr>
      <vt:lpstr>_b316be10_ca52_4dc0_9663_272f8ab22240</vt:lpstr>
      <vt:lpstr>_b351d9ea_276d_43fa_9512_4c790d698103</vt:lpstr>
      <vt:lpstr>_b3cc0443_68e1_44fa_857f_4107474e6e5c</vt:lpstr>
      <vt:lpstr>_b4109a2f_dd4d_4976_bbb9_5e1603f6ae69</vt:lpstr>
      <vt:lpstr>_b47c89f6_55b2_42fa_bc4e_35c0c432ee8d</vt:lpstr>
      <vt:lpstr>_b501bcb0_8c66_4fb5_85ad_85aa5a59ac75</vt:lpstr>
      <vt:lpstr>_b54e8eb4_f806_4dc3_8035_1c1e1e590c2d</vt:lpstr>
      <vt:lpstr>_b551fc65_a499_44d8_a0c3_755d382b9cf7</vt:lpstr>
      <vt:lpstr>_b69c7284_2401_4bb4_8762_88ce6c289c8e</vt:lpstr>
      <vt:lpstr>_b76d8b1c_1420_4d82_b636_3d27611e65ca</vt:lpstr>
      <vt:lpstr>_b7d62972_db5a_49a3_abef_e5a608e13fbe</vt:lpstr>
      <vt:lpstr>_b7f35b87_0218_4f3d_a11a_6bb851c3e04d</vt:lpstr>
      <vt:lpstr>_b83f9545_ce29_49ca_9cc9_99031942d021</vt:lpstr>
      <vt:lpstr>_b959beb9_1131_4cbf_a1c8_851b24abd42a</vt:lpstr>
      <vt:lpstr>_b95c23fc_a2fc_4a61_9cc5_bb924ba6dad4</vt:lpstr>
      <vt:lpstr>_b9bf2746_7863_48db_8876_171a71bfca6f</vt:lpstr>
      <vt:lpstr>_b9ee0cc6_4b19_4cf8_9bd9_add104378235</vt:lpstr>
      <vt:lpstr>_ba560e05_07f5_438a_a468_ee8a6c96e8b9</vt:lpstr>
      <vt:lpstr>_ba667b40_f388_49ed_8488_04e4561f1485</vt:lpstr>
      <vt:lpstr>_baa8e656_b3bc_4c85_89e2_5d6b657bad20</vt:lpstr>
      <vt:lpstr>_bac905a9_63ef_4f3d_b302_9df2fdd2980b</vt:lpstr>
      <vt:lpstr>_bafc2b11_64ef_4927_88fb_370bc23eea5e</vt:lpstr>
      <vt:lpstr>_bb415c23_c8e5_48c4_9fcd_6ae35924e6cd</vt:lpstr>
      <vt:lpstr>_bb54d7c2_389f_44a0_a4ad_9dd5575908d8</vt:lpstr>
      <vt:lpstr>_bb7b6ae9_9b82_4c83_ba59_3b569d3921df</vt:lpstr>
      <vt:lpstr>_bb9621d9_0d13_49e0_bd0f_2e7c8de27cae</vt:lpstr>
      <vt:lpstr>_bbfbd99a_1ffd_42e5_b449_9d7101abff3f</vt:lpstr>
      <vt:lpstr>_bcbca8f4_dfbb_4ab1_bed9_2bbbbc723c2b</vt:lpstr>
      <vt:lpstr>_be87a682_668e_4763_888a_ad12880fe703</vt:lpstr>
      <vt:lpstr>_be90e842_bf92_4970_a904_cd13c24d278d</vt:lpstr>
      <vt:lpstr>_c03a14fb_b9ac_4d7d_af4a_30bd3bf36470</vt:lpstr>
      <vt:lpstr>_c0c38578_1a8b_4284_b032_79a5ebb082f1</vt:lpstr>
      <vt:lpstr>_c1a973af_b197_4a55_bd6d_98a3b2c97a5c</vt:lpstr>
      <vt:lpstr>_c1aa6c49_3369_49b8_a4e8_bc30d7e5e378</vt:lpstr>
      <vt:lpstr>_c1be7177_de14_442d_9890_3f659942f691</vt:lpstr>
      <vt:lpstr>_c1cde4db_a9a8_4995_b96f_44af933d6589</vt:lpstr>
      <vt:lpstr>_c2b5e028_1858_45d3_92f6_47e0c406c62e</vt:lpstr>
      <vt:lpstr>_c2e48005_1f6a_4232_a75d_574f1c2240ca</vt:lpstr>
      <vt:lpstr>_c2f07494_8767_4f88_bf1f_a2fe1d569547</vt:lpstr>
      <vt:lpstr>_c2f7f4a7_9ed6_400c_a2e8_3bda88454b04</vt:lpstr>
      <vt:lpstr>_c3af1588_91cd_4759_9dad_bd901f279d47</vt:lpstr>
      <vt:lpstr>_c3b4ba75_9457_4a46_80e3_4e8205b9d18b</vt:lpstr>
      <vt:lpstr>_c3e8fe73_7640_4272_9908_71499cbbe1b0</vt:lpstr>
      <vt:lpstr>_c4a3a71e_2de3_4743_8c00_1ef1231b158f</vt:lpstr>
      <vt:lpstr>_c55aa8c5_5b05_40e7_aafb_69f3530da442</vt:lpstr>
      <vt:lpstr>_c56bd5c8_8f95_4a7a_8cf5_567fb1694ad0</vt:lpstr>
      <vt:lpstr>_c58c82c9_a86b_4cd0_831c_ac3631fbdd15</vt:lpstr>
      <vt:lpstr>_c5b37d10_b0bc_4a9b_b413_fc94389209f7</vt:lpstr>
      <vt:lpstr>_c5cca34c_2d5b_499b_8300_a0846a99774b</vt:lpstr>
      <vt:lpstr>_c60ff4aa_88c1_4502_b3a1_288f7d6a6b04</vt:lpstr>
      <vt:lpstr>_c64e2e20_e1c7_4750_a557_92c33213d455</vt:lpstr>
      <vt:lpstr>_c6a0dd45_9639_4ac4_8c1a_731df8bc21ca</vt:lpstr>
      <vt:lpstr>_c6fcd9f1_f600_4357_8ea7_4ef4daa64bcb</vt:lpstr>
      <vt:lpstr>_c72c7908_d85f_4c20_9327_98fada112458</vt:lpstr>
      <vt:lpstr>_c74ad0d3_f3a5_4d56_92f8_75d3a6567ba1</vt:lpstr>
      <vt:lpstr>_c7c5c355_9a58_4b6d_9db7_d801b7ca0e54</vt:lpstr>
      <vt:lpstr>_c90c77af_8811_4316_aa43_575099388641</vt:lpstr>
      <vt:lpstr>_c956cc48_a7c4_4c5d_959e_931956eb1d4f</vt:lpstr>
      <vt:lpstr>_c96201ae_74da_4b0d_8962_0d32bcd26863</vt:lpstr>
      <vt:lpstr>_c967a233_07b0_49c7_8ff1_927d8463ae7e</vt:lpstr>
      <vt:lpstr>_cadc707c_8dd5_4c56_8866_f3409b9e4508</vt:lpstr>
      <vt:lpstr>_cbc131d3_bdb1_44f5_9bae_64fabcd232f8</vt:lpstr>
      <vt:lpstr>_cbe0c769_a98a_40f8_9c4a_c9b0946d5ace</vt:lpstr>
      <vt:lpstr>_cc89bd44_a5ec_46a7_9bdd_ef07c3551952</vt:lpstr>
      <vt:lpstr>_cd7530c2_0621_4a72_9a4e_7b28f1dbf5bb</vt:lpstr>
      <vt:lpstr>_cd92fcfe_e645_41ba_b92f_9cd3a6ed08b1</vt:lpstr>
      <vt:lpstr>_cdbfe4e1_c112_4fac_9d9e_27ab96fdcfec</vt:lpstr>
      <vt:lpstr>_ce004fb4_319a_433f_9023_ec2a6b64d175</vt:lpstr>
      <vt:lpstr>_ce120700_ae5c_4ded_8bab_3bbb696d6d1c</vt:lpstr>
      <vt:lpstr>_ce2cc983_ccc3_4253_abf2_f1e85f90a00e</vt:lpstr>
      <vt:lpstr>_d01416b2_18ec_40be_a8d9_2c4e9899fe85</vt:lpstr>
      <vt:lpstr>_d04b21b2_2547_40ac_8706_573e7564c03f</vt:lpstr>
      <vt:lpstr>_d0785161_ce43_4dd0_a64b_2676c7f3539a</vt:lpstr>
      <vt:lpstr>_d0e80b24_abb1_49ca_98e8_e4a4f83d98c3</vt:lpstr>
      <vt:lpstr>_d1048e91_6403_4760_8603_932503976708</vt:lpstr>
      <vt:lpstr>_d123de71_300c_47cc_8ad0_5cdd130331df</vt:lpstr>
      <vt:lpstr>_d14b9ac0_1e3d_41aa_b6b6_74ddd4c0b469</vt:lpstr>
      <vt:lpstr>_d2996517_3780_4bf1_9a55_0baa67d4b8a7</vt:lpstr>
      <vt:lpstr>_d2a3cd2b_73dd_41a6_b148_794c423c4f26</vt:lpstr>
      <vt:lpstr>_d2ee3817_001d_4613_a901_9f1d6c79813f</vt:lpstr>
      <vt:lpstr>_d345fa15_e608_40a1_b9aa_ab920099a4f8</vt:lpstr>
      <vt:lpstr>_d3afcc28_994b_40ce_85b2_eb7bcd10d07e</vt:lpstr>
      <vt:lpstr>_d47e45fc_dd1f_41af_bfcb_87c22b2de261</vt:lpstr>
      <vt:lpstr>_d4978519_7fbb_426a_8f19_db4b80e5f6ee</vt:lpstr>
      <vt:lpstr>_d4e27a0b_b0cc_4540_ae5b_01808f92736d</vt:lpstr>
      <vt:lpstr>_d5211965_8cbd_46a2_933a_8caf4285aa60</vt:lpstr>
      <vt:lpstr>_d5469ef6_b070_49b5_8e58_4d6b2273d76b</vt:lpstr>
      <vt:lpstr>_d5d801af_6188_4d4b_9705_d32e546d4bca</vt:lpstr>
      <vt:lpstr>_d68ffaa8_413e_4a0f_a0ec_6d03160979c3</vt:lpstr>
      <vt:lpstr>_d6b7513d_e66f_4cdb_94d8_99be85c36ded</vt:lpstr>
      <vt:lpstr>_d74a9cad_90b2_4305_97af_63a588b609b7</vt:lpstr>
      <vt:lpstr>_d7b38c7a_acf6_4726_87a0_eeda6bd08f2c</vt:lpstr>
      <vt:lpstr>_d7e7fbf3_8709_47d3_839e_af5d6f86af28</vt:lpstr>
      <vt:lpstr>_d8caa4f2_edc7_419b_a9a7_7d6ca1ce6f95</vt:lpstr>
      <vt:lpstr>_d91f68da_8dbb_4c73_9190_0105b6a2af6c</vt:lpstr>
      <vt:lpstr>_d979609c_e772_4d2b_83d6_ede7675dd027</vt:lpstr>
      <vt:lpstr>_d9dce329_072f_44df_9622_81587aa87bd0</vt:lpstr>
      <vt:lpstr>_d9e4ef22_cb3e_48e7_9f58_c1a1df42a062</vt:lpstr>
      <vt:lpstr>_d9f00113_86dc_460a_a626_b5a341537db6</vt:lpstr>
      <vt:lpstr>_da08475d_d7e5_4e1c_841e_71910ba62047</vt:lpstr>
      <vt:lpstr>_da2f4c71_e998_4c6e_9a63_93e1480ef18a</vt:lpstr>
      <vt:lpstr>_db06df70_9ba5_447a_bb55_0a082f2f676f</vt:lpstr>
      <vt:lpstr>_db08b21d_ebdb_4c23_a7cd_797659b6cadf</vt:lpstr>
      <vt:lpstr>_db11908c_7852_4503_8b76_7c02c811eac4</vt:lpstr>
      <vt:lpstr>_dc1dffef_63db_45ca_9bae_0756da3945b6</vt:lpstr>
      <vt:lpstr>_dc39d61a_6f59_4153_a46d_c96426547007</vt:lpstr>
      <vt:lpstr>_dcf876d1_3b3d_47c2_ab1c_a6bc3c0381d8</vt:lpstr>
      <vt:lpstr>_dd49614e_8e51_44f1_b2f8_b897269574e7</vt:lpstr>
      <vt:lpstr>_ddaea7d6_5ac0_4e2b_9832_39a275a76bf2</vt:lpstr>
      <vt:lpstr>_deb74b12_5bb2_4bb2_b2c8_92fb4af550cc</vt:lpstr>
      <vt:lpstr>_dfc44119_3fb4_4cbe_92a2_d884ed334dc5</vt:lpstr>
      <vt:lpstr>_e10cb5e9_49b0_444f_b138_0a5f532e293d</vt:lpstr>
      <vt:lpstr>_e13cd601_6175_4f89_8ec6_150eb2ccff3e</vt:lpstr>
      <vt:lpstr>_e13e38b5_fb0c_4d07_aafd_903bc0930262</vt:lpstr>
      <vt:lpstr>_e2a0c05c_3caa_4293_af9a_9b6f4870a559</vt:lpstr>
      <vt:lpstr>_e3811a2d_2b59_4d72_83f1_02539b2c7483</vt:lpstr>
      <vt:lpstr>_e3e32c78_a0ef_40cc_80b5_c31527797706</vt:lpstr>
      <vt:lpstr>_e4538c73_83d4_4808_a7a7_c62506e7d730</vt:lpstr>
      <vt:lpstr>_e46c561b_100f_4841_a7e3_44b4504df11e</vt:lpstr>
      <vt:lpstr>_e46cfceb_fffa_42ce_9d2c_793d59357213</vt:lpstr>
      <vt:lpstr>_e526c5b9_85da_4a36_a421_86a2457e2f55</vt:lpstr>
      <vt:lpstr>_e599e561_0fc8_4f8b_888f_5c18b66dedd7</vt:lpstr>
      <vt:lpstr>_e5bad132_219c_403d_9f9c_8913cb0c0a19</vt:lpstr>
      <vt:lpstr>_e5f13daa_f452_40ba_85d8_59c60a4ba272</vt:lpstr>
      <vt:lpstr>_e5f55a03_621b_42f6_a087_e3d6996132f6</vt:lpstr>
      <vt:lpstr>_e5f7c3b6_6b8a_4a2d_8242_f09c949bdb2f</vt:lpstr>
      <vt:lpstr>_e65bfcc9_7867_4612_ad09_227f708d8614</vt:lpstr>
      <vt:lpstr>_e6f86aed_49b8_40bd_a307_5a906642d596</vt:lpstr>
      <vt:lpstr>_e710eb38_a64f_4250_a667_4daf102a24ee</vt:lpstr>
      <vt:lpstr>_e74aa482_cfac_4f60_baf2_9c731852f6a5</vt:lpstr>
      <vt:lpstr>_e8c24b78_d462_4308_9460_a185ce94681d</vt:lpstr>
      <vt:lpstr>_e8c7b8d5_cb68_422b_8bb9_3b052ad874d7</vt:lpstr>
      <vt:lpstr>_ea7f56e0_fd86_4d0c_9a67_9777ac61586f</vt:lpstr>
      <vt:lpstr>_eb1493e4_5c4b_4c32_9cde_a1cca66770bb</vt:lpstr>
      <vt:lpstr>_eb611bdf_705f_4423_8309_44cb559826c1</vt:lpstr>
      <vt:lpstr>_eb76ca58_43c3_4846_a09d_1f72371660c3</vt:lpstr>
      <vt:lpstr>_ebd70998_f2b0_4b92_8560_5eb5b616d866</vt:lpstr>
      <vt:lpstr>_ec46e65d_63c7_4f19_a129_0daecba261ea</vt:lpstr>
      <vt:lpstr>_ec87a05d_a4df_4200_8676_621d3d1f4a48</vt:lpstr>
      <vt:lpstr>_ed07a568_280a_4599_be26_43e420543419</vt:lpstr>
      <vt:lpstr>_ee1feaa4_dbdd_4a8c_a6d7_641d179afbd9</vt:lpstr>
      <vt:lpstr>_ee8ab5f8_318d_4f29_9852_3e4b3cb840d3</vt:lpstr>
      <vt:lpstr>_eecc7765_a2a3_4027_8e97_a7928c389f9c</vt:lpstr>
      <vt:lpstr>_efc5570e_db9e_4647_af7e_59a98ece6f58</vt:lpstr>
      <vt:lpstr>_f0d198a5_729e_44d2_b5fa_2febafc19970</vt:lpstr>
      <vt:lpstr>_f13ed6fd_bf95_4e6c_82d3_586e8aca3862</vt:lpstr>
      <vt:lpstr>_f18ca988_98be_46f6_9aa6_bb40019ac680</vt:lpstr>
      <vt:lpstr>_f1a095bc_bc1c_4b50_b8ad_b2f9a984326c</vt:lpstr>
      <vt:lpstr>_f202d550_5782_439d_a652_e3ac70978217</vt:lpstr>
      <vt:lpstr>_f20ce61f_fc76_4e97_a99b_e99f8748582b</vt:lpstr>
      <vt:lpstr>_f2165e1e_2619_48be_9da6_218ef4eed5c5</vt:lpstr>
      <vt:lpstr>_f27fd71d_b573_4060_8c9f_f16437dcf64b</vt:lpstr>
      <vt:lpstr>_f29952db_4144_4f6c_8945_900be00bea66</vt:lpstr>
      <vt:lpstr>_f2f597a9_ea56_4fc4_8ed0_885550bb2056</vt:lpstr>
      <vt:lpstr>_f2fdd463_601f_4427_b063_eff381f87766</vt:lpstr>
      <vt:lpstr>_f35462c3_03c3_4664_99f7_0bda301fb703</vt:lpstr>
      <vt:lpstr>_f3eb5984_86e3_43dd_9683_37055db52473</vt:lpstr>
      <vt:lpstr>_f49cc225_6279_4845_82e4_f4690a133e6e</vt:lpstr>
      <vt:lpstr>_f4a55543_2355_4809_b889_522d5378fa51</vt:lpstr>
      <vt:lpstr>_f6523e0a_9e5d_49f9_b119_3380aa1a38d2</vt:lpstr>
      <vt:lpstr>_f66c12c2_2493_40c0_9c3d_4f1d8e4a20f4</vt:lpstr>
      <vt:lpstr>_f67b71b8_6a9c_4e5a_a345_3079361f3877</vt:lpstr>
      <vt:lpstr>_f750cc88_c473_46b5_99e3_d584d7534a55</vt:lpstr>
      <vt:lpstr>_f79c2a1f_edfd_4bb7_8785_166d80dca0f0</vt:lpstr>
      <vt:lpstr>_f7ae1bfd_58f6_48f5_aa73_955dd7c8ff6a</vt:lpstr>
      <vt:lpstr>_f7f518c3_c3c9_4842_a9dd_e11d0fc3830b</vt:lpstr>
      <vt:lpstr>_f98e055c_2e19_424e_8c9e_a7363a5cf7d4</vt:lpstr>
      <vt:lpstr>_fb11bac0_3251_4fbe_bb40_6ef64301a931</vt:lpstr>
      <vt:lpstr>_fb9200d4_23d5_4aa1_8b7e_2369df58e099</vt:lpstr>
      <vt:lpstr>_fc6ea1af_715a_4440_b68b_6e9193225d0c</vt:lpstr>
      <vt:lpstr>_fd3363ba_d6ff_4f29_9f3a_ea4de999ff86</vt:lpstr>
      <vt:lpstr>_fd7c5d03_a5de_4321_8644_068c68e54de9</vt:lpstr>
      <vt:lpstr>_fde9a664_e52d_4b1b_8af4_5455352fcfa2</vt:lpstr>
      <vt:lpstr>_fe8f1b39_b119_42d9_9c86_b3cd390f5005</vt:lpstr>
      <vt:lpstr>_ff6bf434_0830_4ecc_909b_324b646f28fc</vt:lpstr>
      <vt:lpstr>Actor</vt:lpstr>
      <vt:lpstr>AIM_Budget_Variance__c.AIM_Description__c</vt:lpstr>
      <vt:lpstr>AIM_Coverage_Disaggregation_Result__c.AIM_LFA_Source__c</vt:lpstr>
      <vt:lpstr>AIM_Coverage_Disaggregation_Result__c.AIM_Source_PR__c</vt:lpstr>
      <vt:lpstr>AIM_Coverage_Indicator__c.AIM_Geographic_Coverage__c</vt:lpstr>
      <vt:lpstr>AIM_Coverage_Indicator__c.AIM_Rating_Cumulation_Type__c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AIM_Findings_and_Recommendations__c.AIM_Status__c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ImpactDisaglist</vt:lpstr>
      <vt:lpstr>Impactlist</vt:lpstr>
      <vt:lpstr>Instructions</vt:lpstr>
      <vt:lpstr>IRT_Mitigating_Action_Details__c.AIM_LFA_Status__c</vt:lpstr>
      <vt:lpstr>IRT_Mitigating_Action_Details__c.AIM_PR_Status__c</vt:lpstr>
      <vt:lpstr>IRT_Mitigating_actions_status</vt:lpstr>
      <vt:lpstr>LangOffset</vt:lpstr>
      <vt:lpstr>Language</vt:lpstr>
      <vt:lpstr>Modulecolumn</vt:lpstr>
      <vt:lpstr>Modulestart</vt:lpstr>
      <vt:lpstr>OutcomeDisaglist</vt:lpstr>
      <vt:lpstr>Outcomelist</vt:lpstr>
      <vt:lpstr>PICKLISTKEYVALUEPAIR</vt:lpstr>
      <vt:lpstr>Source</vt:lpstr>
      <vt:lpstr>Status</vt:lpstr>
      <vt:lpstr>Table3</vt:lpstr>
      <vt:lpstr>Verification_Method</vt:lpstr>
      <vt:lpstr>WPTM_Progress</vt:lpstr>
      <vt:lpstr>XAuthorInvalidPicklistData</vt:lpstr>
      <vt:lpstr>Year_of_result</vt:lpstr>
      <vt:lpstr>CoverSheet!Zone_d_impression</vt:lpstr>
      <vt:lpstr>Disaggregation_1A!Zone_d_impression</vt:lpstr>
      <vt:lpstr>Disaggregation_1B!Zone_d_impression</vt:lpstr>
      <vt:lpstr>'Financial Triggers_10'!Zone_d_impression</vt:lpstr>
      <vt:lpstr>'Impact Outcome Indicators_1A'!Zone_d_impression</vt:lpstr>
      <vt:lpstr>'LFA Expenditure_7B'!Zone_d_impression</vt:lpstr>
      <vt:lpstr>'LFA_Findings&amp;Recommendations_6'!Zone_d_impression</vt:lpstr>
      <vt:lpstr>'PR Authorization_9A'!Zone_d_impression</vt:lpstr>
      <vt:lpstr>Procurement_3!Zone_d_impression</vt:lpstr>
      <vt:lpstr>'Request and Recommendation_8B'!Zone_d_impression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de progrès S2 2019</dc:title>
  <dc:subject/>
  <dc:creator>UNDP/FM</dc:creator>
  <cp:keywords/>
  <dc:description/>
  <cp:lastModifiedBy>PATRICE</cp:lastModifiedBy>
  <cp:revision/>
  <dcterms:created xsi:type="dcterms:W3CDTF">2018-06-21T07:51:53Z</dcterms:created>
  <dcterms:modified xsi:type="dcterms:W3CDTF">2022-03-31T10:32:30Z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UNDPCountry">
    <vt:lpwstr/>
  </property>
  <property fmtid="{D5CDD505-2E9C-101B-9397-08002B2CF9AE}" pid="5" name="UndpDocTypeMM">
    <vt:lpwstr/>
  </property>
  <property fmtid="{D5CDD505-2E9C-101B-9397-08002B2CF9AE}" pid="6" name="UNDPDocumentCategory">
    <vt:lpwstr/>
  </property>
  <property fmtid="{D5CDD505-2E9C-101B-9397-08002B2CF9AE}" pid="7" name="UN Languages">
    <vt:lpwstr>233;#French|946783f8-cd0b-41e2-848e-7777f631248e</vt:lpwstr>
  </property>
  <property fmtid="{D5CDD505-2E9C-101B-9397-08002B2CF9AE}" pid="8" name="Operating Unit0">
    <vt:lpwstr>1183;#BDI|f9feb202-df34-4b8a-8dc4-5a622eda4141</vt:lpwstr>
  </property>
  <property fmtid="{D5CDD505-2E9C-101B-9397-08002B2CF9AE}" pid="9" name="Atlas Document Status">
    <vt:lpwstr>763;#Draft|121d40a5-e62e-4d42-82e4-d6d12003de0a</vt:lpwstr>
  </property>
  <property fmtid="{D5CDD505-2E9C-101B-9397-08002B2CF9AE}" pid="10" name="Atlas Document Type">
    <vt:lpwstr>1112;#Progress Report|03c70d0e-c75e-4cfb-8288-e692640ede14</vt:lpwstr>
  </property>
  <property fmtid="{D5CDD505-2E9C-101B-9397-08002B2CF9AE}" pid="11" name="eRegFilingCodeMM">
    <vt:lpwstr/>
  </property>
  <property fmtid="{D5CDD505-2E9C-101B-9397-08002B2CF9AE}" pid="12" name="UndpUnitMM">
    <vt:lpwstr/>
  </property>
  <property fmtid="{D5CDD505-2E9C-101B-9397-08002B2CF9AE}" pid="13" name="UNDPFocusAreas">
    <vt:lpwstr>303;#HIV/AIDS|06c8a9ff-5bcd-4667-b6f0-aa4daaf2f82b</vt:lpwstr>
  </property>
  <property fmtid="{D5CDD505-2E9C-101B-9397-08002B2CF9AE}" pid="14" name="_dlc_DocIdItemGuid">
    <vt:lpwstr>d9668825-0e8e-4626-9ddb-92c3d508483c</vt:lpwstr>
  </property>
  <property fmtid="{D5CDD505-2E9C-101B-9397-08002B2CF9AE}" pid="15" name="URL">
    <vt:lpwstr/>
  </property>
  <property fmtid="{D5CDD505-2E9C-101B-9397-08002B2CF9AE}" pid="16" name="DocumentSetDescription">
    <vt:lpwstr/>
  </property>
  <property fmtid="{D5CDD505-2E9C-101B-9397-08002B2CF9AE}" pid="17" name="UnitTaxHTField0">
    <vt:lpwstr/>
  </property>
  <property fmtid="{D5CDD505-2E9C-101B-9397-08002B2CF9AE}" pid="18" name="Unit">
    <vt:lpwstr/>
  </property>
</Properties>
</file>